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bookViews>
    <workbookView xWindow="360" yWindow="15" windowWidth="20955" windowHeight="9720" firstSheet="23" activeTab="23"/>
  </bookViews>
  <sheets>
    <sheet name="План 21-25" sheetId="1" state="hidden" r:id="rId1"/>
    <sheet name="Роспись Минстрой" sheetId="2" state="hidden" r:id="rId2"/>
    <sheet name="План реализации _ 10" sheetId="3" state="hidden" r:id="rId3"/>
    <sheet name="План реализации _ 11" sheetId="4" state="hidden" r:id="rId4"/>
    <sheet name="Пр10б. Справка 11" sheetId="5" state="hidden" r:id="rId5"/>
    <sheet name="4.ОКС_2" sheetId="6" state="hidden" r:id="rId6"/>
    <sheet name="Справка 6б" sheetId="7" state="hidden" r:id="rId7"/>
    <sheet name="План реализации 13" sheetId="8" state="hidden" r:id="rId8"/>
    <sheet name="План реализации 14" sheetId="9" state="hidden" r:id="rId9"/>
    <sheet name="Справка 11 в" sheetId="10" state="hidden" r:id="rId10"/>
    <sheet name="Лист1" sheetId="11" state="hidden" r:id="rId11"/>
    <sheet name="10а. Спр пок  " sheetId="12" state="hidden" r:id="rId12"/>
    <sheet name="План 21-25_9" sheetId="13" state="hidden" r:id="rId13"/>
    <sheet name="ГП РФ" sheetId="14" state="hidden" r:id="rId14"/>
    <sheet name="Пр 10в ОКС" sheetId="15" state="hidden" r:id="rId15"/>
    <sheet name="План 21-25_8 (2)" sheetId="16" state="hidden" r:id="rId16"/>
    <sheet name="НОВЫЙ_МИНСТРОЙ" sheetId="46" state="hidden" r:id="rId17"/>
    <sheet name="962-ПП" sheetId="45" state="hidden" r:id="rId18"/>
    <sheet name="6_ОМ_01_2024" sheetId="43" state="hidden" r:id="rId19"/>
    <sheet name="5092197" sheetId="42" state="hidden" r:id="rId20"/>
    <sheet name="СТАРЫЙ" sheetId="40" state="hidden" r:id="rId21"/>
    <sheet name="80-ПП" sheetId="36" state="hidden" r:id="rId22"/>
    <sheet name="Пр 11б. Справка" sheetId="19" state="hidden" r:id="rId23"/>
    <sheet name="НОВЫЙ" sheetId="47" r:id="rId24"/>
    <sheet name="6б" sheetId="48" state="hidden" r:id="rId25"/>
    <sheet name="6.ОМ" sheetId="20" state="hidden" r:id="rId26"/>
    <sheet name="Справка_Минэнерго" sheetId="21" state="hidden" r:id="rId27"/>
    <sheet name="ОМ_минэнерго" sheetId="22" state="hidden" r:id="rId28"/>
    <sheet name="План_минэн." sheetId="23" state="hidden" r:id="rId29"/>
    <sheet name="План_нов_ред.минэн." sheetId="24" state="hidden"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_xlnm._FilterDatabase" localSheetId="5" hidden="1">'4.ОКС_2'!$A$3:$R$55</definedName>
    <definedName name="_xlnm._FilterDatabase" localSheetId="21" hidden="1">'80-ПП'!$A$4:$L$853</definedName>
    <definedName name="_xlnm._FilterDatabase" localSheetId="17" hidden="1">'962-ПП'!$A$4:$L$778</definedName>
    <definedName name="_xlnm._FilterDatabase" localSheetId="23" hidden="1">НОВЫЙ!$A$4:$L$944</definedName>
    <definedName name="_xlnm._FilterDatabase" localSheetId="16" hidden="1">НОВЫЙ_МИНСТРОЙ!$A$4:$L$854</definedName>
    <definedName name="_xlnm._FilterDatabase" localSheetId="0" hidden="1">'План 21-25'!$A$4:$L$232</definedName>
    <definedName name="_xlnm._FilterDatabase" localSheetId="15" hidden="1">'План 21-25_8 (2)'!$A$4:$L$377</definedName>
    <definedName name="_xlnm._FilterDatabase" localSheetId="12" hidden="1">'План 21-25_9'!$A$4:$L$377</definedName>
    <definedName name="_xlnm._FilterDatabase" localSheetId="2" hidden="1">'План реализации _ 10'!$A$4:$L$395</definedName>
    <definedName name="_xlnm._FilterDatabase" localSheetId="3" hidden="1">'План реализации _ 11'!$A$4:$L$407</definedName>
    <definedName name="_xlnm._FilterDatabase" localSheetId="7" hidden="1">'План реализации 13'!$A$4:$L$616</definedName>
    <definedName name="_xlnm._FilterDatabase" localSheetId="8" hidden="1">'План реализации 14'!$A$4:$L$616</definedName>
    <definedName name="_xlnm._FilterDatabase" localSheetId="20" hidden="1">СТАРЫЙ!$A$4:$L$778</definedName>
    <definedName name="Print_Titles" localSheetId="21">'80-ПП'!$3:$4</definedName>
    <definedName name="Print_Titles" localSheetId="17">'962-ПП'!$3:$4</definedName>
    <definedName name="Print_Titles" localSheetId="23">НОВЫЙ!$3:$4</definedName>
    <definedName name="Print_Titles" localSheetId="16">НОВЫЙ_МИНСТРОЙ!$3:$4</definedName>
    <definedName name="Print_Titles" localSheetId="7">'План реализации 13'!$3:$4</definedName>
    <definedName name="Print_Titles" localSheetId="8">'План реализации 14'!$3:$4</definedName>
    <definedName name="Print_Titles" localSheetId="28">План_минэн.!$8:$9</definedName>
    <definedName name="Print_Titles" localSheetId="29">План_нов_ред.минэн.!$8:$9</definedName>
    <definedName name="Print_Titles" localSheetId="1">'Роспись Минстрой'!$4:$6</definedName>
    <definedName name="Print_Titles" localSheetId="20">СТАРЫЙ!$3:$4</definedName>
    <definedName name="sub_10044" localSheetId="13">'ГП РФ'!$A$5</definedName>
    <definedName name="sub_1045" localSheetId="13">'ГП РФ'!$A$6</definedName>
    <definedName name="Z_2508C67C_5BE7_4BE0_8B76_50163B248E33_.wvu.FilterData" localSheetId="1" hidden="1">'Роспись Минстрой'!$K$4:$AA$93</definedName>
    <definedName name="Z_529A6A00_2C88_45A8_AA97_E0760B58705B_.wvu.FilterData" localSheetId="1" hidden="1">'Роспись Минстрой'!$K$4:$AA$93</definedName>
    <definedName name="Z_AFFBC580_A5D8_4593_9B15_C5FBBB8EB6CE_.wvu.FilterData" localSheetId="1" hidden="1">'Роспись Минстрой'!$K$4:$AA$93</definedName>
    <definedName name="Z_CE8E673B_1E37_4DF3_B753_CDFB44C2547B_.wvu.FilterData" localSheetId="1" hidden="1">'Роспись Минстрой'!$K$4:$AA$93</definedName>
    <definedName name="Z_CE8E673B_1E37_4DF3_B753_CDFB44C2547B_.wvu.PrintArea" localSheetId="1" hidden="1">'Роспись Минстрой'!$K$2:$AA$93</definedName>
    <definedName name="Z_CE8E673B_1E37_4DF3_B753_CDFB44C2547B_.wvu.PrintTitles" localSheetId="1" hidden="1">'Роспись Минстрой'!$3:$3</definedName>
    <definedName name="Z_CE8E673B_1E37_4DF3_B753_CDFB44C2547B_.wvu.Rows" localSheetId="1" hidden="1">'Роспись Минстрой'!#REF!</definedName>
    <definedName name="_xlnm.Print_Area" localSheetId="11">'10а. Спр пок  '!$A$1:$Y$33</definedName>
    <definedName name="_xlnm.Print_Area" localSheetId="5">'4.ОКС_2'!$A$1:$L$111</definedName>
    <definedName name="_xlnm.Print_Area" localSheetId="21">'80-ПП'!$A$1:$M$853</definedName>
    <definedName name="_xlnm.Print_Area" localSheetId="17">'962-ПП'!$A$1:$K$778</definedName>
    <definedName name="_xlnm.Print_Area" localSheetId="23">НОВЫЙ!$A$1:$K$943</definedName>
    <definedName name="_xlnm.Print_Area" localSheetId="16">НОВЫЙ_МИНСТРОЙ!$A$1:$K$854</definedName>
    <definedName name="_xlnm.Print_Area" localSheetId="0">'План 21-25'!$A$1:$K$238</definedName>
    <definedName name="_xlnm.Print_Area" localSheetId="15">'План 21-25_8 (2)'!$A$1:$K$395</definedName>
    <definedName name="_xlnm.Print_Area" localSheetId="12">'План 21-25_9'!$A$1:$K$395</definedName>
    <definedName name="_xlnm.Print_Area" localSheetId="2">'План реализации _ 10'!$A$1:$K$413</definedName>
    <definedName name="_xlnm.Print_Area" localSheetId="3">'План реализации _ 11'!$A$1:$K$425</definedName>
    <definedName name="_xlnm.Print_Area" localSheetId="7">'План реализации 13'!$A$1:$K$616</definedName>
    <definedName name="_xlnm.Print_Area" localSheetId="8">'План реализации 14'!$A$1:$K$616</definedName>
    <definedName name="_xlnm.Print_Area" localSheetId="28">План_минэн.!$A$1:$AF$962</definedName>
    <definedName name="_xlnm.Print_Area" localSheetId="29">План_нов_ред.минэн.!$A$1:$AF$962</definedName>
    <definedName name="_xlnm.Print_Area" localSheetId="1">'Роспись Минстрой'!$B$1:$AE$120</definedName>
    <definedName name="_xlnm.Print_Area" localSheetId="6">'Справка 6б'!$A$1:$F$6</definedName>
    <definedName name="_xlnm.Print_Area" localSheetId="26">Справка_Минэнерго!$A$1:$X$38</definedName>
    <definedName name="_xlnm.Print_Area" localSheetId="20">СТАРЫЙ!$A$1:$K$778</definedName>
  </definedNames>
  <calcPr calcId="145621"/>
</workbook>
</file>

<file path=xl/calcChain.xml><?xml version="1.0" encoding="utf-8"?>
<calcChain xmlns="http://schemas.openxmlformats.org/spreadsheetml/2006/main">
  <c r="E850" i="47" l="1"/>
  <c r="F850" i="47"/>
  <c r="E50" i="43"/>
  <c r="F50" i="43"/>
  <c r="G50" i="43"/>
  <c r="H50" i="43"/>
  <c r="I50" i="43"/>
  <c r="E51" i="43"/>
  <c r="F51" i="43"/>
  <c r="G51" i="43"/>
  <c r="H51" i="43"/>
  <c r="I51" i="43"/>
  <c r="E52" i="43"/>
  <c r="F52" i="43"/>
  <c r="G52" i="43"/>
  <c r="H52" i="43"/>
  <c r="I52" i="43"/>
  <c r="E53" i="43"/>
  <c r="F53" i="43"/>
  <c r="G53" i="43"/>
  <c r="H53" i="43"/>
  <c r="I53" i="43"/>
  <c r="E49" i="43"/>
  <c r="F49" i="43"/>
  <c r="G49" i="43"/>
  <c r="H49" i="43"/>
  <c r="I49" i="43"/>
  <c r="E43" i="43"/>
  <c r="F43" i="43"/>
  <c r="G43" i="43"/>
  <c r="H43" i="43"/>
  <c r="I43" i="43"/>
  <c r="E44" i="43"/>
  <c r="F44" i="43"/>
  <c r="G44" i="43"/>
  <c r="H44" i="43"/>
  <c r="I44" i="43"/>
  <c r="E45" i="43"/>
  <c r="F45" i="43"/>
  <c r="G45" i="43"/>
  <c r="H45" i="43"/>
  <c r="I45" i="43"/>
  <c r="E46" i="43"/>
  <c r="F46" i="43"/>
  <c r="G46" i="43"/>
  <c r="H46" i="43"/>
  <c r="I46" i="43"/>
  <c r="E47" i="43"/>
  <c r="F47" i="43"/>
  <c r="G47" i="43"/>
  <c r="H47" i="43"/>
  <c r="I47" i="43"/>
  <c r="E48" i="43"/>
  <c r="F48" i="43"/>
  <c r="G48" i="43"/>
  <c r="H48" i="43"/>
  <c r="I48" i="43"/>
  <c r="E42" i="43"/>
  <c r="F42" i="43"/>
  <c r="G42" i="43"/>
  <c r="H42" i="43"/>
  <c r="I42" i="43"/>
  <c r="J70" i="19" l="1"/>
  <c r="K70" i="19"/>
  <c r="L70" i="19"/>
  <c r="M70" i="19"/>
  <c r="N70" i="19"/>
  <c r="J71" i="19"/>
  <c r="K71" i="19"/>
  <c r="L71" i="19"/>
  <c r="M71" i="19"/>
  <c r="N71" i="19"/>
  <c r="J72" i="19"/>
  <c r="K72" i="19"/>
  <c r="L72" i="19"/>
  <c r="M72" i="19"/>
  <c r="N72" i="19"/>
  <c r="J73" i="19"/>
  <c r="K73" i="19"/>
  <c r="L73" i="19"/>
  <c r="M73" i="19"/>
  <c r="N73" i="19"/>
  <c r="J74" i="19"/>
  <c r="K74" i="19"/>
  <c r="L74" i="19"/>
  <c r="M74" i="19"/>
  <c r="N74" i="19"/>
  <c r="J75" i="19"/>
  <c r="K75" i="19"/>
  <c r="L75" i="19"/>
  <c r="M75" i="19"/>
  <c r="N75" i="19"/>
  <c r="J69" i="19"/>
  <c r="K69" i="19"/>
  <c r="L69" i="19"/>
  <c r="M69" i="19"/>
  <c r="N69" i="19"/>
  <c r="Q70" i="19"/>
  <c r="R70" i="19"/>
  <c r="S70" i="19"/>
  <c r="T70" i="19"/>
  <c r="U70" i="19"/>
  <c r="Q71" i="19"/>
  <c r="R71" i="19"/>
  <c r="S71" i="19"/>
  <c r="T71" i="19"/>
  <c r="U71" i="19"/>
  <c r="Q72" i="19"/>
  <c r="R72" i="19"/>
  <c r="S72" i="19"/>
  <c r="T72" i="19"/>
  <c r="U72" i="19"/>
  <c r="Q73" i="19"/>
  <c r="R73" i="19"/>
  <c r="S73" i="19"/>
  <c r="T73" i="19"/>
  <c r="U73" i="19"/>
  <c r="Q74" i="19"/>
  <c r="R74" i="19"/>
  <c r="S74" i="19"/>
  <c r="T74" i="19"/>
  <c r="U74" i="19"/>
  <c r="Q69" i="19"/>
  <c r="R69" i="19"/>
  <c r="S69" i="19"/>
  <c r="T69" i="19"/>
  <c r="U69" i="19"/>
  <c r="Q63" i="19"/>
  <c r="R63" i="19"/>
  <c r="K63" i="19" s="1"/>
  <c r="S63" i="19"/>
  <c r="L63" i="19" s="1"/>
  <c r="T63" i="19"/>
  <c r="U63" i="19"/>
  <c r="N63" i="19" s="1"/>
  <c r="Q64" i="19"/>
  <c r="J64" i="19" s="1"/>
  <c r="R64" i="19"/>
  <c r="S64" i="19"/>
  <c r="L64" i="19" s="1"/>
  <c r="T64" i="19"/>
  <c r="M64" i="19" s="1"/>
  <c r="U64" i="19"/>
  <c r="Q65" i="19"/>
  <c r="J65" i="19" s="1"/>
  <c r="R65" i="19"/>
  <c r="S65" i="19"/>
  <c r="T65" i="19"/>
  <c r="M65" i="19" s="1"/>
  <c r="U65" i="19"/>
  <c r="N65" i="19" s="1"/>
  <c r="Q66" i="19"/>
  <c r="R66" i="19"/>
  <c r="K66" i="19" s="1"/>
  <c r="S66" i="19"/>
  <c r="L66" i="19" s="1"/>
  <c r="T66" i="19"/>
  <c r="U66" i="19"/>
  <c r="N66" i="19" s="1"/>
  <c r="Q67" i="19"/>
  <c r="J67" i="19" s="1"/>
  <c r="R67" i="19"/>
  <c r="S67" i="19"/>
  <c r="L67" i="19" s="1"/>
  <c r="T67" i="19"/>
  <c r="U67" i="19"/>
  <c r="J68" i="19"/>
  <c r="K68" i="19"/>
  <c r="M68" i="19"/>
  <c r="N68" i="19"/>
  <c r="Q62" i="19"/>
  <c r="R62" i="19"/>
  <c r="K62" i="19" s="1"/>
  <c r="S62" i="19"/>
  <c r="T62" i="19"/>
  <c r="M62" i="19" s="1"/>
  <c r="U62" i="19"/>
  <c r="J56" i="19"/>
  <c r="K56" i="19"/>
  <c r="L56" i="19"/>
  <c r="M56" i="19"/>
  <c r="N56" i="19"/>
  <c r="J57" i="19"/>
  <c r="K57" i="19"/>
  <c r="L57" i="19"/>
  <c r="M57" i="19"/>
  <c r="N57" i="19"/>
  <c r="J58" i="19"/>
  <c r="K58" i="19"/>
  <c r="L58" i="19"/>
  <c r="M58" i="19"/>
  <c r="N58" i="19"/>
  <c r="J59" i="19"/>
  <c r="K59" i="19"/>
  <c r="L59" i="19"/>
  <c r="M59" i="19"/>
  <c r="N59" i="19"/>
  <c r="J60" i="19"/>
  <c r="K60" i="19"/>
  <c r="L60" i="19"/>
  <c r="M60" i="19"/>
  <c r="N60" i="19"/>
  <c r="J61" i="19"/>
  <c r="K61" i="19"/>
  <c r="L61" i="19"/>
  <c r="M61" i="19"/>
  <c r="N61" i="19"/>
  <c r="J62" i="19"/>
  <c r="L62" i="19"/>
  <c r="N62" i="19"/>
  <c r="J63" i="19"/>
  <c r="M63" i="19"/>
  <c r="K64" i="19"/>
  <c r="N64" i="19"/>
  <c r="K65" i="19"/>
  <c r="L65" i="19"/>
  <c r="J66" i="19"/>
  <c r="M66" i="19"/>
  <c r="K67" i="19"/>
  <c r="M67" i="19"/>
  <c r="N67" i="19"/>
  <c r="L68" i="19"/>
  <c r="J55" i="19"/>
  <c r="K55" i="19"/>
  <c r="L55" i="19"/>
  <c r="M55" i="19"/>
  <c r="N55" i="19"/>
  <c r="Q56" i="19"/>
  <c r="R56" i="19"/>
  <c r="S56" i="19"/>
  <c r="T56" i="19"/>
  <c r="U56" i="19"/>
  <c r="Q57" i="19"/>
  <c r="R57" i="19"/>
  <c r="S57" i="19"/>
  <c r="T57" i="19"/>
  <c r="U57" i="19"/>
  <c r="Q58" i="19"/>
  <c r="R58" i="19"/>
  <c r="S58" i="19"/>
  <c r="T58" i="19"/>
  <c r="U58" i="19"/>
  <c r="Q59" i="19"/>
  <c r="R59" i="19"/>
  <c r="S59" i="19"/>
  <c r="T59" i="19"/>
  <c r="U59" i="19"/>
  <c r="Q60" i="19"/>
  <c r="R60" i="19"/>
  <c r="S60" i="19"/>
  <c r="T60" i="19"/>
  <c r="U60" i="19"/>
  <c r="Q61" i="19"/>
  <c r="R61" i="19"/>
  <c r="S61" i="19"/>
  <c r="T61" i="19"/>
  <c r="U61" i="19"/>
  <c r="Q55" i="19"/>
  <c r="R55" i="19"/>
  <c r="S55" i="19"/>
  <c r="T55" i="19"/>
  <c r="U55" i="19"/>
  <c r="D70" i="19"/>
  <c r="E70" i="19"/>
  <c r="F70" i="19"/>
  <c r="G70" i="19"/>
  <c r="H70" i="19"/>
  <c r="D71" i="19"/>
  <c r="E71" i="19"/>
  <c r="F71" i="19"/>
  <c r="G71" i="19"/>
  <c r="H71" i="19"/>
  <c r="D72" i="19"/>
  <c r="E72" i="19"/>
  <c r="F72" i="19"/>
  <c r="G72" i="19"/>
  <c r="H72" i="19"/>
  <c r="D73" i="19"/>
  <c r="E73" i="19"/>
  <c r="F73" i="19"/>
  <c r="G73" i="19"/>
  <c r="H73" i="19"/>
  <c r="D74" i="19"/>
  <c r="E74" i="19"/>
  <c r="F74" i="19"/>
  <c r="G74" i="19"/>
  <c r="H74" i="19"/>
  <c r="D69" i="19"/>
  <c r="E69" i="19"/>
  <c r="F69" i="19"/>
  <c r="G69" i="19"/>
  <c r="H69" i="19"/>
  <c r="D63" i="19"/>
  <c r="E63" i="19"/>
  <c r="F63" i="19"/>
  <c r="G63" i="19"/>
  <c r="H63" i="19"/>
  <c r="D64" i="19"/>
  <c r="E64" i="19"/>
  <c r="F64" i="19"/>
  <c r="G64" i="19"/>
  <c r="H64" i="19"/>
  <c r="D65" i="19"/>
  <c r="E65" i="19"/>
  <c r="F65" i="19"/>
  <c r="G65" i="19"/>
  <c r="H65" i="19"/>
  <c r="D66" i="19"/>
  <c r="E66" i="19"/>
  <c r="F66" i="19"/>
  <c r="G66" i="19"/>
  <c r="H66" i="19"/>
  <c r="D67" i="19"/>
  <c r="E67" i="19"/>
  <c r="F67" i="19"/>
  <c r="G67" i="19"/>
  <c r="H67" i="19"/>
  <c r="D62" i="19"/>
  <c r="E62" i="19"/>
  <c r="F62" i="19"/>
  <c r="G62" i="19"/>
  <c r="H62" i="19"/>
  <c r="D56" i="19"/>
  <c r="E56" i="19"/>
  <c r="F56" i="19"/>
  <c r="G56" i="19"/>
  <c r="H56" i="19"/>
  <c r="D57" i="19"/>
  <c r="E57" i="19"/>
  <c r="F57" i="19"/>
  <c r="G57" i="19"/>
  <c r="H57" i="19"/>
  <c r="D58" i="19"/>
  <c r="E58" i="19"/>
  <c r="F58" i="19"/>
  <c r="G58" i="19"/>
  <c r="H58" i="19"/>
  <c r="D59" i="19"/>
  <c r="E59" i="19"/>
  <c r="F59" i="19"/>
  <c r="G59" i="19"/>
  <c r="H59" i="19"/>
  <c r="D60" i="19"/>
  <c r="E60" i="19"/>
  <c r="F60" i="19"/>
  <c r="G60" i="19"/>
  <c r="H60" i="19"/>
  <c r="D61" i="19"/>
  <c r="E61" i="19"/>
  <c r="F61" i="19"/>
  <c r="G61" i="19"/>
  <c r="H61" i="19"/>
  <c r="D55" i="19"/>
  <c r="E55" i="19"/>
  <c r="F55" i="19"/>
  <c r="G55" i="19"/>
  <c r="H55" i="19"/>
  <c r="E847" i="47" l="1"/>
  <c r="F847" i="47"/>
  <c r="E851" i="47"/>
  <c r="F851" i="47"/>
  <c r="M762" i="36" l="1"/>
  <c r="M851" i="47"/>
  <c r="F845" i="47"/>
  <c r="R102" i="19" s="1"/>
  <c r="G844" i="47"/>
  <c r="S101" i="19" s="1"/>
  <c r="G843" i="47"/>
  <c r="S100" i="19" s="1"/>
  <c r="F843" i="47"/>
  <c r="Q98" i="19"/>
  <c r="R98" i="19"/>
  <c r="S98" i="19"/>
  <c r="T98" i="19"/>
  <c r="U98" i="19"/>
  <c r="Q99" i="19"/>
  <c r="R99" i="19"/>
  <c r="S99" i="19"/>
  <c r="T99" i="19"/>
  <c r="U99" i="19"/>
  <c r="T100" i="19"/>
  <c r="U100" i="19"/>
  <c r="T101" i="19"/>
  <c r="U101" i="19"/>
  <c r="Q102" i="19"/>
  <c r="S102" i="19"/>
  <c r="T102" i="19"/>
  <c r="U102" i="19"/>
  <c r="T97" i="19"/>
  <c r="U97" i="19"/>
  <c r="R100" i="19" l="1"/>
  <c r="E843" i="47"/>
  <c r="Q100" i="19" s="1"/>
  <c r="E36" i="43" l="1"/>
  <c r="F36" i="43"/>
  <c r="G36" i="43"/>
  <c r="H36" i="43"/>
  <c r="I36" i="43"/>
  <c r="E37" i="43"/>
  <c r="F37" i="43"/>
  <c r="G37" i="43"/>
  <c r="H37" i="43"/>
  <c r="I37" i="43"/>
  <c r="E38" i="43"/>
  <c r="F38" i="43"/>
  <c r="G38" i="43"/>
  <c r="H38" i="43"/>
  <c r="I38" i="43"/>
  <c r="E39" i="43"/>
  <c r="F39" i="43"/>
  <c r="G39" i="43"/>
  <c r="H39" i="43"/>
  <c r="I39" i="43"/>
  <c r="E40" i="43"/>
  <c r="F40" i="43"/>
  <c r="G40" i="43"/>
  <c r="H40" i="43"/>
  <c r="I40" i="43"/>
  <c r="E41" i="43"/>
  <c r="F41" i="43"/>
  <c r="G41" i="43"/>
  <c r="H41" i="43"/>
  <c r="I41" i="43"/>
  <c r="E35" i="43"/>
  <c r="F35" i="43"/>
  <c r="G35" i="43"/>
  <c r="H35" i="43"/>
  <c r="I35" i="43"/>
  <c r="E29" i="43"/>
  <c r="F29" i="43"/>
  <c r="G29" i="43"/>
  <c r="H29" i="43"/>
  <c r="I29" i="43"/>
  <c r="E30" i="43"/>
  <c r="F30" i="43"/>
  <c r="G30" i="43"/>
  <c r="H30" i="43"/>
  <c r="I30" i="43"/>
  <c r="E31" i="43"/>
  <c r="F31" i="43"/>
  <c r="G31" i="43"/>
  <c r="H31" i="43"/>
  <c r="I31" i="43"/>
  <c r="E32" i="43"/>
  <c r="F32" i="43"/>
  <c r="G32" i="43"/>
  <c r="H32" i="43"/>
  <c r="I32" i="43"/>
  <c r="E33" i="43"/>
  <c r="F33" i="43"/>
  <c r="G33" i="43"/>
  <c r="H33" i="43"/>
  <c r="I33" i="43"/>
  <c r="E34" i="43"/>
  <c r="F34" i="43"/>
  <c r="G34" i="43"/>
  <c r="H34" i="43"/>
  <c r="I34" i="43"/>
  <c r="E28" i="43"/>
  <c r="F28" i="43"/>
  <c r="G28" i="43"/>
  <c r="H28" i="43"/>
  <c r="I28" i="43"/>
  <c r="Q42" i="19"/>
  <c r="R42" i="19"/>
  <c r="S42" i="19"/>
  <c r="T42" i="19"/>
  <c r="U42" i="19"/>
  <c r="Q43" i="19"/>
  <c r="R43" i="19"/>
  <c r="S43" i="19"/>
  <c r="T43" i="19"/>
  <c r="U43" i="19"/>
  <c r="Q44" i="19"/>
  <c r="R44" i="19"/>
  <c r="S44" i="19"/>
  <c r="T44" i="19"/>
  <c r="U44" i="19"/>
  <c r="Q45" i="19"/>
  <c r="R45" i="19"/>
  <c r="S45" i="19"/>
  <c r="T45" i="19"/>
  <c r="U45" i="19"/>
  <c r="Q46" i="19"/>
  <c r="R46" i="19"/>
  <c r="K46" i="19" s="1"/>
  <c r="S46" i="19"/>
  <c r="T46" i="19"/>
  <c r="U46" i="19"/>
  <c r="Q47" i="19"/>
  <c r="R47" i="19"/>
  <c r="S47" i="19"/>
  <c r="T47" i="19"/>
  <c r="U47" i="19"/>
  <c r="Q48" i="19"/>
  <c r="R48" i="19"/>
  <c r="S48" i="19"/>
  <c r="T48" i="19"/>
  <c r="U48" i="19"/>
  <c r="Q49" i="19"/>
  <c r="R49" i="19"/>
  <c r="S49" i="19"/>
  <c r="T49" i="19"/>
  <c r="U49" i="19"/>
  <c r="Q50" i="19"/>
  <c r="R50" i="19"/>
  <c r="S50" i="19"/>
  <c r="T50" i="19"/>
  <c r="U50" i="19"/>
  <c r="Q51" i="19"/>
  <c r="R51" i="19"/>
  <c r="S51" i="19"/>
  <c r="T51" i="19"/>
  <c r="U51" i="19"/>
  <c r="Q52" i="19"/>
  <c r="R52" i="19"/>
  <c r="S52" i="19"/>
  <c r="T52" i="19"/>
  <c r="U52" i="19"/>
  <c r="Q53" i="19"/>
  <c r="R53" i="19"/>
  <c r="S53" i="19"/>
  <c r="T53" i="19"/>
  <c r="U53" i="19"/>
  <c r="Q54" i="19"/>
  <c r="R54" i="19"/>
  <c r="S54" i="19"/>
  <c r="T54" i="19"/>
  <c r="U54" i="19"/>
  <c r="Q41" i="19"/>
  <c r="R41" i="19"/>
  <c r="S41" i="19"/>
  <c r="T41" i="19"/>
  <c r="U41" i="19"/>
  <c r="Q35" i="19"/>
  <c r="R35" i="19"/>
  <c r="S35" i="19"/>
  <c r="T35" i="19"/>
  <c r="U35" i="19"/>
  <c r="Q36" i="19"/>
  <c r="R36" i="19"/>
  <c r="S36" i="19"/>
  <c r="T36" i="19"/>
  <c r="U36" i="19"/>
  <c r="Q37" i="19"/>
  <c r="R37" i="19"/>
  <c r="S37" i="19"/>
  <c r="T37" i="19"/>
  <c r="U37" i="19"/>
  <c r="Q38" i="19"/>
  <c r="R38" i="19"/>
  <c r="S38" i="19"/>
  <c r="T38" i="19"/>
  <c r="U38" i="19"/>
  <c r="Q39" i="19"/>
  <c r="R39" i="19"/>
  <c r="S39" i="19"/>
  <c r="L39" i="19" s="1"/>
  <c r="T39" i="19"/>
  <c r="U39" i="19"/>
  <c r="Q40" i="19"/>
  <c r="R40" i="19"/>
  <c r="S40" i="19"/>
  <c r="T40" i="19"/>
  <c r="U40" i="19"/>
  <c r="Q34" i="19"/>
  <c r="R34" i="19"/>
  <c r="S34" i="19"/>
  <c r="T34" i="19"/>
  <c r="U34" i="19"/>
  <c r="Q28" i="19"/>
  <c r="R28" i="19"/>
  <c r="S28" i="19"/>
  <c r="T28" i="19"/>
  <c r="U28" i="19"/>
  <c r="Q29" i="19"/>
  <c r="R29" i="19"/>
  <c r="S29" i="19"/>
  <c r="T29" i="19"/>
  <c r="U29" i="19"/>
  <c r="Q30" i="19"/>
  <c r="R30" i="19"/>
  <c r="S30" i="19"/>
  <c r="T30" i="19"/>
  <c r="U30" i="19"/>
  <c r="Q31" i="19"/>
  <c r="R31" i="19"/>
  <c r="S31" i="19"/>
  <c r="T31" i="19"/>
  <c r="U31" i="19"/>
  <c r="Q32" i="19"/>
  <c r="R32" i="19"/>
  <c r="K32" i="19" s="1"/>
  <c r="S32" i="19"/>
  <c r="T32" i="19"/>
  <c r="U32" i="19"/>
  <c r="Q33" i="19"/>
  <c r="R33" i="19"/>
  <c r="S33" i="19"/>
  <c r="T33" i="19"/>
  <c r="U33" i="19"/>
  <c r="Q27" i="19"/>
  <c r="R27" i="19"/>
  <c r="S27" i="19"/>
  <c r="T27" i="19"/>
  <c r="U27" i="19"/>
  <c r="D48" i="19"/>
  <c r="E48" i="19"/>
  <c r="F48" i="19"/>
  <c r="G48" i="19"/>
  <c r="H48" i="19"/>
  <c r="D49" i="19"/>
  <c r="E49" i="19"/>
  <c r="F49" i="19"/>
  <c r="G49" i="19"/>
  <c r="H49" i="19"/>
  <c r="N49" i="19" s="1"/>
  <c r="D50" i="19"/>
  <c r="E50" i="19"/>
  <c r="F50" i="19"/>
  <c r="G50" i="19"/>
  <c r="H50" i="19"/>
  <c r="D51" i="19"/>
  <c r="E51" i="19"/>
  <c r="F51" i="19"/>
  <c r="G51" i="19"/>
  <c r="H51" i="19"/>
  <c r="D52" i="19"/>
  <c r="E52" i="19"/>
  <c r="K52" i="19" s="1"/>
  <c r="F52" i="19"/>
  <c r="G52" i="19"/>
  <c r="H52" i="19"/>
  <c r="D53" i="19"/>
  <c r="E53" i="19"/>
  <c r="F53" i="19"/>
  <c r="G53" i="19"/>
  <c r="H53" i="19"/>
  <c r="D54" i="19"/>
  <c r="E54" i="19"/>
  <c r="F54" i="19"/>
  <c r="G54" i="19"/>
  <c r="M54" i="19" s="1"/>
  <c r="H54" i="19"/>
  <c r="D42" i="19"/>
  <c r="E42" i="19"/>
  <c r="F42" i="19"/>
  <c r="G42" i="19"/>
  <c r="H42" i="19"/>
  <c r="D43" i="19"/>
  <c r="E43" i="19"/>
  <c r="F43" i="19"/>
  <c r="G43" i="19"/>
  <c r="H43" i="19"/>
  <c r="D44" i="19"/>
  <c r="E44" i="19"/>
  <c r="F44" i="19"/>
  <c r="G44" i="19"/>
  <c r="H44" i="19"/>
  <c r="D45" i="19"/>
  <c r="J45" i="19" s="1"/>
  <c r="E45" i="19"/>
  <c r="F45" i="19"/>
  <c r="G45" i="19"/>
  <c r="H45" i="19"/>
  <c r="D46" i="19"/>
  <c r="E46" i="19"/>
  <c r="F46" i="19"/>
  <c r="G46" i="19"/>
  <c r="H46" i="19"/>
  <c r="D47" i="19"/>
  <c r="E47" i="19"/>
  <c r="F47" i="19"/>
  <c r="G47" i="19"/>
  <c r="H47" i="19"/>
  <c r="D41" i="19"/>
  <c r="E41" i="19"/>
  <c r="F41" i="19"/>
  <c r="G41" i="19"/>
  <c r="H41" i="19"/>
  <c r="D35" i="19"/>
  <c r="E35" i="19"/>
  <c r="F35" i="19"/>
  <c r="G35" i="19"/>
  <c r="H35" i="19"/>
  <c r="D36" i="19"/>
  <c r="J36" i="19" s="1"/>
  <c r="E36" i="19"/>
  <c r="F36" i="19"/>
  <c r="G36" i="19"/>
  <c r="H36" i="19"/>
  <c r="D37" i="19"/>
  <c r="E37" i="19"/>
  <c r="F37" i="19"/>
  <c r="G37" i="19"/>
  <c r="H37" i="19"/>
  <c r="D38" i="19"/>
  <c r="E38" i="19"/>
  <c r="F38" i="19"/>
  <c r="L38" i="19" s="1"/>
  <c r="G38" i="19"/>
  <c r="H38" i="19"/>
  <c r="D39" i="19"/>
  <c r="E39" i="19"/>
  <c r="F39" i="19"/>
  <c r="G39" i="19"/>
  <c r="H39" i="19"/>
  <c r="D40" i="19"/>
  <c r="E40" i="19"/>
  <c r="F40" i="19"/>
  <c r="G40" i="19"/>
  <c r="H40" i="19"/>
  <c r="N40" i="19" s="1"/>
  <c r="D34" i="19"/>
  <c r="E34" i="19"/>
  <c r="F34" i="19"/>
  <c r="G34" i="19"/>
  <c r="H34" i="19"/>
  <c r="D28" i="19"/>
  <c r="E28" i="19"/>
  <c r="F28" i="19"/>
  <c r="G28" i="19"/>
  <c r="H28" i="19"/>
  <c r="D29" i="19"/>
  <c r="E29" i="19"/>
  <c r="F29" i="19"/>
  <c r="G29" i="19"/>
  <c r="H29" i="19"/>
  <c r="D30" i="19"/>
  <c r="E30" i="19"/>
  <c r="F30" i="19"/>
  <c r="G30" i="19"/>
  <c r="H30" i="19"/>
  <c r="D31" i="19"/>
  <c r="E31" i="19"/>
  <c r="F31" i="19"/>
  <c r="G31" i="19"/>
  <c r="H31" i="19"/>
  <c r="D32" i="19"/>
  <c r="E32" i="19"/>
  <c r="F32" i="19"/>
  <c r="G32" i="19"/>
  <c r="H32" i="19"/>
  <c r="D33" i="19"/>
  <c r="E33" i="19"/>
  <c r="F33" i="19"/>
  <c r="G33" i="19"/>
  <c r="H33" i="19"/>
  <c r="D27" i="19"/>
  <c r="E27" i="19"/>
  <c r="F27" i="19"/>
  <c r="G27" i="19"/>
  <c r="H27" i="19"/>
  <c r="H65" i="47"/>
  <c r="L53" i="19" l="1"/>
  <c r="J51" i="19"/>
  <c r="M48" i="19"/>
  <c r="M46" i="19"/>
  <c r="K44" i="19"/>
  <c r="J33" i="19"/>
  <c r="M30" i="19"/>
  <c r="K40" i="19"/>
  <c r="N37" i="19"/>
  <c r="L35" i="19"/>
  <c r="N41" i="19"/>
  <c r="M45" i="19"/>
  <c r="K43" i="19"/>
  <c r="N43" i="19"/>
  <c r="J37" i="19"/>
  <c r="N27" i="19"/>
  <c r="L32" i="19"/>
  <c r="J30" i="19"/>
  <c r="M34" i="19"/>
  <c r="K39" i="19"/>
  <c r="N36" i="19"/>
  <c r="L41" i="19"/>
  <c r="J53" i="19"/>
  <c r="M50" i="19"/>
  <c r="K48" i="19"/>
  <c r="N45" i="19"/>
  <c r="L43" i="19"/>
  <c r="M27" i="19"/>
  <c r="N29" i="19"/>
  <c r="L34" i="19"/>
  <c r="J39" i="19"/>
  <c r="M36" i="19"/>
  <c r="K41" i="19"/>
  <c r="K27" i="19"/>
  <c r="N31" i="19"/>
  <c r="L47" i="19"/>
  <c r="M42" i="19"/>
  <c r="N53" i="19"/>
  <c r="L51" i="19"/>
  <c r="J49" i="19"/>
  <c r="M33" i="19"/>
  <c r="K31" i="19"/>
  <c r="N28" i="19"/>
  <c r="L40" i="19"/>
  <c r="J38" i="19"/>
  <c r="M35" i="19"/>
  <c r="K54" i="19"/>
  <c r="N51" i="19"/>
  <c r="L49" i="19"/>
  <c r="J47" i="19"/>
  <c r="M44" i="19"/>
  <c r="K42" i="19"/>
  <c r="L27" i="19"/>
  <c r="J32" i="19"/>
  <c r="M29" i="19"/>
  <c r="K34" i="19"/>
  <c r="N38" i="19"/>
  <c r="L36" i="19"/>
  <c r="J41" i="19"/>
  <c r="M52" i="19"/>
  <c r="K50" i="19"/>
  <c r="N47" i="19"/>
  <c r="L45" i="19"/>
  <c r="J43" i="19"/>
  <c r="L29" i="19"/>
  <c r="J34" i="19"/>
  <c r="M38" i="19"/>
  <c r="K36" i="19"/>
  <c r="N54" i="19"/>
  <c r="L52" i="19"/>
  <c r="J50" i="19"/>
  <c r="M47" i="19"/>
  <c r="K45" i="19"/>
  <c r="N42" i="19"/>
  <c r="J27" i="19"/>
  <c r="M31" i="19"/>
  <c r="K29" i="19"/>
  <c r="N33" i="19"/>
  <c r="L31" i="19"/>
  <c r="J29" i="19"/>
  <c r="M40" i="19"/>
  <c r="K38" i="19"/>
  <c r="N35" i="19"/>
  <c r="L54" i="19"/>
  <c r="J52" i="19"/>
  <c r="M49" i="19"/>
  <c r="K47" i="19"/>
  <c r="N44" i="19"/>
  <c r="L42" i="19"/>
  <c r="L33" i="19"/>
  <c r="J31" i="19"/>
  <c r="M28" i="19"/>
  <c r="J54" i="19"/>
  <c r="M51" i="19"/>
  <c r="K49" i="19"/>
  <c r="N46" i="19"/>
  <c r="L44" i="19"/>
  <c r="J42" i="19"/>
  <c r="K33" i="19"/>
  <c r="N30" i="19"/>
  <c r="L28" i="19"/>
  <c r="J40" i="19"/>
  <c r="M37" i="19"/>
  <c r="K35" i="19"/>
  <c r="K28" i="19"/>
  <c r="N39" i="19"/>
  <c r="L37" i="19"/>
  <c r="J35" i="19"/>
  <c r="M53" i="19"/>
  <c r="K51" i="19"/>
  <c r="N48" i="19"/>
  <c r="L46" i="19"/>
  <c r="J44" i="19"/>
  <c r="N32" i="19"/>
  <c r="L30" i="19"/>
  <c r="J28" i="19"/>
  <c r="M39" i="19"/>
  <c r="K37" i="19"/>
  <c r="N52" i="19"/>
  <c r="L50" i="19"/>
  <c r="J48" i="19"/>
  <c r="M32" i="19"/>
  <c r="K30" i="19"/>
  <c r="N34" i="19"/>
  <c r="M41" i="19"/>
  <c r="K53" i="19"/>
  <c r="N50" i="19"/>
  <c r="L48" i="19"/>
  <c r="J46" i="19"/>
  <c r="M43" i="19"/>
  <c r="E27" i="43"/>
  <c r="F27" i="43"/>
  <c r="G27" i="43"/>
  <c r="H27" i="43"/>
  <c r="I27" i="43"/>
  <c r="E75" i="43"/>
  <c r="F75" i="43"/>
  <c r="G75" i="43"/>
  <c r="H75" i="43"/>
  <c r="I75" i="43"/>
  <c r="D91" i="48" l="1"/>
  <c r="G87" i="48"/>
  <c r="F87" i="48"/>
  <c r="E87" i="48"/>
  <c r="D87" i="48"/>
  <c r="Q103" i="19" l="1"/>
  <c r="J103" i="19" s="1"/>
  <c r="R103" i="19"/>
  <c r="K103" i="19" s="1"/>
  <c r="S103" i="19"/>
  <c r="L103" i="19" s="1"/>
  <c r="T103" i="19"/>
  <c r="M103" i="19" s="1"/>
  <c r="U103" i="19"/>
  <c r="N103" i="19" s="1"/>
  <c r="Q110" i="19"/>
  <c r="R110" i="19"/>
  <c r="S110" i="19"/>
  <c r="T110" i="19"/>
  <c r="U110" i="19"/>
  <c r="Q26" i="19"/>
  <c r="R26" i="19"/>
  <c r="S26" i="19"/>
  <c r="T26" i="19"/>
  <c r="U26" i="19"/>
  <c r="D26" i="19"/>
  <c r="E26" i="19"/>
  <c r="F26" i="19"/>
  <c r="G26" i="19"/>
  <c r="H26" i="19"/>
  <c r="N26" i="19" l="1"/>
  <c r="K26" i="19"/>
  <c r="J26" i="19"/>
  <c r="M26" i="19"/>
  <c r="L26" i="19"/>
  <c r="R108" i="19" l="1"/>
  <c r="I55" i="43"/>
  <c r="I14" i="43"/>
  <c r="I15" i="43"/>
  <c r="I16" i="43"/>
  <c r="I17" i="43"/>
  <c r="I18" i="43"/>
  <c r="I19" i="43"/>
  <c r="F837" i="47" l="1"/>
  <c r="U14" i="19" l="1"/>
  <c r="U15" i="19"/>
  <c r="U16" i="19"/>
  <c r="U17" i="19"/>
  <c r="U18" i="19"/>
  <c r="U13" i="19"/>
  <c r="H14" i="19"/>
  <c r="H15" i="19"/>
  <c r="H16" i="19"/>
  <c r="H17" i="19"/>
  <c r="H18" i="19"/>
  <c r="H13" i="19"/>
  <c r="E91" i="19"/>
  <c r="F91" i="19"/>
  <c r="G91" i="19"/>
  <c r="H91" i="19"/>
  <c r="E92" i="19"/>
  <c r="F92" i="19"/>
  <c r="G92" i="19"/>
  <c r="H92" i="19"/>
  <c r="E93" i="19"/>
  <c r="F93" i="19"/>
  <c r="G93" i="19"/>
  <c r="H93" i="19"/>
  <c r="E94" i="19"/>
  <c r="F94" i="19"/>
  <c r="G94" i="19"/>
  <c r="H94" i="19"/>
  <c r="E95" i="19"/>
  <c r="F95" i="19"/>
  <c r="E96" i="19"/>
  <c r="F96" i="19"/>
  <c r="G96" i="19"/>
  <c r="H96" i="19"/>
  <c r="R91" i="19"/>
  <c r="S91" i="19"/>
  <c r="T91" i="19"/>
  <c r="U91" i="19"/>
  <c r="R92" i="19"/>
  <c r="S92" i="19"/>
  <c r="T92" i="19"/>
  <c r="U92" i="19"/>
  <c r="R93" i="19"/>
  <c r="S93" i="19"/>
  <c r="T93" i="19"/>
  <c r="U93" i="19"/>
  <c r="R94" i="19"/>
  <c r="S94" i="19"/>
  <c r="T94" i="19"/>
  <c r="U94" i="19"/>
  <c r="R95" i="19"/>
  <c r="S95" i="19"/>
  <c r="R96" i="19"/>
  <c r="S96" i="19"/>
  <c r="T96" i="19"/>
  <c r="U96" i="19"/>
  <c r="H76" i="19"/>
  <c r="U76" i="19"/>
  <c r="K95" i="19" l="1"/>
  <c r="L93" i="19"/>
  <c r="N92" i="19"/>
  <c r="K91" i="19"/>
  <c r="M93" i="19"/>
  <c r="N94" i="19"/>
  <c r="M94" i="19"/>
  <c r="M92" i="19"/>
  <c r="L92" i="19"/>
  <c r="K92" i="19"/>
  <c r="N76" i="19"/>
  <c r="N96" i="19"/>
  <c r="L94" i="19"/>
  <c r="M96" i="19"/>
  <c r="K94" i="19"/>
  <c r="N91" i="19"/>
  <c r="L96" i="19"/>
  <c r="M91" i="19"/>
  <c r="K96" i="19"/>
  <c r="N93" i="19"/>
  <c r="L91" i="19"/>
  <c r="K93" i="19"/>
  <c r="L95" i="19"/>
  <c r="G830" i="47" l="1"/>
  <c r="F830" i="47"/>
  <c r="S87" i="19" l="1"/>
  <c r="G66" i="43"/>
  <c r="R87" i="19"/>
  <c r="F66" i="43"/>
  <c r="E944" i="47"/>
  <c r="E943" i="47"/>
  <c r="E942" i="47"/>
  <c r="F941" i="47"/>
  <c r="E941" i="47" s="1"/>
  <c r="E940" i="47"/>
  <c r="E939" i="47"/>
  <c r="I938" i="47"/>
  <c r="H938" i="47"/>
  <c r="G938" i="47"/>
  <c r="I937" i="47"/>
  <c r="I930" i="47" s="1"/>
  <c r="H937" i="47"/>
  <c r="H930" i="47" s="1"/>
  <c r="G937" i="47"/>
  <c r="G930" i="47" s="1"/>
  <c r="F937" i="47"/>
  <c r="F930" i="47" s="1"/>
  <c r="I936" i="47"/>
  <c r="I929" i="47" s="1"/>
  <c r="H936" i="47"/>
  <c r="H929" i="47" s="1"/>
  <c r="G936" i="47"/>
  <c r="G929" i="47" s="1"/>
  <c r="F936" i="47"/>
  <c r="F929" i="47" s="1"/>
  <c r="I935" i="47"/>
  <c r="I928" i="47" s="1"/>
  <c r="H935" i="47"/>
  <c r="H928" i="47" s="1"/>
  <c r="G935" i="47"/>
  <c r="G928" i="47" s="1"/>
  <c r="F935" i="47"/>
  <c r="F928" i="47" s="1"/>
  <c r="I934" i="47"/>
  <c r="I927" i="47" s="1"/>
  <c r="H934" i="47"/>
  <c r="H927" i="47" s="1"/>
  <c r="G934" i="47"/>
  <c r="G927" i="47" s="1"/>
  <c r="I933" i="47"/>
  <c r="I926" i="47" s="1"/>
  <c r="H933" i="47"/>
  <c r="G933" i="47"/>
  <c r="G926" i="47" s="1"/>
  <c r="F933" i="47"/>
  <c r="F926" i="47" s="1"/>
  <c r="I932" i="47"/>
  <c r="I925" i="47" s="1"/>
  <c r="H932" i="47"/>
  <c r="H925" i="47" s="1"/>
  <c r="G932" i="47"/>
  <c r="G925" i="47" s="1"/>
  <c r="F932" i="47"/>
  <c r="F925" i="47" s="1"/>
  <c r="E922" i="47"/>
  <c r="E921" i="47"/>
  <c r="F920" i="47"/>
  <c r="H920" i="47" s="1"/>
  <c r="E919" i="47"/>
  <c r="E918" i="47"/>
  <c r="I917" i="47"/>
  <c r="G917" i="47"/>
  <c r="E915" i="47"/>
  <c r="E914" i="47"/>
  <c r="E913" i="47"/>
  <c r="E912" i="47"/>
  <c r="E911" i="47"/>
  <c r="I910" i="47"/>
  <c r="E910" i="47" s="1"/>
  <c r="E908" i="47"/>
  <c r="E907" i="47"/>
  <c r="E906" i="47"/>
  <c r="E905" i="47"/>
  <c r="E904" i="47"/>
  <c r="I903" i="47"/>
  <c r="H903" i="47"/>
  <c r="G903" i="47"/>
  <c r="F903" i="47"/>
  <c r="E902" i="47"/>
  <c r="E901" i="47"/>
  <c r="E900" i="47"/>
  <c r="F899" i="47"/>
  <c r="F896" i="47" s="1"/>
  <c r="E898" i="47"/>
  <c r="E897" i="47"/>
  <c r="I896" i="47"/>
  <c r="H896" i="47"/>
  <c r="G896" i="47"/>
  <c r="I895" i="47"/>
  <c r="H895" i="47"/>
  <c r="G895" i="47"/>
  <c r="F895" i="47"/>
  <c r="I894" i="47"/>
  <c r="H894" i="47"/>
  <c r="G894" i="47"/>
  <c r="F894" i="47"/>
  <c r="I893" i="47"/>
  <c r="H893" i="47"/>
  <c r="G893" i="47"/>
  <c r="F893" i="47"/>
  <c r="I892" i="47"/>
  <c r="G892" i="47"/>
  <c r="I891" i="47"/>
  <c r="H891" i="47"/>
  <c r="G891" i="47"/>
  <c r="F891" i="47"/>
  <c r="I890" i="47"/>
  <c r="H890" i="47"/>
  <c r="G890" i="47"/>
  <c r="F890" i="47"/>
  <c r="E887" i="47"/>
  <c r="E886" i="47"/>
  <c r="E885" i="47"/>
  <c r="E884" i="47"/>
  <c r="E883" i="47"/>
  <c r="I882" i="47"/>
  <c r="H882" i="47"/>
  <c r="G882" i="47"/>
  <c r="F882" i="47"/>
  <c r="I880" i="47"/>
  <c r="I873" i="47" s="1"/>
  <c r="G880" i="47"/>
  <c r="G873" i="47" s="1"/>
  <c r="F880" i="47"/>
  <c r="F873" i="47" s="1"/>
  <c r="I879" i="47"/>
  <c r="I872" i="47" s="1"/>
  <c r="G879" i="47"/>
  <c r="G872" i="47" s="1"/>
  <c r="F879" i="47"/>
  <c r="F872" i="47" s="1"/>
  <c r="I878" i="47"/>
  <c r="I871" i="47" s="1"/>
  <c r="H878" i="47"/>
  <c r="H871" i="47" s="1"/>
  <c r="G878" i="47"/>
  <c r="G871" i="47" s="1"/>
  <c r="F878" i="47"/>
  <c r="M884" i="47" s="1"/>
  <c r="I877" i="47"/>
  <c r="I870" i="47" s="1"/>
  <c r="H877" i="47"/>
  <c r="H870" i="47" s="1"/>
  <c r="G877" i="47"/>
  <c r="G870" i="47" s="1"/>
  <c r="F877" i="47"/>
  <c r="F870" i="47" s="1"/>
  <c r="I876" i="47"/>
  <c r="I869" i="47" s="1"/>
  <c r="H876" i="47"/>
  <c r="H869" i="47" s="1"/>
  <c r="G876" i="47"/>
  <c r="G869" i="47" s="1"/>
  <c r="F876" i="47"/>
  <c r="F869" i="47" s="1"/>
  <c r="G851" i="47"/>
  <c r="S108" i="19" s="1"/>
  <c r="E839" i="47"/>
  <c r="Q96" i="19" s="1"/>
  <c r="I838" i="47"/>
  <c r="E837" i="47"/>
  <c r="E836" i="47"/>
  <c r="Q93" i="19" s="1"/>
  <c r="E835" i="47"/>
  <c r="Q92" i="19" s="1"/>
  <c r="E834" i="47"/>
  <c r="Q91" i="19" s="1"/>
  <c r="G833" i="47"/>
  <c r="S90" i="19" s="1"/>
  <c r="F833" i="47"/>
  <c r="R90" i="19" s="1"/>
  <c r="I832" i="47"/>
  <c r="H832" i="47"/>
  <c r="G832" i="47"/>
  <c r="F832" i="47"/>
  <c r="G831" i="47"/>
  <c r="F831" i="47"/>
  <c r="I830" i="47"/>
  <c r="H830" i="47"/>
  <c r="I829" i="47"/>
  <c r="H829" i="47"/>
  <c r="G829" i="47"/>
  <c r="F829" i="47"/>
  <c r="I828" i="47"/>
  <c r="H828" i="47"/>
  <c r="G828" i="47"/>
  <c r="F828" i="47"/>
  <c r="I827" i="47"/>
  <c r="H827" i="47"/>
  <c r="G827" i="47"/>
  <c r="F827" i="47"/>
  <c r="E825" i="47"/>
  <c r="F819" i="47"/>
  <c r="E819" i="47" s="1"/>
  <c r="E818" i="47"/>
  <c r="F812" i="47"/>
  <c r="E812" i="47" s="1"/>
  <c r="F811" i="47"/>
  <c r="E811" i="47" s="1"/>
  <c r="F809" i="47"/>
  <c r="E809" i="47" s="1"/>
  <c r="F808" i="47"/>
  <c r="E808" i="47" s="1"/>
  <c r="H807" i="47"/>
  <c r="H805" i="47" s="1"/>
  <c r="F806" i="47"/>
  <c r="E806" i="47" s="1"/>
  <c r="E804" i="47"/>
  <c r="E802" i="47"/>
  <c r="E801" i="47"/>
  <c r="H800" i="47"/>
  <c r="H798" i="47" s="1"/>
  <c r="E799" i="47"/>
  <c r="F798" i="47"/>
  <c r="E797" i="47"/>
  <c r="E795" i="47"/>
  <c r="E794" i="47"/>
  <c r="F793" i="47"/>
  <c r="H793" i="47" s="1"/>
  <c r="H791" i="47" s="1"/>
  <c r="E792" i="47"/>
  <c r="I791" i="47"/>
  <c r="G791" i="47"/>
  <c r="E790" i="47"/>
  <c r="E788" i="47"/>
  <c r="E787" i="47"/>
  <c r="F786" i="47"/>
  <c r="H786" i="47" s="1"/>
  <c r="E785" i="47"/>
  <c r="I784" i="47"/>
  <c r="G784" i="47"/>
  <c r="E783" i="47"/>
  <c r="E781" i="47"/>
  <c r="E780" i="47"/>
  <c r="E779" i="47"/>
  <c r="E778" i="47"/>
  <c r="I777" i="47"/>
  <c r="H777" i="47"/>
  <c r="G777" i="47"/>
  <c r="F777" i="47"/>
  <c r="E776" i="47"/>
  <c r="E774" i="47"/>
  <c r="E773" i="47"/>
  <c r="E772" i="47"/>
  <c r="E771" i="47"/>
  <c r="I770" i="47"/>
  <c r="H770" i="47"/>
  <c r="G770" i="47"/>
  <c r="F770" i="47"/>
  <c r="E769" i="47"/>
  <c r="E767" i="47"/>
  <c r="E766" i="47"/>
  <c r="E765" i="47"/>
  <c r="E764" i="47"/>
  <c r="I763" i="47"/>
  <c r="H763" i="47"/>
  <c r="G763" i="47"/>
  <c r="F763" i="47"/>
  <c r="E762" i="47"/>
  <c r="E760" i="47"/>
  <c r="I759" i="47"/>
  <c r="I758" i="47" s="1"/>
  <c r="I757" i="47" s="1"/>
  <c r="H758" i="47"/>
  <c r="G756" i="47"/>
  <c r="G751" i="47" s="1"/>
  <c r="F756" i="47"/>
  <c r="E755" i="47"/>
  <c r="E753" i="47"/>
  <c r="E752" i="47"/>
  <c r="H751" i="47"/>
  <c r="H749" i="47" s="1"/>
  <c r="I749" i="47"/>
  <c r="I748" i="47" s="1"/>
  <c r="I746" i="47" s="1"/>
  <c r="I745" i="47" s="1"/>
  <c r="I744" i="47" s="1"/>
  <c r="I743" i="47" s="1"/>
  <c r="I742" i="47" s="1"/>
  <c r="I741" i="47" s="1"/>
  <c r="I739" i="47" s="1"/>
  <c r="I738" i="47" s="1"/>
  <c r="I737" i="47" s="1"/>
  <c r="I736" i="47" s="1"/>
  <c r="I735" i="47" s="1"/>
  <c r="I734" i="47" s="1"/>
  <c r="I732" i="47" s="1"/>
  <c r="I731" i="47" s="1"/>
  <c r="I730" i="47" s="1"/>
  <c r="I729" i="47" s="1"/>
  <c r="I728" i="47" s="1"/>
  <c r="I727" i="47" s="1"/>
  <c r="I725" i="47" s="1"/>
  <c r="I724" i="47" s="1"/>
  <c r="I723" i="47" s="1"/>
  <c r="I722" i="47" s="1"/>
  <c r="I721" i="47" s="1"/>
  <c r="I720" i="47" s="1"/>
  <c r="F749" i="47"/>
  <c r="H742" i="47"/>
  <c r="F742" i="47"/>
  <c r="H737" i="47"/>
  <c r="H735" i="47" s="1"/>
  <c r="F735" i="47"/>
  <c r="H730" i="47"/>
  <c r="H728" i="47" s="1"/>
  <c r="F728" i="47"/>
  <c r="H721" i="47"/>
  <c r="F721" i="47"/>
  <c r="H716" i="47"/>
  <c r="H714" i="47" s="1"/>
  <c r="F714" i="47"/>
  <c r="E713" i="47"/>
  <c r="E711" i="47"/>
  <c r="E710" i="47"/>
  <c r="E709" i="47"/>
  <c r="E708" i="47"/>
  <c r="I707" i="47"/>
  <c r="H707" i="47"/>
  <c r="G707" i="47"/>
  <c r="F707" i="47"/>
  <c r="E706" i="47"/>
  <c r="E705" i="47"/>
  <c r="E704" i="47"/>
  <c r="E703" i="47"/>
  <c r="E702" i="47"/>
  <c r="E701" i="47"/>
  <c r="I700" i="47"/>
  <c r="H700" i="47"/>
  <c r="G700" i="47"/>
  <c r="F700" i="47"/>
  <c r="E699" i="47"/>
  <c r="E697" i="47"/>
  <c r="E696" i="47"/>
  <c r="E695" i="47"/>
  <c r="E694" i="47"/>
  <c r="I693" i="47"/>
  <c r="H693" i="47"/>
  <c r="G693" i="47"/>
  <c r="F693" i="47"/>
  <c r="E692" i="47"/>
  <c r="E690" i="47"/>
  <c r="E689" i="47"/>
  <c r="E688" i="47"/>
  <c r="E687" i="47"/>
  <c r="I686" i="47"/>
  <c r="H686" i="47"/>
  <c r="G686" i="47"/>
  <c r="F686" i="47"/>
  <c r="E685" i="47"/>
  <c r="E683" i="47"/>
  <c r="E682" i="47"/>
  <c r="E681" i="47"/>
  <c r="H680" i="47"/>
  <c r="E680" i="47" s="1"/>
  <c r="G679" i="47"/>
  <c r="F679" i="47"/>
  <c r="E678" i="47"/>
  <c r="E676" i="47"/>
  <c r="E675" i="47"/>
  <c r="H674" i="47"/>
  <c r="H673" i="47"/>
  <c r="E673" i="47" s="1"/>
  <c r="I672" i="47"/>
  <c r="G672" i="47"/>
  <c r="F672" i="47"/>
  <c r="E671" i="47"/>
  <c r="E669" i="47"/>
  <c r="E668" i="47"/>
  <c r="E667" i="47"/>
  <c r="E666" i="47"/>
  <c r="I665" i="47"/>
  <c r="H665" i="47"/>
  <c r="G665" i="47"/>
  <c r="F665" i="47"/>
  <c r="E664" i="47"/>
  <c r="E662" i="47"/>
  <c r="E661" i="47"/>
  <c r="E660" i="47"/>
  <c r="E659" i="47"/>
  <c r="E658" i="47"/>
  <c r="E657" i="47"/>
  <c r="E655" i="47"/>
  <c r="E654" i="47"/>
  <c r="E653" i="47"/>
  <c r="E652" i="47"/>
  <c r="I651" i="47"/>
  <c r="H651" i="47"/>
  <c r="G651" i="47"/>
  <c r="F651" i="47"/>
  <c r="H645" i="47"/>
  <c r="E645" i="47" s="1"/>
  <c r="I644" i="47"/>
  <c r="G644" i="47"/>
  <c r="F644" i="47"/>
  <c r="H638" i="47"/>
  <c r="H637" i="47" s="1"/>
  <c r="I637" i="47"/>
  <c r="G637" i="47"/>
  <c r="F637" i="47"/>
  <c r="H631" i="47"/>
  <c r="H630" i="47" s="1"/>
  <c r="I630" i="47"/>
  <c r="G630" i="47"/>
  <c r="F630" i="47"/>
  <c r="H624" i="47"/>
  <c r="E624" i="47" s="1"/>
  <c r="I623" i="47"/>
  <c r="G623" i="47"/>
  <c r="F623" i="47"/>
  <c r="H617" i="47"/>
  <c r="I616" i="47"/>
  <c r="G616" i="47"/>
  <c r="F616" i="47"/>
  <c r="H610" i="47"/>
  <c r="H609" i="47" s="1"/>
  <c r="I609" i="47"/>
  <c r="G609" i="47"/>
  <c r="F609" i="47"/>
  <c r="E603" i="47"/>
  <c r="I602" i="47"/>
  <c r="H602" i="47"/>
  <c r="G602" i="47"/>
  <c r="F602" i="47"/>
  <c r="E601" i="47"/>
  <c r="E599" i="47"/>
  <c r="E598" i="47"/>
  <c r="F597" i="47"/>
  <c r="F596" i="47"/>
  <c r="E596" i="47" s="1"/>
  <c r="I595" i="47"/>
  <c r="H595" i="47"/>
  <c r="G595" i="47"/>
  <c r="E594" i="47"/>
  <c r="E593" i="47"/>
  <c r="F592" i="47"/>
  <c r="E592" i="47" s="1"/>
  <c r="F591" i="47"/>
  <c r="E590" i="47"/>
  <c r="E589" i="47"/>
  <c r="I588" i="47"/>
  <c r="H588" i="47"/>
  <c r="G588" i="47"/>
  <c r="E587" i="47"/>
  <c r="I585" i="47"/>
  <c r="I581" i="47" s="1"/>
  <c r="F584" i="47"/>
  <c r="E583" i="47"/>
  <c r="E582" i="47"/>
  <c r="H581" i="47"/>
  <c r="G581" i="47"/>
  <c r="I580" i="47"/>
  <c r="H580" i="47"/>
  <c r="G580" i="47"/>
  <c r="F580" i="47"/>
  <c r="H579" i="47"/>
  <c r="F579" i="47"/>
  <c r="H578" i="47"/>
  <c r="H577" i="47"/>
  <c r="I573" i="47"/>
  <c r="H573" i="47"/>
  <c r="G573" i="47"/>
  <c r="F573" i="47"/>
  <c r="I572" i="47"/>
  <c r="H572" i="47"/>
  <c r="G572" i="47"/>
  <c r="F572" i="47"/>
  <c r="I571" i="47"/>
  <c r="H571" i="47"/>
  <c r="G571" i="47"/>
  <c r="F571" i="47"/>
  <c r="I570" i="47"/>
  <c r="H570" i="47"/>
  <c r="G570" i="47"/>
  <c r="F570" i="47"/>
  <c r="I569" i="47"/>
  <c r="H569" i="47"/>
  <c r="G569" i="47"/>
  <c r="F569" i="47"/>
  <c r="I567" i="47"/>
  <c r="H567" i="47"/>
  <c r="G567" i="47"/>
  <c r="F567" i="47"/>
  <c r="I566" i="47"/>
  <c r="H566" i="47"/>
  <c r="G566" i="47"/>
  <c r="F566" i="47"/>
  <c r="I565" i="47"/>
  <c r="H565" i="47"/>
  <c r="G565" i="47"/>
  <c r="F565" i="47"/>
  <c r="I564" i="47"/>
  <c r="H564" i="47"/>
  <c r="G564" i="47"/>
  <c r="F564" i="47"/>
  <c r="I563" i="47"/>
  <c r="H563" i="47"/>
  <c r="G563" i="47"/>
  <c r="F563" i="47"/>
  <c r="E561" i="47"/>
  <c r="E559" i="47"/>
  <c r="E558" i="47"/>
  <c r="E557" i="47"/>
  <c r="E556" i="47"/>
  <c r="I555" i="47"/>
  <c r="H555" i="47"/>
  <c r="G555" i="47"/>
  <c r="F555" i="47"/>
  <c r="E554" i="47"/>
  <c r="E552" i="47"/>
  <c r="E551" i="47"/>
  <c r="E550" i="47"/>
  <c r="E549" i="47"/>
  <c r="I548" i="47"/>
  <c r="H548" i="47"/>
  <c r="F548" i="47"/>
  <c r="E547" i="47"/>
  <c r="E545" i="47"/>
  <c r="E544" i="47"/>
  <c r="E543" i="47"/>
  <c r="E542" i="47"/>
  <c r="I541" i="47"/>
  <c r="H541" i="47"/>
  <c r="G541" i="47"/>
  <c r="F541" i="47"/>
  <c r="E540" i="47"/>
  <c r="E538" i="47"/>
  <c r="E537" i="47"/>
  <c r="F536" i="47"/>
  <c r="F534" i="47" s="1"/>
  <c r="E535" i="47"/>
  <c r="I534" i="47"/>
  <c r="H534" i="47"/>
  <c r="G534" i="47"/>
  <c r="E533" i="47"/>
  <c r="E531" i="47"/>
  <c r="E530" i="47"/>
  <c r="E529" i="47"/>
  <c r="E528" i="47"/>
  <c r="I527" i="47"/>
  <c r="H527" i="47"/>
  <c r="G527" i="47"/>
  <c r="F527" i="47"/>
  <c r="E526" i="47"/>
  <c r="E524" i="47"/>
  <c r="E523" i="47"/>
  <c r="E522" i="47"/>
  <c r="E521" i="47"/>
  <c r="I520" i="47"/>
  <c r="I519" i="47" s="1"/>
  <c r="H520" i="47"/>
  <c r="F520" i="47"/>
  <c r="H515" i="47"/>
  <c r="H513" i="47" s="1"/>
  <c r="F513" i="47"/>
  <c r="H506" i="47"/>
  <c r="G506" i="47"/>
  <c r="G505" i="47" s="1"/>
  <c r="F506" i="47"/>
  <c r="H499" i="47"/>
  <c r="F499" i="47"/>
  <c r="E498" i="47"/>
  <c r="E496" i="47"/>
  <c r="E495" i="47"/>
  <c r="F494" i="47"/>
  <c r="F492" i="47" s="1"/>
  <c r="E493" i="47"/>
  <c r="I492" i="47"/>
  <c r="G492" i="47"/>
  <c r="E491" i="47"/>
  <c r="E489" i="47"/>
  <c r="E488" i="47"/>
  <c r="F487" i="47"/>
  <c r="E487" i="47" s="1"/>
  <c r="E486" i="47"/>
  <c r="I485" i="47"/>
  <c r="H485" i="47"/>
  <c r="G485" i="47"/>
  <c r="E484" i="47"/>
  <c r="E482" i="47"/>
  <c r="E481" i="47"/>
  <c r="E480" i="47"/>
  <c r="E479" i="47"/>
  <c r="I478" i="47"/>
  <c r="H478" i="47"/>
  <c r="G478" i="47"/>
  <c r="F478" i="47"/>
  <c r="E477" i="47"/>
  <c r="E475" i="47"/>
  <c r="E474" i="47"/>
  <c r="E473" i="47"/>
  <c r="E472" i="47"/>
  <c r="I471" i="47"/>
  <c r="H471" i="47"/>
  <c r="G471" i="47"/>
  <c r="F471" i="47"/>
  <c r="E470" i="47"/>
  <c r="E468" i="47"/>
  <c r="E467" i="47"/>
  <c r="E466" i="47"/>
  <c r="E465" i="47"/>
  <c r="I464" i="47"/>
  <c r="H464" i="47"/>
  <c r="G464" i="47"/>
  <c r="F464" i="47"/>
  <c r="E463" i="47"/>
  <c r="E461" i="47"/>
  <c r="E460" i="47"/>
  <c r="H459" i="47"/>
  <c r="E458" i="47"/>
  <c r="I457" i="47"/>
  <c r="G457" i="47"/>
  <c r="F457" i="47"/>
  <c r="E456" i="47"/>
  <c r="E454" i="47"/>
  <c r="E453" i="47"/>
  <c r="E452" i="47"/>
  <c r="E451" i="47"/>
  <c r="I450" i="47"/>
  <c r="H450" i="47"/>
  <c r="G450" i="47"/>
  <c r="F450" i="47"/>
  <c r="E449" i="47"/>
  <c r="E447" i="47"/>
  <c r="E446" i="47"/>
  <c r="E445" i="47"/>
  <c r="E444" i="47"/>
  <c r="I443" i="47"/>
  <c r="H443" i="47"/>
  <c r="G443" i="47"/>
  <c r="F443" i="47"/>
  <c r="E442" i="47"/>
  <c r="E440" i="47"/>
  <c r="E439" i="47"/>
  <c r="E438" i="47"/>
  <c r="F437" i="47"/>
  <c r="F436" i="47" s="1"/>
  <c r="I436" i="47"/>
  <c r="G436" i="47"/>
  <c r="E435" i="47"/>
  <c r="E433" i="47"/>
  <c r="E432" i="47"/>
  <c r="E431" i="47"/>
  <c r="H430" i="47"/>
  <c r="E430" i="47" s="1"/>
  <c r="I429" i="47"/>
  <c r="G429" i="47"/>
  <c r="F429" i="47"/>
  <c r="H428" i="47"/>
  <c r="F428" i="47"/>
  <c r="H426" i="47"/>
  <c r="H425" i="47"/>
  <c r="F425" i="47"/>
  <c r="E414" i="47"/>
  <c r="E412" i="47"/>
  <c r="F411" i="47"/>
  <c r="E410" i="47"/>
  <c r="E409" i="47"/>
  <c r="I408" i="47"/>
  <c r="H408" i="47"/>
  <c r="G408" i="47"/>
  <c r="E407" i="47"/>
  <c r="E406" i="47"/>
  <c r="E405" i="47"/>
  <c r="E404" i="47"/>
  <c r="E403" i="47"/>
  <c r="I402" i="47"/>
  <c r="H402" i="47"/>
  <c r="G402" i="47"/>
  <c r="F402" i="47"/>
  <c r="I401" i="47"/>
  <c r="H401" i="47"/>
  <c r="G401" i="47"/>
  <c r="F401" i="47"/>
  <c r="I400" i="47"/>
  <c r="H400" i="47"/>
  <c r="G400" i="47"/>
  <c r="F400" i="47"/>
  <c r="I399" i="47"/>
  <c r="H399" i="47"/>
  <c r="G399" i="47"/>
  <c r="I398" i="47"/>
  <c r="H398" i="47"/>
  <c r="G398" i="47"/>
  <c r="F398" i="47"/>
  <c r="I397" i="47"/>
  <c r="H397" i="47"/>
  <c r="G397" i="47"/>
  <c r="F397" i="47"/>
  <c r="E395" i="47"/>
  <c r="E394" i="47"/>
  <c r="E393" i="47"/>
  <c r="E392" i="47"/>
  <c r="E391" i="47"/>
  <c r="E390" i="47"/>
  <c r="I389" i="47"/>
  <c r="H389" i="47"/>
  <c r="G389" i="47"/>
  <c r="F389" i="47"/>
  <c r="E388" i="47"/>
  <c r="E386" i="47"/>
  <c r="E385" i="47"/>
  <c r="E384" i="47"/>
  <c r="E383" i="47"/>
  <c r="I382" i="47"/>
  <c r="H382" i="47"/>
  <c r="G382" i="47"/>
  <c r="F382" i="47"/>
  <c r="I381" i="47"/>
  <c r="H381" i="47"/>
  <c r="G381" i="47"/>
  <c r="F381" i="47"/>
  <c r="I380" i="47"/>
  <c r="H380" i="47"/>
  <c r="G380" i="47"/>
  <c r="F380" i="47"/>
  <c r="I379" i="47"/>
  <c r="H379" i="47"/>
  <c r="G379" i="47"/>
  <c r="F379" i="47"/>
  <c r="I378" i="47"/>
  <c r="H378" i="47"/>
  <c r="G378" i="47"/>
  <c r="F378" i="47"/>
  <c r="I377" i="47"/>
  <c r="H377" i="47"/>
  <c r="G377" i="47"/>
  <c r="F377" i="47"/>
  <c r="I376" i="47"/>
  <c r="H376" i="47"/>
  <c r="G376" i="47"/>
  <c r="F376" i="47"/>
  <c r="E374" i="47"/>
  <c r="E372" i="47"/>
  <c r="E371" i="47"/>
  <c r="E370" i="47"/>
  <c r="E369" i="47"/>
  <c r="I368" i="47"/>
  <c r="H368" i="47"/>
  <c r="G368" i="47"/>
  <c r="F368" i="47"/>
  <c r="E367" i="47"/>
  <c r="E365" i="47"/>
  <c r="F364" i="47"/>
  <c r="F361" i="47" s="1"/>
  <c r="E363" i="47"/>
  <c r="E362" i="47"/>
  <c r="I361" i="47"/>
  <c r="H361" i="47"/>
  <c r="G361" i="47"/>
  <c r="E360" i="47"/>
  <c r="E358" i="47"/>
  <c r="F357" i="47"/>
  <c r="E357" i="47" s="1"/>
  <c r="F356" i="47"/>
  <c r="E356" i="47" s="1"/>
  <c r="E355" i="47"/>
  <c r="I354" i="47"/>
  <c r="H354" i="47"/>
  <c r="G354" i="47"/>
  <c r="E353" i="47"/>
  <c r="E351" i="47"/>
  <c r="E350" i="47"/>
  <c r="E349" i="47"/>
  <c r="E348" i="47"/>
  <c r="I347" i="47"/>
  <c r="H347" i="47"/>
  <c r="G347" i="47"/>
  <c r="F347" i="47"/>
  <c r="E346" i="47"/>
  <c r="E344" i="47"/>
  <c r="E343" i="47"/>
  <c r="F342" i="47"/>
  <c r="E342" i="47" s="1"/>
  <c r="E341" i="47"/>
  <c r="I340" i="47"/>
  <c r="H340" i="47"/>
  <c r="G340" i="47"/>
  <c r="F340" i="47"/>
  <c r="E339" i="47"/>
  <c r="E337" i="47"/>
  <c r="E336" i="47"/>
  <c r="E335" i="47"/>
  <c r="E334" i="47"/>
  <c r="I333" i="47"/>
  <c r="H333" i="47"/>
  <c r="G333" i="47"/>
  <c r="F333" i="47"/>
  <c r="E332" i="47"/>
  <c r="E330" i="47"/>
  <c r="E329" i="47"/>
  <c r="E328" i="47"/>
  <c r="E327" i="47"/>
  <c r="I326" i="47"/>
  <c r="H326" i="47"/>
  <c r="G326" i="47"/>
  <c r="F326" i="47"/>
  <c r="E325" i="47"/>
  <c r="E324" i="47"/>
  <c r="E323" i="47"/>
  <c r="F322" i="47"/>
  <c r="E322" i="47" s="1"/>
  <c r="E321" i="47"/>
  <c r="E320" i="47"/>
  <c r="I319" i="47"/>
  <c r="H319" i="47"/>
  <c r="G319" i="47"/>
  <c r="E318" i="47"/>
  <c r="E316" i="47"/>
  <c r="E315" i="47"/>
  <c r="E313" i="47"/>
  <c r="I312" i="47"/>
  <c r="H312" i="47"/>
  <c r="G312" i="47"/>
  <c r="F312" i="47"/>
  <c r="E311" i="47"/>
  <c r="E309" i="47"/>
  <c r="E308" i="47"/>
  <c r="E307" i="47"/>
  <c r="E306" i="47"/>
  <c r="I305" i="47"/>
  <c r="H305" i="47"/>
  <c r="G305" i="47"/>
  <c r="F305" i="47"/>
  <c r="E304" i="47"/>
  <c r="E302" i="47"/>
  <c r="E301" i="47"/>
  <c r="E300" i="47"/>
  <c r="E299" i="47"/>
  <c r="I298" i="47"/>
  <c r="H298" i="47"/>
  <c r="G298" i="47"/>
  <c r="F298" i="47"/>
  <c r="E297" i="47"/>
  <c r="E295" i="47"/>
  <c r="F294" i="47"/>
  <c r="E294" i="47" s="1"/>
  <c r="F293" i="47"/>
  <c r="E293" i="47" s="1"/>
  <c r="E292" i="47"/>
  <c r="I291" i="47"/>
  <c r="H291" i="47"/>
  <c r="G291" i="47"/>
  <c r="E290" i="47"/>
  <c r="E288" i="47"/>
  <c r="E287" i="47"/>
  <c r="E286" i="47"/>
  <c r="E285" i="47"/>
  <c r="I284" i="47"/>
  <c r="H284" i="47"/>
  <c r="G284" i="47"/>
  <c r="F284" i="47"/>
  <c r="E283" i="47"/>
  <c r="E281" i="47"/>
  <c r="E280" i="47"/>
  <c r="E279" i="47"/>
  <c r="E278" i="47"/>
  <c r="I277" i="47"/>
  <c r="H277" i="47"/>
  <c r="G277" i="47"/>
  <c r="F277" i="47"/>
  <c r="E276" i="47"/>
  <c r="E274" i="47"/>
  <c r="E273" i="47"/>
  <c r="E272" i="47"/>
  <c r="E271" i="47"/>
  <c r="I270" i="47"/>
  <c r="H270" i="47"/>
  <c r="G270" i="47"/>
  <c r="F270" i="47"/>
  <c r="E269" i="47"/>
  <c r="E267" i="47"/>
  <c r="E266" i="47"/>
  <c r="E265" i="47"/>
  <c r="E264" i="47"/>
  <c r="I263" i="47"/>
  <c r="H263" i="47"/>
  <c r="G263" i="47"/>
  <c r="F263" i="47"/>
  <c r="E262" i="47"/>
  <c r="E260" i="47"/>
  <c r="E259" i="47"/>
  <c r="E258" i="47"/>
  <c r="E257" i="47"/>
  <c r="I256" i="47"/>
  <c r="H256" i="47"/>
  <c r="G256" i="47"/>
  <c r="F256" i="47"/>
  <c r="E255" i="47"/>
  <c r="E254" i="47"/>
  <c r="E253" i="47"/>
  <c r="F252" i="47"/>
  <c r="E252" i="47" s="1"/>
  <c r="F251" i="47"/>
  <c r="E251" i="47" s="1"/>
  <c r="E250" i="47"/>
  <c r="I249" i="47"/>
  <c r="H249" i="47"/>
  <c r="G249" i="47"/>
  <c r="E248" i="47"/>
  <c r="E247" i="47"/>
  <c r="E246" i="47"/>
  <c r="F245" i="47"/>
  <c r="E245" i="47" s="1"/>
  <c r="F244" i="47"/>
  <c r="E244" i="47" s="1"/>
  <c r="E243" i="47"/>
  <c r="I242" i="47"/>
  <c r="H242" i="47"/>
  <c r="G242" i="47"/>
  <c r="E241" i="47"/>
  <c r="E240" i="47"/>
  <c r="E239" i="47"/>
  <c r="E238" i="47"/>
  <c r="E237" i="47"/>
  <c r="F236" i="47"/>
  <c r="E236" i="47" s="1"/>
  <c r="I235" i="47"/>
  <c r="H235" i="47"/>
  <c r="G235" i="47"/>
  <c r="E234" i="47"/>
  <c r="E233" i="47"/>
  <c r="E232" i="47"/>
  <c r="F231" i="47"/>
  <c r="E231" i="47" s="1"/>
  <c r="E230" i="47"/>
  <c r="E229" i="47"/>
  <c r="I228" i="47"/>
  <c r="H228" i="47"/>
  <c r="G228" i="47"/>
  <c r="E227" i="47"/>
  <c r="G226" i="47"/>
  <c r="E226" i="47" s="1"/>
  <c r="E225" i="47"/>
  <c r="F224" i="47"/>
  <c r="E224" i="47" s="1"/>
  <c r="F223" i="47"/>
  <c r="E223" i="47" s="1"/>
  <c r="F222" i="47"/>
  <c r="E222" i="47" s="1"/>
  <c r="I221" i="47"/>
  <c r="H221" i="47"/>
  <c r="I220" i="47"/>
  <c r="H220" i="47"/>
  <c r="G220" i="47"/>
  <c r="F220" i="47"/>
  <c r="I219" i="47"/>
  <c r="H219" i="47"/>
  <c r="F219" i="47"/>
  <c r="I218" i="47"/>
  <c r="H218" i="47"/>
  <c r="G218" i="47"/>
  <c r="F218" i="47"/>
  <c r="I217" i="47"/>
  <c r="H217" i="47"/>
  <c r="G217" i="47"/>
  <c r="I216" i="47"/>
  <c r="H216" i="47"/>
  <c r="G216" i="47"/>
  <c r="I215" i="47"/>
  <c r="H215" i="47"/>
  <c r="G215" i="47"/>
  <c r="E206" i="47"/>
  <c r="E204" i="47"/>
  <c r="E203" i="47"/>
  <c r="E202" i="47"/>
  <c r="E201" i="47"/>
  <c r="I200" i="47"/>
  <c r="H200" i="47"/>
  <c r="G200" i="47"/>
  <c r="F200" i="47"/>
  <c r="E199" i="47"/>
  <c r="E198" i="47"/>
  <c r="E197" i="47"/>
  <c r="F196" i="47"/>
  <c r="E196" i="47" s="1"/>
  <c r="E195" i="47"/>
  <c r="E194" i="47"/>
  <c r="I193" i="47"/>
  <c r="H193" i="47"/>
  <c r="G193" i="47"/>
  <c r="E192" i="47"/>
  <c r="E191" i="47"/>
  <c r="E190" i="47"/>
  <c r="F189" i="47"/>
  <c r="E189" i="47" s="1"/>
  <c r="E188" i="47"/>
  <c r="E187" i="47"/>
  <c r="I186" i="47"/>
  <c r="H186" i="47"/>
  <c r="G186" i="47"/>
  <c r="E185" i="47"/>
  <c r="E183" i="47"/>
  <c r="E182" i="47"/>
  <c r="E181" i="47"/>
  <c r="E180" i="47"/>
  <c r="I179" i="47"/>
  <c r="H179" i="47"/>
  <c r="G179" i="47"/>
  <c r="F179" i="47"/>
  <c r="I178" i="47"/>
  <c r="H178" i="47"/>
  <c r="G178" i="47"/>
  <c r="F178" i="47"/>
  <c r="I177" i="47"/>
  <c r="H177" i="47"/>
  <c r="G177" i="47"/>
  <c r="F177" i="47"/>
  <c r="I176" i="47"/>
  <c r="H176" i="47"/>
  <c r="G176" i="47"/>
  <c r="F176" i="47"/>
  <c r="I175" i="47"/>
  <c r="H175" i="47"/>
  <c r="G175" i="47"/>
  <c r="I174" i="47"/>
  <c r="H174" i="47"/>
  <c r="G174" i="47"/>
  <c r="F174" i="47"/>
  <c r="I173" i="47"/>
  <c r="H173" i="47"/>
  <c r="G173" i="47"/>
  <c r="F173" i="47"/>
  <c r="E171" i="47"/>
  <c r="E169" i="47"/>
  <c r="E168" i="47"/>
  <c r="E167" i="47"/>
  <c r="E166" i="47"/>
  <c r="E164" i="47"/>
  <c r="E163" i="47"/>
  <c r="E162" i="47"/>
  <c r="F161" i="47"/>
  <c r="E161" i="47" s="1"/>
  <c r="E160" i="47"/>
  <c r="E159" i="47"/>
  <c r="I158" i="47"/>
  <c r="H158" i="47"/>
  <c r="G158" i="47"/>
  <c r="E157" i="47"/>
  <c r="H156" i="47"/>
  <c r="G156" i="47" s="1"/>
  <c r="E156" i="47" s="1"/>
  <c r="E155" i="47"/>
  <c r="E154" i="47"/>
  <c r="H153" i="47"/>
  <c r="G153" i="47" s="1"/>
  <c r="E153" i="47" s="1"/>
  <c r="H152" i="47"/>
  <c r="G152" i="47" s="1"/>
  <c r="E152" i="47" s="1"/>
  <c r="I151" i="47"/>
  <c r="F151" i="47"/>
  <c r="E150" i="47"/>
  <c r="E149" i="47"/>
  <c r="E148" i="47"/>
  <c r="E147" i="47"/>
  <c r="E146" i="47"/>
  <c r="E145" i="47"/>
  <c r="I144" i="47"/>
  <c r="H144" i="47"/>
  <c r="G144" i="47"/>
  <c r="F144" i="47"/>
  <c r="H143" i="47"/>
  <c r="G143" i="47" s="1"/>
  <c r="H141" i="47"/>
  <c r="G141" i="47" s="1"/>
  <c r="H140" i="47"/>
  <c r="G140" i="47" s="1"/>
  <c r="G64" i="47" s="1"/>
  <c r="F139" i="47"/>
  <c r="E139" i="47" s="1"/>
  <c r="E138" i="47"/>
  <c r="I137" i="47"/>
  <c r="E136" i="47"/>
  <c r="E134" i="47"/>
  <c r="E133" i="47"/>
  <c r="E132" i="47"/>
  <c r="E131" i="47"/>
  <c r="I130" i="47"/>
  <c r="H130" i="47"/>
  <c r="G130" i="47"/>
  <c r="F130" i="47"/>
  <c r="E129" i="47"/>
  <c r="E128" i="47"/>
  <c r="E127" i="47"/>
  <c r="F126" i="47"/>
  <c r="E126" i="47" s="1"/>
  <c r="E125" i="47"/>
  <c r="E124" i="47"/>
  <c r="I123" i="47"/>
  <c r="H123" i="47"/>
  <c r="G123" i="47"/>
  <c r="E121" i="47"/>
  <c r="E120" i="47"/>
  <c r="E119" i="47"/>
  <c r="E118" i="47"/>
  <c r="I117" i="47"/>
  <c r="H117" i="47"/>
  <c r="G117" i="47"/>
  <c r="F117" i="47"/>
  <c r="E116" i="47"/>
  <c r="E114" i="47"/>
  <c r="E113" i="47"/>
  <c r="F112" i="47"/>
  <c r="E112" i="47" s="1"/>
  <c r="E111" i="47"/>
  <c r="I110" i="47"/>
  <c r="H110" i="47"/>
  <c r="G110" i="47"/>
  <c r="E109" i="47"/>
  <c r="E108" i="47"/>
  <c r="E107" i="47"/>
  <c r="E106" i="47"/>
  <c r="E105" i="47"/>
  <c r="E104" i="47"/>
  <c r="I103" i="47"/>
  <c r="H103" i="47"/>
  <c r="G103" i="47"/>
  <c r="F103" i="47"/>
  <c r="E102" i="47"/>
  <c r="E101" i="47"/>
  <c r="E100" i="47"/>
  <c r="F99" i="47"/>
  <c r="E99" i="47" s="1"/>
  <c r="E98" i="47"/>
  <c r="F97" i="47"/>
  <c r="F62" i="47" s="1"/>
  <c r="I96" i="47"/>
  <c r="H96" i="47"/>
  <c r="G96" i="47"/>
  <c r="E95" i="47"/>
  <c r="E94" i="47"/>
  <c r="E93" i="47"/>
  <c r="F92" i="47"/>
  <c r="E92" i="47" s="1"/>
  <c r="E91" i="47"/>
  <c r="E90" i="47"/>
  <c r="I89" i="47"/>
  <c r="H89" i="47"/>
  <c r="G89" i="47"/>
  <c r="E88" i="47"/>
  <c r="E87" i="47"/>
  <c r="E86" i="47"/>
  <c r="F85" i="47"/>
  <c r="E85" i="47" s="1"/>
  <c r="E84" i="47"/>
  <c r="E83" i="47"/>
  <c r="I82" i="47"/>
  <c r="H82" i="47"/>
  <c r="G82" i="47"/>
  <c r="E81" i="47"/>
  <c r="E79" i="47"/>
  <c r="E78" i="47"/>
  <c r="E77" i="47"/>
  <c r="E76" i="47"/>
  <c r="I75" i="47"/>
  <c r="H75" i="47"/>
  <c r="G75" i="47"/>
  <c r="F75" i="47"/>
  <c r="E74" i="47"/>
  <c r="E73" i="47"/>
  <c r="E72" i="47"/>
  <c r="F71" i="47"/>
  <c r="E70" i="47"/>
  <c r="E69" i="47"/>
  <c r="I68" i="47"/>
  <c r="H68" i="47"/>
  <c r="G68" i="47"/>
  <c r="I67" i="47"/>
  <c r="H67" i="47"/>
  <c r="G67" i="47"/>
  <c r="F67" i="47"/>
  <c r="I66" i="47"/>
  <c r="I65" i="47"/>
  <c r="I64" i="47"/>
  <c r="I63" i="47"/>
  <c r="H63" i="47"/>
  <c r="G63" i="47"/>
  <c r="I62" i="47"/>
  <c r="H62" i="47"/>
  <c r="G62" i="47"/>
  <c r="E60" i="47"/>
  <c r="E58" i="47"/>
  <c r="E57" i="47"/>
  <c r="E56" i="47"/>
  <c r="E55" i="47"/>
  <c r="I54" i="47"/>
  <c r="H54" i="47"/>
  <c r="G54" i="47"/>
  <c r="F54" i="47"/>
  <c r="E53" i="47"/>
  <c r="E51" i="47"/>
  <c r="E50" i="47"/>
  <c r="E49" i="47"/>
  <c r="E48" i="47"/>
  <c r="I47" i="47"/>
  <c r="H47" i="47"/>
  <c r="G47" i="47"/>
  <c r="F47" i="47"/>
  <c r="E46" i="47"/>
  <c r="E44" i="47"/>
  <c r="E43" i="47"/>
  <c r="E42" i="47"/>
  <c r="E41" i="47"/>
  <c r="I40" i="47"/>
  <c r="H40" i="47"/>
  <c r="G40" i="47"/>
  <c r="F40" i="47"/>
  <c r="I39" i="47"/>
  <c r="H39" i="47"/>
  <c r="G39" i="47"/>
  <c r="F39" i="47"/>
  <c r="I37" i="47"/>
  <c r="H37" i="47"/>
  <c r="G37" i="47"/>
  <c r="F37" i="47"/>
  <c r="I36" i="47"/>
  <c r="H36" i="47"/>
  <c r="G36" i="47"/>
  <c r="F36" i="47"/>
  <c r="I35" i="47"/>
  <c r="H35" i="47"/>
  <c r="G35" i="47"/>
  <c r="F35" i="47"/>
  <c r="I34" i="47"/>
  <c r="H34" i="47"/>
  <c r="G34" i="47"/>
  <c r="F34" i="47"/>
  <c r="N19" i="47"/>
  <c r="I421" i="47" l="1"/>
  <c r="U82" i="19" s="1"/>
  <c r="F578" i="47"/>
  <c r="F485" i="47"/>
  <c r="E485" i="47" s="1"/>
  <c r="F595" i="47"/>
  <c r="E595" i="47" s="1"/>
  <c r="I213" i="47"/>
  <c r="F575" i="47"/>
  <c r="F213" i="47"/>
  <c r="F938" i="47"/>
  <c r="E938" i="47" s="1"/>
  <c r="E364" i="47"/>
  <c r="E361" i="47" s="1"/>
  <c r="F228" i="47"/>
  <c r="E228" i="47" s="1"/>
  <c r="E777" i="47"/>
  <c r="F63" i="47"/>
  <c r="F28" i="47" s="1"/>
  <c r="F934" i="47"/>
  <c r="F927" i="47" s="1"/>
  <c r="E927" i="47" s="1"/>
  <c r="F423" i="47"/>
  <c r="F96" i="47"/>
  <c r="E96" i="47" s="1"/>
  <c r="E536" i="47"/>
  <c r="F110" i="47"/>
  <c r="E110" i="47" s="1"/>
  <c r="F791" i="47"/>
  <c r="E791" i="47" s="1"/>
  <c r="S86" i="19"/>
  <c r="G65" i="43"/>
  <c r="T86" i="19"/>
  <c r="H65" i="43"/>
  <c r="I212" i="47"/>
  <c r="F319" i="47"/>
  <c r="E319" i="47" s="1"/>
  <c r="U86" i="19"/>
  <c r="I65" i="43"/>
  <c r="R84" i="19"/>
  <c r="F63" i="43"/>
  <c r="T87" i="19"/>
  <c r="H66" i="43"/>
  <c r="F242" i="47"/>
  <c r="S84" i="19"/>
  <c r="G63" i="43"/>
  <c r="U87" i="19"/>
  <c r="I66" i="43"/>
  <c r="F32" i="47"/>
  <c r="U84" i="19"/>
  <c r="I63" i="43"/>
  <c r="S88" i="19"/>
  <c r="G67" i="43"/>
  <c r="F215" i="47"/>
  <c r="E215" i="47" s="1"/>
  <c r="R85" i="19"/>
  <c r="F64" i="43"/>
  <c r="R89" i="19"/>
  <c r="F68" i="43"/>
  <c r="R88" i="19"/>
  <c r="F67" i="43"/>
  <c r="F27" i="47"/>
  <c r="F399" i="47"/>
  <c r="F784" i="47"/>
  <c r="S85" i="19"/>
  <c r="G64" i="43"/>
  <c r="S89" i="19"/>
  <c r="G68" i="43"/>
  <c r="I931" i="47"/>
  <c r="T85" i="19"/>
  <c r="H64" i="43"/>
  <c r="T89" i="19"/>
  <c r="H68" i="43"/>
  <c r="T84" i="19"/>
  <c r="H63" i="43"/>
  <c r="U85" i="19"/>
  <c r="I64" i="43"/>
  <c r="U89" i="19"/>
  <c r="I68" i="43"/>
  <c r="R86" i="19"/>
  <c r="F65" i="43"/>
  <c r="I210" i="47"/>
  <c r="N58" i="47"/>
  <c r="H209" i="47"/>
  <c r="F375" i="47"/>
  <c r="F871" i="47"/>
  <c r="H30" i="47"/>
  <c r="F426" i="47"/>
  <c r="I574" i="47"/>
  <c r="Q94" i="19"/>
  <c r="H644" i="47"/>
  <c r="E644" i="47" s="1"/>
  <c r="H66" i="47"/>
  <c r="H31" i="47" s="1"/>
  <c r="G32" i="47"/>
  <c r="G375" i="47"/>
  <c r="H33" i="47"/>
  <c r="I211" i="47"/>
  <c r="I28" i="47"/>
  <c r="G29" i="47"/>
  <c r="E759" i="47"/>
  <c r="G219" i="47"/>
  <c r="G214" i="47" s="1"/>
  <c r="I831" i="47"/>
  <c r="U95" i="19"/>
  <c r="H28" i="47"/>
  <c r="E144" i="47"/>
  <c r="G209" i="47"/>
  <c r="G210" i="47"/>
  <c r="E527" i="47"/>
  <c r="H679" i="47"/>
  <c r="E679" i="47" s="1"/>
  <c r="E828" i="47"/>
  <c r="E891" i="47"/>
  <c r="H64" i="47"/>
  <c r="H29" i="47" s="1"/>
  <c r="E75" i="47"/>
  <c r="E298" i="47"/>
  <c r="E333" i="47"/>
  <c r="H212" i="47"/>
  <c r="E443" i="47"/>
  <c r="F421" i="47"/>
  <c r="E800" i="47"/>
  <c r="H421" i="47"/>
  <c r="I833" i="47"/>
  <c r="U90" i="19" s="1"/>
  <c r="E39" i="47"/>
  <c r="H27" i="47"/>
  <c r="E520" i="47"/>
  <c r="E631" i="47"/>
  <c r="E707" i="47"/>
  <c r="I172" i="47"/>
  <c r="G208" i="47"/>
  <c r="H214" i="47"/>
  <c r="E397" i="47"/>
  <c r="E401" i="47"/>
  <c r="E693" i="47"/>
  <c r="I27" i="47"/>
  <c r="I29" i="47"/>
  <c r="G213" i="47"/>
  <c r="E277" i="47"/>
  <c r="E376" i="47"/>
  <c r="I375" i="47"/>
  <c r="G211" i="47"/>
  <c r="E471" i="47"/>
  <c r="E610" i="47"/>
  <c r="H623" i="47"/>
  <c r="E623" i="47" s="1"/>
  <c r="E665" i="47"/>
  <c r="F826" i="47"/>
  <c r="E829" i="47"/>
  <c r="E929" i="47"/>
  <c r="I32" i="47"/>
  <c r="H151" i="47"/>
  <c r="E218" i="47"/>
  <c r="E284" i="47"/>
  <c r="E379" i="47"/>
  <c r="E36" i="47"/>
  <c r="E37" i="47"/>
  <c r="I31" i="47"/>
  <c r="H32" i="47"/>
  <c r="H210" i="47"/>
  <c r="H211" i="47"/>
  <c r="E347" i="47"/>
  <c r="E429" i="47"/>
  <c r="E548" i="47"/>
  <c r="E807" i="47"/>
  <c r="I889" i="47"/>
  <c r="E400" i="47"/>
  <c r="F141" i="47"/>
  <c r="G65" i="47"/>
  <c r="G30" i="47" s="1"/>
  <c r="E34" i="47"/>
  <c r="E40" i="47"/>
  <c r="E62" i="47"/>
  <c r="E67" i="47"/>
  <c r="E97" i="47"/>
  <c r="E103" i="47"/>
  <c r="E173" i="47"/>
  <c r="I30" i="47"/>
  <c r="I208" i="47"/>
  <c r="I209" i="47"/>
  <c r="H213" i="47"/>
  <c r="E256" i="47"/>
  <c r="E263" i="47"/>
  <c r="E340" i="47"/>
  <c r="E380" i="47"/>
  <c r="E398" i="47"/>
  <c r="F408" i="47"/>
  <c r="E584" i="47"/>
  <c r="F581" i="47"/>
  <c r="E581" i="47" s="1"/>
  <c r="F33" i="47"/>
  <c r="G172" i="47"/>
  <c r="E459" i="47"/>
  <c r="H457" i="47"/>
  <c r="E457" i="47" s="1"/>
  <c r="E47" i="47"/>
  <c r="G137" i="47"/>
  <c r="E177" i="47"/>
  <c r="E179" i="47"/>
  <c r="F216" i="47"/>
  <c r="F211" i="47"/>
  <c r="F212" i="47"/>
  <c r="E220" i="47"/>
  <c r="E242" i="47"/>
  <c r="F249" i="47"/>
  <c r="E249" i="47" s="1"/>
  <c r="E305" i="47"/>
  <c r="E312" i="47"/>
  <c r="E326" i="47"/>
  <c r="E368" i="47"/>
  <c r="E377" i="47"/>
  <c r="E378" i="47"/>
  <c r="E381" i="47"/>
  <c r="E382" i="47"/>
  <c r="G396" i="47"/>
  <c r="H396" i="47"/>
  <c r="E402" i="47"/>
  <c r="F424" i="47"/>
  <c r="E534" i="47"/>
  <c r="E591" i="47"/>
  <c r="F588" i="47"/>
  <c r="E588" i="47" s="1"/>
  <c r="E758" i="47"/>
  <c r="H756" i="47"/>
  <c r="G889" i="47"/>
  <c r="H931" i="47"/>
  <c r="E617" i="47"/>
  <c r="H616" i="47"/>
  <c r="E616" i="47" s="1"/>
  <c r="H575" i="47"/>
  <c r="I33" i="47"/>
  <c r="E54" i="47"/>
  <c r="I61" i="47"/>
  <c r="E117" i="47"/>
  <c r="E130" i="47"/>
  <c r="H137" i="47"/>
  <c r="E165" i="47"/>
  <c r="E174" i="47"/>
  <c r="E178" i="47"/>
  <c r="E200" i="47"/>
  <c r="H208" i="47"/>
  <c r="G221" i="47"/>
  <c r="F221" i="47"/>
  <c r="E270" i="47"/>
  <c r="H375" i="47"/>
  <c r="E389" i="47"/>
  <c r="E411" i="47"/>
  <c r="G503" i="47"/>
  <c r="G426" i="47" s="1"/>
  <c r="G428" i="47"/>
  <c r="E428" i="47" s="1"/>
  <c r="F577" i="47"/>
  <c r="I576" i="47"/>
  <c r="I575" i="47"/>
  <c r="E700" i="47"/>
  <c r="E464" i="47"/>
  <c r="E541" i="47"/>
  <c r="E585" i="47"/>
  <c r="E770" i="47"/>
  <c r="G826" i="47"/>
  <c r="E830" i="47"/>
  <c r="E450" i="47"/>
  <c r="E580" i="47"/>
  <c r="E602" i="47"/>
  <c r="E651" i="47"/>
  <c r="E686" i="47"/>
  <c r="E763" i="47"/>
  <c r="E798" i="47"/>
  <c r="E882" i="47"/>
  <c r="E893" i="47"/>
  <c r="E894" i="47"/>
  <c r="E895" i="47"/>
  <c r="E932" i="47"/>
  <c r="E933" i="47"/>
  <c r="E928" i="47"/>
  <c r="E937" i="47"/>
  <c r="E478" i="47"/>
  <c r="E555" i="47"/>
  <c r="G421" i="47"/>
  <c r="E609" i="47"/>
  <c r="E637" i="47"/>
  <c r="E751" i="47"/>
  <c r="E832" i="47"/>
  <c r="E896" i="47"/>
  <c r="E903" i="47"/>
  <c r="E930" i="47"/>
  <c r="E630" i="47"/>
  <c r="E925" i="47"/>
  <c r="G924" i="47"/>
  <c r="E519" i="47"/>
  <c r="I517" i="47"/>
  <c r="H784" i="47"/>
  <c r="G66" i="47"/>
  <c r="G31" i="47" s="1"/>
  <c r="F143" i="47"/>
  <c r="I924" i="47"/>
  <c r="I718" i="47"/>
  <c r="I579" i="47"/>
  <c r="H917" i="47"/>
  <c r="H892" i="47"/>
  <c r="H576" i="47"/>
  <c r="E757" i="47"/>
  <c r="I756" i="47"/>
  <c r="E71" i="47"/>
  <c r="F123" i="47"/>
  <c r="E123" i="47" s="1"/>
  <c r="F158" i="47"/>
  <c r="E158" i="47" s="1"/>
  <c r="I396" i="47"/>
  <c r="H429" i="47"/>
  <c r="E638" i="47"/>
  <c r="E786" i="47"/>
  <c r="E793" i="47"/>
  <c r="E176" i="47"/>
  <c r="G27" i="47"/>
  <c r="F235" i="47"/>
  <c r="E235" i="47" s="1"/>
  <c r="H672" i="47"/>
  <c r="E672" i="47" s="1"/>
  <c r="F892" i="47"/>
  <c r="F889" i="47" s="1"/>
  <c r="E936" i="47"/>
  <c r="F186" i="47"/>
  <c r="E186" i="47" s="1"/>
  <c r="F193" i="47"/>
  <c r="E193" i="47" s="1"/>
  <c r="I214" i="47"/>
  <c r="F217" i="47"/>
  <c r="H437" i="47"/>
  <c r="G750" i="47"/>
  <c r="E827" i="47"/>
  <c r="E890" i="47"/>
  <c r="F917" i="47"/>
  <c r="H926" i="47"/>
  <c r="H924" i="47" s="1"/>
  <c r="G931" i="47"/>
  <c r="E35" i="47"/>
  <c r="F82" i="47"/>
  <c r="E82" i="47" s="1"/>
  <c r="F89" i="47"/>
  <c r="E89" i="47" s="1"/>
  <c r="F354" i="47"/>
  <c r="E354" i="47" s="1"/>
  <c r="H494" i="47"/>
  <c r="E597" i="47"/>
  <c r="F805" i="47"/>
  <c r="E805" i="47" s="1"/>
  <c r="E899" i="47"/>
  <c r="E934" i="47"/>
  <c r="F68" i="47"/>
  <c r="E68" i="47" s="1"/>
  <c r="F140" i="47"/>
  <c r="F64" i="47" s="1"/>
  <c r="G151" i="47"/>
  <c r="F291" i="47"/>
  <c r="E291" i="47" s="1"/>
  <c r="E674" i="47"/>
  <c r="G28" i="47"/>
  <c r="G33" i="47"/>
  <c r="H172" i="47"/>
  <c r="F576" i="47"/>
  <c r="F175" i="47"/>
  <c r="E175" i="47" s="1"/>
  <c r="E920" i="47"/>
  <c r="E935" i="47"/>
  <c r="F753" i="36"/>
  <c r="E90" i="19" s="1"/>
  <c r="K90" i="19" s="1"/>
  <c r="G753" i="36"/>
  <c r="F90" i="19" s="1"/>
  <c r="L90" i="19" s="1"/>
  <c r="F739" i="36"/>
  <c r="E739" i="36" s="1"/>
  <c r="F732" i="36"/>
  <c r="E732" i="36" s="1"/>
  <c r="F635" i="36"/>
  <c r="F143" i="36"/>
  <c r="F136" i="36"/>
  <c r="F98" i="36"/>
  <c r="I61" i="43" l="1"/>
  <c r="E63" i="47"/>
  <c r="F931" i="47"/>
  <c r="E931" i="47" s="1"/>
  <c r="I11" i="47"/>
  <c r="U12" i="19" s="1"/>
  <c r="E784" i="47"/>
  <c r="F396" i="47"/>
  <c r="E396" i="47" s="1"/>
  <c r="E399" i="47"/>
  <c r="F924" i="47"/>
  <c r="E924" i="47" s="1"/>
  <c r="Q89" i="19"/>
  <c r="E68" i="43"/>
  <c r="F208" i="47"/>
  <c r="I826" i="47"/>
  <c r="I67" i="43"/>
  <c r="Q87" i="19"/>
  <c r="E66" i="43"/>
  <c r="S83" i="19"/>
  <c r="G62" i="43"/>
  <c r="S82" i="19"/>
  <c r="G61" i="43"/>
  <c r="Q86" i="19"/>
  <c r="E65" i="43"/>
  <c r="Q85" i="19"/>
  <c r="E64" i="43"/>
  <c r="R83" i="19"/>
  <c r="F62" i="43"/>
  <c r="T82" i="19"/>
  <c r="H61" i="43"/>
  <c r="R82" i="19"/>
  <c r="F61" i="43"/>
  <c r="Q84" i="19"/>
  <c r="E63" i="43"/>
  <c r="G212" i="47"/>
  <c r="E212" i="47" s="1"/>
  <c r="E219" i="47"/>
  <c r="M4" i="47"/>
  <c r="H61" i="47"/>
  <c r="F11" i="47"/>
  <c r="F18" i="47" s="1"/>
  <c r="E756" i="47"/>
  <c r="F214" i="47"/>
  <c r="E214" i="47" s="1"/>
  <c r="E375" i="47"/>
  <c r="E408" i="47"/>
  <c r="E213" i="47"/>
  <c r="H838" i="47"/>
  <c r="U88" i="19"/>
  <c r="H574" i="47"/>
  <c r="E421" i="47"/>
  <c r="O16" i="47"/>
  <c r="G502" i="47"/>
  <c r="G501" i="47" s="1"/>
  <c r="H11" i="47"/>
  <c r="I26" i="47"/>
  <c r="E151" i="47"/>
  <c r="I207" i="47"/>
  <c r="E32" i="47"/>
  <c r="E211" i="47"/>
  <c r="H26" i="47"/>
  <c r="N16" i="47"/>
  <c r="G61" i="47"/>
  <c r="G11" i="47"/>
  <c r="E221" i="47"/>
  <c r="F422" i="47"/>
  <c r="E33" i="47"/>
  <c r="F172" i="47"/>
  <c r="E172" i="47" s="1"/>
  <c r="H207" i="47"/>
  <c r="E141" i="47"/>
  <c r="F65" i="47"/>
  <c r="E216" i="47"/>
  <c r="F209" i="47"/>
  <c r="G749" i="47"/>
  <c r="E750" i="47"/>
  <c r="E28" i="47"/>
  <c r="H889" i="47"/>
  <c r="E889" i="47" s="1"/>
  <c r="E426" i="47"/>
  <c r="G26" i="47"/>
  <c r="H436" i="47"/>
  <c r="E437" i="47"/>
  <c r="E436" i="47" s="1"/>
  <c r="F66" i="47"/>
  <c r="E143" i="47"/>
  <c r="E917" i="47"/>
  <c r="E892" i="47"/>
  <c r="E926" i="47"/>
  <c r="O14" i="47"/>
  <c r="H492" i="47"/>
  <c r="E492" i="47" s="1"/>
  <c r="H424" i="47"/>
  <c r="E494" i="47"/>
  <c r="I516" i="47"/>
  <c r="E517" i="47"/>
  <c r="N14" i="47"/>
  <c r="F29" i="47"/>
  <c r="E64" i="47"/>
  <c r="F210" i="47"/>
  <c r="E217" i="47"/>
  <c r="E27" i="47"/>
  <c r="I578" i="47"/>
  <c r="I717" i="47"/>
  <c r="F137" i="47"/>
  <c r="E137" i="47" s="1"/>
  <c r="E140" i="47"/>
  <c r="F574" i="47"/>
  <c r="H423" i="47"/>
  <c r="F791" i="36"/>
  <c r="G791" i="36"/>
  <c r="H791" i="36"/>
  <c r="I791" i="36"/>
  <c r="F792" i="36"/>
  <c r="G792" i="36"/>
  <c r="H792" i="36"/>
  <c r="I792" i="36"/>
  <c r="F793" i="36"/>
  <c r="G793" i="36"/>
  <c r="H793" i="36"/>
  <c r="I793" i="36"/>
  <c r="F794" i="36"/>
  <c r="G794" i="36"/>
  <c r="I794" i="36"/>
  <c r="F795" i="36"/>
  <c r="G795" i="36"/>
  <c r="I795" i="36"/>
  <c r="I18" i="47" l="1"/>
  <c r="U19" i="19" s="1"/>
  <c r="I13" i="43"/>
  <c r="E208" i="47"/>
  <c r="N17" i="47"/>
  <c r="G207" i="47"/>
  <c r="R12" i="19"/>
  <c r="F13" i="43"/>
  <c r="Q82" i="19"/>
  <c r="E61" i="43"/>
  <c r="U83" i="19"/>
  <c r="I62" i="43"/>
  <c r="H18" i="47"/>
  <c r="T19" i="19" s="1"/>
  <c r="H13" i="43"/>
  <c r="E11" i="47"/>
  <c r="G13" i="43"/>
  <c r="R19" i="19"/>
  <c r="F20" i="43"/>
  <c r="T12" i="19"/>
  <c r="G425" i="47"/>
  <c r="E425" i="47" s="1"/>
  <c r="S12" i="19"/>
  <c r="T95" i="19"/>
  <c r="H831" i="47"/>
  <c r="H67" i="43" s="1"/>
  <c r="E838" i="47"/>
  <c r="Q95" i="19" s="1"/>
  <c r="H833" i="47"/>
  <c r="E209" i="47"/>
  <c r="G18" i="47"/>
  <c r="G20" i="43" s="1"/>
  <c r="E65" i="47"/>
  <c r="F30" i="47"/>
  <c r="M14" i="47"/>
  <c r="F61" i="47"/>
  <c r="E61" i="47" s="1"/>
  <c r="E210" i="47"/>
  <c r="F207" i="47"/>
  <c r="E29" i="47"/>
  <c r="I577" i="47"/>
  <c r="I716" i="47"/>
  <c r="I715" i="47" s="1"/>
  <c r="I714" i="47" s="1"/>
  <c r="E516" i="47"/>
  <c r="I515" i="47"/>
  <c r="G424" i="47"/>
  <c r="G500" i="47"/>
  <c r="H422" i="47"/>
  <c r="F31" i="47"/>
  <c r="E66" i="47"/>
  <c r="G748" i="47"/>
  <c r="E749" i="47"/>
  <c r="I20" i="43" l="1"/>
  <c r="H20" i="43"/>
  <c r="Q12" i="19"/>
  <c r="E13" i="43"/>
  <c r="E18" i="47"/>
  <c r="S19" i="19"/>
  <c r="E833" i="47"/>
  <c r="Q90" i="19" s="1"/>
  <c r="T90" i="19"/>
  <c r="E831" i="47"/>
  <c r="T88" i="19"/>
  <c r="O17" i="47"/>
  <c r="H826" i="47"/>
  <c r="H62" i="43" s="1"/>
  <c r="E207" i="47"/>
  <c r="M16" i="47"/>
  <c r="E30" i="47"/>
  <c r="E748" i="47"/>
  <c r="G746" i="47"/>
  <c r="E424" i="47"/>
  <c r="E515" i="47"/>
  <c r="I514" i="47"/>
  <c r="E31" i="47"/>
  <c r="M17" i="47"/>
  <c r="F26" i="47"/>
  <c r="E26" i="47" s="1"/>
  <c r="G499" i="47"/>
  <c r="G423" i="47"/>
  <c r="Q88" i="19" l="1"/>
  <c r="E67" i="43"/>
  <c r="Q19" i="19"/>
  <c r="E20" i="43"/>
  <c r="E826" i="47"/>
  <c r="T83" i="19"/>
  <c r="E514" i="47"/>
  <c r="I513" i="47"/>
  <c r="G422" i="47"/>
  <c r="E422" i="47" s="1"/>
  <c r="E423" i="47"/>
  <c r="E746" i="47"/>
  <c r="G745" i="47"/>
  <c r="Q83" i="19" l="1"/>
  <c r="E62" i="43"/>
  <c r="I512" i="47"/>
  <c r="E513" i="47"/>
  <c r="G744" i="47"/>
  <c r="E745" i="47"/>
  <c r="E744" i="47" l="1"/>
  <c r="G743" i="47"/>
  <c r="E512" i="47"/>
  <c r="I510" i="47"/>
  <c r="F770" i="36"/>
  <c r="E108" i="19" s="1"/>
  <c r="K108" i="19" s="1"/>
  <c r="G770" i="36"/>
  <c r="F108" i="19" s="1"/>
  <c r="L108" i="19" s="1"/>
  <c r="E510" i="47" l="1"/>
  <c r="I509" i="47"/>
  <c r="E743" i="47"/>
  <c r="G742" i="47"/>
  <c r="F514" i="36"/>
  <c r="G514" i="36"/>
  <c r="H514" i="36"/>
  <c r="I514" i="36"/>
  <c r="F515" i="36"/>
  <c r="G515" i="36"/>
  <c r="H515" i="36"/>
  <c r="I515" i="36"/>
  <c r="F516" i="36"/>
  <c r="G516" i="36"/>
  <c r="H516" i="36"/>
  <c r="I516" i="36"/>
  <c r="F517" i="36"/>
  <c r="G517" i="36"/>
  <c r="H517" i="36"/>
  <c r="I517" i="36"/>
  <c r="F518" i="36"/>
  <c r="G518" i="36"/>
  <c r="H518" i="36"/>
  <c r="I518" i="36"/>
  <c r="F520" i="36"/>
  <c r="G520" i="36"/>
  <c r="H520" i="36"/>
  <c r="I520" i="36"/>
  <c r="F521" i="36"/>
  <c r="G521" i="36"/>
  <c r="H521" i="36"/>
  <c r="I521" i="36"/>
  <c r="F522" i="36"/>
  <c r="G522" i="36"/>
  <c r="H522" i="36"/>
  <c r="I522" i="36"/>
  <c r="F523" i="36"/>
  <c r="G523" i="36"/>
  <c r="H523" i="36"/>
  <c r="I523" i="36"/>
  <c r="F524" i="36"/>
  <c r="G524" i="36"/>
  <c r="H524" i="36"/>
  <c r="I524" i="36"/>
  <c r="N522" i="46"/>
  <c r="F397" i="36" l="1"/>
  <c r="G741" i="47"/>
  <c r="E742" i="47"/>
  <c r="E509" i="47"/>
  <c r="I508" i="47"/>
  <c r="E854" i="46"/>
  <c r="E853" i="46"/>
  <c r="F852" i="46"/>
  <c r="F845" i="46" s="1"/>
  <c r="E851" i="46"/>
  <c r="E850" i="46"/>
  <c r="I849" i="46"/>
  <c r="H849" i="46"/>
  <c r="G849" i="46"/>
  <c r="I848" i="46"/>
  <c r="H848" i="46"/>
  <c r="H841" i="46" s="1"/>
  <c r="G848" i="46"/>
  <c r="G841" i="46" s="1"/>
  <c r="F848" i="46"/>
  <c r="F841" i="46" s="1"/>
  <c r="I847" i="46"/>
  <c r="H847" i="46"/>
  <c r="G847" i="46"/>
  <c r="G840" i="46" s="1"/>
  <c r="F847" i="46"/>
  <c r="F840" i="46" s="1"/>
  <c r="I846" i="46"/>
  <c r="H846" i="46"/>
  <c r="H839" i="46" s="1"/>
  <c r="G846" i="46"/>
  <c r="G839" i="46" s="1"/>
  <c r="F846" i="46"/>
  <c r="F839" i="46" s="1"/>
  <c r="I845" i="46"/>
  <c r="I838" i="46" s="1"/>
  <c r="H845" i="46"/>
  <c r="H838" i="46" s="1"/>
  <c r="G845" i="46"/>
  <c r="G838" i="46" s="1"/>
  <c r="I844" i="46"/>
  <c r="I837" i="46" s="1"/>
  <c r="H844" i="46"/>
  <c r="H837" i="46" s="1"/>
  <c r="G844" i="46"/>
  <c r="G837" i="46" s="1"/>
  <c r="F844" i="46"/>
  <c r="F837" i="46" s="1"/>
  <c r="I843" i="46"/>
  <c r="H843" i="46"/>
  <c r="H836" i="46" s="1"/>
  <c r="G843" i="46"/>
  <c r="F843" i="46"/>
  <c r="F836" i="46" s="1"/>
  <c r="I841" i="46"/>
  <c r="I840" i="46"/>
  <c r="H840" i="46"/>
  <c r="I839" i="46"/>
  <c r="E834" i="46"/>
  <c r="E833" i="46"/>
  <c r="F832" i="46"/>
  <c r="F829" i="46" s="1"/>
  <c r="E831" i="46"/>
  <c r="E830" i="46"/>
  <c r="I829" i="46"/>
  <c r="G829" i="46"/>
  <c r="E828" i="46"/>
  <c r="E827" i="46"/>
  <c r="E826" i="46"/>
  <c r="E825" i="46"/>
  <c r="E824" i="46"/>
  <c r="I823" i="46"/>
  <c r="E823" i="46" s="1"/>
  <c r="E822" i="46"/>
  <c r="E821" i="46"/>
  <c r="E820" i="46"/>
  <c r="E819" i="46"/>
  <c r="E818" i="46"/>
  <c r="I817" i="46"/>
  <c r="H817" i="46"/>
  <c r="G817" i="46"/>
  <c r="F817" i="46"/>
  <c r="E815" i="46"/>
  <c r="E814" i="46"/>
  <c r="F813" i="46"/>
  <c r="E813" i="46" s="1"/>
  <c r="E812" i="46"/>
  <c r="E811" i="46"/>
  <c r="I810" i="46"/>
  <c r="H810" i="46"/>
  <c r="G810" i="46"/>
  <c r="I809" i="46"/>
  <c r="H809" i="46"/>
  <c r="G809" i="46"/>
  <c r="F809" i="46"/>
  <c r="I808" i="46"/>
  <c r="H808" i="46"/>
  <c r="G808" i="46"/>
  <c r="F808" i="46"/>
  <c r="I807" i="46"/>
  <c r="H807" i="46"/>
  <c r="G807" i="46"/>
  <c r="F807" i="46"/>
  <c r="I806" i="46"/>
  <c r="G806" i="46"/>
  <c r="I805" i="46"/>
  <c r="H805" i="46"/>
  <c r="G805" i="46"/>
  <c r="F805" i="46"/>
  <c r="I804" i="46"/>
  <c r="H804" i="46"/>
  <c r="G804" i="46"/>
  <c r="F804" i="46"/>
  <c r="H802" i="46"/>
  <c r="H797" i="46" s="1"/>
  <c r="H801" i="46"/>
  <c r="E801" i="46"/>
  <c r="E800" i="46"/>
  <c r="M799" i="46"/>
  <c r="E799" i="46"/>
  <c r="E798" i="46"/>
  <c r="I797" i="46"/>
  <c r="G797" i="46"/>
  <c r="F797" i="46"/>
  <c r="H796" i="46"/>
  <c r="H795" i="46"/>
  <c r="E794" i="46"/>
  <c r="E793" i="46"/>
  <c r="E792" i="46"/>
  <c r="I791" i="46"/>
  <c r="G791" i="46"/>
  <c r="F791" i="46"/>
  <c r="I790" i="46"/>
  <c r="G790" i="46"/>
  <c r="F790" i="46"/>
  <c r="I789" i="46"/>
  <c r="G789" i="46"/>
  <c r="F789" i="46"/>
  <c r="I788" i="46"/>
  <c r="H788" i="46"/>
  <c r="G788" i="46"/>
  <c r="F788" i="46"/>
  <c r="I787" i="46"/>
  <c r="H787" i="46"/>
  <c r="G787" i="46"/>
  <c r="F787" i="46"/>
  <c r="E787" i="46"/>
  <c r="I786" i="46"/>
  <c r="H786" i="46"/>
  <c r="G786" i="46"/>
  <c r="F786" i="46"/>
  <c r="I784" i="46"/>
  <c r="H784" i="46"/>
  <c r="G784" i="46"/>
  <c r="F784" i="46"/>
  <c r="E784" i="46"/>
  <c r="I783" i="46"/>
  <c r="H783" i="46"/>
  <c r="G783" i="46"/>
  <c r="F783" i="46"/>
  <c r="E783" i="46"/>
  <c r="I782" i="46"/>
  <c r="H782" i="46"/>
  <c r="G782" i="46"/>
  <c r="F782" i="46"/>
  <c r="E782" i="46"/>
  <c r="I781" i="46"/>
  <c r="H781" i="46"/>
  <c r="G781" i="46"/>
  <c r="F781" i="46"/>
  <c r="E781" i="46"/>
  <c r="I780" i="46"/>
  <c r="H780" i="46"/>
  <c r="G780" i="46"/>
  <c r="F780" i="46"/>
  <c r="E780" i="46"/>
  <c r="I779" i="46"/>
  <c r="H779" i="46"/>
  <c r="G779" i="46"/>
  <c r="F779" i="46"/>
  <c r="E779" i="46"/>
  <c r="I778" i="46"/>
  <c r="H778" i="46"/>
  <c r="G778" i="46"/>
  <c r="F778" i="46"/>
  <c r="E778" i="46"/>
  <c r="I777" i="46"/>
  <c r="H777" i="46"/>
  <c r="G777" i="46"/>
  <c r="F777" i="46"/>
  <c r="E777" i="46"/>
  <c r="I776" i="46"/>
  <c r="H776" i="46"/>
  <c r="G776" i="46"/>
  <c r="F776" i="46"/>
  <c r="E776" i="46"/>
  <c r="I775" i="46"/>
  <c r="H775" i="46"/>
  <c r="G775" i="46"/>
  <c r="F775" i="46"/>
  <c r="E775" i="46"/>
  <c r="I774" i="46"/>
  <c r="H774" i="46"/>
  <c r="G774" i="46"/>
  <c r="F774" i="46"/>
  <c r="E774" i="46"/>
  <c r="I773" i="46"/>
  <c r="H773" i="46"/>
  <c r="G773" i="46"/>
  <c r="F773" i="46"/>
  <c r="E773" i="46"/>
  <c r="I772" i="46"/>
  <c r="H772" i="46"/>
  <c r="G772" i="46"/>
  <c r="F772" i="46"/>
  <c r="E772" i="46"/>
  <c r="I771" i="46"/>
  <c r="H771" i="46"/>
  <c r="E771" i="46"/>
  <c r="Q108" i="19" s="1"/>
  <c r="I770" i="46"/>
  <c r="H770" i="46"/>
  <c r="G770" i="46"/>
  <c r="F770" i="46"/>
  <c r="E770" i="46"/>
  <c r="I769" i="46"/>
  <c r="H769" i="46"/>
  <c r="G769" i="46"/>
  <c r="F769" i="46"/>
  <c r="E769" i="46"/>
  <c r="I768" i="46"/>
  <c r="H768" i="46"/>
  <c r="G768" i="46"/>
  <c r="F768" i="46"/>
  <c r="E768" i="46"/>
  <c r="G767" i="46"/>
  <c r="I766" i="46"/>
  <c r="H766" i="46"/>
  <c r="G766" i="46"/>
  <c r="F766" i="46"/>
  <c r="E766" i="46"/>
  <c r="I765" i="46"/>
  <c r="H765" i="46"/>
  <c r="E765" i="46"/>
  <c r="I764" i="46"/>
  <c r="H764" i="46"/>
  <c r="G764" i="46"/>
  <c r="F764" i="46"/>
  <c r="E764" i="46"/>
  <c r="I763" i="46"/>
  <c r="H763" i="46"/>
  <c r="G763" i="46"/>
  <c r="F763" i="46"/>
  <c r="E763" i="46"/>
  <c r="I762" i="46"/>
  <c r="H762" i="46"/>
  <c r="G762" i="46"/>
  <c r="F762" i="46"/>
  <c r="E762" i="46"/>
  <c r="I761" i="46"/>
  <c r="H761" i="46"/>
  <c r="G761" i="46"/>
  <c r="F761" i="46"/>
  <c r="E761" i="46"/>
  <c r="I759" i="46"/>
  <c r="E758" i="46"/>
  <c r="E757" i="46"/>
  <c r="E756" i="46"/>
  <c r="E755" i="46"/>
  <c r="I754" i="46"/>
  <c r="G754" i="46"/>
  <c r="F754" i="46"/>
  <c r="I753" i="46"/>
  <c r="H753" i="46"/>
  <c r="G753" i="46"/>
  <c r="F753" i="46"/>
  <c r="I752" i="46"/>
  <c r="H759" i="46" s="1"/>
  <c r="H754" i="46" s="1"/>
  <c r="G752" i="46"/>
  <c r="F752" i="46"/>
  <c r="I751" i="46"/>
  <c r="H751" i="46"/>
  <c r="G751" i="46"/>
  <c r="F751" i="46"/>
  <c r="I750" i="46"/>
  <c r="H750" i="46"/>
  <c r="G750" i="46"/>
  <c r="F750" i="46"/>
  <c r="I749" i="46"/>
  <c r="H749" i="46"/>
  <c r="G749" i="46"/>
  <c r="F749" i="46"/>
  <c r="I748" i="46"/>
  <c r="H748" i="46"/>
  <c r="G748" i="46"/>
  <c r="F748" i="46"/>
  <c r="I747" i="46"/>
  <c r="F732" i="46"/>
  <c r="E732" i="46" s="1"/>
  <c r="F731" i="46"/>
  <c r="E731" i="46" s="1"/>
  <c r="F730" i="46"/>
  <c r="E730" i="46" s="1"/>
  <c r="H729" i="46"/>
  <c r="E729" i="46" s="1"/>
  <c r="F728" i="46"/>
  <c r="E728" i="46" s="1"/>
  <c r="E726" i="46"/>
  <c r="E725" i="46"/>
  <c r="E724" i="46"/>
  <c r="H723" i="46"/>
  <c r="E723" i="46" s="1"/>
  <c r="E722" i="46"/>
  <c r="F721" i="46"/>
  <c r="E720" i="46"/>
  <c r="E719" i="46"/>
  <c r="E718" i="46"/>
  <c r="F717" i="46"/>
  <c r="H717" i="46" s="1"/>
  <c r="E716" i="46"/>
  <c r="I715" i="46"/>
  <c r="G715" i="46"/>
  <c r="F715" i="46"/>
  <c r="E714" i="46"/>
  <c r="E713" i="46"/>
  <c r="E712" i="46"/>
  <c r="F711" i="46"/>
  <c r="H711" i="46" s="1"/>
  <c r="E710" i="46"/>
  <c r="I709" i="46"/>
  <c r="G709" i="46"/>
  <c r="F709" i="46"/>
  <c r="E708" i="46"/>
  <c r="E707" i="46"/>
  <c r="E706" i="46"/>
  <c r="E705" i="46"/>
  <c r="E704" i="46"/>
  <c r="I703" i="46"/>
  <c r="H703" i="46"/>
  <c r="G703" i="46"/>
  <c r="F703" i="46"/>
  <c r="E702" i="46"/>
  <c r="E701" i="46"/>
  <c r="E700" i="46"/>
  <c r="E699" i="46"/>
  <c r="E698" i="46"/>
  <c r="I697" i="46"/>
  <c r="H697" i="46"/>
  <c r="G697" i="46"/>
  <c r="F697" i="46"/>
  <c r="E696" i="46"/>
  <c r="E695" i="46"/>
  <c r="E694" i="46"/>
  <c r="E693" i="46"/>
  <c r="E692" i="46"/>
  <c r="I691" i="46"/>
  <c r="H691" i="46"/>
  <c r="G691" i="46"/>
  <c r="F691" i="46"/>
  <c r="E690" i="46"/>
  <c r="E689" i="46"/>
  <c r="I688" i="46"/>
  <c r="I687" i="46" s="1"/>
  <c r="H687" i="46"/>
  <c r="H685" i="46" s="1"/>
  <c r="G685" i="46"/>
  <c r="G681" i="46" s="1"/>
  <c r="F685" i="46"/>
  <c r="E684" i="46"/>
  <c r="E683" i="46"/>
  <c r="E682" i="46"/>
  <c r="H681" i="46"/>
  <c r="H679" i="46" s="1"/>
  <c r="I679" i="46"/>
  <c r="I678" i="46" s="1"/>
  <c r="I677" i="46" s="1"/>
  <c r="I676" i="46" s="1"/>
  <c r="I675" i="46" s="1"/>
  <c r="I674" i="46" s="1"/>
  <c r="I673" i="46" s="1"/>
  <c r="I672" i="46" s="1"/>
  <c r="I671" i="46" s="1"/>
  <c r="I670" i="46" s="1"/>
  <c r="I669" i="46" s="1"/>
  <c r="I668" i="46" s="1"/>
  <c r="I667" i="46" s="1"/>
  <c r="I666" i="46" s="1"/>
  <c r="I665" i="46" s="1"/>
  <c r="I664" i="46" s="1"/>
  <c r="I663" i="46" s="1"/>
  <c r="I662" i="46" s="1"/>
  <c r="I661" i="46" s="1"/>
  <c r="I660" i="46" s="1"/>
  <c r="I659" i="46" s="1"/>
  <c r="I658" i="46" s="1"/>
  <c r="I657" i="46" s="1"/>
  <c r="I656" i="46" s="1"/>
  <c r="I655" i="46" s="1"/>
  <c r="I654" i="46" s="1"/>
  <c r="F679" i="46"/>
  <c r="H673" i="46"/>
  <c r="F673" i="46"/>
  <c r="H669" i="46"/>
  <c r="H667" i="46" s="1"/>
  <c r="F667" i="46"/>
  <c r="H663" i="46"/>
  <c r="H661" i="46" s="1"/>
  <c r="F661" i="46"/>
  <c r="H655" i="46"/>
  <c r="F655" i="46"/>
  <c r="H651" i="46"/>
  <c r="H649" i="46" s="1"/>
  <c r="F649" i="46"/>
  <c r="E648" i="46"/>
  <c r="E647" i="46"/>
  <c r="E646" i="46"/>
  <c r="E645" i="46"/>
  <c r="E644" i="46"/>
  <c r="I643" i="46"/>
  <c r="H643" i="46"/>
  <c r="G643" i="46"/>
  <c r="F643" i="46"/>
  <c r="E642" i="46"/>
  <c r="E641" i="46"/>
  <c r="E640" i="46"/>
  <c r="E639" i="46"/>
  <c r="E638" i="46"/>
  <c r="I637" i="46"/>
  <c r="H637" i="46"/>
  <c r="G637" i="46"/>
  <c r="F637" i="46"/>
  <c r="E636" i="46"/>
  <c r="E635" i="46"/>
  <c r="E634" i="46"/>
  <c r="E633" i="46"/>
  <c r="E632" i="46"/>
  <c r="I631" i="46"/>
  <c r="H631" i="46"/>
  <c r="G631" i="46"/>
  <c r="F631" i="46"/>
  <c r="E630" i="46"/>
  <c r="E629" i="46"/>
  <c r="E628" i="46"/>
  <c r="E627" i="46"/>
  <c r="E626" i="46"/>
  <c r="I625" i="46"/>
  <c r="H625" i="46"/>
  <c r="G625" i="46"/>
  <c r="F625" i="46"/>
  <c r="E624" i="46"/>
  <c r="E623" i="46"/>
  <c r="E622" i="46"/>
  <c r="E621" i="46"/>
  <c r="H620" i="46"/>
  <c r="E620" i="46" s="1"/>
  <c r="G619" i="46"/>
  <c r="F619" i="46"/>
  <c r="E618" i="46"/>
  <c r="E617" i="46"/>
  <c r="E616" i="46"/>
  <c r="H615" i="46"/>
  <c r="E615" i="46" s="1"/>
  <c r="H614" i="46"/>
  <c r="E614" i="46" s="1"/>
  <c r="I613" i="46"/>
  <c r="G613" i="46"/>
  <c r="F613" i="46"/>
  <c r="E612" i="46"/>
  <c r="E611" i="46"/>
  <c r="E610" i="46"/>
  <c r="E609" i="46"/>
  <c r="E608" i="46"/>
  <c r="I607" i="46"/>
  <c r="H607" i="46"/>
  <c r="G607" i="46"/>
  <c r="F607" i="46"/>
  <c r="E606" i="46"/>
  <c r="E605" i="46"/>
  <c r="E604" i="46"/>
  <c r="E603" i="46"/>
  <c r="E602" i="46"/>
  <c r="E601" i="46"/>
  <c r="E600" i="46"/>
  <c r="E599" i="46"/>
  <c r="E598" i="46"/>
  <c r="E597" i="46"/>
  <c r="E596" i="46"/>
  <c r="I595" i="46"/>
  <c r="H595" i="46"/>
  <c r="G595" i="46"/>
  <c r="F595" i="46"/>
  <c r="H590" i="46"/>
  <c r="E590" i="46" s="1"/>
  <c r="I589" i="46"/>
  <c r="G589" i="46"/>
  <c r="F589" i="46"/>
  <c r="H584" i="46"/>
  <c r="E584" i="46" s="1"/>
  <c r="I583" i="46"/>
  <c r="G583" i="46"/>
  <c r="F583" i="46"/>
  <c r="H578" i="46"/>
  <c r="E578" i="46" s="1"/>
  <c r="I577" i="46"/>
  <c r="G577" i="46"/>
  <c r="F577" i="46"/>
  <c r="H572" i="46"/>
  <c r="E572" i="46" s="1"/>
  <c r="I571" i="46"/>
  <c r="G571" i="46"/>
  <c r="F571" i="46"/>
  <c r="H566" i="46"/>
  <c r="E566" i="46" s="1"/>
  <c r="I565" i="46"/>
  <c r="G565" i="46"/>
  <c r="F565" i="46"/>
  <c r="H560" i="46"/>
  <c r="E560" i="46" s="1"/>
  <c r="I559" i="46"/>
  <c r="G559" i="46"/>
  <c r="F559" i="46"/>
  <c r="E554" i="46"/>
  <c r="I553" i="46"/>
  <c r="H553" i="46"/>
  <c r="G553" i="46"/>
  <c r="F553" i="46"/>
  <c r="E552" i="46"/>
  <c r="E551" i="46"/>
  <c r="E550" i="46"/>
  <c r="F549" i="46"/>
  <c r="E549" i="46" s="1"/>
  <c r="F548" i="46"/>
  <c r="E548" i="46" s="1"/>
  <c r="I547" i="46"/>
  <c r="H547" i="46"/>
  <c r="G547" i="46"/>
  <c r="E545" i="46"/>
  <c r="F544" i="46"/>
  <c r="F543" i="46"/>
  <c r="E543" i="46" s="1"/>
  <c r="E542" i="46"/>
  <c r="E541" i="46"/>
  <c r="I540" i="46"/>
  <c r="H540" i="46"/>
  <c r="G540" i="46"/>
  <c r="E539" i="46"/>
  <c r="I538" i="46"/>
  <c r="I527" i="46" s="1"/>
  <c r="F537" i="46"/>
  <c r="F534" i="46" s="1"/>
  <c r="E536" i="46"/>
  <c r="E535" i="46"/>
  <c r="H534" i="46"/>
  <c r="G534" i="46"/>
  <c r="I533" i="46"/>
  <c r="I394" i="46" s="1"/>
  <c r="H533" i="46"/>
  <c r="G533" i="46"/>
  <c r="F533" i="46"/>
  <c r="H532" i="46"/>
  <c r="F532" i="46"/>
  <c r="H531" i="46"/>
  <c r="F531" i="46"/>
  <c r="H530" i="46"/>
  <c r="E526" i="46"/>
  <c r="E525" i="46"/>
  <c r="E524" i="46"/>
  <c r="E523" i="46"/>
  <c r="E522" i="46"/>
  <c r="I521" i="46"/>
  <c r="H521" i="46"/>
  <c r="G521" i="46"/>
  <c r="F521" i="46"/>
  <c r="E520" i="46"/>
  <c r="E519" i="46"/>
  <c r="E518" i="46"/>
  <c r="E517" i="46"/>
  <c r="E516" i="46"/>
  <c r="I515" i="46"/>
  <c r="H515" i="46"/>
  <c r="G515" i="46"/>
  <c r="F515" i="46"/>
  <c r="E514" i="46"/>
  <c r="E513" i="46"/>
  <c r="E512" i="46"/>
  <c r="E511" i="46"/>
  <c r="E510" i="46"/>
  <c r="I509" i="46"/>
  <c r="H509" i="46"/>
  <c r="G509" i="46"/>
  <c r="F509" i="46"/>
  <c r="E508" i="46"/>
  <c r="E507" i="46"/>
  <c r="E506" i="46"/>
  <c r="E505" i="46"/>
  <c r="E504" i="46"/>
  <c r="I503" i="46"/>
  <c r="E503" i="46" s="1"/>
  <c r="H503" i="46"/>
  <c r="F503" i="46"/>
  <c r="E502" i="46"/>
  <c r="E501" i="46"/>
  <c r="E500" i="46"/>
  <c r="E499" i="46"/>
  <c r="E498" i="46"/>
  <c r="I497" i="46"/>
  <c r="H497" i="46"/>
  <c r="G497" i="46"/>
  <c r="F497" i="46"/>
  <c r="E496" i="46"/>
  <c r="E495" i="46"/>
  <c r="E494" i="46"/>
  <c r="F493" i="46"/>
  <c r="E493" i="46" s="1"/>
  <c r="E492" i="46"/>
  <c r="I491" i="46"/>
  <c r="H491" i="46"/>
  <c r="G491" i="46"/>
  <c r="E490" i="46"/>
  <c r="E489" i="46"/>
  <c r="E488" i="46"/>
  <c r="E487" i="46"/>
  <c r="E486" i="46"/>
  <c r="I485" i="46"/>
  <c r="H485" i="46"/>
  <c r="G485" i="46"/>
  <c r="F485" i="46"/>
  <c r="E484" i="46"/>
  <c r="E483" i="46"/>
  <c r="E482" i="46"/>
  <c r="E481" i="46"/>
  <c r="E480" i="46"/>
  <c r="I479" i="46"/>
  <c r="I478" i="46" s="1"/>
  <c r="H479" i="46"/>
  <c r="F479" i="46"/>
  <c r="H475" i="46"/>
  <c r="H473" i="46" s="1"/>
  <c r="F473" i="46"/>
  <c r="H467" i="46"/>
  <c r="G467" i="46"/>
  <c r="G466" i="46" s="1"/>
  <c r="F467" i="46"/>
  <c r="H461" i="46"/>
  <c r="F461" i="46"/>
  <c r="E460" i="46"/>
  <c r="E459" i="46"/>
  <c r="E458" i="46"/>
  <c r="F457" i="46"/>
  <c r="E456" i="46"/>
  <c r="I455" i="46"/>
  <c r="G455" i="46"/>
  <c r="E454" i="46"/>
  <c r="E453" i="46"/>
  <c r="E452" i="46"/>
  <c r="F451" i="46"/>
  <c r="F449" i="46" s="1"/>
  <c r="E450" i="46"/>
  <c r="I449" i="46"/>
  <c r="H449" i="46"/>
  <c r="G449" i="46"/>
  <c r="E448" i="46"/>
  <c r="E447" i="46"/>
  <c r="E446" i="46"/>
  <c r="E445" i="46"/>
  <c r="E444" i="46"/>
  <c r="I443" i="46"/>
  <c r="H443" i="46"/>
  <c r="G443" i="46"/>
  <c r="F443" i="46"/>
  <c r="E442" i="46"/>
  <c r="E441" i="46"/>
  <c r="E440" i="46"/>
  <c r="E439" i="46"/>
  <c r="E438" i="46"/>
  <c r="I437" i="46"/>
  <c r="H437" i="46"/>
  <c r="G437" i="46"/>
  <c r="F437" i="46"/>
  <c r="E436" i="46"/>
  <c r="E435" i="46"/>
  <c r="E434" i="46"/>
  <c r="E433" i="46"/>
  <c r="E432" i="46"/>
  <c r="I431" i="46"/>
  <c r="H431" i="46"/>
  <c r="G431" i="46"/>
  <c r="F431" i="46"/>
  <c r="E430" i="46"/>
  <c r="E429" i="46"/>
  <c r="E428" i="46"/>
  <c r="H427" i="46"/>
  <c r="E427" i="46" s="1"/>
  <c r="E426" i="46"/>
  <c r="I425" i="46"/>
  <c r="G425" i="46"/>
  <c r="F425" i="46"/>
  <c r="E424" i="46"/>
  <c r="E423" i="46"/>
  <c r="E422" i="46"/>
  <c r="E421" i="46"/>
  <c r="E420" i="46"/>
  <c r="I419" i="46"/>
  <c r="H419" i="46"/>
  <c r="G419" i="46"/>
  <c r="F419" i="46"/>
  <c r="E419" i="46" s="1"/>
  <c r="E418" i="46"/>
  <c r="E417" i="46"/>
  <c r="E416" i="46"/>
  <c r="E415" i="46"/>
  <c r="E414" i="46"/>
  <c r="I413" i="46"/>
  <c r="H413" i="46"/>
  <c r="G413" i="46"/>
  <c r="F413" i="46"/>
  <c r="E412" i="46"/>
  <c r="E411" i="46"/>
  <c r="E410" i="46"/>
  <c r="E409" i="46"/>
  <c r="F408" i="46"/>
  <c r="F407" i="46" s="1"/>
  <c r="I407" i="46"/>
  <c r="G407" i="46"/>
  <c r="E406" i="46"/>
  <c r="E405" i="46"/>
  <c r="E404" i="46"/>
  <c r="E403" i="46"/>
  <c r="H402" i="46"/>
  <c r="E402" i="46" s="1"/>
  <c r="I401" i="46"/>
  <c r="G401" i="46"/>
  <c r="F401" i="46"/>
  <c r="H400" i="46"/>
  <c r="F400" i="46"/>
  <c r="H399" i="46"/>
  <c r="F399" i="46"/>
  <c r="H398" i="46"/>
  <c r="F398" i="46"/>
  <c r="H394" i="46"/>
  <c r="E387" i="46"/>
  <c r="E386" i="46"/>
  <c r="F385" i="46"/>
  <c r="E385" i="46" s="1"/>
  <c r="E384" i="46"/>
  <c r="E383" i="46"/>
  <c r="I382" i="46"/>
  <c r="H382" i="46"/>
  <c r="G382" i="46"/>
  <c r="E381" i="46"/>
  <c r="E380" i="46"/>
  <c r="E379" i="46"/>
  <c r="E378" i="46"/>
  <c r="E377" i="46"/>
  <c r="I376" i="46"/>
  <c r="H376" i="46"/>
  <c r="G376" i="46"/>
  <c r="F376" i="46"/>
  <c r="I375" i="46"/>
  <c r="H375" i="46"/>
  <c r="G375" i="46"/>
  <c r="F375" i="46"/>
  <c r="I374" i="46"/>
  <c r="H374" i="46"/>
  <c r="G374" i="46"/>
  <c r="F374" i="46"/>
  <c r="I373" i="46"/>
  <c r="H373" i="46"/>
  <c r="G373" i="46"/>
  <c r="F373" i="46"/>
  <c r="E373" i="46" s="1"/>
  <c r="I372" i="46"/>
  <c r="H372" i="46"/>
  <c r="G372" i="46"/>
  <c r="F372" i="46"/>
  <c r="I371" i="46"/>
  <c r="H371" i="46"/>
  <c r="H370" i="46" s="1"/>
  <c r="G371" i="46"/>
  <c r="F371" i="46"/>
  <c r="E368" i="46"/>
  <c r="E367" i="46"/>
  <c r="E366" i="46"/>
  <c r="E365" i="46"/>
  <c r="E364" i="46"/>
  <c r="I363" i="46"/>
  <c r="H363" i="46"/>
  <c r="G363" i="46"/>
  <c r="F363" i="46"/>
  <c r="E361" i="46"/>
  <c r="E360" i="46"/>
  <c r="E359" i="46"/>
  <c r="E358" i="46"/>
  <c r="E357" i="46"/>
  <c r="I356" i="46"/>
  <c r="H356" i="46"/>
  <c r="G356" i="46"/>
  <c r="F356" i="46"/>
  <c r="I355" i="46"/>
  <c r="H355" i="46"/>
  <c r="G355" i="46"/>
  <c r="F355" i="46"/>
  <c r="I354" i="46"/>
  <c r="H354" i="46"/>
  <c r="G354" i="46"/>
  <c r="F354" i="46"/>
  <c r="I353" i="46"/>
  <c r="H353" i="46"/>
  <c r="G353" i="46"/>
  <c r="F353" i="46"/>
  <c r="I352" i="46"/>
  <c r="H352" i="46"/>
  <c r="G352" i="46"/>
  <c r="F352" i="46"/>
  <c r="I351" i="46"/>
  <c r="H351" i="46"/>
  <c r="G351" i="46"/>
  <c r="F351" i="46"/>
  <c r="I350" i="46"/>
  <c r="H350" i="46"/>
  <c r="G350" i="46"/>
  <c r="F350" i="46"/>
  <c r="F349" i="46" s="1"/>
  <c r="E348" i="46"/>
  <c r="E347" i="46"/>
  <c r="E346" i="46"/>
  <c r="E345" i="46"/>
  <c r="E344" i="46"/>
  <c r="I343" i="46"/>
  <c r="H343" i="46"/>
  <c r="G343" i="46"/>
  <c r="F343" i="46"/>
  <c r="E341" i="46"/>
  <c r="E340" i="46"/>
  <c r="F339" i="46"/>
  <c r="E339" i="46" s="1"/>
  <c r="E338" i="46"/>
  <c r="E337" i="46"/>
  <c r="I336" i="46"/>
  <c r="H336" i="46"/>
  <c r="G336" i="46"/>
  <c r="E335" i="46"/>
  <c r="E334" i="46"/>
  <c r="F333" i="46"/>
  <c r="E333" i="46" s="1"/>
  <c r="F332" i="46"/>
  <c r="F330" i="46" s="1"/>
  <c r="E331" i="46"/>
  <c r="I330" i="46"/>
  <c r="H330" i="46"/>
  <c r="G330" i="46"/>
  <c r="E329" i="46"/>
  <c r="E328" i="46"/>
  <c r="E327" i="46"/>
  <c r="E326" i="46"/>
  <c r="E325" i="46"/>
  <c r="I324" i="46"/>
  <c r="H324" i="46"/>
  <c r="G324" i="46"/>
  <c r="F324" i="46"/>
  <c r="E323" i="46"/>
  <c r="E322" i="46"/>
  <c r="E321" i="46"/>
  <c r="F320" i="46"/>
  <c r="E320" i="46" s="1"/>
  <c r="E319" i="46"/>
  <c r="I318" i="46"/>
  <c r="H318" i="46"/>
  <c r="G318" i="46"/>
  <c r="F318" i="46"/>
  <c r="E317" i="46"/>
  <c r="E316" i="46"/>
  <c r="E315" i="46"/>
  <c r="E314" i="46"/>
  <c r="E313" i="46"/>
  <c r="I312" i="46"/>
  <c r="H312" i="46"/>
  <c r="G312" i="46"/>
  <c r="F312" i="46"/>
  <c r="E311" i="46"/>
  <c r="E310" i="46"/>
  <c r="E309" i="46"/>
  <c r="E308" i="46"/>
  <c r="E307" i="46"/>
  <c r="I306" i="46"/>
  <c r="H306" i="46"/>
  <c r="G306" i="46"/>
  <c r="F306" i="46"/>
  <c r="E304" i="46"/>
  <c r="E303" i="46"/>
  <c r="F302" i="46"/>
  <c r="E302" i="46" s="1"/>
  <c r="E301" i="46"/>
  <c r="E300" i="46"/>
  <c r="I299" i="46"/>
  <c r="H299" i="46"/>
  <c r="G299" i="46"/>
  <c r="E298" i="46"/>
  <c r="E297" i="46"/>
  <c r="E296" i="46"/>
  <c r="E294" i="46"/>
  <c r="I293" i="46"/>
  <c r="H293" i="46"/>
  <c r="G293" i="46"/>
  <c r="F293" i="46"/>
  <c r="E292" i="46"/>
  <c r="E291" i="46"/>
  <c r="E290" i="46"/>
  <c r="E289" i="46"/>
  <c r="E288" i="46"/>
  <c r="I287" i="46"/>
  <c r="H287" i="46"/>
  <c r="G287" i="46"/>
  <c r="F287" i="46"/>
  <c r="E286" i="46"/>
  <c r="E285" i="46"/>
  <c r="E284" i="46"/>
  <c r="E283" i="46"/>
  <c r="E282" i="46"/>
  <c r="I281" i="46"/>
  <c r="H281" i="46"/>
  <c r="G281" i="46"/>
  <c r="F281" i="46"/>
  <c r="E280" i="46"/>
  <c r="E279" i="46"/>
  <c r="F278" i="46"/>
  <c r="E278" i="46" s="1"/>
  <c r="F277" i="46"/>
  <c r="E277" i="46" s="1"/>
  <c r="E276" i="46"/>
  <c r="I275" i="46"/>
  <c r="H275" i="46"/>
  <c r="G275" i="46"/>
  <c r="E274" i="46"/>
  <c r="E273" i="46"/>
  <c r="E272" i="46"/>
  <c r="E271" i="46"/>
  <c r="E270" i="46"/>
  <c r="I269" i="46"/>
  <c r="H269" i="46"/>
  <c r="G269" i="46"/>
  <c r="F269" i="46"/>
  <c r="E268" i="46"/>
  <c r="E267" i="46"/>
  <c r="E266" i="46"/>
  <c r="E265" i="46"/>
  <c r="E264" i="46"/>
  <c r="I263" i="46"/>
  <c r="H263" i="46"/>
  <c r="G263" i="46"/>
  <c r="F263" i="46"/>
  <c r="E262" i="46"/>
  <c r="E261" i="46"/>
  <c r="E260" i="46"/>
  <c r="E259" i="46"/>
  <c r="E258" i="46"/>
  <c r="I257" i="46"/>
  <c r="H257" i="46"/>
  <c r="G257" i="46"/>
  <c r="F257" i="46"/>
  <c r="E256" i="46"/>
  <c r="E255" i="46"/>
  <c r="E254" i="46"/>
  <c r="E253" i="46"/>
  <c r="E252" i="46"/>
  <c r="I251" i="46"/>
  <c r="H251" i="46"/>
  <c r="G251" i="46"/>
  <c r="F251" i="46"/>
  <c r="E250" i="46"/>
  <c r="E249" i="46"/>
  <c r="E248" i="46"/>
  <c r="E247" i="46"/>
  <c r="E246" i="46"/>
  <c r="I245" i="46"/>
  <c r="H245" i="46"/>
  <c r="G245" i="46"/>
  <c r="F245" i="46"/>
  <c r="E243" i="46"/>
  <c r="E242" i="46"/>
  <c r="F241" i="46"/>
  <c r="E241" i="46" s="1"/>
  <c r="F240" i="46"/>
  <c r="E240" i="46"/>
  <c r="E239" i="46"/>
  <c r="I238" i="46"/>
  <c r="H238" i="46"/>
  <c r="G238" i="46"/>
  <c r="E236" i="46"/>
  <c r="E235" i="46"/>
  <c r="F234" i="46"/>
  <c r="E234" i="46"/>
  <c r="F233" i="46"/>
  <c r="E233" i="46" s="1"/>
  <c r="E232" i="46"/>
  <c r="I231" i="46"/>
  <c r="H231" i="46"/>
  <c r="G231" i="46"/>
  <c r="E229" i="46"/>
  <c r="E228" i="46"/>
  <c r="E227" i="46"/>
  <c r="E226" i="46"/>
  <c r="F225" i="46"/>
  <c r="E225" i="46" s="1"/>
  <c r="I224" i="46"/>
  <c r="H224" i="46"/>
  <c r="G224" i="46"/>
  <c r="E222" i="46"/>
  <c r="E221" i="46"/>
  <c r="F220" i="46"/>
  <c r="E220" i="46" s="1"/>
  <c r="E219" i="46"/>
  <c r="E218" i="46"/>
  <c r="I217" i="46"/>
  <c r="H217" i="46"/>
  <c r="G217" i="46"/>
  <c r="G215" i="46"/>
  <c r="G210" i="46" s="1"/>
  <c r="E214" i="46"/>
  <c r="F213" i="46"/>
  <c r="E213" i="46" s="1"/>
  <c r="F212" i="46"/>
  <c r="E212" i="46" s="1"/>
  <c r="F211" i="46"/>
  <c r="I210" i="46"/>
  <c r="H210" i="46"/>
  <c r="I209" i="46"/>
  <c r="H209" i="46"/>
  <c r="G209" i="46"/>
  <c r="F209" i="46"/>
  <c r="I208" i="46"/>
  <c r="I201" i="46" s="1"/>
  <c r="H208" i="46"/>
  <c r="F208" i="46"/>
  <c r="I207" i="46"/>
  <c r="H207" i="46"/>
  <c r="G207" i="46"/>
  <c r="F207" i="46"/>
  <c r="I206" i="46"/>
  <c r="H206" i="46"/>
  <c r="G206" i="46"/>
  <c r="I205" i="46"/>
  <c r="I198" i="46" s="1"/>
  <c r="H205" i="46"/>
  <c r="G205" i="46"/>
  <c r="I204" i="46"/>
  <c r="I197" i="46" s="1"/>
  <c r="H204" i="46"/>
  <c r="H197" i="46" s="1"/>
  <c r="G204" i="46"/>
  <c r="F202" i="46"/>
  <c r="I199" i="46"/>
  <c r="E195" i="46"/>
  <c r="E194" i="46"/>
  <c r="E193" i="46"/>
  <c r="E192" i="46"/>
  <c r="E191" i="46"/>
  <c r="I190" i="46"/>
  <c r="H190" i="46"/>
  <c r="G190" i="46"/>
  <c r="F190" i="46"/>
  <c r="E188" i="46"/>
  <c r="E187" i="46"/>
  <c r="F186" i="46"/>
  <c r="E186" i="46" s="1"/>
  <c r="E185" i="46"/>
  <c r="E184" i="46"/>
  <c r="I183" i="46"/>
  <c r="H183" i="46"/>
  <c r="G183" i="46"/>
  <c r="E181" i="46"/>
  <c r="E180" i="46"/>
  <c r="F179" i="46"/>
  <c r="F176" i="46" s="1"/>
  <c r="E178" i="46"/>
  <c r="E177" i="46"/>
  <c r="I176" i="46"/>
  <c r="H176" i="46"/>
  <c r="G176" i="46"/>
  <c r="E175" i="46"/>
  <c r="E174" i="46"/>
  <c r="E173" i="46"/>
  <c r="E172" i="46"/>
  <c r="E171" i="46"/>
  <c r="I170" i="46"/>
  <c r="H170" i="46"/>
  <c r="G170" i="46"/>
  <c r="F170" i="46"/>
  <c r="I169" i="46"/>
  <c r="H169" i="46"/>
  <c r="G169" i="46"/>
  <c r="F169" i="46"/>
  <c r="I168" i="46"/>
  <c r="H168" i="46"/>
  <c r="G168" i="46"/>
  <c r="F168" i="46"/>
  <c r="I167" i="46"/>
  <c r="H167" i="46"/>
  <c r="G167" i="46"/>
  <c r="F167" i="46"/>
  <c r="I166" i="46"/>
  <c r="H166" i="46"/>
  <c r="G166" i="46"/>
  <c r="F166" i="46"/>
  <c r="I165" i="46"/>
  <c r="H165" i="46"/>
  <c r="G165" i="46"/>
  <c r="F165" i="46"/>
  <c r="I164" i="46"/>
  <c r="H164" i="46"/>
  <c r="H163" i="46" s="1"/>
  <c r="G164" i="46"/>
  <c r="F164" i="46"/>
  <c r="I163" i="46"/>
  <c r="E162" i="46"/>
  <c r="E161" i="46"/>
  <c r="E160" i="46"/>
  <c r="E159" i="46"/>
  <c r="E158" i="46"/>
  <c r="E155" i="46"/>
  <c r="E154" i="46"/>
  <c r="F153" i="46"/>
  <c r="E153" i="46" s="1"/>
  <c r="E152" i="46"/>
  <c r="E151" i="46"/>
  <c r="I150" i="46"/>
  <c r="H150" i="46"/>
  <c r="G150" i="46"/>
  <c r="H148" i="46"/>
  <c r="G148" i="46" s="1"/>
  <c r="E148" i="46" s="1"/>
  <c r="H147" i="46"/>
  <c r="G147" i="46" s="1"/>
  <c r="E147" i="46" s="1"/>
  <c r="E146" i="46"/>
  <c r="H145" i="46"/>
  <c r="G145" i="46" s="1"/>
  <c r="E145" i="46" s="1"/>
  <c r="H144" i="46"/>
  <c r="G144" i="46" s="1"/>
  <c r="I143" i="46"/>
  <c r="F143" i="46"/>
  <c r="E141" i="46"/>
  <c r="E140" i="46"/>
  <c r="E139" i="46"/>
  <c r="E138" i="46"/>
  <c r="E137" i="46"/>
  <c r="I136" i="46"/>
  <c r="H136" i="46"/>
  <c r="G136" i="46"/>
  <c r="F136" i="46"/>
  <c r="H135" i="46"/>
  <c r="G135" i="46" s="1"/>
  <c r="H134" i="46"/>
  <c r="G134" i="46" s="1"/>
  <c r="F134" i="46" s="1"/>
  <c r="H133" i="46"/>
  <c r="G133" i="46" s="1"/>
  <c r="F132" i="46"/>
  <c r="E132" i="46" s="1"/>
  <c r="E131" i="46"/>
  <c r="I130" i="46"/>
  <c r="E129" i="46"/>
  <c r="E128" i="46"/>
  <c r="E127" i="46"/>
  <c r="E126" i="46"/>
  <c r="E125" i="46"/>
  <c r="I124" i="46"/>
  <c r="H124" i="46"/>
  <c r="G124" i="46"/>
  <c r="F124" i="46"/>
  <c r="E122" i="46"/>
  <c r="E121" i="46"/>
  <c r="F120" i="46"/>
  <c r="F117" i="46" s="1"/>
  <c r="E119" i="46"/>
  <c r="E118" i="46"/>
  <c r="I117" i="46"/>
  <c r="H117" i="46"/>
  <c r="G117" i="46"/>
  <c r="E115" i="46"/>
  <c r="E114" i="46"/>
  <c r="E113" i="46"/>
  <c r="E112" i="46"/>
  <c r="I111" i="46"/>
  <c r="H111" i="46"/>
  <c r="G111" i="46"/>
  <c r="F111" i="46"/>
  <c r="E110" i="46"/>
  <c r="E109" i="46"/>
  <c r="E108" i="46"/>
  <c r="F107" i="46"/>
  <c r="F105" i="46" s="1"/>
  <c r="E106" i="46"/>
  <c r="I105" i="46"/>
  <c r="H105" i="46"/>
  <c r="G105" i="46"/>
  <c r="E103" i="46"/>
  <c r="E102" i="46"/>
  <c r="E101" i="46"/>
  <c r="E100" i="46"/>
  <c r="E99" i="46"/>
  <c r="I98" i="46"/>
  <c r="H98" i="46"/>
  <c r="G98" i="46"/>
  <c r="F98" i="46"/>
  <c r="E96" i="46"/>
  <c r="E95" i="46"/>
  <c r="F94" i="46"/>
  <c r="E94" i="46" s="1"/>
  <c r="E93" i="46"/>
  <c r="F92" i="46"/>
  <c r="E92" i="46" s="1"/>
  <c r="I91" i="46"/>
  <c r="H91" i="46"/>
  <c r="G91" i="46"/>
  <c r="F91" i="46"/>
  <c r="E89" i="46"/>
  <c r="E88" i="46"/>
  <c r="F87" i="46"/>
  <c r="E87" i="46" s="1"/>
  <c r="E86" i="46"/>
  <c r="E85" i="46"/>
  <c r="I84" i="46"/>
  <c r="H84" i="46"/>
  <c r="G84" i="46"/>
  <c r="E82" i="46"/>
  <c r="E81" i="46"/>
  <c r="F80" i="46"/>
  <c r="E80" i="46"/>
  <c r="E79" i="46"/>
  <c r="E78" i="46"/>
  <c r="I77" i="46"/>
  <c r="H77" i="46"/>
  <c r="G77" i="46"/>
  <c r="F77" i="46"/>
  <c r="E76" i="46"/>
  <c r="E75" i="46"/>
  <c r="E74" i="46"/>
  <c r="E73" i="46"/>
  <c r="E72" i="46"/>
  <c r="I71" i="46"/>
  <c r="H71" i="46"/>
  <c r="G71" i="46"/>
  <c r="F71" i="46"/>
  <c r="E70" i="46"/>
  <c r="E69" i="46"/>
  <c r="E68" i="46"/>
  <c r="F67" i="46"/>
  <c r="E67" i="46" s="1"/>
  <c r="E66" i="46"/>
  <c r="E65" i="46"/>
  <c r="I64" i="46"/>
  <c r="H64" i="46"/>
  <c r="G64" i="46"/>
  <c r="F64" i="46"/>
  <c r="I63" i="46"/>
  <c r="H63" i="46"/>
  <c r="G63" i="46"/>
  <c r="G32" i="46" s="1"/>
  <c r="F63" i="46"/>
  <c r="F32" i="46" s="1"/>
  <c r="I62" i="46"/>
  <c r="I61" i="46"/>
  <c r="H61" i="46"/>
  <c r="H30" i="46" s="1"/>
  <c r="I60" i="46"/>
  <c r="I59" i="46"/>
  <c r="H59" i="46"/>
  <c r="G59" i="46"/>
  <c r="I58" i="46"/>
  <c r="H58" i="46"/>
  <c r="G58" i="46"/>
  <c r="F58" i="46"/>
  <c r="E56" i="46"/>
  <c r="E55" i="46"/>
  <c r="E54" i="46"/>
  <c r="E53" i="46"/>
  <c r="E52" i="46"/>
  <c r="I51" i="46"/>
  <c r="H51" i="46"/>
  <c r="G51" i="46"/>
  <c r="F51" i="46"/>
  <c r="E50" i="46"/>
  <c r="E49" i="46"/>
  <c r="E48" i="46"/>
  <c r="E47" i="46"/>
  <c r="E46" i="46"/>
  <c r="I45" i="46"/>
  <c r="H45" i="46"/>
  <c r="G45" i="46"/>
  <c r="F45" i="46"/>
  <c r="E44" i="46"/>
  <c r="E43" i="46"/>
  <c r="E42" i="46"/>
  <c r="E41" i="46"/>
  <c r="E40" i="46"/>
  <c r="I39" i="46"/>
  <c r="H39" i="46"/>
  <c r="G39" i="46"/>
  <c r="F39" i="46"/>
  <c r="I38" i="46"/>
  <c r="I31" i="46" s="1"/>
  <c r="H38" i="46"/>
  <c r="G38" i="46"/>
  <c r="F38" i="46"/>
  <c r="I37" i="46"/>
  <c r="I30" i="46" s="1"/>
  <c r="H37" i="46"/>
  <c r="G37" i="46"/>
  <c r="F37" i="46"/>
  <c r="I36" i="46"/>
  <c r="I29" i="46" s="1"/>
  <c r="H36" i="46"/>
  <c r="G36" i="46"/>
  <c r="F36" i="46"/>
  <c r="I35" i="46"/>
  <c r="I28" i="46" s="1"/>
  <c r="H35" i="46"/>
  <c r="G35" i="46"/>
  <c r="F35" i="46"/>
  <c r="I34" i="46"/>
  <c r="I33" i="46" s="1"/>
  <c r="H34" i="46"/>
  <c r="H33" i="46" s="1"/>
  <c r="G34" i="46"/>
  <c r="F34" i="46"/>
  <c r="I32" i="46"/>
  <c r="H28" i="46"/>
  <c r="F24" i="46"/>
  <c r="E98" i="46" l="1"/>
  <c r="H200" i="46"/>
  <c r="F217" i="46"/>
  <c r="E336" i="46"/>
  <c r="F200" i="46"/>
  <c r="H401" i="46"/>
  <c r="H583" i="46"/>
  <c r="H199" i="46"/>
  <c r="F201" i="46"/>
  <c r="E64" i="46"/>
  <c r="E120" i="46"/>
  <c r="F150" i="46"/>
  <c r="E170" i="46"/>
  <c r="G202" i="46"/>
  <c r="G11" i="46" s="1"/>
  <c r="G18" i="46" s="1"/>
  <c r="E583" i="46"/>
  <c r="E688" i="46"/>
  <c r="E750" i="46"/>
  <c r="E751" i="46"/>
  <c r="G394" i="46"/>
  <c r="E394" i="46" s="1"/>
  <c r="E687" i="46"/>
  <c r="H727" i="46"/>
  <c r="F20" i="46"/>
  <c r="H767" i="46"/>
  <c r="H847" i="47" s="1"/>
  <c r="T104" i="19" s="1"/>
  <c r="G765" i="46"/>
  <c r="E817" i="46"/>
  <c r="E124" i="46"/>
  <c r="H201" i="46"/>
  <c r="O17" i="46" s="1"/>
  <c r="H202" i="46"/>
  <c r="F204" i="46"/>
  <c r="E217" i="46"/>
  <c r="E306" i="46"/>
  <c r="E318" i="46"/>
  <c r="E413" i="46"/>
  <c r="F528" i="46"/>
  <c r="O16" i="46"/>
  <c r="F540" i="46"/>
  <c r="E637" i="46"/>
  <c r="E691" i="46"/>
  <c r="E805" i="46"/>
  <c r="E808" i="46"/>
  <c r="E809" i="46"/>
  <c r="G27" i="46"/>
  <c r="G28" i="46"/>
  <c r="N14" i="46" s="1"/>
  <c r="E45" i="46"/>
  <c r="H62" i="46"/>
  <c r="E111" i="46"/>
  <c r="E117" i="46"/>
  <c r="E136" i="46"/>
  <c r="E176" i="46"/>
  <c r="G197" i="46"/>
  <c r="H203" i="46"/>
  <c r="F231" i="46"/>
  <c r="E263" i="46"/>
  <c r="I528" i="46"/>
  <c r="F530" i="46"/>
  <c r="E797" i="46"/>
  <c r="I803" i="46"/>
  <c r="F849" i="46"/>
  <c r="E849" i="46" s="1"/>
  <c r="G842" i="46"/>
  <c r="E293" i="46"/>
  <c r="F299" i="46"/>
  <c r="F336" i="46"/>
  <c r="E351" i="46"/>
  <c r="E352" i="46"/>
  <c r="G200" i="46"/>
  <c r="E354" i="46"/>
  <c r="E356" i="46"/>
  <c r="F382" i="46"/>
  <c r="F393" i="46"/>
  <c r="E497" i="46"/>
  <c r="E91" i="46"/>
  <c r="E150" i="46"/>
  <c r="F27" i="46"/>
  <c r="E166" i="46"/>
  <c r="E167" i="46"/>
  <c r="E251" i="46"/>
  <c r="E324" i="46"/>
  <c r="F370" i="46"/>
  <c r="I370" i="46"/>
  <c r="E401" i="46"/>
  <c r="E437" i="46"/>
  <c r="E479" i="46"/>
  <c r="F529" i="46"/>
  <c r="F527" i="46" s="1"/>
  <c r="E538" i="46"/>
  <c r="F547" i="46"/>
  <c r="E753" i="46"/>
  <c r="E754" i="46"/>
  <c r="E788" i="46"/>
  <c r="F133" i="46"/>
  <c r="E133" i="46" s="1"/>
  <c r="G60" i="46"/>
  <c r="G29" i="46" s="1"/>
  <c r="H562" i="47"/>
  <c r="H513" i="36"/>
  <c r="G568" i="47"/>
  <c r="G519" i="36"/>
  <c r="F841" i="47"/>
  <c r="F761" i="36"/>
  <c r="E98" i="19" s="1"/>
  <c r="G847" i="47"/>
  <c r="S104" i="19" s="1"/>
  <c r="G766" i="36"/>
  <c r="F104" i="19" s="1"/>
  <c r="Q107" i="19"/>
  <c r="E769" i="36"/>
  <c r="D107" i="19" s="1"/>
  <c r="I852" i="47"/>
  <c r="U109" i="19" s="1"/>
  <c r="I771" i="36"/>
  <c r="H109" i="19" s="1"/>
  <c r="F856" i="47"/>
  <c r="F774" i="36"/>
  <c r="H858" i="47"/>
  <c r="H776" i="36"/>
  <c r="E862" i="47"/>
  <c r="E779" i="36"/>
  <c r="G864" i="47"/>
  <c r="G781" i="36"/>
  <c r="E866" i="47"/>
  <c r="E783" i="36"/>
  <c r="E795" i="46"/>
  <c r="H879" i="47"/>
  <c r="H872" i="47" s="1"/>
  <c r="H794" i="36"/>
  <c r="F22" i="46"/>
  <c r="E51" i="46"/>
  <c r="I57" i="46"/>
  <c r="G163" i="46"/>
  <c r="E169" i="46"/>
  <c r="I200" i="46"/>
  <c r="I196" i="46" s="1"/>
  <c r="E209" i="46"/>
  <c r="F210" i="46"/>
  <c r="E210" i="46" s="1"/>
  <c r="E231" i="46"/>
  <c r="E257" i="46"/>
  <c r="E269" i="46"/>
  <c r="E281" i="46"/>
  <c r="E312" i="46"/>
  <c r="E330" i="46"/>
  <c r="E343" i="46"/>
  <c r="E350" i="46"/>
  <c r="H349" i="46"/>
  <c r="E363" i="46"/>
  <c r="E371" i="46"/>
  <c r="E376" i="46"/>
  <c r="E382" i="46"/>
  <c r="H457" i="46"/>
  <c r="F491" i="46"/>
  <c r="E491" i="46" s="1"/>
  <c r="I562" i="47"/>
  <c r="I513" i="36"/>
  <c r="E566" i="47"/>
  <c r="E517" i="36"/>
  <c r="H568" i="47"/>
  <c r="H519" i="36"/>
  <c r="E571" i="47"/>
  <c r="E522" i="36"/>
  <c r="H528" i="46"/>
  <c r="H527" i="46" s="1"/>
  <c r="E547" i="46"/>
  <c r="H589" i="46"/>
  <c r="E595" i="46"/>
  <c r="E607" i="46"/>
  <c r="H613" i="46"/>
  <c r="E613" i="46" s="1"/>
  <c r="E643" i="46"/>
  <c r="H840" i="47"/>
  <c r="H760" i="36"/>
  <c r="G97" i="19" s="1"/>
  <c r="G841" i="47"/>
  <c r="G761" i="36"/>
  <c r="F98" i="19" s="1"/>
  <c r="F842" i="47"/>
  <c r="F762" i="36"/>
  <c r="E99" i="19" s="1"/>
  <c r="E763" i="36"/>
  <c r="D100" i="19" s="1"/>
  <c r="I843" i="47"/>
  <c r="I763" i="36"/>
  <c r="H100" i="19" s="1"/>
  <c r="H844" i="47"/>
  <c r="H764" i="36"/>
  <c r="G101" i="19" s="1"/>
  <c r="G845" i="47"/>
  <c r="G765" i="36"/>
  <c r="F102" i="19" s="1"/>
  <c r="H848" i="47"/>
  <c r="T105" i="19" s="1"/>
  <c r="H767" i="36"/>
  <c r="G105" i="19" s="1"/>
  <c r="G849" i="47"/>
  <c r="S106" i="19" s="1"/>
  <c r="G768" i="36"/>
  <c r="F106" i="19" s="1"/>
  <c r="R107" i="19"/>
  <c r="F769" i="36"/>
  <c r="E107" i="19" s="1"/>
  <c r="E770" i="36"/>
  <c r="D108" i="19" s="1"/>
  <c r="J108" i="19" s="1"/>
  <c r="F852" i="47"/>
  <c r="R109" i="19" s="1"/>
  <c r="F771" i="36"/>
  <c r="E109" i="19" s="1"/>
  <c r="E854" i="47"/>
  <c r="E772" i="36"/>
  <c r="I854" i="47"/>
  <c r="I772" i="36"/>
  <c r="H855" i="47"/>
  <c r="H773" i="36"/>
  <c r="G110" i="19" s="1"/>
  <c r="M110" i="19" s="1"/>
  <c r="G856" i="47"/>
  <c r="G774" i="36"/>
  <c r="F857" i="47"/>
  <c r="F775" i="36"/>
  <c r="E858" i="47"/>
  <c r="E776" i="36"/>
  <c r="I858" i="47"/>
  <c r="I776" i="36"/>
  <c r="H859" i="47"/>
  <c r="H777" i="36"/>
  <c r="G861" i="47"/>
  <c r="G778" i="36"/>
  <c r="F862" i="47"/>
  <c r="F779" i="36"/>
  <c r="E863" i="47"/>
  <c r="E780" i="36"/>
  <c r="I863" i="47"/>
  <c r="I780" i="36"/>
  <c r="H864" i="47"/>
  <c r="H781" i="36"/>
  <c r="G865" i="47"/>
  <c r="G782" i="36"/>
  <c r="F866" i="47"/>
  <c r="F783" i="36"/>
  <c r="H789" i="46"/>
  <c r="H23" i="46" s="1"/>
  <c r="E786" i="46"/>
  <c r="E876" i="47"/>
  <c r="E869" i="47" s="1"/>
  <c r="E791" i="36"/>
  <c r="E796" i="46"/>
  <c r="H880" i="47"/>
  <c r="H873" i="47" s="1"/>
  <c r="H795" i="36"/>
  <c r="E804" i="46"/>
  <c r="E807" i="46"/>
  <c r="G836" i="46"/>
  <c r="G835" i="46" s="1"/>
  <c r="H835" i="46"/>
  <c r="E842" i="47"/>
  <c r="E762" i="36"/>
  <c r="D99" i="19" s="1"/>
  <c r="G764" i="36"/>
  <c r="F101" i="19" s="1"/>
  <c r="G848" i="47"/>
  <c r="S105" i="19" s="1"/>
  <c r="G767" i="36"/>
  <c r="F105" i="19" s="1"/>
  <c r="I850" i="47"/>
  <c r="I769" i="36"/>
  <c r="H107" i="19" s="1"/>
  <c r="H854" i="47"/>
  <c r="H772" i="36"/>
  <c r="E857" i="47"/>
  <c r="E775" i="36"/>
  <c r="G859" i="47"/>
  <c r="G777" i="36"/>
  <c r="I862" i="47"/>
  <c r="I779" i="36"/>
  <c r="F865" i="47"/>
  <c r="F782" i="36"/>
  <c r="I785" i="46"/>
  <c r="H27" i="46"/>
  <c r="E58" i="46"/>
  <c r="H60" i="46"/>
  <c r="H29" i="46" s="1"/>
  <c r="E71" i="46"/>
  <c r="E105" i="46"/>
  <c r="H130" i="46"/>
  <c r="H143" i="46"/>
  <c r="E157" i="46"/>
  <c r="H31" i="46"/>
  <c r="H32" i="46"/>
  <c r="H11" i="46" s="1"/>
  <c r="H18" i="46" s="1"/>
  <c r="F206" i="46"/>
  <c r="E207" i="46"/>
  <c r="I349" i="46"/>
  <c r="E355" i="46"/>
  <c r="E374" i="46"/>
  <c r="E375" i="46"/>
  <c r="F394" i="46"/>
  <c r="F397" i="46"/>
  <c r="E431" i="46"/>
  <c r="E443" i="46"/>
  <c r="E449" i="46"/>
  <c r="F455" i="46"/>
  <c r="E509" i="46"/>
  <c r="F562" i="47"/>
  <c r="F513" i="36"/>
  <c r="E515" i="46"/>
  <c r="E563" i="47"/>
  <c r="E514" i="36"/>
  <c r="E567" i="47"/>
  <c r="E518" i="36"/>
  <c r="I568" i="47"/>
  <c r="I519" i="36"/>
  <c r="E572" i="47"/>
  <c r="E523" i="36"/>
  <c r="E533" i="46"/>
  <c r="E537" i="46"/>
  <c r="E544" i="46"/>
  <c r="H559" i="46"/>
  <c r="E559" i="46" s="1"/>
  <c r="E625" i="46"/>
  <c r="E631" i="46"/>
  <c r="H721" i="46"/>
  <c r="E721" i="46" s="1"/>
  <c r="E748" i="46"/>
  <c r="H752" i="46"/>
  <c r="E752" i="46" s="1"/>
  <c r="E760" i="36"/>
  <c r="D97" i="19" s="1"/>
  <c r="I840" i="47"/>
  <c r="I760" i="36"/>
  <c r="H97" i="19" s="1"/>
  <c r="H841" i="47"/>
  <c r="H761" i="36"/>
  <c r="G98" i="19" s="1"/>
  <c r="G842" i="47"/>
  <c r="G762" i="36"/>
  <c r="F99" i="19" s="1"/>
  <c r="F763" i="36"/>
  <c r="E100" i="19" s="1"/>
  <c r="E764" i="36"/>
  <c r="D101" i="19" s="1"/>
  <c r="I844" i="47"/>
  <c r="I764" i="36"/>
  <c r="H101" i="19" s="1"/>
  <c r="H845" i="47"/>
  <c r="H765" i="36"/>
  <c r="G102" i="19" s="1"/>
  <c r="E848" i="47"/>
  <c r="Q105" i="19" s="1"/>
  <c r="E767" i="36"/>
  <c r="D105" i="19" s="1"/>
  <c r="I767" i="46"/>
  <c r="I848" i="47"/>
  <c r="U105" i="19" s="1"/>
  <c r="I767" i="36"/>
  <c r="H105" i="19" s="1"/>
  <c r="H849" i="47"/>
  <c r="T106" i="19" s="1"/>
  <c r="H768" i="36"/>
  <c r="G106" i="19" s="1"/>
  <c r="G850" i="47"/>
  <c r="S107" i="19" s="1"/>
  <c r="G769" i="36"/>
  <c r="F107" i="19" s="1"/>
  <c r="H851" i="47"/>
  <c r="T108" i="19" s="1"/>
  <c r="H770" i="36"/>
  <c r="G108" i="19" s="1"/>
  <c r="G852" i="47"/>
  <c r="S109" i="19" s="1"/>
  <c r="G771" i="36"/>
  <c r="F109" i="19" s="1"/>
  <c r="F854" i="47"/>
  <c r="F772" i="36"/>
  <c r="E855" i="47"/>
  <c r="E773" i="36"/>
  <c r="D110" i="19" s="1"/>
  <c r="J110" i="19" s="1"/>
  <c r="I855" i="47"/>
  <c r="I773" i="36"/>
  <c r="H110" i="19" s="1"/>
  <c r="N110" i="19" s="1"/>
  <c r="H856" i="47"/>
  <c r="H774" i="36"/>
  <c r="G857" i="47"/>
  <c r="G775" i="36"/>
  <c r="F858" i="47"/>
  <c r="F776" i="36"/>
  <c r="E859" i="47"/>
  <c r="E777" i="36"/>
  <c r="I859" i="47"/>
  <c r="I777" i="36"/>
  <c r="H861" i="47"/>
  <c r="H778" i="36"/>
  <c r="G862" i="47"/>
  <c r="G779" i="36"/>
  <c r="F863" i="47"/>
  <c r="F780" i="36"/>
  <c r="E864" i="47"/>
  <c r="E781" i="36"/>
  <c r="I864" i="47"/>
  <c r="I781" i="36"/>
  <c r="H865" i="47"/>
  <c r="H782" i="36"/>
  <c r="G866" i="47"/>
  <c r="G783" i="36"/>
  <c r="F785" i="46"/>
  <c r="F875" i="47"/>
  <c r="F868" i="47" s="1"/>
  <c r="F790" i="36"/>
  <c r="E877" i="47"/>
  <c r="E870" i="47" s="1"/>
  <c r="E792" i="36"/>
  <c r="I842" i="46"/>
  <c r="E846" i="46"/>
  <c r="E852" i="46"/>
  <c r="F163" i="46"/>
  <c r="F238" i="46"/>
  <c r="E238" i="46" s="1"/>
  <c r="E565" i="47"/>
  <c r="E516" i="36"/>
  <c r="E521" i="46"/>
  <c r="E570" i="47"/>
  <c r="E521" i="36"/>
  <c r="G760" i="36"/>
  <c r="F97" i="19" s="1"/>
  <c r="I842" i="47"/>
  <c r="I762" i="36"/>
  <c r="H99" i="19" s="1"/>
  <c r="H843" i="47"/>
  <c r="H763" i="36"/>
  <c r="G100" i="19" s="1"/>
  <c r="F765" i="36"/>
  <c r="E102" i="19" s="1"/>
  <c r="F767" i="46"/>
  <c r="R104" i="19" s="1"/>
  <c r="F849" i="47"/>
  <c r="R106" i="19" s="1"/>
  <c r="F768" i="36"/>
  <c r="E106" i="19" s="1"/>
  <c r="E852" i="47"/>
  <c r="Q109" i="19" s="1"/>
  <c r="E771" i="36"/>
  <c r="D109" i="19" s="1"/>
  <c r="G855" i="47"/>
  <c r="G773" i="36"/>
  <c r="F110" i="19" s="1"/>
  <c r="L110" i="19" s="1"/>
  <c r="I857" i="47"/>
  <c r="I775" i="36"/>
  <c r="F861" i="47"/>
  <c r="F778" i="36"/>
  <c r="H863" i="47"/>
  <c r="H780" i="36"/>
  <c r="I866" i="47"/>
  <c r="I783" i="36"/>
  <c r="I875" i="47"/>
  <c r="I868" i="47" s="1"/>
  <c r="I790" i="36"/>
  <c r="E840" i="46"/>
  <c r="F21" i="46"/>
  <c r="E34" i="46"/>
  <c r="E36" i="46"/>
  <c r="E37" i="46"/>
  <c r="E38" i="46"/>
  <c r="E39" i="46"/>
  <c r="E77" i="46"/>
  <c r="E164" i="46"/>
  <c r="E179" i="46"/>
  <c r="E190" i="46"/>
  <c r="G198" i="46"/>
  <c r="G199" i="46"/>
  <c r="F224" i="46"/>
  <c r="E224" i="46" s="1"/>
  <c r="E245" i="46"/>
  <c r="E287" i="46"/>
  <c r="E299" i="46"/>
  <c r="E372" i="46"/>
  <c r="E485" i="46"/>
  <c r="G562" i="47"/>
  <c r="G513" i="36"/>
  <c r="E564" i="47"/>
  <c r="E515" i="36"/>
  <c r="F568" i="47"/>
  <c r="F519" i="36"/>
  <c r="E569" i="47"/>
  <c r="E520" i="36"/>
  <c r="E573" i="47"/>
  <c r="E524" i="36"/>
  <c r="E540" i="46"/>
  <c r="E553" i="46"/>
  <c r="E589" i="46"/>
  <c r="E697" i="46"/>
  <c r="E703" i="46"/>
  <c r="G747" i="46"/>
  <c r="E749" i="46"/>
  <c r="F747" i="46"/>
  <c r="E759" i="46"/>
  <c r="F760" i="36"/>
  <c r="E97" i="19" s="1"/>
  <c r="E841" i="47"/>
  <c r="E761" i="36"/>
  <c r="D98" i="19" s="1"/>
  <c r="I841" i="47"/>
  <c r="I761" i="36"/>
  <c r="H98" i="19" s="1"/>
  <c r="H842" i="47"/>
  <c r="H762" i="36"/>
  <c r="G99" i="19" s="1"/>
  <c r="G763" i="36"/>
  <c r="F100" i="19" s="1"/>
  <c r="F765" i="46"/>
  <c r="E845" i="47"/>
  <c r="E765" i="36"/>
  <c r="D102" i="19" s="1"/>
  <c r="I845" i="47"/>
  <c r="I765" i="36"/>
  <c r="H102" i="19" s="1"/>
  <c r="F848" i="47"/>
  <c r="R105" i="19" s="1"/>
  <c r="F767" i="36"/>
  <c r="E105" i="19" s="1"/>
  <c r="E767" i="46"/>
  <c r="Q104" i="19" s="1"/>
  <c r="E849" i="47"/>
  <c r="Q106" i="19" s="1"/>
  <c r="E768" i="36"/>
  <c r="D106" i="19" s="1"/>
  <c r="I849" i="47"/>
  <c r="U106" i="19" s="1"/>
  <c r="I768" i="36"/>
  <c r="H106" i="19" s="1"/>
  <c r="H850" i="47"/>
  <c r="T107" i="19" s="1"/>
  <c r="H769" i="36"/>
  <c r="G107" i="19" s="1"/>
  <c r="I851" i="47"/>
  <c r="I770" i="36"/>
  <c r="H108" i="19" s="1"/>
  <c r="H852" i="47"/>
  <c r="T109" i="19" s="1"/>
  <c r="H771" i="36"/>
  <c r="G109" i="19" s="1"/>
  <c r="G854" i="47"/>
  <c r="G772" i="36"/>
  <c r="F855" i="47"/>
  <c r="F773" i="36"/>
  <c r="E110" i="19" s="1"/>
  <c r="K110" i="19" s="1"/>
  <c r="E856" i="47"/>
  <c r="E774" i="36"/>
  <c r="I856" i="47"/>
  <c r="I774" i="36"/>
  <c r="H857" i="47"/>
  <c r="H775" i="36"/>
  <c r="G858" i="47"/>
  <c r="G776" i="36"/>
  <c r="F859" i="47"/>
  <c r="F777" i="36"/>
  <c r="E861" i="47"/>
  <c r="E778" i="36"/>
  <c r="I861" i="47"/>
  <c r="I778" i="36"/>
  <c r="H862" i="47"/>
  <c r="H779" i="36"/>
  <c r="G863" i="47"/>
  <c r="G780" i="36"/>
  <c r="F864" i="47"/>
  <c r="F781" i="36"/>
  <c r="E865" i="47"/>
  <c r="E782" i="36"/>
  <c r="I865" i="47"/>
  <c r="I782" i="36"/>
  <c r="H866" i="47"/>
  <c r="H783" i="36"/>
  <c r="G875" i="47"/>
  <c r="G868" i="47" s="1"/>
  <c r="G790" i="36"/>
  <c r="E878" i="47"/>
  <c r="E871" i="47" s="1"/>
  <c r="E793" i="36"/>
  <c r="G785" i="46"/>
  <c r="E802" i="46"/>
  <c r="E843" i="46"/>
  <c r="E844" i="46"/>
  <c r="E839" i="46"/>
  <c r="E847" i="46"/>
  <c r="E508" i="47"/>
  <c r="I507" i="47"/>
  <c r="E741" i="47"/>
  <c r="G739" i="47"/>
  <c r="I653" i="46"/>
  <c r="I652" i="46" s="1"/>
  <c r="I532" i="46"/>
  <c r="E841" i="46"/>
  <c r="E837" i="46"/>
  <c r="F11" i="46"/>
  <c r="E200" i="46"/>
  <c r="G465" i="46"/>
  <c r="G400" i="46"/>
  <c r="E711" i="46"/>
  <c r="H529" i="46"/>
  <c r="H709" i="46"/>
  <c r="E709" i="46" s="1"/>
  <c r="E134" i="46"/>
  <c r="F61" i="46"/>
  <c r="E478" i="46"/>
  <c r="I477" i="46"/>
  <c r="F135" i="46"/>
  <c r="F130" i="46" s="1"/>
  <c r="G62" i="46"/>
  <c r="G31" i="46" s="1"/>
  <c r="G130" i="46"/>
  <c r="F197" i="46"/>
  <c r="E204" i="46"/>
  <c r="E717" i="46"/>
  <c r="H715" i="46"/>
  <c r="E715" i="46" s="1"/>
  <c r="E681" i="46"/>
  <c r="G680" i="46"/>
  <c r="F838" i="46"/>
  <c r="E838" i="46" s="1"/>
  <c r="E845" i="46"/>
  <c r="F842" i="46"/>
  <c r="G143" i="46"/>
  <c r="E144" i="46"/>
  <c r="E163" i="46"/>
  <c r="F84" i="46"/>
  <c r="E84" i="46" s="1"/>
  <c r="H198" i="46"/>
  <c r="F275" i="46"/>
  <c r="E275" i="46" s="1"/>
  <c r="H408" i="46"/>
  <c r="E451" i="46"/>
  <c r="H571" i="46"/>
  <c r="E571" i="46" s="1"/>
  <c r="F810" i="46"/>
  <c r="E810" i="46" s="1"/>
  <c r="H832" i="46"/>
  <c r="I836" i="46"/>
  <c r="I835" i="46" s="1"/>
  <c r="I27" i="46"/>
  <c r="E35" i="46"/>
  <c r="G61" i="46"/>
  <c r="G30" i="46" s="1"/>
  <c r="G208" i="46"/>
  <c r="G203" i="46" s="1"/>
  <c r="E353" i="46"/>
  <c r="H791" i="46"/>
  <c r="F59" i="46"/>
  <c r="E107" i="46"/>
  <c r="I203" i="46"/>
  <c r="E211" i="46"/>
  <c r="E332" i="46"/>
  <c r="G370" i="46"/>
  <c r="G803" i="46"/>
  <c r="F183" i="46"/>
  <c r="E183" i="46" s="1"/>
  <c r="F33" i="46"/>
  <c r="E165" i="46"/>
  <c r="H425" i="46"/>
  <c r="E425" i="46" s="1"/>
  <c r="I529" i="46"/>
  <c r="F806" i="46"/>
  <c r="F803" i="46" s="1"/>
  <c r="G33" i="46"/>
  <c r="I534" i="46"/>
  <c r="E534" i="46" s="1"/>
  <c r="H565" i="46"/>
  <c r="E565" i="46" s="1"/>
  <c r="H842" i="46"/>
  <c r="F396" i="46"/>
  <c r="H619" i="46"/>
  <c r="E619" i="46" s="1"/>
  <c r="F60" i="46"/>
  <c r="E168" i="46"/>
  <c r="G349" i="46"/>
  <c r="H577" i="46"/>
  <c r="E577" i="46" s="1"/>
  <c r="I686" i="46"/>
  <c r="F727" i="46"/>
  <c r="E727" i="46" s="1"/>
  <c r="H790" i="46"/>
  <c r="H24" i="46" s="1"/>
  <c r="E848" i="46"/>
  <c r="E63" i="46"/>
  <c r="I202" i="46"/>
  <c r="F205" i="46"/>
  <c r="E215" i="46"/>
  <c r="L104" i="19" l="1"/>
  <c r="M108" i="19"/>
  <c r="M106" i="19"/>
  <c r="M107" i="19"/>
  <c r="J107" i="19"/>
  <c r="L107" i="19"/>
  <c r="F418" i="47"/>
  <c r="F58" i="43" s="1"/>
  <c r="F72" i="43"/>
  <c r="K100" i="19"/>
  <c r="F416" i="47"/>
  <c r="F70" i="43"/>
  <c r="K98" i="19"/>
  <c r="N106" i="19"/>
  <c r="J109" i="19"/>
  <c r="J105" i="19"/>
  <c r="F390" i="46"/>
  <c r="K107" i="19"/>
  <c r="G74" i="43"/>
  <c r="L102" i="19"/>
  <c r="F417" i="47"/>
  <c r="F57" i="43" s="1"/>
  <c r="F71" i="43"/>
  <c r="K99" i="19"/>
  <c r="I420" i="47"/>
  <c r="I60" i="43" s="1"/>
  <c r="I74" i="43"/>
  <c r="N102" i="19"/>
  <c r="H416" i="47"/>
  <c r="H70" i="43"/>
  <c r="M98" i="19"/>
  <c r="I416" i="47"/>
  <c r="I56" i="43" s="1"/>
  <c r="I70" i="43"/>
  <c r="N98" i="19"/>
  <c r="I419" i="47"/>
  <c r="I59" i="43" s="1"/>
  <c r="I73" i="43"/>
  <c r="N101" i="19"/>
  <c r="L105" i="19"/>
  <c r="E71" i="43"/>
  <c r="J99" i="19"/>
  <c r="M105" i="19"/>
  <c r="I418" i="47"/>
  <c r="I58" i="43" s="1"/>
  <c r="I72" i="43"/>
  <c r="N100" i="19"/>
  <c r="H69" i="43"/>
  <c r="M97" i="19"/>
  <c r="K105" i="19"/>
  <c r="E74" i="43"/>
  <c r="J102" i="19"/>
  <c r="F74" i="43"/>
  <c r="K102" i="19"/>
  <c r="I417" i="47"/>
  <c r="I57" i="43" s="1"/>
  <c r="I71" i="43"/>
  <c r="N99" i="19"/>
  <c r="F844" i="47"/>
  <c r="R101" i="19" s="1"/>
  <c r="L109" i="19"/>
  <c r="N105" i="19"/>
  <c r="G71" i="43"/>
  <c r="I69" i="43"/>
  <c r="N97" i="19"/>
  <c r="K109" i="19"/>
  <c r="H766" i="36"/>
  <c r="G104" i="19" s="1"/>
  <c r="M104" i="19" s="1"/>
  <c r="N109" i="19"/>
  <c r="H418" i="47"/>
  <c r="H58" i="43" s="1"/>
  <c r="H72" i="43"/>
  <c r="M100" i="19"/>
  <c r="I23" i="47"/>
  <c r="U108" i="19"/>
  <c r="N108" i="19" s="1"/>
  <c r="G72" i="43"/>
  <c r="L100" i="19"/>
  <c r="G840" i="47"/>
  <c r="S97" i="19" s="1"/>
  <c r="L99" i="19"/>
  <c r="E143" i="46"/>
  <c r="F203" i="46"/>
  <c r="E130" i="46"/>
  <c r="M109" i="19"/>
  <c r="J106" i="19"/>
  <c r="H417" i="47"/>
  <c r="H57" i="43" s="1"/>
  <c r="H71" i="43"/>
  <c r="M99" i="19"/>
  <c r="E70" i="43"/>
  <c r="J98" i="19"/>
  <c r="K106" i="19"/>
  <c r="H74" i="43"/>
  <c r="M102" i="19"/>
  <c r="I22" i="47"/>
  <c r="U107" i="19"/>
  <c r="N107" i="19" s="1"/>
  <c r="G73" i="43"/>
  <c r="L101" i="19"/>
  <c r="L106" i="19"/>
  <c r="H73" i="43"/>
  <c r="M101" i="19"/>
  <c r="E72" i="43"/>
  <c r="J100" i="19"/>
  <c r="G70" i="43"/>
  <c r="L98" i="19"/>
  <c r="F391" i="46"/>
  <c r="H392" i="46"/>
  <c r="H9" i="46" s="1"/>
  <c r="H16" i="46" s="1"/>
  <c r="E349" i="46"/>
  <c r="E370" i="46"/>
  <c r="E32" i="46"/>
  <c r="H747" i="46"/>
  <c r="E747" i="46" s="1"/>
  <c r="F21" i="47"/>
  <c r="F22" i="47"/>
  <c r="H20" i="47"/>
  <c r="H419" i="47"/>
  <c r="H59" i="43" s="1"/>
  <c r="T77" i="19"/>
  <c r="H56" i="43"/>
  <c r="R77" i="19"/>
  <c r="F56" i="43"/>
  <c r="F20" i="47"/>
  <c r="F7" i="47"/>
  <c r="R78" i="19"/>
  <c r="H8" i="47"/>
  <c r="H10" i="43" s="1"/>
  <c r="T79" i="19"/>
  <c r="H7" i="47"/>
  <c r="H9" i="43" s="1"/>
  <c r="T78" i="19"/>
  <c r="I9" i="47"/>
  <c r="U80" i="19"/>
  <c r="I6" i="47"/>
  <c r="U77" i="19"/>
  <c r="U81" i="19"/>
  <c r="F8" i="47"/>
  <c r="I8" i="47"/>
  <c r="I10" i="43" s="1"/>
  <c r="U79" i="19"/>
  <c r="H875" i="47"/>
  <c r="H868" i="47" s="1"/>
  <c r="H790" i="36"/>
  <c r="G26" i="46"/>
  <c r="F24" i="47"/>
  <c r="F420" i="47"/>
  <c r="F60" i="43" s="1"/>
  <c r="H6" i="47"/>
  <c r="H8" i="43" s="1"/>
  <c r="H397" i="46"/>
  <c r="H390" i="46" s="1"/>
  <c r="H7" i="46" s="1"/>
  <c r="H21" i="46"/>
  <c r="H455" i="46"/>
  <c r="E789" i="46"/>
  <c r="E879" i="47"/>
  <c r="E872" i="47" s="1"/>
  <c r="E794" i="36"/>
  <c r="E568" i="47"/>
  <c r="E519" i="36"/>
  <c r="E206" i="46"/>
  <c r="F199" i="46"/>
  <c r="E199" i="46" s="1"/>
  <c r="E790" i="46"/>
  <c r="E880" i="47"/>
  <c r="E873" i="47" s="1"/>
  <c r="E795" i="36"/>
  <c r="E766" i="36"/>
  <c r="D104" i="19" s="1"/>
  <c r="J104" i="19" s="1"/>
  <c r="F766" i="36"/>
  <c r="E104" i="19" s="1"/>
  <c r="K104" i="19" s="1"/>
  <c r="I847" i="47"/>
  <c r="U104" i="19" s="1"/>
  <c r="I766" i="36"/>
  <c r="H104" i="19" s="1"/>
  <c r="H420" i="47"/>
  <c r="H60" i="43" s="1"/>
  <c r="E562" i="47"/>
  <c r="E513" i="36"/>
  <c r="E455" i="46"/>
  <c r="F6" i="47"/>
  <c r="F8" i="43" s="1"/>
  <c r="E203" i="46"/>
  <c r="E842" i="46"/>
  <c r="H24" i="47"/>
  <c r="H22" i="47"/>
  <c r="F764" i="36"/>
  <c r="E101" i="19" s="1"/>
  <c r="F23" i="46"/>
  <c r="F19" i="46" s="1"/>
  <c r="F392" i="46"/>
  <c r="H23" i="47"/>
  <c r="H21" i="47"/>
  <c r="H26" i="46"/>
  <c r="H57" i="46"/>
  <c r="E457" i="46"/>
  <c r="E739" i="47"/>
  <c r="G738" i="47"/>
  <c r="E507" i="47"/>
  <c r="I506" i="47"/>
  <c r="E135" i="46"/>
  <c r="F62" i="46"/>
  <c r="F57" i="46" s="1"/>
  <c r="F389" i="46"/>
  <c r="F6" i="46" s="1"/>
  <c r="F395" i="46"/>
  <c r="E33" i="46"/>
  <c r="H393" i="46"/>
  <c r="H10" i="46" s="1"/>
  <c r="H17" i="46" s="1"/>
  <c r="I531" i="46"/>
  <c r="N16" i="46"/>
  <c r="E197" i="46"/>
  <c r="O14" i="46"/>
  <c r="H196" i="46"/>
  <c r="F835" i="46"/>
  <c r="E835" i="46" s="1"/>
  <c r="E477" i="46"/>
  <c r="I476" i="46"/>
  <c r="G399" i="46"/>
  <c r="G464" i="46"/>
  <c r="E680" i="46"/>
  <c r="G679" i="46"/>
  <c r="I26" i="46"/>
  <c r="E27" i="46"/>
  <c r="E686" i="46"/>
  <c r="I685" i="46"/>
  <c r="E685" i="46" s="1"/>
  <c r="E836" i="46"/>
  <c r="E208" i="46"/>
  <c r="G201" i="46"/>
  <c r="E832" i="46"/>
  <c r="H829" i="46"/>
  <c r="E829" i="46" s="1"/>
  <c r="H806" i="46"/>
  <c r="H22" i="46"/>
  <c r="F198" i="46"/>
  <c r="E198" i="46" s="1"/>
  <c r="E205" i="46"/>
  <c r="F29" i="46"/>
  <c r="E60" i="46"/>
  <c r="F28" i="46"/>
  <c r="E59" i="46"/>
  <c r="G57" i="46"/>
  <c r="I530" i="46"/>
  <c r="I651" i="46"/>
  <c r="I650" i="46" s="1"/>
  <c r="I649" i="46" s="1"/>
  <c r="E61" i="46"/>
  <c r="F30" i="46"/>
  <c r="I11" i="46"/>
  <c r="I18" i="46" s="1"/>
  <c r="E202" i="46"/>
  <c r="E791" i="46"/>
  <c r="H785" i="46"/>
  <c r="E408" i="46"/>
  <c r="E407" i="46" s="1"/>
  <c r="H407" i="46"/>
  <c r="H396" i="46"/>
  <c r="H20" i="46"/>
  <c r="F18" i="46"/>
  <c r="E18" i="46" s="1"/>
  <c r="F372" i="36"/>
  <c r="R79" i="19" l="1"/>
  <c r="H26" i="43"/>
  <c r="T25" i="19"/>
  <c r="H14" i="46"/>
  <c r="I10" i="47"/>
  <c r="U11" i="19" s="1"/>
  <c r="F24" i="43"/>
  <c r="R23" i="19"/>
  <c r="F840" i="47"/>
  <c r="R97" i="19" s="1"/>
  <c r="F73" i="43"/>
  <c r="K101" i="19"/>
  <c r="E844" i="47"/>
  <c r="Q101" i="19" s="1"/>
  <c r="H24" i="43"/>
  <c r="T23" i="19"/>
  <c r="F26" i="43"/>
  <c r="R25" i="19"/>
  <c r="N104" i="19"/>
  <c r="U78" i="19"/>
  <c r="F22" i="43"/>
  <c r="R21" i="19"/>
  <c r="F23" i="43"/>
  <c r="R22" i="19"/>
  <c r="G69" i="43"/>
  <c r="L97" i="19"/>
  <c r="I25" i="43"/>
  <c r="U24" i="19"/>
  <c r="H25" i="43"/>
  <c r="T24" i="19"/>
  <c r="H22" i="43"/>
  <c r="T21" i="19"/>
  <c r="H23" i="43"/>
  <c r="T22" i="19"/>
  <c r="I7" i="47"/>
  <c r="I9" i="43" s="1"/>
  <c r="I24" i="43"/>
  <c r="U23" i="19"/>
  <c r="E57" i="46"/>
  <c r="U8" i="19"/>
  <c r="H14" i="47"/>
  <c r="T15" i="19" s="1"/>
  <c r="T80" i="19"/>
  <c r="H9" i="47"/>
  <c r="T10" i="19" s="1"/>
  <c r="U9" i="19"/>
  <c r="T8" i="19"/>
  <c r="H15" i="47"/>
  <c r="T16" i="19" s="1"/>
  <c r="F15" i="47"/>
  <c r="F10" i="43"/>
  <c r="I8" i="43"/>
  <c r="R8" i="19"/>
  <c r="F9" i="43"/>
  <c r="T9" i="19"/>
  <c r="I24" i="47"/>
  <c r="U10" i="19"/>
  <c r="I11" i="43"/>
  <c r="R9" i="19"/>
  <c r="I20" i="47"/>
  <c r="F14" i="47"/>
  <c r="U7" i="19"/>
  <c r="H10" i="47"/>
  <c r="T81" i="19"/>
  <c r="F10" i="47"/>
  <c r="F12" i="43" s="1"/>
  <c r="R81" i="19"/>
  <c r="H19" i="47"/>
  <c r="T7" i="19"/>
  <c r="H13" i="47"/>
  <c r="F23" i="47"/>
  <c r="F419" i="47"/>
  <c r="E875" i="47"/>
  <c r="E790" i="36"/>
  <c r="E11" i="46"/>
  <c r="R7" i="19"/>
  <c r="F13" i="47"/>
  <c r="H415" i="47"/>
  <c r="E738" i="47"/>
  <c r="G737" i="47"/>
  <c r="I505" i="47"/>
  <c r="E506" i="47"/>
  <c r="F13" i="46"/>
  <c r="H19" i="46"/>
  <c r="F388" i="46"/>
  <c r="E201" i="46"/>
  <c r="G196" i="46"/>
  <c r="G398" i="46"/>
  <c r="G463" i="46"/>
  <c r="F196" i="46"/>
  <c r="E476" i="46"/>
  <c r="I475" i="46"/>
  <c r="E29" i="46"/>
  <c r="F8" i="46"/>
  <c r="M792" i="46"/>
  <c r="E785" i="46"/>
  <c r="M14" i="46"/>
  <c r="F7" i="46"/>
  <c r="E28" i="46"/>
  <c r="M16" i="46"/>
  <c r="F9" i="46"/>
  <c r="E30" i="46"/>
  <c r="H391" i="46"/>
  <c r="H8" i="46" s="1"/>
  <c r="H15" i="46" s="1"/>
  <c r="H803" i="46"/>
  <c r="E803" i="46" s="1"/>
  <c r="H389" i="46"/>
  <c r="H395" i="46"/>
  <c r="G678" i="46"/>
  <c r="E679" i="46"/>
  <c r="F31" i="46"/>
  <c r="E62" i="46"/>
  <c r="N17" i="46"/>
  <c r="E806" i="46"/>
  <c r="N19" i="36"/>
  <c r="I5" i="47" l="1"/>
  <c r="I22" i="43"/>
  <c r="U21" i="19"/>
  <c r="H21" i="43"/>
  <c r="T20" i="19"/>
  <c r="F69" i="43"/>
  <c r="K97" i="19"/>
  <c r="F19" i="47"/>
  <c r="F25" i="43"/>
  <c r="R24" i="19"/>
  <c r="I12" i="43"/>
  <c r="E840" i="47"/>
  <c r="Q97" i="19" s="1"/>
  <c r="E73" i="43"/>
  <c r="J101" i="19"/>
  <c r="I26" i="43"/>
  <c r="U25" i="19"/>
  <c r="I21" i="47"/>
  <c r="I19" i="47" s="1"/>
  <c r="H16" i="43"/>
  <c r="H16" i="47"/>
  <c r="H18" i="43" s="1"/>
  <c r="H17" i="43"/>
  <c r="H11" i="43"/>
  <c r="F17" i="47"/>
  <c r="R18" i="19" s="1"/>
  <c r="R11" i="19"/>
  <c r="H5" i="47"/>
  <c r="H12" i="43"/>
  <c r="R80" i="19"/>
  <c r="F59" i="43"/>
  <c r="U6" i="19"/>
  <c r="I7" i="43"/>
  <c r="T14" i="19"/>
  <c r="H15" i="43"/>
  <c r="R14" i="19"/>
  <c r="F15" i="43"/>
  <c r="R16" i="19"/>
  <c r="F17" i="43"/>
  <c r="T76" i="19"/>
  <c r="H55" i="43"/>
  <c r="T11" i="19"/>
  <c r="R15" i="19"/>
  <c r="F16" i="43"/>
  <c r="H17" i="47"/>
  <c r="F9" i="47"/>
  <c r="F11" i="43" s="1"/>
  <c r="F415" i="47"/>
  <c r="E196" i="46"/>
  <c r="E868" i="47"/>
  <c r="M876" i="47"/>
  <c r="G736" i="47"/>
  <c r="E737" i="47"/>
  <c r="E505" i="47"/>
  <c r="I503" i="47"/>
  <c r="F10" i="46"/>
  <c r="F5" i="46" s="1"/>
  <c r="E31" i="46"/>
  <c r="M17" i="46"/>
  <c r="G462" i="46"/>
  <c r="G397" i="46"/>
  <c r="E678" i="46"/>
  <c r="G677" i="46"/>
  <c r="F14" i="46"/>
  <c r="H388" i="46"/>
  <c r="H6" i="46"/>
  <c r="F15" i="46"/>
  <c r="E475" i="46"/>
  <c r="I474" i="46"/>
  <c r="F16" i="46"/>
  <c r="F26" i="46"/>
  <c r="E26" i="46" s="1"/>
  <c r="G209" i="36"/>
  <c r="H209" i="36"/>
  <c r="I209" i="36"/>
  <c r="F209" i="36"/>
  <c r="I21" i="43" l="1"/>
  <c r="U20" i="19"/>
  <c r="I23" i="43"/>
  <c r="U22" i="19"/>
  <c r="E69" i="43"/>
  <c r="J97" i="19"/>
  <c r="F21" i="43"/>
  <c r="R20" i="19"/>
  <c r="T17" i="19"/>
  <c r="F19" i="43"/>
  <c r="T18" i="19"/>
  <c r="H19" i="43"/>
  <c r="R76" i="19"/>
  <c r="F55" i="43"/>
  <c r="H12" i="47"/>
  <c r="H14" i="43" s="1"/>
  <c r="T6" i="19"/>
  <c r="H7" i="43"/>
  <c r="R10" i="19"/>
  <c r="F16" i="47"/>
  <c r="F18" i="43" s="1"/>
  <c r="F5" i="47"/>
  <c r="I502" i="47"/>
  <c r="E503" i="47"/>
  <c r="E736" i="47"/>
  <c r="G735" i="47"/>
  <c r="G461" i="46"/>
  <c r="G396" i="46"/>
  <c r="H13" i="46"/>
  <c r="H12" i="46" s="1"/>
  <c r="H5" i="46"/>
  <c r="E677" i="46"/>
  <c r="G676" i="46"/>
  <c r="E474" i="46"/>
  <c r="I473" i="46"/>
  <c r="F17" i="46"/>
  <c r="F12" i="46" s="1"/>
  <c r="F531" i="36"/>
  <c r="E641" i="36"/>
  <c r="G354" i="36"/>
  <c r="H354" i="36"/>
  <c r="I354" i="36"/>
  <c r="F354" i="36"/>
  <c r="T13" i="19" l="1"/>
  <c r="R6" i="19"/>
  <c r="F7" i="43"/>
  <c r="F12" i="47"/>
  <c r="R17" i="19"/>
  <c r="G734" i="47"/>
  <c r="E735" i="47"/>
  <c r="I501" i="47"/>
  <c r="E502" i="47"/>
  <c r="G395" i="46"/>
  <c r="E395" i="46" s="1"/>
  <c r="I472" i="46"/>
  <c r="E473" i="46"/>
  <c r="E676" i="46"/>
  <c r="G675" i="46"/>
  <c r="E544" i="36"/>
  <c r="E367" i="36"/>
  <c r="E305" i="36"/>
  <c r="E244" i="36"/>
  <c r="E237" i="36"/>
  <c r="E230" i="36"/>
  <c r="E223" i="36"/>
  <c r="E216" i="36"/>
  <c r="E189" i="36"/>
  <c r="E182" i="36"/>
  <c r="E156" i="36"/>
  <c r="E149" i="36"/>
  <c r="E142" i="36"/>
  <c r="E123" i="36"/>
  <c r="E104" i="36"/>
  <c r="E97" i="36"/>
  <c r="E90" i="36"/>
  <c r="E83" i="36"/>
  <c r="E854" i="36"/>
  <c r="E815" i="36"/>
  <c r="E759" i="36"/>
  <c r="D96" i="19" s="1"/>
  <c r="J96" i="19" s="1"/>
  <c r="G752" i="36"/>
  <c r="F89" i="19" s="1"/>
  <c r="L89" i="19" s="1"/>
  <c r="F752" i="36"/>
  <c r="E89" i="19" s="1"/>
  <c r="K89" i="19" s="1"/>
  <c r="E745" i="36"/>
  <c r="E738" i="36"/>
  <c r="R13" i="19" l="1"/>
  <c r="F14" i="43"/>
  <c r="I500" i="47"/>
  <c r="E501" i="47"/>
  <c r="G732" i="47"/>
  <c r="E734" i="47"/>
  <c r="G674" i="46"/>
  <c r="E675" i="46"/>
  <c r="E472" i="46"/>
  <c r="I471" i="46"/>
  <c r="E70" i="36"/>
  <c r="G63" i="36"/>
  <c r="H63" i="36"/>
  <c r="I63" i="36"/>
  <c r="F63" i="36"/>
  <c r="G169" i="36"/>
  <c r="H169" i="36"/>
  <c r="I169" i="36"/>
  <c r="F169" i="36"/>
  <c r="G202" i="36"/>
  <c r="G847" i="36"/>
  <c r="H847" i="36"/>
  <c r="I847" i="36"/>
  <c r="F847" i="36"/>
  <c r="G808" i="36"/>
  <c r="H808" i="36"/>
  <c r="I808" i="36"/>
  <c r="F808" i="36"/>
  <c r="H752" i="36"/>
  <c r="G89" i="19" s="1"/>
  <c r="M89" i="19" s="1"/>
  <c r="I752" i="36"/>
  <c r="H89" i="19" s="1"/>
  <c r="N89" i="19" s="1"/>
  <c r="E732" i="47" l="1"/>
  <c r="G731" i="47"/>
  <c r="I499" i="47"/>
  <c r="E499" i="47" s="1"/>
  <c r="E500" i="47"/>
  <c r="F840" i="36"/>
  <c r="I840" i="36"/>
  <c r="H840" i="36"/>
  <c r="G840" i="36"/>
  <c r="I470" i="46"/>
  <c r="I23" i="46"/>
  <c r="E471" i="46"/>
  <c r="E674" i="46"/>
  <c r="G673" i="46"/>
  <c r="E808" i="36"/>
  <c r="E209" i="36"/>
  <c r="F32" i="36"/>
  <c r="E752" i="36"/>
  <c r="D89" i="19" s="1"/>
  <c r="J89" i="19" s="1"/>
  <c r="I202" i="36"/>
  <c r="I32" i="36"/>
  <c r="G32" i="36"/>
  <c r="F202" i="36"/>
  <c r="E169" i="36"/>
  <c r="H202" i="36"/>
  <c r="H32" i="36"/>
  <c r="E354" i="36"/>
  <c r="E847" i="36"/>
  <c r="E63" i="36"/>
  <c r="G531" i="36"/>
  <c r="H531" i="36"/>
  <c r="I531" i="36"/>
  <c r="F530" i="36"/>
  <c r="F37" i="36"/>
  <c r="E731" i="47" l="1"/>
  <c r="G730" i="47"/>
  <c r="I392" i="36"/>
  <c r="H82" i="19" s="1"/>
  <c r="N82" i="19" s="1"/>
  <c r="E840" i="36"/>
  <c r="G392" i="36"/>
  <c r="F82" i="19" s="1"/>
  <c r="L82" i="19" s="1"/>
  <c r="E673" i="46"/>
  <c r="G672" i="46"/>
  <c r="E470" i="46"/>
  <c r="I469" i="46"/>
  <c r="I22" i="46"/>
  <c r="E32" i="36"/>
  <c r="E202" i="36"/>
  <c r="F392" i="36"/>
  <c r="E82" i="19" s="1"/>
  <c r="K82" i="19" s="1"/>
  <c r="H392" i="36"/>
  <c r="G82" i="19" s="1"/>
  <c r="M82" i="19" s="1"/>
  <c r="N18" i="19"/>
  <c r="N17" i="19"/>
  <c r="N16" i="19"/>
  <c r="E531" i="36"/>
  <c r="N15" i="19"/>
  <c r="N14" i="19"/>
  <c r="N13" i="19"/>
  <c r="E778" i="45"/>
  <c r="E777" i="45"/>
  <c r="F776" i="45"/>
  <c r="E775" i="45"/>
  <c r="E774" i="45"/>
  <c r="I773" i="45"/>
  <c r="H773" i="45"/>
  <c r="G773" i="45"/>
  <c r="I772" i="45"/>
  <c r="H772" i="45"/>
  <c r="H766" i="45" s="1"/>
  <c r="G772" i="45"/>
  <c r="F772" i="45"/>
  <c r="I771" i="45"/>
  <c r="H771" i="45"/>
  <c r="G771" i="45"/>
  <c r="G765" i="45" s="1"/>
  <c r="F771" i="45"/>
  <c r="I770" i="45"/>
  <c r="I764" i="45" s="1"/>
  <c r="H770" i="45"/>
  <c r="H764" i="45" s="1"/>
  <c r="G770" i="45"/>
  <c r="G764" i="45" s="1"/>
  <c r="I769" i="45"/>
  <c r="H769" i="45"/>
  <c r="G769" i="45"/>
  <c r="G763" i="45" s="1"/>
  <c r="F769" i="45"/>
  <c r="I768" i="45"/>
  <c r="H768" i="45"/>
  <c r="G768" i="45"/>
  <c r="F768" i="45"/>
  <c r="F762" i="45" s="1"/>
  <c r="E760" i="45"/>
  <c r="E759" i="45"/>
  <c r="F758" i="45"/>
  <c r="H758" i="45" s="1"/>
  <c r="E757" i="45"/>
  <c r="E756" i="45"/>
  <c r="I755" i="45"/>
  <c r="G755" i="45"/>
  <c r="E754" i="45"/>
  <c r="E753" i="45"/>
  <c r="E752" i="45"/>
  <c r="E751" i="45"/>
  <c r="E750" i="45"/>
  <c r="I749" i="45"/>
  <c r="E749" i="45" s="1"/>
  <c r="E748" i="45"/>
  <c r="E747" i="45"/>
  <c r="E746" i="45"/>
  <c r="E745" i="45"/>
  <c r="E744" i="45"/>
  <c r="I743" i="45"/>
  <c r="H743" i="45"/>
  <c r="G743" i="45"/>
  <c r="F743" i="45"/>
  <c r="E742" i="45"/>
  <c r="E741" i="45"/>
  <c r="F740" i="45"/>
  <c r="F737" i="45" s="1"/>
  <c r="E739" i="45"/>
  <c r="E738" i="45"/>
  <c r="I737" i="45"/>
  <c r="H737" i="45"/>
  <c r="G737" i="45"/>
  <c r="I736" i="45"/>
  <c r="H736" i="45"/>
  <c r="G736" i="45"/>
  <c r="F736" i="45"/>
  <c r="I735" i="45"/>
  <c r="H735" i="45"/>
  <c r="G735" i="45"/>
  <c r="F735" i="45"/>
  <c r="I734" i="45"/>
  <c r="G734" i="45"/>
  <c r="I733" i="45"/>
  <c r="H733" i="45"/>
  <c r="G733" i="45"/>
  <c r="F733" i="45"/>
  <c r="I732" i="45"/>
  <c r="H732" i="45"/>
  <c r="G732" i="45"/>
  <c r="F732" i="45"/>
  <c r="E730" i="45"/>
  <c r="E729" i="45"/>
  <c r="E728" i="45"/>
  <c r="M727" i="45"/>
  <c r="E727" i="45"/>
  <c r="E726" i="45"/>
  <c r="I725" i="45"/>
  <c r="H725" i="45"/>
  <c r="G725" i="45"/>
  <c r="F725" i="45"/>
  <c r="E724" i="45"/>
  <c r="E723" i="45"/>
  <c r="E722" i="45"/>
  <c r="E721" i="45"/>
  <c r="E720" i="45"/>
  <c r="I719" i="45"/>
  <c r="H719" i="45"/>
  <c r="H713" i="45" s="1"/>
  <c r="G719" i="45"/>
  <c r="F719" i="45"/>
  <c r="I718" i="45"/>
  <c r="H718" i="45"/>
  <c r="G718" i="45"/>
  <c r="F718" i="45"/>
  <c r="I717" i="45"/>
  <c r="H717" i="45"/>
  <c r="G717" i="45"/>
  <c r="F717" i="45"/>
  <c r="I716" i="45"/>
  <c r="H716" i="45"/>
  <c r="G716" i="45"/>
  <c r="F716" i="45"/>
  <c r="I715" i="45"/>
  <c r="H715" i="45"/>
  <c r="G715" i="45"/>
  <c r="F715" i="45"/>
  <c r="I714" i="45"/>
  <c r="H714" i="45"/>
  <c r="G714" i="45"/>
  <c r="F714" i="45"/>
  <c r="I712" i="45"/>
  <c r="H712" i="45"/>
  <c r="G712" i="45"/>
  <c r="F712" i="45"/>
  <c r="E712" i="45"/>
  <c r="I711" i="45"/>
  <c r="H711" i="45"/>
  <c r="G711" i="45"/>
  <c r="F711" i="45"/>
  <c r="E711" i="45"/>
  <c r="I710" i="45"/>
  <c r="H710" i="45"/>
  <c r="G710" i="45"/>
  <c r="F710" i="45"/>
  <c r="E710" i="45"/>
  <c r="I709" i="45"/>
  <c r="H709" i="45"/>
  <c r="G709" i="45"/>
  <c r="F709" i="45"/>
  <c r="E709" i="45"/>
  <c r="I708" i="45"/>
  <c r="H708" i="45"/>
  <c r="G708" i="45"/>
  <c r="F708" i="45"/>
  <c r="E708" i="45"/>
  <c r="I707" i="45"/>
  <c r="H707" i="45"/>
  <c r="G707" i="45"/>
  <c r="F707" i="45"/>
  <c r="E707" i="45"/>
  <c r="I706" i="45"/>
  <c r="H706" i="45"/>
  <c r="G706" i="45"/>
  <c r="F706" i="45"/>
  <c r="E706" i="45"/>
  <c r="I705" i="45"/>
  <c r="H705" i="45"/>
  <c r="G705" i="45"/>
  <c r="F705" i="45"/>
  <c r="E705" i="45"/>
  <c r="I704" i="45"/>
  <c r="H704" i="45"/>
  <c r="G704" i="45"/>
  <c r="F704" i="45"/>
  <c r="E704" i="45"/>
  <c r="I703" i="45"/>
  <c r="H703" i="45"/>
  <c r="G703" i="45"/>
  <c r="F703" i="45"/>
  <c r="E703" i="45"/>
  <c r="I702" i="45"/>
  <c r="H702" i="45"/>
  <c r="G702" i="45"/>
  <c r="F702" i="45"/>
  <c r="E702" i="45"/>
  <c r="I701" i="45"/>
  <c r="H701" i="45"/>
  <c r="G701" i="45"/>
  <c r="F701" i="45"/>
  <c r="E701" i="45"/>
  <c r="I700" i="45"/>
  <c r="H700" i="45"/>
  <c r="G700" i="45"/>
  <c r="F700" i="45"/>
  <c r="E700" i="45"/>
  <c r="I699" i="45"/>
  <c r="H699" i="45"/>
  <c r="G699" i="45"/>
  <c r="F699" i="45"/>
  <c r="E699" i="45"/>
  <c r="I698" i="45"/>
  <c r="H698" i="45"/>
  <c r="G698" i="45"/>
  <c r="F698" i="45"/>
  <c r="E698" i="45"/>
  <c r="I697" i="45"/>
  <c r="H697" i="45"/>
  <c r="G697" i="45"/>
  <c r="F697" i="45"/>
  <c r="E697" i="45"/>
  <c r="I696" i="45"/>
  <c r="H696" i="45"/>
  <c r="G696" i="45"/>
  <c r="F696" i="45"/>
  <c r="E696" i="45"/>
  <c r="I695" i="45"/>
  <c r="H695" i="45"/>
  <c r="G695" i="45"/>
  <c r="F695" i="45"/>
  <c r="E695" i="45"/>
  <c r="I694" i="45"/>
  <c r="H694" i="45"/>
  <c r="G694" i="45"/>
  <c r="F694" i="45"/>
  <c r="E694" i="45"/>
  <c r="I693" i="45"/>
  <c r="H693" i="45"/>
  <c r="G693" i="45"/>
  <c r="F693" i="45"/>
  <c r="E693" i="45"/>
  <c r="I692" i="45"/>
  <c r="H692" i="45"/>
  <c r="G692" i="45"/>
  <c r="F692" i="45"/>
  <c r="E692" i="45"/>
  <c r="I691" i="45"/>
  <c r="H691" i="45"/>
  <c r="G691" i="45"/>
  <c r="F691" i="45"/>
  <c r="E691" i="45"/>
  <c r="I690" i="45"/>
  <c r="H690" i="45"/>
  <c r="G690" i="45"/>
  <c r="F690" i="45"/>
  <c r="E690" i="45"/>
  <c r="I689" i="45"/>
  <c r="H689" i="45"/>
  <c r="G689" i="45"/>
  <c r="F689" i="45"/>
  <c r="E689" i="45"/>
  <c r="I688" i="45"/>
  <c r="E687" i="45"/>
  <c r="E686" i="45"/>
  <c r="E685" i="45"/>
  <c r="E684" i="45"/>
  <c r="G683" i="45"/>
  <c r="F683" i="45"/>
  <c r="G682" i="45"/>
  <c r="F682" i="45"/>
  <c r="I681" i="45"/>
  <c r="H681" i="45"/>
  <c r="G681" i="45"/>
  <c r="F681" i="45"/>
  <c r="I680" i="45"/>
  <c r="H680" i="45"/>
  <c r="G680" i="45"/>
  <c r="F680" i="45"/>
  <c r="I679" i="45"/>
  <c r="H679" i="45"/>
  <c r="G679" i="45"/>
  <c r="F679" i="45"/>
  <c r="I678" i="45"/>
  <c r="H678" i="45"/>
  <c r="G678" i="45"/>
  <c r="F678" i="45"/>
  <c r="F676" i="45"/>
  <c r="E676" i="45" s="1"/>
  <c r="F675" i="45"/>
  <c r="E675" i="45" s="1"/>
  <c r="F674" i="45"/>
  <c r="E674" i="45" s="1"/>
  <c r="H673" i="45"/>
  <c r="E673" i="45" s="1"/>
  <c r="F672" i="45"/>
  <c r="E672" i="45" s="1"/>
  <c r="E670" i="45"/>
  <c r="E669" i="45"/>
  <c r="E668" i="45"/>
  <c r="H667" i="45"/>
  <c r="E667" i="45" s="1"/>
  <c r="E666" i="45"/>
  <c r="F665" i="45"/>
  <c r="E664" i="45"/>
  <c r="E663" i="45"/>
  <c r="E662" i="45"/>
  <c r="F661" i="45"/>
  <c r="H661" i="45" s="1"/>
  <c r="E660" i="45"/>
  <c r="I659" i="45"/>
  <c r="G659" i="45"/>
  <c r="F659" i="45"/>
  <c r="E658" i="45"/>
  <c r="E657" i="45"/>
  <c r="E656" i="45"/>
  <c r="F655" i="45"/>
  <c r="H655" i="45" s="1"/>
  <c r="E654" i="45"/>
  <c r="I653" i="45"/>
  <c r="G653" i="45"/>
  <c r="F653" i="45"/>
  <c r="E652" i="45"/>
  <c r="E651" i="45"/>
  <c r="E650" i="45"/>
  <c r="E649" i="45"/>
  <c r="E648" i="45"/>
  <c r="I647" i="45"/>
  <c r="H647" i="45"/>
  <c r="G647" i="45"/>
  <c r="F647" i="45"/>
  <c r="E646" i="45"/>
  <c r="E645" i="45"/>
  <c r="E644" i="45"/>
  <c r="E643" i="45"/>
  <c r="E642" i="45"/>
  <c r="I641" i="45"/>
  <c r="H641" i="45"/>
  <c r="G641" i="45"/>
  <c r="F641" i="45"/>
  <c r="E640" i="45"/>
  <c r="E639" i="45"/>
  <c r="E638" i="45"/>
  <c r="E637" i="45"/>
  <c r="E636" i="45"/>
  <c r="I635" i="45"/>
  <c r="H635" i="45"/>
  <c r="G635" i="45"/>
  <c r="F635" i="45"/>
  <c r="E634" i="45"/>
  <c r="E633" i="45"/>
  <c r="I632" i="45"/>
  <c r="E632" i="45" s="1"/>
  <c r="H631" i="45"/>
  <c r="G629" i="45"/>
  <c r="G625" i="45" s="1"/>
  <c r="F629" i="45"/>
  <c r="E628" i="45"/>
  <c r="E627" i="45"/>
  <c r="E626" i="45"/>
  <c r="H625" i="45"/>
  <c r="H623" i="45" s="1"/>
  <c r="I623" i="45"/>
  <c r="I622" i="45" s="1"/>
  <c r="I621" i="45" s="1"/>
  <c r="I620" i="45" s="1"/>
  <c r="I619" i="45" s="1"/>
  <c r="I618" i="45" s="1"/>
  <c r="I617" i="45" s="1"/>
  <c r="I616" i="45" s="1"/>
  <c r="I615" i="45" s="1"/>
  <c r="I614" i="45" s="1"/>
  <c r="I613" i="45" s="1"/>
  <c r="I612" i="45" s="1"/>
  <c r="I611" i="45" s="1"/>
  <c r="I610" i="45" s="1"/>
  <c r="I609" i="45" s="1"/>
  <c r="I608" i="45" s="1"/>
  <c r="I607" i="45" s="1"/>
  <c r="I606" i="45" s="1"/>
  <c r="I605" i="45" s="1"/>
  <c r="I604" i="45" s="1"/>
  <c r="I603" i="45" s="1"/>
  <c r="I602" i="45" s="1"/>
  <c r="I601" i="45" s="1"/>
  <c r="I600" i="45" s="1"/>
  <c r="I599" i="45" s="1"/>
  <c r="I598" i="45" s="1"/>
  <c r="F623" i="45"/>
  <c r="H617" i="45"/>
  <c r="F617" i="45"/>
  <c r="H613" i="45"/>
  <c r="H611" i="45" s="1"/>
  <c r="F611" i="45"/>
  <c r="H607" i="45"/>
  <c r="H605" i="45" s="1"/>
  <c r="F605" i="45"/>
  <c r="H599" i="45"/>
  <c r="F599" i="45"/>
  <c r="H595" i="45"/>
  <c r="H593" i="45" s="1"/>
  <c r="F593" i="45"/>
  <c r="E592" i="45"/>
  <c r="E591" i="45"/>
  <c r="E590" i="45"/>
  <c r="E589" i="45"/>
  <c r="E588" i="45"/>
  <c r="I587" i="45"/>
  <c r="H587" i="45"/>
  <c r="G587" i="45"/>
  <c r="F587" i="45"/>
  <c r="E586" i="45"/>
  <c r="E585" i="45"/>
  <c r="E584" i="45"/>
  <c r="E583" i="45"/>
  <c r="E582" i="45"/>
  <c r="I581" i="45"/>
  <c r="H581" i="45"/>
  <c r="G581" i="45"/>
  <c r="F581" i="45"/>
  <c r="E580" i="45"/>
  <c r="E579" i="45"/>
  <c r="E578" i="45"/>
  <c r="E577" i="45"/>
  <c r="E576" i="45"/>
  <c r="I575" i="45"/>
  <c r="H575" i="45"/>
  <c r="G575" i="45"/>
  <c r="F575" i="45"/>
  <c r="E574" i="45"/>
  <c r="E573" i="45"/>
  <c r="E572" i="45"/>
  <c r="E571" i="45"/>
  <c r="E570" i="45"/>
  <c r="I569" i="45"/>
  <c r="H569" i="45"/>
  <c r="G569" i="45"/>
  <c r="F569" i="45"/>
  <c r="E568" i="45"/>
  <c r="E567" i="45"/>
  <c r="E566" i="45"/>
  <c r="E565" i="45"/>
  <c r="H564" i="45"/>
  <c r="E564" i="45" s="1"/>
  <c r="G563" i="45"/>
  <c r="F563" i="45"/>
  <c r="E562" i="45"/>
  <c r="E561" i="45"/>
  <c r="E560" i="45"/>
  <c r="H559" i="45"/>
  <c r="E559" i="45" s="1"/>
  <c r="H558" i="45"/>
  <c r="E558" i="45" s="1"/>
  <c r="I557" i="45"/>
  <c r="G557" i="45"/>
  <c r="F557" i="45"/>
  <c r="E556" i="45"/>
  <c r="E555" i="45"/>
  <c r="E554" i="45"/>
  <c r="E553" i="45"/>
  <c r="E552" i="45"/>
  <c r="I551" i="45"/>
  <c r="H551" i="45"/>
  <c r="G551" i="45"/>
  <c r="F551" i="45"/>
  <c r="E550" i="45"/>
  <c r="E549" i="45"/>
  <c r="E548" i="45"/>
  <c r="E547" i="45"/>
  <c r="E546" i="45"/>
  <c r="E545" i="45"/>
  <c r="E544" i="45"/>
  <c r="E543" i="45"/>
  <c r="E542" i="45"/>
  <c r="E541" i="45"/>
  <c r="E540" i="45"/>
  <c r="I539" i="45"/>
  <c r="H539" i="45"/>
  <c r="G539" i="45"/>
  <c r="F539" i="45"/>
  <c r="H534" i="45"/>
  <c r="E534" i="45" s="1"/>
  <c r="I533" i="45"/>
  <c r="G533" i="45"/>
  <c r="F533" i="45"/>
  <c r="H528" i="45"/>
  <c r="H527" i="45" s="1"/>
  <c r="I527" i="45"/>
  <c r="G527" i="45"/>
  <c r="F527" i="45"/>
  <c r="H522" i="45"/>
  <c r="H521" i="45" s="1"/>
  <c r="I521" i="45"/>
  <c r="G521" i="45"/>
  <c r="F521" i="45"/>
  <c r="H516" i="45"/>
  <c r="H515" i="45" s="1"/>
  <c r="I515" i="45"/>
  <c r="G515" i="45"/>
  <c r="F515" i="45"/>
  <c r="H510" i="45"/>
  <c r="E510" i="45" s="1"/>
  <c r="I509" i="45"/>
  <c r="G509" i="45"/>
  <c r="F509" i="45"/>
  <c r="H504" i="45"/>
  <c r="E504" i="45" s="1"/>
  <c r="I503" i="45"/>
  <c r="G503" i="45"/>
  <c r="F503" i="45"/>
  <c r="E498" i="45"/>
  <c r="I497" i="45"/>
  <c r="H497" i="45"/>
  <c r="G497" i="45"/>
  <c r="F497" i="45"/>
  <c r="E496" i="45"/>
  <c r="E495" i="45"/>
  <c r="E494" i="45"/>
  <c r="F493" i="45"/>
  <c r="E493" i="45" s="1"/>
  <c r="F492" i="45"/>
  <c r="F474" i="45" s="1"/>
  <c r="I491" i="45"/>
  <c r="H491" i="45"/>
  <c r="G491" i="45"/>
  <c r="E490" i="45"/>
  <c r="F489" i="45"/>
  <c r="F488" i="45"/>
  <c r="E487" i="45"/>
  <c r="E486" i="45"/>
  <c r="I485" i="45"/>
  <c r="H485" i="45"/>
  <c r="G485" i="45"/>
  <c r="E484" i="45"/>
  <c r="I483" i="45"/>
  <c r="E483" i="45" s="1"/>
  <c r="F482" i="45"/>
  <c r="E482" i="45" s="1"/>
  <c r="E481" i="45"/>
  <c r="E480" i="45"/>
  <c r="H479" i="45"/>
  <c r="G479" i="45"/>
  <c r="H478" i="45"/>
  <c r="F478" i="45"/>
  <c r="H477" i="45"/>
  <c r="H476" i="45"/>
  <c r="E472" i="45"/>
  <c r="E471" i="45"/>
  <c r="E470" i="45"/>
  <c r="E469" i="45"/>
  <c r="E468" i="45"/>
  <c r="I467" i="45"/>
  <c r="H467" i="45"/>
  <c r="G467" i="45"/>
  <c r="F467" i="45"/>
  <c r="E466" i="45"/>
  <c r="E465" i="45"/>
  <c r="E464" i="45"/>
  <c r="E463" i="45"/>
  <c r="E462" i="45"/>
  <c r="I461" i="45"/>
  <c r="H461" i="45"/>
  <c r="F461" i="45"/>
  <c r="E460" i="45"/>
  <c r="E459" i="45"/>
  <c r="E458" i="45"/>
  <c r="E457" i="45"/>
  <c r="E456" i="45"/>
  <c r="I455" i="45"/>
  <c r="H455" i="45"/>
  <c r="G455" i="45"/>
  <c r="F455" i="45"/>
  <c r="E454" i="45"/>
  <c r="E453" i="45"/>
  <c r="E452" i="45"/>
  <c r="F451" i="45"/>
  <c r="F449" i="45" s="1"/>
  <c r="E450" i="45"/>
  <c r="I449" i="45"/>
  <c r="H449" i="45"/>
  <c r="G449" i="45"/>
  <c r="E448" i="45"/>
  <c r="E447" i="45"/>
  <c r="E446" i="45"/>
  <c r="E445" i="45"/>
  <c r="E444" i="45"/>
  <c r="I443" i="45"/>
  <c r="H443" i="45"/>
  <c r="G443" i="45"/>
  <c r="F443" i="45"/>
  <c r="E442" i="45"/>
  <c r="E441" i="45"/>
  <c r="E440" i="45"/>
  <c r="E439" i="45"/>
  <c r="E438" i="45"/>
  <c r="I437" i="45"/>
  <c r="I436" i="45" s="1"/>
  <c r="H437" i="45"/>
  <c r="F437" i="45"/>
  <c r="H433" i="45"/>
  <c r="H431" i="45" s="1"/>
  <c r="F431" i="45"/>
  <c r="H425" i="45"/>
  <c r="G425" i="45"/>
  <c r="G424" i="45" s="1"/>
  <c r="F425" i="45"/>
  <c r="H419" i="45"/>
  <c r="F419" i="45"/>
  <c r="E418" i="45"/>
  <c r="E417" i="45"/>
  <c r="E416" i="45"/>
  <c r="F415" i="45"/>
  <c r="F413" i="45" s="1"/>
  <c r="E414" i="45"/>
  <c r="I413" i="45"/>
  <c r="G413" i="45"/>
  <c r="E412" i="45"/>
  <c r="E411" i="45"/>
  <c r="E410" i="45"/>
  <c r="F409" i="45"/>
  <c r="F407" i="45" s="1"/>
  <c r="E408" i="45"/>
  <c r="I407" i="45"/>
  <c r="H407" i="45"/>
  <c r="G407" i="45"/>
  <c r="E406" i="45"/>
  <c r="E405" i="45"/>
  <c r="E404" i="45"/>
  <c r="E403" i="45"/>
  <c r="E402" i="45"/>
  <c r="I401" i="45"/>
  <c r="H401" i="45"/>
  <c r="G401" i="45"/>
  <c r="F401" i="45"/>
  <c r="E400" i="45"/>
  <c r="E399" i="45"/>
  <c r="E398" i="45"/>
  <c r="E397" i="45"/>
  <c r="E396" i="45"/>
  <c r="I395" i="45"/>
  <c r="H395" i="45"/>
  <c r="G395" i="45"/>
  <c r="F395" i="45"/>
  <c r="E394" i="45"/>
  <c r="E393" i="45"/>
  <c r="E392" i="45"/>
  <c r="E391" i="45"/>
  <c r="E390" i="45"/>
  <c r="I389" i="45"/>
  <c r="H389" i="45"/>
  <c r="G389" i="45"/>
  <c r="F389" i="45"/>
  <c r="E388" i="45"/>
  <c r="E387" i="45"/>
  <c r="E386" i="45"/>
  <c r="H385" i="45"/>
  <c r="E385" i="45" s="1"/>
  <c r="E384" i="45"/>
  <c r="I383" i="45"/>
  <c r="G383" i="45"/>
  <c r="F383" i="45"/>
  <c r="E382" i="45"/>
  <c r="E381" i="45"/>
  <c r="E380" i="45"/>
  <c r="E379" i="45"/>
  <c r="E378" i="45"/>
  <c r="I377" i="45"/>
  <c r="H377" i="45"/>
  <c r="G377" i="45"/>
  <c r="F377" i="45"/>
  <c r="E376" i="45"/>
  <c r="E375" i="45"/>
  <c r="E374" i="45"/>
  <c r="E373" i="45"/>
  <c r="E372" i="45"/>
  <c r="I371" i="45"/>
  <c r="H371" i="45"/>
  <c r="G371" i="45"/>
  <c r="F371" i="45"/>
  <c r="E370" i="45"/>
  <c r="E369" i="45"/>
  <c r="E368" i="45"/>
  <c r="E367" i="45"/>
  <c r="F366" i="45"/>
  <c r="H366" i="45" s="1"/>
  <c r="I365" i="45"/>
  <c r="G365" i="45"/>
  <c r="E364" i="45"/>
  <c r="E363" i="45"/>
  <c r="E362" i="45"/>
  <c r="E361" i="45"/>
  <c r="H360" i="45"/>
  <c r="H359" i="45" s="1"/>
  <c r="I359" i="45"/>
  <c r="G359" i="45"/>
  <c r="F359" i="45"/>
  <c r="H358" i="45"/>
  <c r="F358" i="45"/>
  <c r="H357" i="45"/>
  <c r="F357" i="45"/>
  <c r="H356" i="45"/>
  <c r="F356" i="45"/>
  <c r="E346" i="45"/>
  <c r="E345" i="45"/>
  <c r="F344" i="45"/>
  <c r="E343" i="45"/>
  <c r="E342" i="45"/>
  <c r="I341" i="45"/>
  <c r="H341" i="45"/>
  <c r="G341" i="45"/>
  <c r="E340" i="45"/>
  <c r="E339" i="45"/>
  <c r="E338" i="45"/>
  <c r="E337" i="45"/>
  <c r="E336" i="45"/>
  <c r="I335" i="45"/>
  <c r="H335" i="45"/>
  <c r="G335" i="45"/>
  <c r="F335" i="45"/>
  <c r="I334" i="45"/>
  <c r="H334" i="45"/>
  <c r="G334" i="45"/>
  <c r="F334" i="45"/>
  <c r="I333" i="45"/>
  <c r="H333" i="45"/>
  <c r="G333" i="45"/>
  <c r="F333" i="45"/>
  <c r="I332" i="45"/>
  <c r="H332" i="45"/>
  <c r="G332" i="45"/>
  <c r="I331" i="45"/>
  <c r="H331" i="45"/>
  <c r="G331" i="45"/>
  <c r="F331" i="45"/>
  <c r="I330" i="45"/>
  <c r="H330" i="45"/>
  <c r="G330" i="45"/>
  <c r="F330" i="45"/>
  <c r="E328" i="45"/>
  <c r="E327" i="45"/>
  <c r="E326" i="45"/>
  <c r="E325" i="45"/>
  <c r="E324" i="45"/>
  <c r="I323" i="45"/>
  <c r="H323" i="45"/>
  <c r="G323" i="45"/>
  <c r="F323" i="45"/>
  <c r="E322" i="45"/>
  <c r="E321" i="45"/>
  <c r="E320" i="45"/>
  <c r="E319" i="45"/>
  <c r="E318" i="45"/>
  <c r="I317" i="45"/>
  <c r="H317" i="45"/>
  <c r="G317" i="45"/>
  <c r="F317" i="45"/>
  <c r="I316" i="45"/>
  <c r="H316" i="45"/>
  <c r="G316" i="45"/>
  <c r="F316" i="45"/>
  <c r="I315" i="45"/>
  <c r="H315" i="45"/>
  <c r="G315" i="45"/>
  <c r="F315" i="45"/>
  <c r="I314" i="45"/>
  <c r="H314" i="45"/>
  <c r="G314" i="45"/>
  <c r="F314" i="45"/>
  <c r="I313" i="45"/>
  <c r="H313" i="45"/>
  <c r="G313" i="45"/>
  <c r="F313" i="45"/>
  <c r="I312" i="45"/>
  <c r="H312" i="45"/>
  <c r="G312" i="45"/>
  <c r="F312" i="45"/>
  <c r="E310" i="45"/>
  <c r="E309" i="45"/>
  <c r="F308" i="45"/>
  <c r="E307" i="45"/>
  <c r="E306" i="45"/>
  <c r="I305" i="45"/>
  <c r="H305" i="45"/>
  <c r="G305" i="45"/>
  <c r="E304" i="45"/>
  <c r="E303" i="45"/>
  <c r="F302" i="45"/>
  <c r="E302" i="45" s="1"/>
  <c r="F301" i="45"/>
  <c r="E301" i="45" s="1"/>
  <c r="E300" i="45"/>
  <c r="I299" i="45"/>
  <c r="H299" i="45"/>
  <c r="G299" i="45"/>
  <c r="E298" i="45"/>
  <c r="E297" i="45"/>
  <c r="E296" i="45"/>
  <c r="E295" i="45"/>
  <c r="E294" i="45"/>
  <c r="I293" i="45"/>
  <c r="H293" i="45"/>
  <c r="G293" i="45"/>
  <c r="F293" i="45"/>
  <c r="E292" i="45"/>
  <c r="E291" i="45"/>
  <c r="E290" i="45"/>
  <c r="F289" i="45"/>
  <c r="E289" i="45" s="1"/>
  <c r="E288" i="45"/>
  <c r="I287" i="45"/>
  <c r="H287" i="45"/>
  <c r="G287" i="45"/>
  <c r="E286" i="45"/>
  <c r="E285" i="45"/>
  <c r="E284" i="45"/>
  <c r="E283" i="45"/>
  <c r="E282" i="45"/>
  <c r="I281" i="45"/>
  <c r="H281" i="45"/>
  <c r="G281" i="45"/>
  <c r="E281" i="45" s="1"/>
  <c r="F281" i="45"/>
  <c r="E280" i="45"/>
  <c r="E279" i="45"/>
  <c r="E278" i="45"/>
  <c r="E277" i="45"/>
  <c r="E276" i="45"/>
  <c r="I275" i="45"/>
  <c r="H275" i="45"/>
  <c r="G275" i="45"/>
  <c r="F275" i="45"/>
  <c r="E274" i="45"/>
  <c r="E273" i="45"/>
  <c r="F272" i="45"/>
  <c r="F269" i="45" s="1"/>
  <c r="E271" i="45"/>
  <c r="E270" i="45"/>
  <c r="I269" i="45"/>
  <c r="H269" i="45"/>
  <c r="G269" i="45"/>
  <c r="E268" i="45"/>
  <c r="E267" i="45"/>
  <c r="E266" i="45"/>
  <c r="E264" i="45"/>
  <c r="I263" i="45"/>
  <c r="H263" i="45"/>
  <c r="G263" i="45"/>
  <c r="F263" i="45"/>
  <c r="E262" i="45"/>
  <c r="E261" i="45"/>
  <c r="E260" i="45"/>
  <c r="E259" i="45"/>
  <c r="E258" i="45"/>
  <c r="I257" i="45"/>
  <c r="H257" i="45"/>
  <c r="G257" i="45"/>
  <c r="F257" i="45"/>
  <c r="E256" i="45"/>
  <c r="E255" i="45"/>
  <c r="E254" i="45"/>
  <c r="E253" i="45"/>
  <c r="E252" i="45"/>
  <c r="I251" i="45"/>
  <c r="H251" i="45"/>
  <c r="G251" i="45"/>
  <c r="F251" i="45"/>
  <c r="E250" i="45"/>
  <c r="E249" i="45"/>
  <c r="F248" i="45"/>
  <c r="E248" i="45" s="1"/>
  <c r="F247" i="45"/>
  <c r="E247" i="45" s="1"/>
  <c r="E246" i="45"/>
  <c r="I245" i="45"/>
  <c r="H245" i="45"/>
  <c r="G245" i="45"/>
  <c r="E244" i="45"/>
  <c r="E243" i="45"/>
  <c r="E242" i="45"/>
  <c r="E241" i="45"/>
  <c r="E240" i="45"/>
  <c r="I239" i="45"/>
  <c r="H239" i="45"/>
  <c r="G239" i="45"/>
  <c r="F239" i="45"/>
  <c r="E238" i="45"/>
  <c r="E237" i="45"/>
  <c r="E236" i="45"/>
  <c r="E235" i="45"/>
  <c r="E234" i="45"/>
  <c r="I233" i="45"/>
  <c r="H233" i="45"/>
  <c r="G233" i="45"/>
  <c r="F233" i="45"/>
  <c r="E232" i="45"/>
  <c r="E231" i="45"/>
  <c r="E230" i="45"/>
  <c r="E229" i="45"/>
  <c r="E228" i="45"/>
  <c r="I227" i="45"/>
  <c r="H227" i="45"/>
  <c r="G227" i="45"/>
  <c r="F227" i="45"/>
  <c r="E226" i="45"/>
  <c r="E225" i="45"/>
  <c r="E224" i="45"/>
  <c r="E223" i="45"/>
  <c r="E222" i="45"/>
  <c r="I221" i="45"/>
  <c r="H221" i="45"/>
  <c r="G221" i="45"/>
  <c r="F221" i="45"/>
  <c r="E220" i="45"/>
  <c r="E219" i="45"/>
  <c r="E218" i="45"/>
  <c r="E217" i="45"/>
  <c r="E216" i="45"/>
  <c r="I215" i="45"/>
  <c r="H215" i="45"/>
  <c r="G215" i="45"/>
  <c r="F215" i="45"/>
  <c r="E214" i="45"/>
  <c r="E213" i="45"/>
  <c r="F212" i="45"/>
  <c r="F211" i="45"/>
  <c r="E210" i="45"/>
  <c r="I209" i="45"/>
  <c r="H209" i="45"/>
  <c r="G209" i="45"/>
  <c r="E208" i="45"/>
  <c r="E207" i="45"/>
  <c r="F206" i="45"/>
  <c r="F205" i="45"/>
  <c r="E205" i="45" s="1"/>
  <c r="E204" i="45"/>
  <c r="I203" i="45"/>
  <c r="H203" i="45"/>
  <c r="G203" i="45"/>
  <c r="E202" i="45"/>
  <c r="E201" i="45"/>
  <c r="E200" i="45"/>
  <c r="E199" i="45"/>
  <c r="F198" i="45"/>
  <c r="I197" i="45"/>
  <c r="H197" i="45"/>
  <c r="G197" i="45"/>
  <c r="E196" i="45"/>
  <c r="E195" i="45"/>
  <c r="F194" i="45"/>
  <c r="E193" i="45"/>
  <c r="E192" i="45"/>
  <c r="I191" i="45"/>
  <c r="H191" i="45"/>
  <c r="G191" i="45"/>
  <c r="G190" i="45"/>
  <c r="E190" i="45" s="1"/>
  <c r="E189" i="45"/>
  <c r="F188" i="45"/>
  <c r="E188" i="45" s="1"/>
  <c r="F187" i="45"/>
  <c r="F186" i="45"/>
  <c r="I185" i="45"/>
  <c r="H185" i="45"/>
  <c r="I184" i="45"/>
  <c r="H184" i="45"/>
  <c r="F184" i="45"/>
  <c r="I183" i="45"/>
  <c r="H183" i="45"/>
  <c r="G183" i="45"/>
  <c r="F183" i="45"/>
  <c r="I182" i="45"/>
  <c r="H182" i="45"/>
  <c r="G182" i="45"/>
  <c r="I181" i="45"/>
  <c r="I175" i="45" s="1"/>
  <c r="H181" i="45"/>
  <c r="G181" i="45"/>
  <c r="I180" i="45"/>
  <c r="H180" i="45"/>
  <c r="G180" i="45"/>
  <c r="E172" i="45"/>
  <c r="E171" i="45"/>
  <c r="E170" i="45"/>
  <c r="E169" i="45"/>
  <c r="E168" i="45"/>
  <c r="I167" i="45"/>
  <c r="H167" i="45"/>
  <c r="G167" i="45"/>
  <c r="F167" i="45"/>
  <c r="E166" i="45"/>
  <c r="E165" i="45"/>
  <c r="F164" i="45"/>
  <c r="E164" i="45" s="1"/>
  <c r="E163" i="45"/>
  <c r="E162" i="45"/>
  <c r="I161" i="45"/>
  <c r="H161" i="45"/>
  <c r="G161" i="45"/>
  <c r="F161" i="45"/>
  <c r="E160" i="45"/>
  <c r="E159" i="45"/>
  <c r="F158" i="45"/>
  <c r="E157" i="45"/>
  <c r="E156" i="45"/>
  <c r="I155" i="45"/>
  <c r="H155" i="45"/>
  <c r="G155" i="45"/>
  <c r="E154" i="45"/>
  <c r="E153" i="45"/>
  <c r="E152" i="45"/>
  <c r="E151" i="45"/>
  <c r="E150" i="45"/>
  <c r="I149" i="45"/>
  <c r="H149" i="45"/>
  <c r="G149" i="45"/>
  <c r="F149" i="45"/>
  <c r="I148" i="45"/>
  <c r="H148" i="45"/>
  <c r="G148" i="45"/>
  <c r="F148" i="45"/>
  <c r="I147" i="45"/>
  <c r="H147" i="45"/>
  <c r="G147" i="45"/>
  <c r="F147" i="45"/>
  <c r="I146" i="45"/>
  <c r="H146" i="45"/>
  <c r="G146" i="45"/>
  <c r="I145" i="45"/>
  <c r="H145" i="45"/>
  <c r="G145" i="45"/>
  <c r="F145" i="45"/>
  <c r="I144" i="45"/>
  <c r="H144" i="45"/>
  <c r="G144" i="45"/>
  <c r="F144" i="45"/>
  <c r="E142" i="45"/>
  <c r="E141" i="45"/>
  <c r="E140" i="45"/>
  <c r="E139" i="45"/>
  <c r="E138" i="45"/>
  <c r="E136" i="45"/>
  <c r="E135" i="45"/>
  <c r="F134" i="45"/>
  <c r="E133" i="45"/>
  <c r="E132" i="45"/>
  <c r="I131" i="45"/>
  <c r="H131" i="45"/>
  <c r="G131" i="45"/>
  <c r="H130" i="45"/>
  <c r="H129" i="45"/>
  <c r="G129" i="45" s="1"/>
  <c r="E128" i="45"/>
  <c r="H127" i="45"/>
  <c r="H126" i="45"/>
  <c r="I125" i="45"/>
  <c r="F125" i="45"/>
  <c r="E124" i="45"/>
  <c r="E123" i="45"/>
  <c r="E122" i="45"/>
  <c r="E121" i="45"/>
  <c r="E120" i="45"/>
  <c r="I119" i="45"/>
  <c r="H119" i="45"/>
  <c r="G119" i="45"/>
  <c r="F119" i="45"/>
  <c r="H118" i="45"/>
  <c r="H52" i="45" s="1"/>
  <c r="H117" i="45"/>
  <c r="G117" i="45" s="1"/>
  <c r="H116" i="45"/>
  <c r="H50" i="45" s="1"/>
  <c r="F115" i="45"/>
  <c r="E115" i="45" s="1"/>
  <c r="E114" i="45"/>
  <c r="I113" i="45"/>
  <c r="E112" i="45"/>
  <c r="E111" i="45"/>
  <c r="E110" i="45"/>
  <c r="E109" i="45"/>
  <c r="E108" i="45"/>
  <c r="I107" i="45"/>
  <c r="H107" i="45"/>
  <c r="G107" i="45"/>
  <c r="F107" i="45"/>
  <c r="E106" i="45"/>
  <c r="E105" i="45"/>
  <c r="F104" i="45"/>
  <c r="E103" i="45"/>
  <c r="E102" i="45"/>
  <c r="I101" i="45"/>
  <c r="H101" i="45"/>
  <c r="G101" i="45"/>
  <c r="E99" i="45"/>
  <c r="E98" i="45"/>
  <c r="E97" i="45"/>
  <c r="E96" i="45"/>
  <c r="I95" i="45"/>
  <c r="H95" i="45"/>
  <c r="G95" i="45"/>
  <c r="F95" i="45"/>
  <c r="E94" i="45"/>
  <c r="E93" i="45"/>
  <c r="E92" i="45"/>
  <c r="F91" i="45"/>
  <c r="E91" i="45" s="1"/>
  <c r="E90" i="45"/>
  <c r="I89" i="45"/>
  <c r="H89" i="45"/>
  <c r="G89" i="45"/>
  <c r="E88" i="45"/>
  <c r="E87" i="45"/>
  <c r="E86" i="45"/>
  <c r="E85" i="45"/>
  <c r="E84" i="45"/>
  <c r="I83" i="45"/>
  <c r="H83" i="45"/>
  <c r="G83" i="45"/>
  <c r="F83" i="45"/>
  <c r="E82" i="45"/>
  <c r="E81" i="45"/>
  <c r="F80" i="45"/>
  <c r="E80" i="45" s="1"/>
  <c r="E79" i="45"/>
  <c r="F78" i="45"/>
  <c r="I77" i="45"/>
  <c r="H77" i="45"/>
  <c r="G77" i="45"/>
  <c r="E76" i="45"/>
  <c r="E75" i="45"/>
  <c r="F74" i="45"/>
  <c r="E73" i="45"/>
  <c r="E72" i="45"/>
  <c r="I71" i="45"/>
  <c r="H71" i="45"/>
  <c r="G71" i="45"/>
  <c r="E70" i="45"/>
  <c r="E69" i="45"/>
  <c r="F68" i="45"/>
  <c r="E68" i="45" s="1"/>
  <c r="E67" i="45"/>
  <c r="E66" i="45"/>
  <c r="I65" i="45"/>
  <c r="H65" i="45"/>
  <c r="G65" i="45"/>
  <c r="E64" i="45"/>
  <c r="E63" i="45"/>
  <c r="E62" i="45"/>
  <c r="E61" i="45"/>
  <c r="E60" i="45"/>
  <c r="I59" i="45"/>
  <c r="H59" i="45"/>
  <c r="G59" i="45"/>
  <c r="F59" i="45"/>
  <c r="E58" i="45"/>
  <c r="E57" i="45"/>
  <c r="F56" i="45"/>
  <c r="E55" i="45"/>
  <c r="E54" i="45"/>
  <c r="I53" i="45"/>
  <c r="H53" i="45"/>
  <c r="G53" i="45"/>
  <c r="I52" i="45"/>
  <c r="I51" i="45"/>
  <c r="H51" i="45"/>
  <c r="I50" i="45"/>
  <c r="I49" i="45"/>
  <c r="H49" i="45"/>
  <c r="G49" i="45"/>
  <c r="I48" i="45"/>
  <c r="H48" i="45"/>
  <c r="G48" i="45"/>
  <c r="E46" i="45"/>
  <c r="E45" i="45"/>
  <c r="E44" i="45"/>
  <c r="E43" i="45"/>
  <c r="E42" i="45"/>
  <c r="I41" i="45"/>
  <c r="H41" i="45"/>
  <c r="G41" i="45"/>
  <c r="F41" i="45"/>
  <c r="E40" i="45"/>
  <c r="E39" i="45"/>
  <c r="E38" i="45"/>
  <c r="E37" i="45"/>
  <c r="E36" i="45"/>
  <c r="I35" i="45"/>
  <c r="H35" i="45"/>
  <c r="G35" i="45"/>
  <c r="F35" i="45"/>
  <c r="I34" i="45"/>
  <c r="H34" i="45"/>
  <c r="G34" i="45"/>
  <c r="F34" i="45"/>
  <c r="I33" i="45"/>
  <c r="H33" i="45"/>
  <c r="G33" i="45"/>
  <c r="F33" i="45"/>
  <c r="I32" i="45"/>
  <c r="H32" i="45"/>
  <c r="G32" i="45"/>
  <c r="F32" i="45"/>
  <c r="I31" i="45"/>
  <c r="H31" i="45"/>
  <c r="G31" i="45"/>
  <c r="F31" i="45"/>
  <c r="I30" i="45"/>
  <c r="I24" i="45" s="1"/>
  <c r="H30" i="45"/>
  <c r="G30" i="45"/>
  <c r="F30" i="45"/>
  <c r="I25" i="45"/>
  <c r="H22" i="45"/>
  <c r="E737" i="45" l="1"/>
  <c r="I473" i="45"/>
  <c r="E239" i="45"/>
  <c r="H177" i="45"/>
  <c r="H178" i="45"/>
  <c r="F352" i="45"/>
  <c r="F476" i="45"/>
  <c r="E528" i="45"/>
  <c r="E733" i="45"/>
  <c r="F65" i="45"/>
  <c r="E257" i="45"/>
  <c r="H113" i="45"/>
  <c r="G184" i="45"/>
  <c r="G179" i="45" s="1"/>
  <c r="E215" i="45"/>
  <c r="E407" i="45"/>
  <c r="E718" i="45"/>
  <c r="F734" i="45"/>
  <c r="F18" i="45"/>
  <c r="F182" i="45"/>
  <c r="E395" i="45"/>
  <c r="G713" i="45"/>
  <c r="E715" i="45"/>
  <c r="E730" i="47"/>
  <c r="G729" i="47"/>
  <c r="I11" i="36"/>
  <c r="G11" i="36"/>
  <c r="F12" i="19" s="1"/>
  <c r="F11" i="36"/>
  <c r="E12" i="19" s="1"/>
  <c r="E469" i="46"/>
  <c r="I468" i="46"/>
  <c r="G671" i="46"/>
  <c r="E672" i="46"/>
  <c r="I27" i="45"/>
  <c r="E74" i="45"/>
  <c r="E104" i="45"/>
  <c r="G127" i="45"/>
  <c r="E127" i="45" s="1"/>
  <c r="G176" i="45"/>
  <c r="I179" i="45"/>
  <c r="F181" i="45"/>
  <c r="E360" i="45"/>
  <c r="E359" i="45" s="1"/>
  <c r="E389" i="45"/>
  <c r="E515" i="45"/>
  <c r="E522" i="45"/>
  <c r="E581" i="45"/>
  <c r="H671" i="45"/>
  <c r="I683" i="45"/>
  <c r="F21" i="45"/>
  <c r="E719" i="45"/>
  <c r="E714" i="45"/>
  <c r="G762" i="45"/>
  <c r="E33" i="45"/>
  <c r="G177" i="45"/>
  <c r="E293" i="45"/>
  <c r="I177" i="45"/>
  <c r="E437" i="45"/>
  <c r="E587" i="45"/>
  <c r="E717" i="45"/>
  <c r="F765" i="45"/>
  <c r="H25" i="45"/>
  <c r="F101" i="45"/>
  <c r="G116" i="45"/>
  <c r="G118" i="45"/>
  <c r="I174" i="45"/>
  <c r="E211" i="45"/>
  <c r="E251" i="45"/>
  <c r="E409" i="45"/>
  <c r="E451" i="45"/>
  <c r="I475" i="45"/>
  <c r="I349" i="45" s="1"/>
  <c r="E492" i="45"/>
  <c r="E569" i="45"/>
  <c r="E575" i="45"/>
  <c r="E635" i="45"/>
  <c r="H665" i="45"/>
  <c r="E665" i="45" s="1"/>
  <c r="F18" i="36"/>
  <c r="E19" i="19" s="1"/>
  <c r="E392" i="36"/>
  <c r="D82" i="19" s="1"/>
  <c r="J82" i="19" s="1"/>
  <c r="G423" i="45"/>
  <c r="G357" i="45" s="1"/>
  <c r="G358" i="45"/>
  <c r="E358" i="45" s="1"/>
  <c r="E183" i="45"/>
  <c r="F191" i="45"/>
  <c r="E313" i="45"/>
  <c r="E678" i="45"/>
  <c r="E732" i="45"/>
  <c r="G29" i="45"/>
  <c r="F131" i="45"/>
  <c r="E148" i="45"/>
  <c r="I178" i="45"/>
  <c r="G185" i="45"/>
  <c r="E233" i="45"/>
  <c r="F305" i="45"/>
  <c r="H179" i="45"/>
  <c r="E186" i="45"/>
  <c r="F185" i="45"/>
  <c r="E221" i="45"/>
  <c r="E227" i="45"/>
  <c r="E314" i="45"/>
  <c r="E315" i="45"/>
  <c r="E330" i="45"/>
  <c r="F354" i="45"/>
  <c r="E377" i="45"/>
  <c r="E461" i="45"/>
  <c r="E488" i="45"/>
  <c r="E497" i="45"/>
  <c r="E527" i="45"/>
  <c r="E551" i="45"/>
  <c r="I631" i="45"/>
  <c r="I630" i="45" s="1"/>
  <c r="E680" i="45"/>
  <c r="E681" i="45"/>
  <c r="I682" i="45"/>
  <c r="I677" i="45" s="1"/>
  <c r="E716" i="45"/>
  <c r="E743" i="45"/>
  <c r="H762" i="45"/>
  <c r="E769" i="45"/>
  <c r="G766" i="45"/>
  <c r="F770" i="45"/>
  <c r="F29" i="45"/>
  <c r="E31" i="45"/>
  <c r="F77" i="45"/>
  <c r="E161" i="45"/>
  <c r="E182" i="45"/>
  <c r="F209" i="45"/>
  <c r="E272" i="45"/>
  <c r="F311" i="45"/>
  <c r="E316" i="45"/>
  <c r="H329" i="45"/>
  <c r="I329" i="45"/>
  <c r="E679" i="45"/>
  <c r="E736" i="45"/>
  <c r="H767" i="45"/>
  <c r="F20" i="45"/>
  <c r="G24" i="45"/>
  <c r="H47" i="45"/>
  <c r="F53" i="45"/>
  <c r="E101" i="45"/>
  <c r="H125" i="45"/>
  <c r="E137" i="45"/>
  <c r="G143" i="45"/>
  <c r="E149" i="45"/>
  <c r="E158" i="45"/>
  <c r="E275" i="45"/>
  <c r="E323" i="45"/>
  <c r="E333" i="45"/>
  <c r="E371" i="45"/>
  <c r="E467" i="45"/>
  <c r="H503" i="45"/>
  <c r="E503" i="45" s="1"/>
  <c r="E521" i="45"/>
  <c r="H533" i="45"/>
  <c r="E533" i="45" s="1"/>
  <c r="E539" i="45"/>
  <c r="E641" i="45"/>
  <c r="E647" i="45"/>
  <c r="F671" i="45"/>
  <c r="G677" i="45"/>
  <c r="E725" i="45"/>
  <c r="G731" i="45"/>
  <c r="E735" i="45"/>
  <c r="H763" i="45"/>
  <c r="I766" i="45"/>
  <c r="I767" i="45"/>
  <c r="E772" i="45"/>
  <c r="H29" i="45"/>
  <c r="H26" i="45"/>
  <c r="E34" i="45"/>
  <c r="E35" i="45"/>
  <c r="E41" i="45"/>
  <c r="I47" i="45"/>
  <c r="E65" i="45"/>
  <c r="F71" i="45"/>
  <c r="E83" i="45"/>
  <c r="E95" i="45"/>
  <c r="E107" i="45"/>
  <c r="H143" i="45"/>
  <c r="E167" i="45"/>
  <c r="G175" i="45"/>
  <c r="I176" i="45"/>
  <c r="F22" i="45"/>
  <c r="G25" i="45"/>
  <c r="I26" i="45"/>
  <c r="I28" i="45"/>
  <c r="I29" i="45"/>
  <c r="H27" i="45"/>
  <c r="H28" i="45"/>
  <c r="F48" i="45"/>
  <c r="F24" i="45" s="1"/>
  <c r="F49" i="45"/>
  <c r="F25" i="45" s="1"/>
  <c r="E56" i="45"/>
  <c r="E59" i="45"/>
  <c r="E78" i="45"/>
  <c r="E119" i="45"/>
  <c r="G126" i="45"/>
  <c r="E129" i="45"/>
  <c r="G130" i="45"/>
  <c r="E134" i="45"/>
  <c r="E144" i="45"/>
  <c r="E147" i="45"/>
  <c r="H174" i="45"/>
  <c r="H175" i="45"/>
  <c r="F177" i="45"/>
  <c r="F178" i="45"/>
  <c r="F180" i="45"/>
  <c r="E187" i="45"/>
  <c r="E194" i="45"/>
  <c r="F197" i="45"/>
  <c r="E198" i="45"/>
  <c r="F203" i="45"/>
  <c r="E263" i="45"/>
  <c r="E269" i="45"/>
  <c r="F299" i="45"/>
  <c r="E299" i="45" s="1"/>
  <c r="E308" i="45"/>
  <c r="G311" i="45"/>
  <c r="I311" i="45"/>
  <c r="E317" i="45"/>
  <c r="G329" i="45"/>
  <c r="E331" i="45"/>
  <c r="E334" i="45"/>
  <c r="E335" i="45"/>
  <c r="E344" i="45"/>
  <c r="F355" i="45"/>
  <c r="E401" i="45"/>
  <c r="E443" i="45"/>
  <c r="E449" i="45"/>
  <c r="E455" i="45"/>
  <c r="H474" i="45"/>
  <c r="E489" i="45"/>
  <c r="H351" i="45"/>
  <c r="F19" i="45"/>
  <c r="H21" i="45"/>
  <c r="I713" i="45"/>
  <c r="I731" i="45"/>
  <c r="E740" i="45"/>
  <c r="I762" i="45"/>
  <c r="I765" i="45"/>
  <c r="G767" i="45"/>
  <c r="E771" i="45"/>
  <c r="G18" i="36"/>
  <c r="F19" i="19" s="1"/>
  <c r="H11" i="36"/>
  <c r="G12" i="19" s="1"/>
  <c r="F348" i="45"/>
  <c r="H659" i="45"/>
  <c r="E659" i="45" s="1"/>
  <c r="E661" i="45"/>
  <c r="E366" i="45"/>
  <c r="E365" i="45" s="1"/>
  <c r="H365" i="45"/>
  <c r="H18" i="45"/>
  <c r="H354" i="45"/>
  <c r="E625" i="45"/>
  <c r="G624" i="45"/>
  <c r="H734" i="45"/>
  <c r="E734" i="45" s="1"/>
  <c r="H755" i="45"/>
  <c r="H20" i="45"/>
  <c r="G51" i="45"/>
  <c r="G113" i="45"/>
  <c r="F117" i="45"/>
  <c r="E630" i="45"/>
  <c r="I629" i="45"/>
  <c r="E436" i="45"/>
  <c r="I435" i="45"/>
  <c r="H653" i="45"/>
  <c r="E653" i="45" s="1"/>
  <c r="H475" i="45"/>
  <c r="E655" i="45"/>
  <c r="I478" i="45"/>
  <c r="I597" i="45"/>
  <c r="I596" i="45" s="1"/>
  <c r="G761" i="45"/>
  <c r="E126" i="45"/>
  <c r="E357" i="45"/>
  <c r="H24" i="45"/>
  <c r="F89" i="45"/>
  <c r="E89" i="45" s="1"/>
  <c r="F245" i="45"/>
  <c r="E245" i="45" s="1"/>
  <c r="F287" i="45"/>
  <c r="E287" i="45" s="1"/>
  <c r="E312" i="45"/>
  <c r="H415" i="45"/>
  <c r="F479" i="45"/>
  <c r="F485" i="45"/>
  <c r="F491" i="45"/>
  <c r="E491" i="45" s="1"/>
  <c r="E516" i="45"/>
  <c r="F713" i="45"/>
  <c r="F763" i="45"/>
  <c r="H765" i="45"/>
  <c r="E768" i="45"/>
  <c r="E32" i="45"/>
  <c r="I143" i="45"/>
  <c r="F146" i="45"/>
  <c r="F332" i="45"/>
  <c r="F155" i="45"/>
  <c r="F341" i="45"/>
  <c r="I474" i="45"/>
  <c r="F477" i="45"/>
  <c r="H629" i="45"/>
  <c r="F755" i="45"/>
  <c r="F773" i="45"/>
  <c r="E30" i="45"/>
  <c r="F174" i="45"/>
  <c r="H176" i="45"/>
  <c r="H383" i="45"/>
  <c r="E383" i="45" s="1"/>
  <c r="I479" i="45"/>
  <c r="H509" i="45"/>
  <c r="E509" i="45" s="1"/>
  <c r="I763" i="45"/>
  <c r="F766" i="45"/>
  <c r="G174" i="45"/>
  <c r="H355" i="45"/>
  <c r="H349" i="45" s="1"/>
  <c r="G422" i="45"/>
  <c r="F475" i="45"/>
  <c r="H557" i="45"/>
  <c r="E557" i="45" s="1"/>
  <c r="H563" i="45"/>
  <c r="E563" i="45" s="1"/>
  <c r="E206" i="45"/>
  <c r="E212" i="45"/>
  <c r="F365" i="45"/>
  <c r="F677" i="45"/>
  <c r="E145" i="45"/>
  <c r="E758" i="45"/>
  <c r="E776" i="45"/>
  <c r="H311" i="45"/>
  <c r="E185" i="45" l="1"/>
  <c r="F350" i="45"/>
  <c r="H12" i="19"/>
  <c r="N12" i="19" s="1"/>
  <c r="E631" i="45"/>
  <c r="I18" i="36"/>
  <c r="E671" i="45"/>
  <c r="F179" i="45"/>
  <c r="G178" i="45"/>
  <c r="E178" i="45" s="1"/>
  <c r="E184" i="45"/>
  <c r="F175" i="45"/>
  <c r="F17" i="45"/>
  <c r="F731" i="45"/>
  <c r="K12" i="19"/>
  <c r="E181" i="45"/>
  <c r="M720" i="45"/>
  <c r="L12" i="19"/>
  <c r="G728" i="47"/>
  <c r="E729" i="47"/>
  <c r="E11" i="36"/>
  <c r="D12" i="19" s="1"/>
  <c r="L19" i="19"/>
  <c r="K19" i="19"/>
  <c r="E671" i="46"/>
  <c r="G670" i="46"/>
  <c r="E468" i="46"/>
  <c r="I467" i="46"/>
  <c r="E197" i="45"/>
  <c r="G52" i="45"/>
  <c r="F118" i="45"/>
  <c r="E629" i="45"/>
  <c r="E770" i="45"/>
  <c r="E713" i="45"/>
  <c r="E305" i="45"/>
  <c r="G50" i="45"/>
  <c r="F116" i="45"/>
  <c r="I477" i="45"/>
  <c r="I351" i="45" s="1"/>
  <c r="O13" i="45"/>
  <c r="E341" i="45"/>
  <c r="E765" i="45"/>
  <c r="E130" i="45"/>
  <c r="E311" i="45"/>
  <c r="H473" i="45"/>
  <c r="H731" i="45"/>
  <c r="E175" i="45"/>
  <c r="E762" i="45"/>
  <c r="E209" i="45"/>
  <c r="E71" i="45"/>
  <c r="E179" i="45"/>
  <c r="H173" i="45"/>
  <c r="E773" i="45"/>
  <c r="E479" i="45"/>
  <c r="G125" i="45"/>
  <c r="I352" i="45"/>
  <c r="G27" i="45"/>
  <c r="E180" i="45"/>
  <c r="E53" i="45"/>
  <c r="N13" i="45"/>
  <c r="E203" i="45"/>
  <c r="E177" i="45"/>
  <c r="E49" i="45"/>
  <c r="H7" i="45"/>
  <c r="I7" i="45"/>
  <c r="E155" i="45"/>
  <c r="E485" i="45"/>
  <c r="E48" i="45"/>
  <c r="E755" i="45"/>
  <c r="I348" i="45"/>
  <c r="F176" i="45"/>
  <c r="F173" i="45" s="1"/>
  <c r="F764" i="45"/>
  <c r="F761" i="45" s="1"/>
  <c r="M12" i="19"/>
  <c r="H18" i="36"/>
  <c r="G19" i="19" s="1"/>
  <c r="I23" i="45"/>
  <c r="I173" i="45"/>
  <c r="E77" i="45"/>
  <c r="E29" i="45"/>
  <c r="F767" i="45"/>
  <c r="H688" i="45"/>
  <c r="F353" i="45"/>
  <c r="E131" i="45"/>
  <c r="E191" i="45"/>
  <c r="E24" i="45"/>
  <c r="F6" i="45"/>
  <c r="I761" i="45"/>
  <c r="F349" i="45"/>
  <c r="F473" i="45"/>
  <c r="E174" i="45"/>
  <c r="E435" i="45"/>
  <c r="I434" i="45"/>
  <c r="O15" i="45"/>
  <c r="H353" i="45"/>
  <c r="H348" i="45"/>
  <c r="G356" i="45"/>
  <c r="G421" i="45"/>
  <c r="F329" i="45"/>
  <c r="E332" i="45"/>
  <c r="H350" i="45"/>
  <c r="H9" i="45"/>
  <c r="F143" i="45"/>
  <c r="E146" i="45"/>
  <c r="F7" i="45"/>
  <c r="E25" i="45"/>
  <c r="M13" i="45"/>
  <c r="H19" i="45"/>
  <c r="E415" i="45"/>
  <c r="H413" i="45"/>
  <c r="E413" i="45" s="1"/>
  <c r="H761" i="45"/>
  <c r="E766" i="45"/>
  <c r="I595" i="45"/>
  <c r="I594" i="45" s="1"/>
  <c r="I593" i="45" s="1"/>
  <c r="I476" i="45"/>
  <c r="E624" i="45"/>
  <c r="G623" i="45"/>
  <c r="F351" i="45"/>
  <c r="E763" i="45"/>
  <c r="H23" i="45"/>
  <c r="F51" i="45"/>
  <c r="E117" i="45"/>
  <c r="E731" i="45" l="1"/>
  <c r="G173" i="45"/>
  <c r="H19" i="19"/>
  <c r="N19" i="19" s="1"/>
  <c r="H17" i="45"/>
  <c r="E728" i="47"/>
  <c r="G727" i="47"/>
  <c r="J12" i="19"/>
  <c r="M19" i="19"/>
  <c r="I466" i="46"/>
  <c r="E467" i="46"/>
  <c r="E670" i="46"/>
  <c r="G669" i="46"/>
  <c r="G28" i="45"/>
  <c r="E118" i="45"/>
  <c r="F52" i="45"/>
  <c r="E116" i="45"/>
  <c r="F50" i="45"/>
  <c r="F47" i="45" s="1"/>
  <c r="F113" i="45"/>
  <c r="E113" i="45" s="1"/>
  <c r="G26" i="45"/>
  <c r="G47" i="45"/>
  <c r="H8" i="45"/>
  <c r="E688" i="45"/>
  <c r="H682" i="45"/>
  <c r="H683" i="45"/>
  <c r="E764" i="45"/>
  <c r="I10" i="45"/>
  <c r="H15" i="45"/>
  <c r="I350" i="45"/>
  <c r="I6" i="45"/>
  <c r="I19" i="45"/>
  <c r="N15" i="45"/>
  <c r="E143" i="45"/>
  <c r="E329" i="45"/>
  <c r="E761" i="45"/>
  <c r="E767" i="45"/>
  <c r="E176" i="45"/>
  <c r="E125" i="45"/>
  <c r="E18" i="36"/>
  <c r="D19" i="19" s="1"/>
  <c r="I9" i="45"/>
  <c r="H13" i="45"/>
  <c r="E51" i="45"/>
  <c r="F27" i="45"/>
  <c r="H6" i="45"/>
  <c r="I433" i="45"/>
  <c r="E434" i="45"/>
  <c r="E173" i="45"/>
  <c r="E623" i="45"/>
  <c r="G622" i="45"/>
  <c r="G420" i="45"/>
  <c r="G355" i="45"/>
  <c r="F347" i="45"/>
  <c r="E356" i="45"/>
  <c r="F12" i="45"/>
  <c r="F13" i="45"/>
  <c r="E727" i="47" l="1"/>
  <c r="G725" i="47"/>
  <c r="J19" i="19"/>
  <c r="E669" i="46"/>
  <c r="G668" i="46"/>
  <c r="I465" i="46"/>
  <c r="I400" i="46"/>
  <c r="E466" i="46"/>
  <c r="E50" i="45"/>
  <c r="F26" i="45"/>
  <c r="E52" i="45"/>
  <c r="F28" i="45"/>
  <c r="G23" i="45"/>
  <c r="N16" i="45"/>
  <c r="I22" i="45"/>
  <c r="E683" i="45"/>
  <c r="I8" i="45"/>
  <c r="E47" i="45"/>
  <c r="I18" i="45"/>
  <c r="H352" i="45"/>
  <c r="E682" i="45"/>
  <c r="O16" i="45"/>
  <c r="H677" i="45"/>
  <c r="H14" i="45"/>
  <c r="E433" i="45"/>
  <c r="I432" i="45"/>
  <c r="E622" i="45"/>
  <c r="G621" i="45"/>
  <c r="E355" i="45"/>
  <c r="H12" i="45"/>
  <c r="G354" i="45"/>
  <c r="G419" i="45"/>
  <c r="F9" i="45"/>
  <c r="E27" i="45"/>
  <c r="M15" i="45"/>
  <c r="F23" i="45" l="1"/>
  <c r="G724" i="47"/>
  <c r="E725" i="47"/>
  <c r="G667" i="46"/>
  <c r="E668" i="46"/>
  <c r="I393" i="46"/>
  <c r="I10" i="46" s="1"/>
  <c r="I24" i="46" s="1"/>
  <c r="E400" i="46"/>
  <c r="I464" i="46"/>
  <c r="I399" i="46"/>
  <c r="E465" i="46"/>
  <c r="E26" i="45"/>
  <c r="F8" i="45"/>
  <c r="F5" i="45" s="1"/>
  <c r="M16" i="45"/>
  <c r="F10" i="45"/>
  <c r="E28" i="45"/>
  <c r="E677" i="45"/>
  <c r="E23" i="45"/>
  <c r="I5" i="45"/>
  <c r="H10" i="45"/>
  <c r="H347" i="45"/>
  <c r="F15" i="45"/>
  <c r="E621" i="45"/>
  <c r="G620" i="45"/>
  <c r="E354" i="45"/>
  <c r="G353" i="45"/>
  <c r="E353" i="45" s="1"/>
  <c r="E432" i="45"/>
  <c r="I431" i="45"/>
  <c r="E724" i="47" l="1"/>
  <c r="G723" i="47"/>
  <c r="I398" i="46"/>
  <c r="I463" i="46"/>
  <c r="E464" i="46"/>
  <c r="I392" i="46"/>
  <c r="I9" i="46" s="1"/>
  <c r="E399" i="46"/>
  <c r="G666" i="46"/>
  <c r="E667" i="46"/>
  <c r="F14" i="45"/>
  <c r="F16" i="45"/>
  <c r="H16" i="45"/>
  <c r="H5" i="45"/>
  <c r="I430" i="45"/>
  <c r="E431" i="45"/>
  <c r="G619" i="45"/>
  <c r="E620" i="45"/>
  <c r="F11" i="45" l="1"/>
  <c r="E723" i="47"/>
  <c r="G722" i="47"/>
  <c r="E666" i="46"/>
  <c r="G665" i="46"/>
  <c r="I397" i="46"/>
  <c r="I462" i="46"/>
  <c r="E463" i="46"/>
  <c r="I391" i="46"/>
  <c r="I8" i="46" s="1"/>
  <c r="E398" i="46"/>
  <c r="H11" i="45"/>
  <c r="E619" i="45"/>
  <c r="G618" i="45"/>
  <c r="E430" i="45"/>
  <c r="I429" i="45"/>
  <c r="E722" i="47" l="1"/>
  <c r="G721" i="47"/>
  <c r="I461" i="46"/>
  <c r="E461" i="46" s="1"/>
  <c r="I396" i="46"/>
  <c r="E462" i="46"/>
  <c r="I390" i="46"/>
  <c r="I7" i="46" s="1"/>
  <c r="I21" i="46" s="1"/>
  <c r="E397" i="46"/>
  <c r="G664" i="46"/>
  <c r="E665" i="46"/>
  <c r="E429" i="45"/>
  <c r="I428" i="45"/>
  <c r="I21" i="45"/>
  <c r="E618" i="45"/>
  <c r="G617" i="45"/>
  <c r="G720" i="47" l="1"/>
  <c r="E721" i="47"/>
  <c r="E664" i="46"/>
  <c r="G663" i="46"/>
  <c r="I389" i="46"/>
  <c r="I6" i="46" s="1"/>
  <c r="E396" i="46"/>
  <c r="E617" i="45"/>
  <c r="G616" i="45"/>
  <c r="E428" i="45"/>
  <c r="I427" i="45"/>
  <c r="I20" i="45"/>
  <c r="I17" i="45" l="1"/>
  <c r="E720" i="47"/>
  <c r="G718" i="47"/>
  <c r="G24" i="47"/>
  <c r="G579" i="47"/>
  <c r="I20" i="46"/>
  <c r="I19" i="46" s="1"/>
  <c r="I5" i="46"/>
  <c r="E663" i="46"/>
  <c r="G662" i="46"/>
  <c r="E616" i="45"/>
  <c r="G615" i="45"/>
  <c r="E427" i="45"/>
  <c r="I426" i="45"/>
  <c r="E24" i="47" l="1"/>
  <c r="G26" i="43"/>
  <c r="S25" i="19"/>
  <c r="G420" i="47"/>
  <c r="E579" i="47"/>
  <c r="G23" i="47"/>
  <c r="E718" i="47"/>
  <c r="G578" i="47"/>
  <c r="G717" i="47"/>
  <c r="E662" i="46"/>
  <c r="G661" i="46"/>
  <c r="E615" i="45"/>
  <c r="G614" i="45"/>
  <c r="E426" i="45"/>
  <c r="I425" i="45"/>
  <c r="E23" i="47" l="1"/>
  <c r="G25" i="43"/>
  <c r="S24" i="19"/>
  <c r="E26" i="43"/>
  <c r="Q25" i="19"/>
  <c r="S81" i="19"/>
  <c r="G60" i="43"/>
  <c r="G716" i="47"/>
  <c r="G22" i="47"/>
  <c r="E717" i="47"/>
  <c r="G577" i="47"/>
  <c r="E578" i="47"/>
  <c r="G419" i="47"/>
  <c r="G10" i="47"/>
  <c r="E420" i="47"/>
  <c r="E661" i="46"/>
  <c r="G660" i="46"/>
  <c r="I424" i="45"/>
  <c r="E425" i="45"/>
  <c r="E614" i="45"/>
  <c r="G613" i="45"/>
  <c r="E22" i="47" l="1"/>
  <c r="G24" i="43"/>
  <c r="S23" i="19"/>
  <c r="E25" i="43"/>
  <c r="Q24" i="19"/>
  <c r="Q81" i="19"/>
  <c r="E60" i="43"/>
  <c r="S80" i="19"/>
  <c r="G59" i="43"/>
  <c r="S11" i="19"/>
  <c r="G12" i="43"/>
  <c r="G17" i="47"/>
  <c r="G19" i="43" s="1"/>
  <c r="E10" i="47"/>
  <c r="E419" i="47"/>
  <c r="G9" i="47"/>
  <c r="E577" i="47"/>
  <c r="G418" i="47"/>
  <c r="E716" i="47"/>
  <c r="G576" i="47"/>
  <c r="G715" i="47"/>
  <c r="G21" i="47"/>
  <c r="E660" i="46"/>
  <c r="G659" i="46"/>
  <c r="G612" i="45"/>
  <c r="E613" i="45"/>
  <c r="E424" i="45"/>
  <c r="I423" i="45"/>
  <c r="E21" i="47" l="1"/>
  <c r="G23" i="43"/>
  <c r="S22" i="19"/>
  <c r="E24" i="43"/>
  <c r="Q23" i="19"/>
  <c r="S79" i="19"/>
  <c r="G58" i="43"/>
  <c r="Q11" i="19"/>
  <c r="E12" i="43"/>
  <c r="Q80" i="19"/>
  <c r="E59" i="43"/>
  <c r="S10" i="19"/>
  <c r="G11" i="43"/>
  <c r="E17" i="47"/>
  <c r="S18" i="19"/>
  <c r="G8" i="47"/>
  <c r="E418" i="47"/>
  <c r="G20" i="47"/>
  <c r="E715" i="47"/>
  <c r="G714" i="47"/>
  <c r="E714" i="47" s="1"/>
  <c r="G575" i="47"/>
  <c r="E576" i="47"/>
  <c r="G417" i="47"/>
  <c r="G16" i="47"/>
  <c r="G18" i="43" s="1"/>
  <c r="E9" i="47"/>
  <c r="E659" i="46"/>
  <c r="G658" i="46"/>
  <c r="I422" i="45"/>
  <c r="E423" i="45"/>
  <c r="E612" i="45"/>
  <c r="G611" i="45"/>
  <c r="G22" i="43" l="1"/>
  <c r="S21" i="19"/>
  <c r="E23" i="43"/>
  <c r="Q22" i="19"/>
  <c r="Q18" i="19"/>
  <c r="E19" i="43"/>
  <c r="Q79" i="19"/>
  <c r="E58" i="43"/>
  <c r="Q10" i="19"/>
  <c r="E11" i="43"/>
  <c r="S78" i="19"/>
  <c r="G57" i="43"/>
  <c r="S9" i="19"/>
  <c r="G10" i="43"/>
  <c r="E16" i="47"/>
  <c r="S17" i="19"/>
  <c r="E417" i="47"/>
  <c r="G7" i="47"/>
  <c r="G574" i="47"/>
  <c r="E574" i="47" s="1"/>
  <c r="E575" i="47"/>
  <c r="G416" i="47"/>
  <c r="G19" i="47"/>
  <c r="E20" i="47"/>
  <c r="G15" i="47"/>
  <c r="G17" i="43" s="1"/>
  <c r="E8" i="47"/>
  <c r="G657" i="46"/>
  <c r="E658" i="46"/>
  <c r="G610" i="45"/>
  <c r="E611" i="45"/>
  <c r="I421" i="45"/>
  <c r="E422" i="45"/>
  <c r="E19" i="47" l="1"/>
  <c r="G21" i="43"/>
  <c r="S20" i="19"/>
  <c r="E22" i="43"/>
  <c r="Q21" i="19"/>
  <c r="Q17" i="19"/>
  <c r="E18" i="43"/>
  <c r="S77" i="19"/>
  <c r="G56" i="43"/>
  <c r="S8" i="19"/>
  <c r="G9" i="43"/>
  <c r="Q9" i="19"/>
  <c r="E10" i="43"/>
  <c r="Q78" i="19"/>
  <c r="E57" i="43"/>
  <c r="E15" i="47"/>
  <c r="S16" i="19"/>
  <c r="G415" i="47"/>
  <c r="G55" i="43" s="1"/>
  <c r="E416" i="47"/>
  <c r="G6" i="47"/>
  <c r="G14" i="47"/>
  <c r="G16" i="43" s="1"/>
  <c r="E7" i="47"/>
  <c r="E657" i="46"/>
  <c r="G656" i="46"/>
  <c r="I420" i="45"/>
  <c r="E421" i="45"/>
  <c r="E610" i="45"/>
  <c r="G609" i="45"/>
  <c r="E21" i="43" l="1"/>
  <c r="Q20" i="19"/>
  <c r="Q8" i="19"/>
  <c r="E9" i="43"/>
  <c r="Q16" i="19"/>
  <c r="E17" i="43"/>
  <c r="Q77" i="19"/>
  <c r="E56" i="43"/>
  <c r="S7" i="19"/>
  <c r="G8" i="43"/>
  <c r="E14" i="47"/>
  <c r="S15" i="19"/>
  <c r="E415" i="47"/>
  <c r="S76" i="19"/>
  <c r="G13" i="47"/>
  <c r="G5" i="47"/>
  <c r="G7" i="43" s="1"/>
  <c r="E6" i="47"/>
  <c r="E656" i="46"/>
  <c r="G655" i="46"/>
  <c r="E609" i="45"/>
  <c r="G608" i="45"/>
  <c r="I419" i="45"/>
  <c r="E419" i="45" s="1"/>
  <c r="E420" i="45"/>
  <c r="Q15" i="19" l="1"/>
  <c r="E16" i="43"/>
  <c r="Q76" i="19"/>
  <c r="E55" i="43"/>
  <c r="Q7" i="19"/>
  <c r="E8" i="43"/>
  <c r="S14" i="19"/>
  <c r="G15" i="43"/>
  <c r="E5" i="47"/>
  <c r="S6" i="19"/>
  <c r="G12" i="47"/>
  <c r="G14" i="43" s="1"/>
  <c r="E13" i="47"/>
  <c r="G654" i="46"/>
  <c r="E655" i="46"/>
  <c r="E608" i="45"/>
  <c r="G607" i="45"/>
  <c r="Q14" i="19" l="1"/>
  <c r="E15" i="43"/>
  <c r="Q6" i="19"/>
  <c r="E7" i="43"/>
  <c r="E12" i="47"/>
  <c r="E14" i="43" s="1"/>
  <c r="S13" i="19"/>
  <c r="E654" i="46"/>
  <c r="G653" i="46"/>
  <c r="G532" i="46"/>
  <c r="G24" i="46"/>
  <c r="E24" i="46" s="1"/>
  <c r="E607" i="45"/>
  <c r="G606" i="45"/>
  <c r="M5" i="47" l="1"/>
  <c r="Q13" i="19"/>
  <c r="E532" i="46"/>
  <c r="G393" i="46"/>
  <c r="E653" i="46"/>
  <c r="G23" i="46"/>
  <c r="E23" i="46" s="1"/>
  <c r="G652" i="46"/>
  <c r="G531" i="46"/>
  <c r="G605" i="45"/>
  <c r="E606" i="45"/>
  <c r="E531" i="46" l="1"/>
  <c r="G392" i="46"/>
  <c r="G22" i="46"/>
  <c r="E22" i="46" s="1"/>
  <c r="G530" i="46"/>
  <c r="E652" i="46"/>
  <c r="G651" i="46"/>
  <c r="E393" i="46"/>
  <c r="G10" i="46"/>
  <c r="G604" i="45"/>
  <c r="E605" i="45"/>
  <c r="G17" i="46" l="1"/>
  <c r="E17" i="46" s="1"/>
  <c r="E10" i="46"/>
  <c r="G650" i="46"/>
  <c r="G529" i="46"/>
  <c r="E651" i="46"/>
  <c r="G21" i="46"/>
  <c r="E21" i="46" s="1"/>
  <c r="E530" i="46"/>
  <c r="G391" i="46"/>
  <c r="E392" i="46"/>
  <c r="G9" i="46"/>
  <c r="E604" i="45"/>
  <c r="G603" i="45"/>
  <c r="G16" i="46" l="1"/>
  <c r="E16" i="46" s="1"/>
  <c r="E9" i="46"/>
  <c r="G8" i="46"/>
  <c r="E391" i="46"/>
  <c r="E650" i="46"/>
  <c r="G528" i="46"/>
  <c r="G649" i="46"/>
  <c r="E649" i="46" s="1"/>
  <c r="G20" i="46"/>
  <c r="E529" i="46"/>
  <c r="G390" i="46"/>
  <c r="E603" i="45"/>
  <c r="G602" i="45"/>
  <c r="E390" i="46" l="1"/>
  <c r="G7" i="46"/>
  <c r="G527" i="46"/>
  <c r="E527" i="46" s="1"/>
  <c r="E528" i="46"/>
  <c r="G389" i="46"/>
  <c r="E20" i="46"/>
  <c r="G19" i="46"/>
  <c r="E19" i="46" s="1"/>
  <c r="G15" i="46"/>
  <c r="E15" i="46" s="1"/>
  <c r="E8" i="46"/>
  <c r="E602" i="45"/>
  <c r="G601" i="45"/>
  <c r="G388" i="46" l="1"/>
  <c r="E388" i="46" s="1"/>
  <c r="G6" i="46"/>
  <c r="E389" i="46"/>
  <c r="G14" i="46"/>
  <c r="E14" i="46" s="1"/>
  <c r="E7" i="46"/>
  <c r="E601" i="45"/>
  <c r="G600" i="45"/>
  <c r="G5" i="46" l="1"/>
  <c r="E5" i="46" s="1"/>
  <c r="G13" i="46"/>
  <c r="E6" i="46"/>
  <c r="E600" i="45"/>
  <c r="G599" i="45"/>
  <c r="G12" i="46" l="1"/>
  <c r="E12" i="46" s="1"/>
  <c r="M5" i="46" s="1"/>
  <c r="E13" i="46"/>
  <c r="G598" i="45"/>
  <c r="E599" i="45"/>
  <c r="E598" i="45" l="1"/>
  <c r="G478" i="45"/>
  <c r="G597" i="45"/>
  <c r="G22" i="45"/>
  <c r="E22" i="45" l="1"/>
  <c r="G21" i="45"/>
  <c r="E597" i="45"/>
  <c r="G596" i="45"/>
  <c r="G477" i="45"/>
  <c r="G352" i="45"/>
  <c r="E478" i="45"/>
  <c r="E21" i="45" l="1"/>
  <c r="E352" i="45"/>
  <c r="G10" i="45"/>
  <c r="G351" i="45"/>
  <c r="E477" i="45"/>
  <c r="G476" i="45"/>
  <c r="E596" i="45"/>
  <c r="G20" i="45"/>
  <c r="G595" i="45"/>
  <c r="E20" i="45" l="1"/>
  <c r="E595" i="45"/>
  <c r="G19" i="45"/>
  <c r="G594" i="45"/>
  <c r="G475" i="45"/>
  <c r="G9" i="45"/>
  <c r="E351" i="45"/>
  <c r="E476" i="45"/>
  <c r="G350" i="45"/>
  <c r="G16" i="45"/>
  <c r="E10" i="45"/>
  <c r="E19" i="45" l="1"/>
  <c r="E16" i="45"/>
  <c r="G8" i="45"/>
  <c r="E350" i="45"/>
  <c r="G15" i="45"/>
  <c r="E9" i="45"/>
  <c r="E475" i="45"/>
  <c r="G349" i="45"/>
  <c r="E594" i="45"/>
  <c r="G593" i="45"/>
  <c r="E593" i="45" s="1"/>
  <c r="G18" i="45"/>
  <c r="G474" i="45"/>
  <c r="E15" i="45" l="1"/>
  <c r="E474" i="45"/>
  <c r="G473" i="45"/>
  <c r="G348" i="45"/>
  <c r="G17" i="45"/>
  <c r="E18" i="45"/>
  <c r="G7" i="45"/>
  <c r="E349" i="45"/>
  <c r="G14" i="45"/>
  <c r="E8" i="45"/>
  <c r="E17" i="45" l="1"/>
  <c r="E473" i="45"/>
  <c r="E14" i="45"/>
  <c r="G347" i="45"/>
  <c r="E348" i="45"/>
  <c r="G6" i="45"/>
  <c r="G13" i="45"/>
  <c r="E7" i="45"/>
  <c r="E13" i="45" l="1"/>
  <c r="E347" i="45"/>
  <c r="G5" i="45"/>
  <c r="G12" i="45"/>
  <c r="E6" i="45"/>
  <c r="E5" i="45" l="1"/>
  <c r="G11" i="45"/>
  <c r="E12" i="45"/>
  <c r="E11" i="45" l="1"/>
  <c r="E56" i="36"/>
  <c r="E55" i="36"/>
  <c r="E54" i="36"/>
  <c r="E53" i="36"/>
  <c r="E52" i="36"/>
  <c r="I51" i="36"/>
  <c r="H51" i="36"/>
  <c r="G51" i="36"/>
  <c r="F51" i="36"/>
  <c r="F207" i="36"/>
  <c r="E347" i="36"/>
  <c r="E346" i="36"/>
  <c r="E345" i="36"/>
  <c r="E344" i="36"/>
  <c r="E343" i="36"/>
  <c r="I342" i="36"/>
  <c r="H342" i="36"/>
  <c r="G342" i="36"/>
  <c r="M5" i="45" l="1"/>
  <c r="E51" i="36"/>
  <c r="E342" i="36"/>
  <c r="F342" i="36"/>
  <c r="F352" i="36" l="1"/>
  <c r="F167" i="36"/>
  <c r="F80" i="36" l="1"/>
  <c r="F77" i="36" s="1"/>
  <c r="F67" i="36"/>
  <c r="F64" i="36" s="1"/>
  <c r="F241" i="36" l="1"/>
  <c r="F179" i="36"/>
  <c r="F176" i="36" s="1"/>
  <c r="F708" i="40" l="1"/>
  <c r="G708" i="40"/>
  <c r="H708" i="40"/>
  <c r="I708" i="40"/>
  <c r="F709" i="40"/>
  <c r="G709" i="40"/>
  <c r="H709" i="40"/>
  <c r="I709" i="40"/>
  <c r="F710" i="40"/>
  <c r="G710" i="40"/>
  <c r="H710" i="40"/>
  <c r="I710" i="40"/>
  <c r="F711" i="40"/>
  <c r="G711" i="40"/>
  <c r="H711" i="40"/>
  <c r="I711" i="40"/>
  <c r="F712" i="40"/>
  <c r="G712" i="40"/>
  <c r="F696" i="40"/>
  <c r="G696" i="40"/>
  <c r="H696" i="40"/>
  <c r="I696" i="40"/>
  <c r="F697" i="40"/>
  <c r="G697" i="40"/>
  <c r="H697" i="40"/>
  <c r="I697" i="40"/>
  <c r="G698" i="40"/>
  <c r="H698" i="40"/>
  <c r="I698" i="40"/>
  <c r="G699" i="40"/>
  <c r="H699" i="40"/>
  <c r="I699" i="40"/>
  <c r="F700" i="40"/>
  <c r="G700" i="40"/>
  <c r="F702" i="40"/>
  <c r="G702" i="40"/>
  <c r="H702" i="40"/>
  <c r="I702" i="40"/>
  <c r="F703" i="40"/>
  <c r="G703" i="40"/>
  <c r="H703" i="40"/>
  <c r="I703" i="40"/>
  <c r="F704" i="40"/>
  <c r="G704" i="40"/>
  <c r="H704" i="40"/>
  <c r="I704" i="40"/>
  <c r="F705" i="40"/>
  <c r="G705" i="40"/>
  <c r="H705" i="40"/>
  <c r="I705" i="40"/>
  <c r="F706" i="40"/>
  <c r="G706" i="40"/>
  <c r="I11" i="40"/>
  <c r="I12" i="40"/>
  <c r="I13" i="40"/>
  <c r="I14" i="40"/>
  <c r="I15" i="40"/>
  <c r="I16" i="40"/>
  <c r="E778" i="42"/>
  <c r="E777" i="42"/>
  <c r="E776" i="42"/>
  <c r="E775" i="42"/>
  <c r="E774" i="42"/>
  <c r="I773" i="42"/>
  <c r="H773" i="42"/>
  <c r="G773" i="42"/>
  <c r="F773" i="42"/>
  <c r="I772" i="42"/>
  <c r="I766" i="42" s="1"/>
  <c r="H772" i="42"/>
  <c r="H766" i="42" s="1"/>
  <c r="G772" i="42"/>
  <c r="G766" i="42" s="1"/>
  <c r="F772" i="42"/>
  <c r="I771" i="42"/>
  <c r="I765" i="42" s="1"/>
  <c r="H771" i="42"/>
  <c r="H765" i="42" s="1"/>
  <c r="G771" i="42"/>
  <c r="G765" i="42" s="1"/>
  <c r="F771" i="42"/>
  <c r="F765" i="42" s="1"/>
  <c r="I770" i="42"/>
  <c r="I764" i="42" s="1"/>
  <c r="H770" i="42"/>
  <c r="H764" i="42" s="1"/>
  <c r="G770" i="42"/>
  <c r="F770" i="42"/>
  <c r="F764" i="42" s="1"/>
  <c r="I769" i="42"/>
  <c r="I763" i="42" s="1"/>
  <c r="H769" i="42"/>
  <c r="H763" i="42" s="1"/>
  <c r="G769" i="42"/>
  <c r="G763" i="42" s="1"/>
  <c r="F769" i="42"/>
  <c r="I768" i="42"/>
  <c r="I762" i="42" s="1"/>
  <c r="I761" i="42" s="1"/>
  <c r="H768" i="42"/>
  <c r="H767" i="42" s="1"/>
  <c r="G768" i="42"/>
  <c r="G762" i="42" s="1"/>
  <c r="F768" i="42"/>
  <c r="G764" i="42"/>
  <c r="E760" i="42"/>
  <c r="E759" i="42"/>
  <c r="F758" i="42"/>
  <c r="E757" i="42"/>
  <c r="E756" i="42"/>
  <c r="I755" i="42"/>
  <c r="G755" i="42"/>
  <c r="E754" i="42"/>
  <c r="E753" i="42"/>
  <c r="E752" i="42"/>
  <c r="E751" i="42"/>
  <c r="E750" i="42"/>
  <c r="I749" i="42"/>
  <c r="E749" i="42" s="1"/>
  <c r="E748" i="42"/>
  <c r="E747" i="42"/>
  <c r="E746" i="42"/>
  <c r="E745" i="42"/>
  <c r="E744" i="42"/>
  <c r="I743" i="42"/>
  <c r="H743" i="42"/>
  <c r="G743" i="42"/>
  <c r="F743" i="42"/>
  <c r="E742" i="42"/>
  <c r="E741" i="42"/>
  <c r="F740" i="42"/>
  <c r="E740" i="42" s="1"/>
  <c r="E739" i="42"/>
  <c r="E738" i="42"/>
  <c r="I737" i="42"/>
  <c r="H737" i="42"/>
  <c r="G737" i="42"/>
  <c r="I736" i="42"/>
  <c r="H736" i="42"/>
  <c r="G736" i="42"/>
  <c r="F736" i="42"/>
  <c r="I735" i="42"/>
  <c r="H735" i="42"/>
  <c r="G735" i="42"/>
  <c r="F735" i="42"/>
  <c r="I734" i="42"/>
  <c r="G734" i="42"/>
  <c r="I733" i="42"/>
  <c r="H733" i="42"/>
  <c r="G733" i="42"/>
  <c r="F733" i="42"/>
  <c r="I732" i="42"/>
  <c r="H732" i="42"/>
  <c r="G732" i="42"/>
  <c r="F732" i="42"/>
  <c r="E730" i="42"/>
  <c r="E729" i="42"/>
  <c r="E728" i="42"/>
  <c r="M727" i="42"/>
  <c r="E727" i="42"/>
  <c r="E726" i="42"/>
  <c r="I725" i="42"/>
  <c r="H725" i="42"/>
  <c r="G725" i="42"/>
  <c r="F725" i="42"/>
  <c r="E724" i="42"/>
  <c r="E723" i="42"/>
  <c r="E722" i="42"/>
  <c r="E721" i="42"/>
  <c r="E720" i="42"/>
  <c r="I719" i="42"/>
  <c r="I713" i="42" s="1"/>
  <c r="H719" i="42"/>
  <c r="G719" i="42"/>
  <c r="F719" i="42"/>
  <c r="I718" i="42"/>
  <c r="H718" i="42"/>
  <c r="G718" i="42"/>
  <c r="F718" i="42"/>
  <c r="I717" i="42"/>
  <c r="H717" i="42"/>
  <c r="H21" i="42" s="1"/>
  <c r="H21" i="40" s="1"/>
  <c r="G717" i="42"/>
  <c r="F717" i="42"/>
  <c r="I716" i="42"/>
  <c r="H716" i="42"/>
  <c r="G716" i="42"/>
  <c r="F716" i="42"/>
  <c r="I715" i="42"/>
  <c r="H715" i="42"/>
  <c r="G715" i="42"/>
  <c r="F715" i="42"/>
  <c r="I714" i="42"/>
  <c r="H714" i="42"/>
  <c r="G714" i="42"/>
  <c r="F714" i="42"/>
  <c r="I712" i="42"/>
  <c r="I707" i="42" s="1"/>
  <c r="I707" i="40" s="1"/>
  <c r="E711" i="42"/>
  <c r="E711" i="40" s="1"/>
  <c r="E710" i="42"/>
  <c r="E710" i="40" s="1"/>
  <c r="E709" i="42"/>
  <c r="E709" i="40" s="1"/>
  <c r="E708" i="42"/>
  <c r="E708" i="40" s="1"/>
  <c r="G707" i="42"/>
  <c r="G707" i="40" s="1"/>
  <c r="F707" i="42"/>
  <c r="F707" i="40" s="1"/>
  <c r="I706" i="42"/>
  <c r="H712" i="42" s="1"/>
  <c r="H712" i="40" s="1"/>
  <c r="E705" i="42"/>
  <c r="E705" i="40" s="1"/>
  <c r="E704" i="42"/>
  <c r="E704" i="40" s="1"/>
  <c r="E703" i="42"/>
  <c r="E703" i="40" s="1"/>
  <c r="E702" i="42"/>
  <c r="E702" i="40" s="1"/>
  <c r="G701" i="42"/>
  <c r="G701" i="40" s="1"/>
  <c r="F701" i="42"/>
  <c r="F701" i="40" s="1"/>
  <c r="I700" i="42"/>
  <c r="H706" i="42" s="1"/>
  <c r="H706" i="40" s="1"/>
  <c r="F699" i="42"/>
  <c r="F699" i="40" s="1"/>
  <c r="F698" i="42"/>
  <c r="E697" i="42"/>
  <c r="E697" i="40" s="1"/>
  <c r="E696" i="42"/>
  <c r="E696" i="40" s="1"/>
  <c r="G695" i="42"/>
  <c r="G695" i="40" s="1"/>
  <c r="F695" i="42"/>
  <c r="F695" i="40" s="1"/>
  <c r="G694" i="42"/>
  <c r="G694" i="40" s="1"/>
  <c r="F694" i="42"/>
  <c r="F694" i="40" s="1"/>
  <c r="I693" i="42"/>
  <c r="I693" i="40" s="1"/>
  <c r="H693" i="42"/>
  <c r="H693" i="40" s="1"/>
  <c r="G693" i="42"/>
  <c r="G693" i="40" s="1"/>
  <c r="I692" i="42"/>
  <c r="I692" i="40" s="1"/>
  <c r="H692" i="42"/>
  <c r="H692" i="40" s="1"/>
  <c r="G692" i="42"/>
  <c r="G692" i="40" s="1"/>
  <c r="I691" i="42"/>
  <c r="I691" i="40" s="1"/>
  <c r="H691" i="42"/>
  <c r="H691" i="40" s="1"/>
  <c r="G691" i="42"/>
  <c r="G691" i="40" s="1"/>
  <c r="F691" i="42"/>
  <c r="I690" i="42"/>
  <c r="I690" i="40" s="1"/>
  <c r="H690" i="42"/>
  <c r="H690" i="40" s="1"/>
  <c r="G690" i="42"/>
  <c r="F690" i="42"/>
  <c r="F690" i="40" s="1"/>
  <c r="I688" i="42"/>
  <c r="I683" i="42" s="1"/>
  <c r="E687" i="42"/>
  <c r="E686" i="42"/>
  <c r="E685" i="42"/>
  <c r="E684" i="42"/>
  <c r="G683" i="42"/>
  <c r="F683" i="42"/>
  <c r="G682" i="42"/>
  <c r="F682" i="42"/>
  <c r="I681" i="42"/>
  <c r="H681" i="42"/>
  <c r="G681" i="42"/>
  <c r="F681" i="42"/>
  <c r="I680" i="42"/>
  <c r="H680" i="42"/>
  <c r="G680" i="42"/>
  <c r="F680" i="42"/>
  <c r="I679" i="42"/>
  <c r="H679" i="42"/>
  <c r="G679" i="42"/>
  <c r="F679" i="42"/>
  <c r="I678" i="42"/>
  <c r="H678" i="42"/>
  <c r="G678" i="42"/>
  <c r="F678" i="42"/>
  <c r="F677" i="42" s="1"/>
  <c r="F676" i="42"/>
  <c r="E676" i="42" s="1"/>
  <c r="F675" i="42"/>
  <c r="E675" i="42" s="1"/>
  <c r="F674" i="42"/>
  <c r="E674" i="42" s="1"/>
  <c r="H673" i="42"/>
  <c r="E673" i="42" s="1"/>
  <c r="F672" i="42"/>
  <c r="E670" i="42"/>
  <c r="E669" i="42"/>
  <c r="E668" i="42"/>
  <c r="H667" i="42"/>
  <c r="E667" i="42" s="1"/>
  <c r="E666" i="42"/>
  <c r="F665" i="42"/>
  <c r="E664" i="42"/>
  <c r="E663" i="42"/>
  <c r="E662" i="42"/>
  <c r="F661" i="42"/>
  <c r="H661" i="42" s="1"/>
  <c r="H659" i="42" s="1"/>
  <c r="E660" i="42"/>
  <c r="I659" i="42"/>
  <c r="G659" i="42"/>
  <c r="F659" i="42"/>
  <c r="E658" i="42"/>
  <c r="E657" i="42"/>
  <c r="E656" i="42"/>
  <c r="F655" i="42"/>
  <c r="H655" i="42" s="1"/>
  <c r="E654" i="42"/>
  <c r="I653" i="42"/>
  <c r="G653" i="42"/>
  <c r="F653" i="42"/>
  <c r="E652" i="42"/>
  <c r="E651" i="42"/>
  <c r="E650" i="42"/>
  <c r="E649" i="42"/>
  <c r="E648" i="42"/>
  <c r="I647" i="42"/>
  <c r="H647" i="42"/>
  <c r="G647" i="42"/>
  <c r="F647" i="42"/>
  <c r="E646" i="42"/>
  <c r="E645" i="42"/>
  <c r="E644" i="42"/>
  <c r="E643" i="42"/>
  <c r="E642" i="42"/>
  <c r="I641" i="42"/>
  <c r="H641" i="42"/>
  <c r="G641" i="42"/>
  <c r="F641" i="42"/>
  <c r="E640" i="42"/>
  <c r="E639" i="42"/>
  <c r="E638" i="42"/>
  <c r="E637" i="42"/>
  <c r="E636" i="42"/>
  <c r="I635" i="42"/>
  <c r="H635" i="42"/>
  <c r="G635" i="42"/>
  <c r="F635" i="42"/>
  <c r="E634" i="42"/>
  <c r="E633" i="42"/>
  <c r="I632" i="42"/>
  <c r="H631" i="42"/>
  <c r="G629" i="42"/>
  <c r="G625" i="42" s="1"/>
  <c r="F629" i="42"/>
  <c r="E628" i="42"/>
  <c r="E627" i="42"/>
  <c r="E626" i="42"/>
  <c r="H625" i="42"/>
  <c r="H623" i="42" s="1"/>
  <c r="I623" i="42"/>
  <c r="I622" i="42" s="1"/>
  <c r="I621" i="42" s="1"/>
  <c r="I620" i="42" s="1"/>
  <c r="I619" i="42" s="1"/>
  <c r="I618" i="42" s="1"/>
  <c r="I617" i="42" s="1"/>
  <c r="I616" i="42" s="1"/>
  <c r="I615" i="42" s="1"/>
  <c r="I614" i="42" s="1"/>
  <c r="I613" i="42" s="1"/>
  <c r="I612" i="42" s="1"/>
  <c r="I611" i="42" s="1"/>
  <c r="I610" i="42" s="1"/>
  <c r="I609" i="42" s="1"/>
  <c r="I608" i="42" s="1"/>
  <c r="I607" i="42" s="1"/>
  <c r="I606" i="42" s="1"/>
  <c r="I605" i="42" s="1"/>
  <c r="I604" i="42" s="1"/>
  <c r="I603" i="42" s="1"/>
  <c r="I602" i="42" s="1"/>
  <c r="I601" i="42" s="1"/>
  <c r="I600" i="42" s="1"/>
  <c r="I599" i="42" s="1"/>
  <c r="I598" i="42" s="1"/>
  <c r="F623" i="42"/>
  <c r="H617" i="42"/>
  <c r="F617" i="42"/>
  <c r="H613" i="42"/>
  <c r="H611" i="42" s="1"/>
  <c r="F611" i="42"/>
  <c r="H607" i="42"/>
  <c r="H605" i="42" s="1"/>
  <c r="F605" i="42"/>
  <c r="H599" i="42"/>
  <c r="F599" i="42"/>
  <c r="H595" i="42"/>
  <c r="H593" i="42" s="1"/>
  <c r="F593" i="42"/>
  <c r="E592" i="42"/>
  <c r="E591" i="42"/>
  <c r="E590" i="42"/>
  <c r="E589" i="42"/>
  <c r="E588" i="42"/>
  <c r="I587" i="42"/>
  <c r="H587" i="42"/>
  <c r="G587" i="42"/>
  <c r="F587" i="42"/>
  <c r="E586" i="42"/>
  <c r="E585" i="42"/>
  <c r="E584" i="42"/>
  <c r="E583" i="42"/>
  <c r="E582" i="42"/>
  <c r="I581" i="42"/>
  <c r="H581" i="42"/>
  <c r="G581" i="42"/>
  <c r="F581" i="42"/>
  <c r="E580" i="42"/>
  <c r="E579" i="42"/>
  <c r="E578" i="42"/>
  <c r="E577" i="42"/>
  <c r="E576" i="42"/>
  <c r="I575" i="42"/>
  <c r="H575" i="42"/>
  <c r="G575" i="42"/>
  <c r="F575" i="42"/>
  <c r="E574" i="42"/>
  <c r="E573" i="42"/>
  <c r="E572" i="42"/>
  <c r="E571" i="42"/>
  <c r="E570" i="42"/>
  <c r="I569" i="42"/>
  <c r="H569" i="42"/>
  <c r="G569" i="42"/>
  <c r="F569" i="42"/>
  <c r="E568" i="42"/>
  <c r="E567" i="42"/>
  <c r="E566" i="42"/>
  <c r="E565" i="42"/>
  <c r="H564" i="42"/>
  <c r="E564" i="42" s="1"/>
  <c r="G563" i="42"/>
  <c r="F563" i="42"/>
  <c r="E562" i="42"/>
  <c r="E561" i="42"/>
  <c r="E560" i="42"/>
  <c r="H559" i="42"/>
  <c r="E559" i="42" s="1"/>
  <c r="H558" i="42"/>
  <c r="E558" i="42" s="1"/>
  <c r="I557" i="42"/>
  <c r="G557" i="42"/>
  <c r="F557" i="42"/>
  <c r="E556" i="42"/>
  <c r="E555" i="42"/>
  <c r="E554" i="42"/>
  <c r="E553" i="42"/>
  <c r="E552" i="42"/>
  <c r="I551" i="42"/>
  <c r="H551" i="42"/>
  <c r="G551" i="42"/>
  <c r="F551" i="42"/>
  <c r="E550" i="42"/>
  <c r="E549" i="42"/>
  <c r="E548" i="42"/>
  <c r="E547" i="42"/>
  <c r="E546" i="42"/>
  <c r="E545" i="42"/>
  <c r="E544" i="42"/>
  <c r="E543" i="42"/>
  <c r="E542" i="42"/>
  <c r="E541" i="42"/>
  <c r="E540" i="42"/>
  <c r="I539" i="42"/>
  <c r="H539" i="42"/>
  <c r="G539" i="42"/>
  <c r="F539" i="42"/>
  <c r="H534" i="42"/>
  <c r="E534" i="42" s="1"/>
  <c r="I533" i="42"/>
  <c r="G533" i="42"/>
  <c r="F533" i="42"/>
  <c r="H528" i="42"/>
  <c r="H527" i="42" s="1"/>
  <c r="I527" i="42"/>
  <c r="G527" i="42"/>
  <c r="F527" i="42"/>
  <c r="H522" i="42"/>
  <c r="E522" i="42" s="1"/>
  <c r="I521" i="42"/>
  <c r="G521" i="42"/>
  <c r="F521" i="42"/>
  <c r="H516" i="42"/>
  <c r="E516" i="42" s="1"/>
  <c r="I515" i="42"/>
  <c r="G515" i="42"/>
  <c r="F515" i="42"/>
  <c r="H510" i="42"/>
  <c r="E510" i="42" s="1"/>
  <c r="I509" i="42"/>
  <c r="G509" i="42"/>
  <c r="F509" i="42"/>
  <c r="H504" i="42"/>
  <c r="E504" i="42" s="1"/>
  <c r="I503" i="42"/>
  <c r="G503" i="42"/>
  <c r="F503" i="42"/>
  <c r="E498" i="42"/>
  <c r="I497" i="42"/>
  <c r="H497" i="42"/>
  <c r="G497" i="42"/>
  <c r="F497" i="42"/>
  <c r="E496" i="42"/>
  <c r="E495" i="42"/>
  <c r="E494" i="42"/>
  <c r="F493" i="42"/>
  <c r="E493" i="42" s="1"/>
  <c r="F492" i="42"/>
  <c r="E492" i="42" s="1"/>
  <c r="I491" i="42"/>
  <c r="H491" i="42"/>
  <c r="G491" i="42"/>
  <c r="E490" i="42"/>
  <c r="E489" i="42"/>
  <c r="E488" i="42"/>
  <c r="E487" i="42"/>
  <c r="E486" i="42"/>
  <c r="I485" i="42"/>
  <c r="H485" i="42"/>
  <c r="G485" i="42"/>
  <c r="F485" i="42"/>
  <c r="E484" i="42"/>
  <c r="I483" i="42"/>
  <c r="E483" i="42" s="1"/>
  <c r="F482" i="42"/>
  <c r="E482" i="42" s="1"/>
  <c r="E481" i="42"/>
  <c r="E480" i="42"/>
  <c r="H479" i="42"/>
  <c r="G479" i="42"/>
  <c r="H478" i="42"/>
  <c r="F478" i="42"/>
  <c r="H477" i="42"/>
  <c r="F477" i="42"/>
  <c r="H476" i="42"/>
  <c r="E472" i="42"/>
  <c r="E471" i="42"/>
  <c r="E470" i="42"/>
  <c r="E469" i="42"/>
  <c r="E468" i="42"/>
  <c r="I467" i="42"/>
  <c r="H467" i="42"/>
  <c r="G467" i="42"/>
  <c r="F467" i="42"/>
  <c r="E466" i="42"/>
  <c r="E465" i="42"/>
  <c r="E464" i="42"/>
  <c r="E463" i="42"/>
  <c r="E462" i="42"/>
  <c r="I461" i="42"/>
  <c r="H461" i="42"/>
  <c r="F461" i="42"/>
  <c r="E460" i="42"/>
  <c r="E459" i="42"/>
  <c r="E458" i="42"/>
  <c r="E457" i="42"/>
  <c r="E456" i="42"/>
  <c r="I455" i="42"/>
  <c r="H455" i="42"/>
  <c r="G455" i="42"/>
  <c r="F455" i="42"/>
  <c r="E454" i="42"/>
  <c r="E453" i="42"/>
  <c r="E452" i="42"/>
  <c r="F451" i="42"/>
  <c r="F449" i="42" s="1"/>
  <c r="E450" i="42"/>
  <c r="I449" i="42"/>
  <c r="H449" i="42"/>
  <c r="G449" i="42"/>
  <c r="E448" i="42"/>
  <c r="E447" i="42"/>
  <c r="E446" i="42"/>
  <c r="E445" i="42"/>
  <c r="E444" i="42"/>
  <c r="I443" i="42"/>
  <c r="H443" i="42"/>
  <c r="G443" i="42"/>
  <c r="F443" i="42"/>
  <c r="E442" i="42"/>
  <c r="E441" i="42"/>
  <c r="E440" i="42"/>
  <c r="E439" i="42"/>
  <c r="E438" i="42"/>
  <c r="I437" i="42"/>
  <c r="I436" i="42" s="1"/>
  <c r="H437" i="42"/>
  <c r="F437" i="42"/>
  <c r="H433" i="42"/>
  <c r="F431" i="42"/>
  <c r="H425" i="42"/>
  <c r="G425" i="42"/>
  <c r="G424" i="42" s="1"/>
  <c r="F425" i="42"/>
  <c r="H419" i="42"/>
  <c r="F419" i="42"/>
  <c r="E418" i="42"/>
  <c r="E417" i="42"/>
  <c r="E416" i="42"/>
  <c r="F415" i="42"/>
  <c r="H415" i="42" s="1"/>
  <c r="H413" i="42" s="1"/>
  <c r="E414" i="42"/>
  <c r="I413" i="42"/>
  <c r="G413" i="42"/>
  <c r="E412" i="42"/>
  <c r="E411" i="42"/>
  <c r="E410" i="42"/>
  <c r="F409" i="42"/>
  <c r="E408" i="42"/>
  <c r="I407" i="42"/>
  <c r="H407" i="42"/>
  <c r="G407" i="42"/>
  <c r="E406" i="42"/>
  <c r="E405" i="42"/>
  <c r="E404" i="42"/>
  <c r="E403" i="42"/>
  <c r="E402" i="42"/>
  <c r="I401" i="42"/>
  <c r="H401" i="42"/>
  <c r="G401" i="42"/>
  <c r="F401" i="42"/>
  <c r="E400" i="42"/>
  <c r="E399" i="42"/>
  <c r="E398" i="42"/>
  <c r="E397" i="42"/>
  <c r="E396" i="42"/>
  <c r="I395" i="42"/>
  <c r="H395" i="42"/>
  <c r="G395" i="42"/>
  <c r="F395" i="42"/>
  <c r="E394" i="42"/>
  <c r="E393" i="42"/>
  <c r="E392" i="42"/>
  <c r="E391" i="42"/>
  <c r="E390" i="42"/>
  <c r="I389" i="42"/>
  <c r="H389" i="42"/>
  <c r="G389" i="42"/>
  <c r="F389" i="42"/>
  <c r="E388" i="42"/>
  <c r="E387" i="42"/>
  <c r="E386" i="42"/>
  <c r="H385" i="42"/>
  <c r="E385" i="42" s="1"/>
  <c r="E384" i="42"/>
  <c r="I383" i="42"/>
  <c r="G383" i="42"/>
  <c r="F383" i="42"/>
  <c r="E382" i="42"/>
  <c r="E381" i="42"/>
  <c r="E380" i="42"/>
  <c r="E379" i="42"/>
  <c r="E378" i="42"/>
  <c r="I377" i="42"/>
  <c r="H377" i="42"/>
  <c r="G377" i="42"/>
  <c r="F377" i="42"/>
  <c r="E376" i="42"/>
  <c r="E375" i="42"/>
  <c r="E374" i="42"/>
  <c r="E373" i="42"/>
  <c r="E372" i="42"/>
  <c r="I371" i="42"/>
  <c r="H371" i="42"/>
  <c r="G371" i="42"/>
  <c r="F371" i="42"/>
  <c r="E370" i="42"/>
  <c r="E369" i="42"/>
  <c r="E368" i="42"/>
  <c r="E367" i="42"/>
  <c r="F366" i="42"/>
  <c r="H366" i="42" s="1"/>
  <c r="I365" i="42"/>
  <c r="G365" i="42"/>
  <c r="E364" i="42"/>
  <c r="E363" i="42"/>
  <c r="E362" i="42"/>
  <c r="E361" i="42"/>
  <c r="H360" i="42"/>
  <c r="E360" i="42" s="1"/>
  <c r="I359" i="42"/>
  <c r="G359" i="42"/>
  <c r="F359" i="42"/>
  <c r="H358" i="42"/>
  <c r="F358" i="42"/>
  <c r="H357" i="42"/>
  <c r="F357" i="42"/>
  <c r="H356" i="42"/>
  <c r="F356" i="42"/>
  <c r="E346" i="42"/>
  <c r="E345" i="42"/>
  <c r="F344" i="42"/>
  <c r="E344" i="42" s="1"/>
  <c r="E343" i="42"/>
  <c r="E342" i="42"/>
  <c r="I341" i="42"/>
  <c r="H341" i="42"/>
  <c r="G341" i="42"/>
  <c r="E340" i="42"/>
  <c r="E339" i="42"/>
  <c r="E338" i="42"/>
  <c r="E337" i="42"/>
  <c r="E336" i="42"/>
  <c r="I335" i="42"/>
  <c r="H335" i="42"/>
  <c r="G335" i="42"/>
  <c r="F335" i="42"/>
  <c r="I334" i="42"/>
  <c r="H334" i="42"/>
  <c r="G334" i="42"/>
  <c r="F334" i="42"/>
  <c r="I333" i="42"/>
  <c r="H333" i="42"/>
  <c r="G333" i="42"/>
  <c r="F333" i="42"/>
  <c r="I332" i="42"/>
  <c r="H332" i="42"/>
  <c r="G332" i="42"/>
  <c r="I331" i="42"/>
  <c r="H331" i="42"/>
  <c r="G331" i="42"/>
  <c r="F331" i="42"/>
  <c r="I330" i="42"/>
  <c r="H330" i="42"/>
  <c r="G330" i="42"/>
  <c r="F330" i="42"/>
  <c r="E328" i="42"/>
  <c r="E327" i="42"/>
  <c r="E326" i="42"/>
  <c r="E325" i="42"/>
  <c r="E324" i="42"/>
  <c r="I323" i="42"/>
  <c r="H323" i="42"/>
  <c r="G323" i="42"/>
  <c r="F323" i="42"/>
  <c r="E322" i="42"/>
  <c r="E321" i="42"/>
  <c r="E320" i="42"/>
  <c r="E319" i="42"/>
  <c r="E318" i="42"/>
  <c r="I317" i="42"/>
  <c r="H317" i="42"/>
  <c r="G317" i="42"/>
  <c r="F317" i="42"/>
  <c r="I316" i="42"/>
  <c r="H316" i="42"/>
  <c r="G316" i="42"/>
  <c r="F316" i="42"/>
  <c r="I315" i="42"/>
  <c r="H315" i="42"/>
  <c r="G315" i="42"/>
  <c r="F315" i="42"/>
  <c r="I314" i="42"/>
  <c r="H314" i="42"/>
  <c r="G314" i="42"/>
  <c r="F314" i="42"/>
  <c r="I313" i="42"/>
  <c r="H313" i="42"/>
  <c r="G313" i="42"/>
  <c r="F313" i="42"/>
  <c r="I312" i="42"/>
  <c r="I311" i="42" s="1"/>
  <c r="H312" i="42"/>
  <c r="G312" i="42"/>
  <c r="G311" i="42" s="1"/>
  <c r="F312" i="42"/>
  <c r="F311" i="42" s="1"/>
  <c r="E310" i="42"/>
  <c r="E309" i="42"/>
  <c r="E308" i="42"/>
  <c r="E307" i="42"/>
  <c r="E306" i="42"/>
  <c r="I305" i="42"/>
  <c r="H305" i="42"/>
  <c r="G305" i="42"/>
  <c r="F305" i="42"/>
  <c r="E304" i="42"/>
  <c r="E303" i="42"/>
  <c r="E302" i="42"/>
  <c r="F301" i="42"/>
  <c r="E301" i="42" s="1"/>
  <c r="E300" i="42"/>
  <c r="I299" i="42"/>
  <c r="H299" i="42"/>
  <c r="G299" i="42"/>
  <c r="E298" i="42"/>
  <c r="E297" i="42"/>
  <c r="E296" i="42"/>
  <c r="E295" i="42"/>
  <c r="E294" i="42"/>
  <c r="I293" i="42"/>
  <c r="H293" i="42"/>
  <c r="G293" i="42"/>
  <c r="F293" i="42"/>
  <c r="E292" i="42"/>
  <c r="E291" i="42"/>
  <c r="E290" i="42"/>
  <c r="F289" i="42"/>
  <c r="E289" i="42" s="1"/>
  <c r="E288" i="42"/>
  <c r="I287" i="42"/>
  <c r="H287" i="42"/>
  <c r="G287" i="42"/>
  <c r="E286" i="42"/>
  <c r="E285" i="42"/>
  <c r="E284" i="42"/>
  <c r="E283" i="42"/>
  <c r="E282" i="42"/>
  <c r="I281" i="42"/>
  <c r="H281" i="42"/>
  <c r="G281" i="42"/>
  <c r="F281" i="42"/>
  <c r="E280" i="42"/>
  <c r="E279" i="42"/>
  <c r="E278" i="42"/>
  <c r="E277" i="42"/>
  <c r="E276" i="42"/>
  <c r="I275" i="42"/>
  <c r="H275" i="42"/>
  <c r="G275" i="42"/>
  <c r="F275" i="42"/>
  <c r="E274" i="42"/>
  <c r="E273" i="42"/>
  <c r="F272" i="42"/>
  <c r="E272" i="42" s="1"/>
  <c r="E271" i="42"/>
  <c r="E270" i="42"/>
  <c r="I269" i="42"/>
  <c r="H269" i="42"/>
  <c r="G269" i="42"/>
  <c r="E268" i="42"/>
  <c r="E267" i="42"/>
  <c r="E266" i="42"/>
  <c r="E264" i="42"/>
  <c r="I263" i="42"/>
  <c r="H263" i="42"/>
  <c r="G263" i="42"/>
  <c r="F263" i="42"/>
  <c r="E262" i="42"/>
  <c r="E261" i="42"/>
  <c r="E260" i="42"/>
  <c r="E259" i="42"/>
  <c r="E258" i="42"/>
  <c r="I257" i="42"/>
  <c r="H257" i="42"/>
  <c r="G257" i="42"/>
  <c r="F257" i="42"/>
  <c r="E256" i="42"/>
  <c r="E255" i="42"/>
  <c r="E254" i="42"/>
  <c r="E253" i="42"/>
  <c r="E252" i="42"/>
  <c r="I251" i="42"/>
  <c r="H251" i="42"/>
  <c r="G251" i="42"/>
  <c r="F251" i="42"/>
  <c r="E250" i="42"/>
  <c r="E249" i="42"/>
  <c r="F248" i="42"/>
  <c r="E248" i="42" s="1"/>
  <c r="F247" i="42"/>
  <c r="E247" i="42" s="1"/>
  <c r="E246" i="42"/>
  <c r="I245" i="42"/>
  <c r="H245" i="42"/>
  <c r="G245" i="42"/>
  <c r="E244" i="42"/>
  <c r="E243" i="42"/>
  <c r="E242" i="42"/>
  <c r="E241" i="42"/>
  <c r="E240" i="42"/>
  <c r="I239" i="42"/>
  <c r="H239" i="42"/>
  <c r="G239" i="42"/>
  <c r="F239" i="42"/>
  <c r="E238" i="42"/>
  <c r="E237" i="42"/>
  <c r="E236" i="42"/>
  <c r="E235" i="42"/>
  <c r="E234" i="42"/>
  <c r="I233" i="42"/>
  <c r="H233" i="42"/>
  <c r="G233" i="42"/>
  <c r="F233" i="42"/>
  <c r="E232" i="42"/>
  <c r="E231" i="42"/>
  <c r="E230" i="42"/>
  <c r="E229" i="42"/>
  <c r="E228" i="42"/>
  <c r="I227" i="42"/>
  <c r="H227" i="42"/>
  <c r="G227" i="42"/>
  <c r="F227" i="42"/>
  <c r="E226" i="42"/>
  <c r="E225" i="42"/>
  <c r="E224" i="42"/>
  <c r="E223" i="42"/>
  <c r="E222" i="42"/>
  <c r="I221" i="42"/>
  <c r="H221" i="42"/>
  <c r="G221" i="42"/>
  <c r="F221" i="42"/>
  <c r="E220" i="42"/>
  <c r="E219" i="42"/>
  <c r="E218" i="42"/>
  <c r="E217" i="42"/>
  <c r="E216" i="42"/>
  <c r="I215" i="42"/>
  <c r="H215" i="42"/>
  <c r="G215" i="42"/>
  <c r="F215" i="42"/>
  <c r="E214" i="42"/>
  <c r="E213" i="42"/>
  <c r="F212" i="42"/>
  <c r="E212" i="42" s="1"/>
  <c r="F211" i="42"/>
  <c r="E211" i="42" s="1"/>
  <c r="E210" i="42"/>
  <c r="I209" i="42"/>
  <c r="H209" i="42"/>
  <c r="G209" i="42"/>
  <c r="E208" i="42"/>
  <c r="E207" i="42"/>
  <c r="F206" i="42"/>
  <c r="E206" i="42" s="1"/>
  <c r="F205" i="42"/>
  <c r="E205" i="42" s="1"/>
  <c r="E204" i="42"/>
  <c r="I203" i="42"/>
  <c r="H203" i="42"/>
  <c r="G203" i="42"/>
  <c r="E202" i="42"/>
  <c r="E201" i="42"/>
  <c r="E200" i="42"/>
  <c r="E199" i="42"/>
  <c r="F198" i="42"/>
  <c r="F197" i="42" s="1"/>
  <c r="I197" i="42"/>
  <c r="H197" i="42"/>
  <c r="G197" i="42"/>
  <c r="E196" i="42"/>
  <c r="E195" i="42"/>
  <c r="F194" i="42"/>
  <c r="E194" i="42" s="1"/>
  <c r="E193" i="42"/>
  <c r="E192" i="42"/>
  <c r="I191" i="42"/>
  <c r="H191" i="42"/>
  <c r="G191" i="42"/>
  <c r="G190" i="42"/>
  <c r="G185" i="42" s="1"/>
  <c r="E189" i="42"/>
  <c r="F188" i="42"/>
  <c r="E188" i="42" s="1"/>
  <c r="F187" i="42"/>
  <c r="F186" i="42"/>
  <c r="E186" i="42" s="1"/>
  <c r="I185" i="42"/>
  <c r="H185" i="42"/>
  <c r="I184" i="42"/>
  <c r="H184" i="42"/>
  <c r="F184" i="42"/>
  <c r="I183" i="42"/>
  <c r="H183" i="42"/>
  <c r="G183" i="42"/>
  <c r="F183" i="42"/>
  <c r="I182" i="42"/>
  <c r="H182" i="42"/>
  <c r="G182" i="42"/>
  <c r="I181" i="42"/>
  <c r="H181" i="42"/>
  <c r="G181" i="42"/>
  <c r="I180" i="42"/>
  <c r="H180" i="42"/>
  <c r="G180" i="42"/>
  <c r="E172" i="42"/>
  <c r="E171" i="42"/>
  <c r="E170" i="42"/>
  <c r="E169" i="42"/>
  <c r="E168" i="42"/>
  <c r="I167" i="42"/>
  <c r="H167" i="42"/>
  <c r="G167" i="42"/>
  <c r="F167" i="42"/>
  <c r="E166" i="42"/>
  <c r="E165" i="42"/>
  <c r="E164" i="42"/>
  <c r="E163" i="42"/>
  <c r="E162" i="42"/>
  <c r="I161" i="42"/>
  <c r="H161" i="42"/>
  <c r="G161" i="42"/>
  <c r="F161" i="42"/>
  <c r="E160" i="42"/>
  <c r="E159" i="42"/>
  <c r="E158" i="42"/>
  <c r="E157" i="42"/>
  <c r="E156" i="42"/>
  <c r="I155" i="42"/>
  <c r="H155" i="42"/>
  <c r="G155" i="42"/>
  <c r="F155" i="42"/>
  <c r="E154" i="42"/>
  <c r="E153" i="42"/>
  <c r="E152" i="42"/>
  <c r="E151" i="42"/>
  <c r="E150" i="42"/>
  <c r="I149" i="42"/>
  <c r="H149" i="42"/>
  <c r="G149" i="42"/>
  <c r="F149" i="42"/>
  <c r="I148" i="42"/>
  <c r="H148" i="42"/>
  <c r="G148" i="42"/>
  <c r="F148" i="42"/>
  <c r="I147" i="42"/>
  <c r="H147" i="42"/>
  <c r="G147" i="42"/>
  <c r="F147" i="42"/>
  <c r="I146" i="42"/>
  <c r="H146" i="42"/>
  <c r="G146" i="42"/>
  <c r="F146" i="42"/>
  <c r="I145" i="42"/>
  <c r="H145" i="42"/>
  <c r="G145" i="42"/>
  <c r="F145" i="42"/>
  <c r="I144" i="42"/>
  <c r="H144" i="42"/>
  <c r="H143" i="42" s="1"/>
  <c r="G144" i="42"/>
  <c r="F144" i="42"/>
  <c r="E142" i="42"/>
  <c r="E141" i="42"/>
  <c r="E140" i="42"/>
  <c r="E139" i="42"/>
  <c r="E138" i="42"/>
  <c r="E136" i="42"/>
  <c r="E135" i="42"/>
  <c r="F134" i="42"/>
  <c r="E134" i="42" s="1"/>
  <c r="E133" i="42"/>
  <c r="E132" i="42"/>
  <c r="I131" i="42"/>
  <c r="H131" i="42"/>
  <c r="G131" i="42"/>
  <c r="H130" i="42"/>
  <c r="G130" i="42" s="1"/>
  <c r="E130" i="42" s="1"/>
  <c r="H129" i="42"/>
  <c r="G129" i="42" s="1"/>
  <c r="E129" i="42" s="1"/>
  <c r="E128" i="42"/>
  <c r="H127" i="42"/>
  <c r="G127" i="42" s="1"/>
  <c r="E127" i="42" s="1"/>
  <c r="H126" i="42"/>
  <c r="G126" i="42" s="1"/>
  <c r="I125" i="42"/>
  <c r="F125" i="42"/>
  <c r="E124" i="42"/>
  <c r="E123" i="42"/>
  <c r="E122" i="42"/>
  <c r="E121" i="42"/>
  <c r="E120" i="42"/>
  <c r="I119" i="42"/>
  <c r="H119" i="42"/>
  <c r="G119" i="42"/>
  <c r="F119" i="42"/>
  <c r="H118" i="42"/>
  <c r="G118" i="42" s="1"/>
  <c r="H117" i="42"/>
  <c r="G117" i="42" s="1"/>
  <c r="H116" i="42"/>
  <c r="G116" i="42" s="1"/>
  <c r="F115" i="42"/>
  <c r="E115" i="42" s="1"/>
  <c r="E114" i="42"/>
  <c r="I113" i="42"/>
  <c r="E112" i="42"/>
  <c r="E111" i="42"/>
  <c r="E110" i="42"/>
  <c r="E109" i="42"/>
  <c r="E108" i="42"/>
  <c r="I107" i="42"/>
  <c r="H107" i="42"/>
  <c r="G107" i="42"/>
  <c r="F107" i="42"/>
  <c r="E106" i="42"/>
  <c r="E105" i="42"/>
  <c r="F104" i="42"/>
  <c r="F101" i="42" s="1"/>
  <c r="E103" i="42"/>
  <c r="E102" i="42"/>
  <c r="I101" i="42"/>
  <c r="H101" i="42"/>
  <c r="G101" i="42"/>
  <c r="E99" i="42"/>
  <c r="E98" i="42"/>
  <c r="E97" i="42"/>
  <c r="E96" i="42"/>
  <c r="I95" i="42"/>
  <c r="H95" i="42"/>
  <c r="G95" i="42"/>
  <c r="F95" i="42"/>
  <c r="E94" i="42"/>
  <c r="E93" i="42"/>
  <c r="E92" i="42"/>
  <c r="F91" i="42"/>
  <c r="E91" i="42" s="1"/>
  <c r="E90" i="42"/>
  <c r="I89" i="42"/>
  <c r="H89" i="42"/>
  <c r="G89" i="42"/>
  <c r="E88" i="42"/>
  <c r="E87" i="42"/>
  <c r="E86" i="42"/>
  <c r="E85" i="42"/>
  <c r="E84" i="42"/>
  <c r="I83" i="42"/>
  <c r="H83" i="42"/>
  <c r="G83" i="42"/>
  <c r="F83" i="42"/>
  <c r="E82" i="42"/>
  <c r="E81" i="42"/>
  <c r="F80" i="42"/>
  <c r="E80" i="42" s="1"/>
  <c r="E79" i="42"/>
  <c r="F78" i="42"/>
  <c r="E78" i="42" s="1"/>
  <c r="I77" i="42"/>
  <c r="H77" i="42"/>
  <c r="G77" i="42"/>
  <c r="E76" i="42"/>
  <c r="E75" i="42"/>
  <c r="F74" i="42"/>
  <c r="E74" i="42" s="1"/>
  <c r="E73" i="42"/>
  <c r="E72" i="42"/>
  <c r="I71" i="42"/>
  <c r="H71" i="42"/>
  <c r="G71" i="42"/>
  <c r="E70" i="42"/>
  <c r="E69" i="42"/>
  <c r="E68" i="42"/>
  <c r="E67" i="42"/>
  <c r="E66" i="42"/>
  <c r="I65" i="42"/>
  <c r="H65" i="42"/>
  <c r="G65" i="42"/>
  <c r="F65" i="42"/>
  <c r="E64" i="42"/>
  <c r="E63" i="42"/>
  <c r="E62" i="42"/>
  <c r="E61" i="42"/>
  <c r="E60" i="42"/>
  <c r="I59" i="42"/>
  <c r="H59" i="42"/>
  <c r="G59" i="42"/>
  <c r="F59" i="42"/>
  <c r="E58" i="42"/>
  <c r="E57" i="42"/>
  <c r="F56" i="42"/>
  <c r="E56" i="42" s="1"/>
  <c r="E55" i="42"/>
  <c r="E54" i="42"/>
  <c r="I53" i="42"/>
  <c r="H53" i="42"/>
  <c r="G53" i="42"/>
  <c r="I52" i="42"/>
  <c r="I51" i="42"/>
  <c r="I50" i="42"/>
  <c r="I49" i="42"/>
  <c r="H49" i="42"/>
  <c r="G49" i="42"/>
  <c r="I48" i="42"/>
  <c r="H48" i="42"/>
  <c r="G48" i="42"/>
  <c r="E46" i="42"/>
  <c r="E45" i="42"/>
  <c r="E44" i="42"/>
  <c r="E43" i="42"/>
  <c r="E42" i="42"/>
  <c r="I41" i="42"/>
  <c r="H41" i="42"/>
  <c r="G41" i="42"/>
  <c r="F41" i="42"/>
  <c r="E40" i="42"/>
  <c r="E39" i="42"/>
  <c r="E38" i="42"/>
  <c r="E37" i="42"/>
  <c r="E36" i="42"/>
  <c r="I35" i="42"/>
  <c r="H35" i="42"/>
  <c r="G35" i="42"/>
  <c r="F35" i="42"/>
  <c r="I34" i="42"/>
  <c r="H34" i="42"/>
  <c r="G34" i="42"/>
  <c r="F34" i="42"/>
  <c r="I33" i="42"/>
  <c r="H33" i="42"/>
  <c r="G33" i="42"/>
  <c r="F33" i="42"/>
  <c r="I32" i="42"/>
  <c r="H32" i="42"/>
  <c r="G32" i="42"/>
  <c r="F32" i="42"/>
  <c r="I31" i="42"/>
  <c r="H31" i="42"/>
  <c r="G31" i="42"/>
  <c r="F31" i="42"/>
  <c r="I30" i="42"/>
  <c r="H30" i="42"/>
  <c r="G30" i="42"/>
  <c r="G29" i="42" s="1"/>
  <c r="F30" i="42"/>
  <c r="H51" i="42" l="1"/>
  <c r="H27" i="42" s="1"/>
  <c r="I682" i="42"/>
  <c r="H688" i="42" s="1"/>
  <c r="I175" i="42"/>
  <c r="F178" i="42"/>
  <c r="E451" i="42"/>
  <c r="G329" i="42"/>
  <c r="H178" i="42"/>
  <c r="H175" i="42"/>
  <c r="I177" i="42"/>
  <c r="F20" i="42"/>
  <c r="F20" i="40" s="1"/>
  <c r="H383" i="42"/>
  <c r="F475" i="42"/>
  <c r="F53" i="42"/>
  <c r="E53" i="42" s="1"/>
  <c r="F287" i="42"/>
  <c r="E287" i="42" s="1"/>
  <c r="I329" i="42"/>
  <c r="F19" i="42"/>
  <c r="F19" i="40" s="1"/>
  <c r="I24" i="42"/>
  <c r="I26" i="42"/>
  <c r="I27" i="42"/>
  <c r="G175" i="42"/>
  <c r="I178" i="42"/>
  <c r="F185" i="42"/>
  <c r="E185" i="42" s="1"/>
  <c r="F191" i="42"/>
  <c r="F332" i="42"/>
  <c r="F329" i="42" s="1"/>
  <c r="F713" i="42"/>
  <c r="E717" i="42"/>
  <c r="E735" i="42"/>
  <c r="E736" i="42"/>
  <c r="F737" i="42"/>
  <c r="E737" i="42" s="1"/>
  <c r="F22" i="42"/>
  <c r="F22" i="40" s="1"/>
  <c r="F476" i="42"/>
  <c r="G689" i="42"/>
  <c r="G689" i="40" s="1"/>
  <c r="G731" i="42"/>
  <c r="F21" i="42"/>
  <c r="F21" i="40" s="1"/>
  <c r="E34" i="42"/>
  <c r="H50" i="42"/>
  <c r="H26" i="42" s="1"/>
  <c r="F77" i="42"/>
  <c r="E77" i="42" s="1"/>
  <c r="E146" i="42"/>
  <c r="E149" i="42"/>
  <c r="E155" i="42"/>
  <c r="F203" i="42"/>
  <c r="E203" i="42" s="1"/>
  <c r="F355" i="42"/>
  <c r="I473" i="42"/>
  <c r="F479" i="42"/>
  <c r="H521" i="42"/>
  <c r="E521" i="42" s="1"/>
  <c r="H713" i="42"/>
  <c r="E718" i="42"/>
  <c r="I731" i="42"/>
  <c r="E770" i="42"/>
  <c r="F18" i="42"/>
  <c r="F18" i="40" s="1"/>
  <c r="E32" i="42"/>
  <c r="E33" i="42"/>
  <c r="F89" i="42"/>
  <c r="E89" i="42" s="1"/>
  <c r="E119" i="42"/>
  <c r="E257" i="42"/>
  <c r="E581" i="42"/>
  <c r="E625" i="42"/>
  <c r="E680" i="42"/>
  <c r="E715" i="42"/>
  <c r="H762" i="42"/>
  <c r="H761" i="42" s="1"/>
  <c r="G25" i="42"/>
  <c r="G113" i="42"/>
  <c r="E137" i="42"/>
  <c r="H176" i="42"/>
  <c r="H177" i="42"/>
  <c r="E371" i="42"/>
  <c r="E377" i="42"/>
  <c r="E395" i="42"/>
  <c r="H355" i="42"/>
  <c r="F693" i="42"/>
  <c r="F693" i="40" s="1"/>
  <c r="E101" i="42"/>
  <c r="E144" i="42"/>
  <c r="E187" i="42"/>
  <c r="E215" i="42"/>
  <c r="E239" i="42"/>
  <c r="E305" i="42"/>
  <c r="I176" i="42"/>
  <c r="E331" i="42"/>
  <c r="G176" i="42"/>
  <c r="F341" i="42"/>
  <c r="E341" i="42" s="1"/>
  <c r="E437" i="42"/>
  <c r="I474" i="42"/>
  <c r="I348" i="42" s="1"/>
  <c r="E539" i="42"/>
  <c r="H557" i="42"/>
  <c r="E557" i="42" s="1"/>
  <c r="E714" i="42"/>
  <c r="H365" i="42"/>
  <c r="H354" i="42"/>
  <c r="H18" i="42"/>
  <c r="H18" i="40" s="1"/>
  <c r="H24" i="42"/>
  <c r="H25" i="42"/>
  <c r="E35" i="42"/>
  <c r="E83" i="42"/>
  <c r="E104" i="42"/>
  <c r="E107" i="42"/>
  <c r="I143" i="42"/>
  <c r="I25" i="42"/>
  <c r="E161" i="42"/>
  <c r="H179" i="42"/>
  <c r="E221" i="42"/>
  <c r="F245" i="42"/>
  <c r="E245" i="42" s="1"/>
  <c r="E263" i="42"/>
  <c r="E275" i="42"/>
  <c r="E313" i="42"/>
  <c r="E314" i="42"/>
  <c r="E315" i="42"/>
  <c r="E316" i="42"/>
  <c r="E317" i="42"/>
  <c r="F354" i="42"/>
  <c r="E359" i="42"/>
  <c r="E415" i="42"/>
  <c r="E485" i="42"/>
  <c r="E528" i="42"/>
  <c r="H533" i="42"/>
  <c r="E533" i="42" s="1"/>
  <c r="E587" i="42"/>
  <c r="H629" i="42"/>
  <c r="E768" i="42"/>
  <c r="F762" i="42"/>
  <c r="F767" i="42"/>
  <c r="F763" i="42"/>
  <c r="E763" i="42" s="1"/>
  <c r="G143" i="42"/>
  <c r="E366" i="42"/>
  <c r="E365" i="42" s="1"/>
  <c r="G24" i="42"/>
  <c r="F29" i="42"/>
  <c r="I29" i="42"/>
  <c r="E41" i="42"/>
  <c r="I47" i="42"/>
  <c r="E59" i="42"/>
  <c r="F143" i="42"/>
  <c r="I28" i="42"/>
  <c r="E167" i="42"/>
  <c r="I179" i="42"/>
  <c r="E183" i="42"/>
  <c r="F209" i="42"/>
  <c r="E209" i="42" s="1"/>
  <c r="E281" i="42"/>
  <c r="F299" i="42"/>
  <c r="E299" i="42" s="1"/>
  <c r="E323" i="42"/>
  <c r="E401" i="42"/>
  <c r="E443" i="42"/>
  <c r="E461" i="42"/>
  <c r="I479" i="42"/>
  <c r="H503" i="42"/>
  <c r="E503" i="42" s="1"/>
  <c r="E527" i="42"/>
  <c r="E569" i="42"/>
  <c r="E632" i="42"/>
  <c r="I631" i="42"/>
  <c r="I630" i="42" s="1"/>
  <c r="E630" i="42" s="1"/>
  <c r="E672" i="42"/>
  <c r="F671" i="42"/>
  <c r="H19" i="42"/>
  <c r="H19" i="40" s="1"/>
  <c r="E30" i="42"/>
  <c r="E31" i="42"/>
  <c r="F48" i="42"/>
  <c r="E48" i="42" s="1"/>
  <c r="F49" i="42"/>
  <c r="E49" i="42" s="1"/>
  <c r="E65" i="42"/>
  <c r="E95" i="42"/>
  <c r="E147" i="42"/>
  <c r="E148" i="42"/>
  <c r="F181" i="42"/>
  <c r="E181" i="42" s="1"/>
  <c r="G177" i="42"/>
  <c r="E191" i="42"/>
  <c r="E197" i="42"/>
  <c r="E227" i="42"/>
  <c r="E233" i="42"/>
  <c r="E251" i="42"/>
  <c r="E293" i="42"/>
  <c r="E312" i="42"/>
  <c r="E330" i="42"/>
  <c r="E333" i="42"/>
  <c r="E334" i="42"/>
  <c r="E335" i="42"/>
  <c r="H351" i="42"/>
  <c r="E383" i="42"/>
  <c r="E389" i="42"/>
  <c r="E449" i="42"/>
  <c r="E455" i="42"/>
  <c r="E467" i="42"/>
  <c r="E497" i="42"/>
  <c r="E551" i="42"/>
  <c r="E575" i="42"/>
  <c r="E698" i="42"/>
  <c r="E698" i="40" s="1"/>
  <c r="F698" i="40"/>
  <c r="F692" i="42"/>
  <c r="F692" i="40" s="1"/>
  <c r="E635" i="42"/>
  <c r="I677" i="42"/>
  <c r="E699" i="42"/>
  <c r="E699" i="40" s="1"/>
  <c r="E732" i="42"/>
  <c r="E733" i="42"/>
  <c r="E743" i="42"/>
  <c r="E771" i="42"/>
  <c r="E772" i="42"/>
  <c r="E773" i="42"/>
  <c r="I700" i="40"/>
  <c r="E641" i="42"/>
  <c r="E678" i="42"/>
  <c r="E679" i="42"/>
  <c r="E690" i="42"/>
  <c r="E690" i="40" s="1"/>
  <c r="E691" i="42"/>
  <c r="E691" i="40" s="1"/>
  <c r="E719" i="42"/>
  <c r="E716" i="42"/>
  <c r="H758" i="42"/>
  <c r="E758" i="42" s="1"/>
  <c r="E764" i="42"/>
  <c r="G767" i="42"/>
  <c r="I712" i="40"/>
  <c r="E647" i="42"/>
  <c r="H671" i="42"/>
  <c r="G677" i="42"/>
  <c r="E681" i="42"/>
  <c r="G713" i="42"/>
  <c r="E725" i="42"/>
  <c r="I767" i="42"/>
  <c r="F691" i="40"/>
  <c r="G690" i="40"/>
  <c r="I706" i="40"/>
  <c r="G125" i="42"/>
  <c r="E126" i="42"/>
  <c r="E765" i="42"/>
  <c r="E706" i="42"/>
  <c r="E706" i="40" s="1"/>
  <c r="H701" i="42"/>
  <c r="H683" i="42"/>
  <c r="E683" i="42" s="1"/>
  <c r="H682" i="42"/>
  <c r="E682" i="42" s="1"/>
  <c r="E688" i="42"/>
  <c r="G358" i="42"/>
  <c r="E358" i="42" s="1"/>
  <c r="G423" i="42"/>
  <c r="G761" i="42"/>
  <c r="H653" i="42"/>
  <c r="E653" i="42" s="1"/>
  <c r="H475" i="42"/>
  <c r="I478" i="42"/>
  <c r="I597" i="42"/>
  <c r="I596" i="42" s="1"/>
  <c r="E712" i="42"/>
  <c r="E712" i="40" s="1"/>
  <c r="H707" i="42"/>
  <c r="G51" i="42"/>
  <c r="G27" i="42" s="1"/>
  <c r="F117" i="42"/>
  <c r="E659" i="42"/>
  <c r="F118" i="42"/>
  <c r="G52" i="42"/>
  <c r="G28" i="42" s="1"/>
  <c r="E436" i="42"/>
  <c r="I435" i="42"/>
  <c r="F116" i="42"/>
  <c r="E116" i="42" s="1"/>
  <c r="H125" i="42"/>
  <c r="E198" i="42"/>
  <c r="F365" i="42"/>
  <c r="F413" i="42"/>
  <c r="E413" i="42" s="1"/>
  <c r="H431" i="42"/>
  <c r="H29" i="42"/>
  <c r="G174" i="42"/>
  <c r="F407" i="42"/>
  <c r="E407" i="42" s="1"/>
  <c r="F71" i="42"/>
  <c r="E71" i="42" s="1"/>
  <c r="H174" i="42"/>
  <c r="F269" i="42"/>
  <c r="E269" i="42" s="1"/>
  <c r="I475" i="42"/>
  <c r="I349" i="42" s="1"/>
  <c r="H665" i="42"/>
  <c r="E665" i="42" s="1"/>
  <c r="I695" i="42"/>
  <c r="I695" i="40" s="1"/>
  <c r="I174" i="42"/>
  <c r="F177" i="42"/>
  <c r="G184" i="42"/>
  <c r="G179" i="42" s="1"/>
  <c r="H359" i="42"/>
  <c r="H515" i="42"/>
  <c r="E515" i="42" s="1"/>
  <c r="F755" i="42"/>
  <c r="H52" i="42"/>
  <c r="H28" i="42" s="1"/>
  <c r="F131" i="42"/>
  <c r="E131" i="42" s="1"/>
  <c r="F182" i="42"/>
  <c r="I701" i="42"/>
  <c r="I701" i="40" s="1"/>
  <c r="F766" i="42"/>
  <c r="E766" i="42" s="1"/>
  <c r="G50" i="42"/>
  <c r="G26" i="42" s="1"/>
  <c r="F175" i="42"/>
  <c r="H311" i="42"/>
  <c r="E311" i="42" s="1"/>
  <c r="F491" i="42"/>
  <c r="E491" i="42" s="1"/>
  <c r="H113" i="42"/>
  <c r="E145" i="42"/>
  <c r="F180" i="42"/>
  <c r="E190" i="42"/>
  <c r="E409" i="42"/>
  <c r="F474" i="42"/>
  <c r="E655" i="42"/>
  <c r="E661" i="42"/>
  <c r="E769" i="42"/>
  <c r="H329" i="42"/>
  <c r="F352" i="42"/>
  <c r="H474" i="42"/>
  <c r="H509" i="42"/>
  <c r="E509" i="42" s="1"/>
  <c r="F734" i="42"/>
  <c r="F731" i="42" s="1"/>
  <c r="H563" i="42"/>
  <c r="E563" i="42" s="1"/>
  <c r="G624" i="42"/>
  <c r="I694" i="42"/>
  <c r="F353" i="42" l="1"/>
  <c r="F351" i="42"/>
  <c r="F25" i="42"/>
  <c r="E693" i="42"/>
  <c r="E693" i="40" s="1"/>
  <c r="E479" i="42"/>
  <c r="E175" i="42"/>
  <c r="E332" i="42"/>
  <c r="F24" i="42"/>
  <c r="E24" i="42" s="1"/>
  <c r="M720" i="42"/>
  <c r="F349" i="42"/>
  <c r="E767" i="42"/>
  <c r="I23" i="42"/>
  <c r="H349" i="42"/>
  <c r="H7" i="42" s="1"/>
  <c r="H13" i="42" s="1"/>
  <c r="H13" i="40" s="1"/>
  <c r="H23" i="42"/>
  <c r="H9" i="42"/>
  <c r="H15" i="42" s="1"/>
  <c r="H15" i="40" s="1"/>
  <c r="F17" i="42"/>
  <c r="F17" i="40" s="1"/>
  <c r="E125" i="42"/>
  <c r="I7" i="42"/>
  <c r="I19" i="42" s="1"/>
  <c r="I19" i="40" s="1"/>
  <c r="I629" i="42"/>
  <c r="E629" i="42" s="1"/>
  <c r="E713" i="42"/>
  <c r="F761" i="42"/>
  <c r="E762" i="42"/>
  <c r="H353" i="42"/>
  <c r="H173" i="42"/>
  <c r="E29" i="42"/>
  <c r="H700" i="42"/>
  <c r="H700" i="40" s="1"/>
  <c r="I694" i="40"/>
  <c r="F689" i="42"/>
  <c r="F689" i="40" s="1"/>
  <c r="I689" i="42"/>
  <c r="I689" i="40" s="1"/>
  <c r="H755" i="42"/>
  <c r="E755" i="42" s="1"/>
  <c r="H734" i="42"/>
  <c r="E734" i="42" s="1"/>
  <c r="H20" i="42"/>
  <c r="H20" i="40" s="1"/>
  <c r="E177" i="42"/>
  <c r="I477" i="42"/>
  <c r="I351" i="42" s="1"/>
  <c r="I9" i="42" s="1"/>
  <c r="I9" i="40" s="1"/>
  <c r="E707" i="42"/>
  <c r="E707" i="40" s="1"/>
  <c r="H707" i="40"/>
  <c r="E701" i="42"/>
  <c r="E701" i="40" s="1"/>
  <c r="H701" i="40"/>
  <c r="H473" i="42"/>
  <c r="F113" i="42"/>
  <c r="E113" i="42" s="1"/>
  <c r="E692" i="42"/>
  <c r="E692" i="40" s="1"/>
  <c r="E671" i="42"/>
  <c r="E143" i="42"/>
  <c r="E631" i="42"/>
  <c r="F51" i="42"/>
  <c r="E117" i="42"/>
  <c r="E624" i="42"/>
  <c r="G623" i="42"/>
  <c r="F473" i="42"/>
  <c r="E435" i="42"/>
  <c r="I434" i="42"/>
  <c r="I595" i="42"/>
  <c r="I594" i="42" s="1"/>
  <c r="I593" i="42" s="1"/>
  <c r="I476" i="42"/>
  <c r="I350" i="42" s="1"/>
  <c r="I8" i="42" s="1"/>
  <c r="I8" i="40" s="1"/>
  <c r="G422" i="42"/>
  <c r="G357" i="42"/>
  <c r="G23" i="42"/>
  <c r="F350" i="42"/>
  <c r="G178" i="42"/>
  <c r="E178" i="42" s="1"/>
  <c r="E184" i="42"/>
  <c r="I352" i="42"/>
  <c r="I10" i="42" s="1"/>
  <c r="E180" i="42"/>
  <c r="F179" i="42"/>
  <c r="E179" i="42" s="1"/>
  <c r="F174" i="42"/>
  <c r="H677" i="42"/>
  <c r="E677" i="42" s="1"/>
  <c r="I173" i="42"/>
  <c r="I6" i="42"/>
  <c r="I6" i="40" s="1"/>
  <c r="E118" i="42"/>
  <c r="F52" i="42"/>
  <c r="F176" i="42"/>
  <c r="E176" i="42" s="1"/>
  <c r="E182" i="42"/>
  <c r="F7" i="42"/>
  <c r="F7" i="40" s="1"/>
  <c r="E25" i="42"/>
  <c r="G47" i="42"/>
  <c r="E761" i="42"/>
  <c r="H47" i="42"/>
  <c r="F50" i="42"/>
  <c r="H348" i="42"/>
  <c r="F348" i="42"/>
  <c r="E329" i="42"/>
  <c r="E700" i="42" l="1"/>
  <c r="E700" i="40" s="1"/>
  <c r="H7" i="40"/>
  <c r="H9" i="40"/>
  <c r="I7" i="40"/>
  <c r="H22" i="42"/>
  <c r="H17" i="42" s="1"/>
  <c r="H17" i="40" s="1"/>
  <c r="H695" i="42"/>
  <c r="H695" i="40" s="1"/>
  <c r="H694" i="42"/>
  <c r="H694" i="40" s="1"/>
  <c r="I22" i="42"/>
  <c r="I22" i="40" s="1"/>
  <c r="I10" i="40"/>
  <c r="H731" i="42"/>
  <c r="E731" i="42" s="1"/>
  <c r="H350" i="42"/>
  <c r="H8" i="42" s="1"/>
  <c r="G622" i="42"/>
  <c r="E623" i="42"/>
  <c r="G421" i="42"/>
  <c r="G356" i="42"/>
  <c r="E174" i="42"/>
  <c r="F6" i="42"/>
  <c r="F6" i="40" s="1"/>
  <c r="F173" i="42"/>
  <c r="F13" i="42"/>
  <c r="F13" i="40" s="1"/>
  <c r="E51" i="42"/>
  <c r="F27" i="42"/>
  <c r="E357" i="42"/>
  <c r="F347" i="42"/>
  <c r="H6" i="42"/>
  <c r="H6" i="40" s="1"/>
  <c r="G173" i="42"/>
  <c r="E434" i="42"/>
  <c r="I433" i="42"/>
  <c r="F26" i="42"/>
  <c r="E50" i="42"/>
  <c r="F47" i="42"/>
  <c r="E47" i="42" s="1"/>
  <c r="F28" i="42"/>
  <c r="E52" i="42"/>
  <c r="I5" i="42"/>
  <c r="I5" i="40" s="1"/>
  <c r="I18" i="42"/>
  <c r="I18" i="40" s="1"/>
  <c r="E695" i="42" l="1"/>
  <c r="E695" i="40" s="1"/>
  <c r="H689" i="42"/>
  <c r="E689" i="42" s="1"/>
  <c r="E689" i="40" s="1"/>
  <c r="H22" i="40"/>
  <c r="H352" i="42"/>
  <c r="H10" i="42" s="1"/>
  <c r="H16" i="42" s="1"/>
  <c r="H16" i="40" s="1"/>
  <c r="E694" i="42"/>
  <c r="E694" i="40" s="1"/>
  <c r="H14" i="42"/>
  <c r="H14" i="40" s="1"/>
  <c r="H8" i="40"/>
  <c r="E173" i="42"/>
  <c r="F9" i="42"/>
  <c r="F9" i="40" s="1"/>
  <c r="E27" i="42"/>
  <c r="F8" i="42"/>
  <c r="F8" i="40" s="1"/>
  <c r="E26" i="42"/>
  <c r="F23" i="42"/>
  <c r="E23" i="42" s="1"/>
  <c r="I432" i="42"/>
  <c r="E433" i="42"/>
  <c r="F12" i="42"/>
  <c r="F12" i="40" s="1"/>
  <c r="H12" i="42"/>
  <c r="E356" i="42"/>
  <c r="G355" i="42"/>
  <c r="G420" i="42"/>
  <c r="F10" i="42"/>
  <c r="F10" i="40" s="1"/>
  <c r="E28" i="42"/>
  <c r="G621" i="42"/>
  <c r="E622" i="42"/>
  <c r="H689" i="40" l="1"/>
  <c r="H347" i="42"/>
  <c r="H10" i="40"/>
  <c r="H5" i="42"/>
  <c r="H5" i="40" s="1"/>
  <c r="F5" i="42"/>
  <c r="F5" i="40" s="1"/>
  <c r="H11" i="42"/>
  <c r="H11" i="40" s="1"/>
  <c r="H12" i="40"/>
  <c r="F16" i="42"/>
  <c r="F16" i="40" s="1"/>
  <c r="E621" i="42"/>
  <c r="G620" i="42"/>
  <c r="G354" i="42"/>
  <c r="G419" i="42"/>
  <c r="E432" i="42"/>
  <c r="I431" i="42"/>
  <c r="E355" i="42"/>
  <c r="F14" i="42"/>
  <c r="F14" i="40" s="1"/>
  <c r="F15" i="42"/>
  <c r="F15" i="40" s="1"/>
  <c r="I430" i="42" l="1"/>
  <c r="E431" i="42"/>
  <c r="G353" i="42"/>
  <c r="E353" i="42" s="1"/>
  <c r="E354" i="42"/>
  <c r="E620" i="42"/>
  <c r="G619" i="42"/>
  <c r="F11" i="42"/>
  <c r="F11" i="40" s="1"/>
  <c r="E619" i="42" l="1"/>
  <c r="G618" i="42"/>
  <c r="E430" i="42"/>
  <c r="I429" i="42"/>
  <c r="I21" i="42" l="1"/>
  <c r="I21" i="40" s="1"/>
  <c r="E429" i="42"/>
  <c r="I428" i="42"/>
  <c r="G617" i="42"/>
  <c r="E618" i="42"/>
  <c r="E617" i="42" l="1"/>
  <c r="G616" i="42"/>
  <c r="I20" i="42"/>
  <c r="E428" i="42"/>
  <c r="I427" i="42"/>
  <c r="I17" i="42" l="1"/>
  <c r="I17" i="40" s="1"/>
  <c r="I20" i="40"/>
  <c r="E427" i="42"/>
  <c r="I426" i="42"/>
  <c r="E616" i="42"/>
  <c r="G615" i="42"/>
  <c r="I425" i="42" l="1"/>
  <c r="E426" i="42"/>
  <c r="G614" i="42"/>
  <c r="E615" i="42"/>
  <c r="E614" i="42" l="1"/>
  <c r="G613" i="42"/>
  <c r="I424" i="42"/>
  <c r="E425" i="42"/>
  <c r="E613" i="42" l="1"/>
  <c r="G612" i="42"/>
  <c r="I423" i="42"/>
  <c r="E424" i="42"/>
  <c r="E612" i="42" l="1"/>
  <c r="G611" i="42"/>
  <c r="I422" i="42"/>
  <c r="E423" i="42"/>
  <c r="G610" i="42" l="1"/>
  <c r="E611" i="42"/>
  <c r="I421" i="42"/>
  <c r="E422" i="42"/>
  <c r="I420" i="42" l="1"/>
  <c r="E421" i="42"/>
  <c r="E610" i="42"/>
  <c r="G609" i="42"/>
  <c r="E609" i="42" l="1"/>
  <c r="G608" i="42"/>
  <c r="I419" i="42"/>
  <c r="E419" i="42" s="1"/>
  <c r="E420" i="42"/>
  <c r="G607" i="42" l="1"/>
  <c r="E608" i="42"/>
  <c r="E607" i="42" l="1"/>
  <c r="G606" i="42"/>
  <c r="E606" i="42" l="1"/>
  <c r="G605" i="42"/>
  <c r="G604" i="42" l="1"/>
  <c r="E605" i="42"/>
  <c r="E604" i="42" l="1"/>
  <c r="G603" i="42"/>
  <c r="E603" i="42" l="1"/>
  <c r="G602" i="42"/>
  <c r="E602" i="42" l="1"/>
  <c r="G601" i="42"/>
  <c r="G600" i="42" l="1"/>
  <c r="E601" i="42"/>
  <c r="E600" i="42" l="1"/>
  <c r="G599" i="42"/>
  <c r="G598" i="42" l="1"/>
  <c r="E599" i="42"/>
  <c r="G478" i="42" l="1"/>
  <c r="E598" i="42"/>
  <c r="G22" i="42"/>
  <c r="G597" i="42"/>
  <c r="E22" i="42" l="1"/>
  <c r="E22" i="40" s="1"/>
  <c r="G22" i="40"/>
  <c r="E597" i="42"/>
  <c r="G477" i="42"/>
  <c r="G596" i="42"/>
  <c r="G21" i="42"/>
  <c r="E478" i="42"/>
  <c r="G352" i="42"/>
  <c r="E21" i="42" l="1"/>
  <c r="E21" i="40" s="1"/>
  <c r="G21" i="40"/>
  <c r="G10" i="42"/>
  <c r="G10" i="40" s="1"/>
  <c r="E352" i="42"/>
  <c r="E477" i="42"/>
  <c r="G351" i="42"/>
  <c r="E596" i="42"/>
  <c r="G595" i="42"/>
  <c r="G476" i="42"/>
  <c r="G20" i="42"/>
  <c r="E20" i="42" l="1"/>
  <c r="E20" i="40" s="1"/>
  <c r="G20" i="40"/>
  <c r="E476" i="42"/>
  <c r="G350" i="42"/>
  <c r="G19" i="42"/>
  <c r="E595" i="42"/>
  <c r="G594" i="42"/>
  <c r="G475" i="42"/>
  <c r="E351" i="42"/>
  <c r="G9" i="42"/>
  <c r="G9" i="40" s="1"/>
  <c r="G16" i="42"/>
  <c r="E10" i="42"/>
  <c r="E10" i="40" s="1"/>
  <c r="E16" i="42" l="1"/>
  <c r="E16" i="40" s="1"/>
  <c r="G16" i="40"/>
  <c r="E19" i="42"/>
  <c r="E19" i="40" s="1"/>
  <c r="G19" i="40"/>
  <c r="G15" i="42"/>
  <c r="E9" i="42"/>
  <c r="E9" i="40" s="1"/>
  <c r="G593" i="42"/>
  <c r="E593" i="42" s="1"/>
  <c r="G474" i="42"/>
  <c r="G18" i="42"/>
  <c r="G18" i="40" s="1"/>
  <c r="E594" i="42"/>
  <c r="G8" i="42"/>
  <c r="G8" i="40" s="1"/>
  <c r="E350" i="42"/>
  <c r="E475" i="42"/>
  <c r="G349" i="42"/>
  <c r="E15" i="42" l="1"/>
  <c r="E15" i="40" s="1"/>
  <c r="G15" i="40"/>
  <c r="G14" i="42"/>
  <c r="E8" i="42"/>
  <c r="E8" i="40" s="1"/>
  <c r="G17" i="42"/>
  <c r="E18" i="42"/>
  <c r="E18" i="40" s="1"/>
  <c r="G7" i="42"/>
  <c r="G7" i="40" s="1"/>
  <c r="E349" i="42"/>
  <c r="G473" i="42"/>
  <c r="E473" i="42" s="1"/>
  <c r="E474" i="42"/>
  <c r="G348" i="42"/>
  <c r="E14" i="42" l="1"/>
  <c r="E14" i="40" s="1"/>
  <c r="G14" i="40"/>
  <c r="E17" i="42"/>
  <c r="E17" i="40" s="1"/>
  <c r="G17" i="40"/>
  <c r="G13" i="42"/>
  <c r="E7" i="42"/>
  <c r="E7" i="40" s="1"/>
  <c r="G347" i="42"/>
  <c r="E347" i="42" s="1"/>
  <c r="G6" i="42"/>
  <c r="G6" i="40" s="1"/>
  <c r="E348" i="42"/>
  <c r="E13" i="42" l="1"/>
  <c r="E13" i="40" s="1"/>
  <c r="G13" i="40"/>
  <c r="G5" i="42"/>
  <c r="G12" i="42"/>
  <c r="G12" i="40" s="1"/>
  <c r="E6" i="42"/>
  <c r="E6" i="40" s="1"/>
  <c r="E5" i="42" l="1"/>
  <c r="E5" i="40" s="1"/>
  <c r="G5" i="40"/>
  <c r="G11" i="42"/>
  <c r="E12" i="42"/>
  <c r="E12" i="40" s="1"/>
  <c r="E11" i="42" l="1"/>
  <c r="E11" i="40" s="1"/>
  <c r="G11" i="40"/>
  <c r="F87" i="36" l="1"/>
  <c r="F84" i="36" s="1"/>
  <c r="F278" i="36" l="1"/>
  <c r="F541" i="36"/>
  <c r="F542" i="36"/>
  <c r="F538" i="36" l="1"/>
  <c r="F529" i="36"/>
  <c r="F851" i="36"/>
  <c r="F848" i="36" s="1"/>
  <c r="F339" i="36"/>
  <c r="F333" i="36"/>
  <c r="F234" i="36"/>
  <c r="F213" i="36"/>
  <c r="F186" i="36"/>
  <c r="F183" i="36" s="1"/>
  <c r="F120" i="36" l="1"/>
  <c r="F117" i="36" s="1"/>
  <c r="F153" i="36" l="1"/>
  <c r="F150" i="36" s="1"/>
  <c r="F94" i="36"/>
  <c r="E778" i="40" l="1"/>
  <c r="E777" i="40"/>
  <c r="E776" i="40"/>
  <c r="E775" i="40"/>
  <c r="E774" i="40"/>
  <c r="I773" i="40"/>
  <c r="H773" i="40"/>
  <c r="G773" i="40"/>
  <c r="F773" i="40"/>
  <c r="I772" i="40"/>
  <c r="H772" i="40"/>
  <c r="G772" i="40"/>
  <c r="F772" i="40"/>
  <c r="I771" i="40"/>
  <c r="H771" i="40"/>
  <c r="G771" i="40"/>
  <c r="F771" i="40"/>
  <c r="I770" i="40"/>
  <c r="H770" i="40"/>
  <c r="G770" i="40"/>
  <c r="F770" i="40"/>
  <c r="I769" i="40"/>
  <c r="H769" i="40"/>
  <c r="H763" i="40" s="1"/>
  <c r="G769" i="40"/>
  <c r="F769" i="40"/>
  <c r="I768" i="40"/>
  <c r="H768" i="40"/>
  <c r="G768" i="40"/>
  <c r="F768" i="40"/>
  <c r="I767" i="40"/>
  <c r="F763" i="40"/>
  <c r="E760" i="40"/>
  <c r="E759" i="40"/>
  <c r="F758" i="40"/>
  <c r="H758" i="40" s="1"/>
  <c r="E757" i="40"/>
  <c r="E756" i="40"/>
  <c r="I755" i="40"/>
  <c r="G755" i="40"/>
  <c r="E754" i="40"/>
  <c r="E753" i="40"/>
  <c r="E752" i="40"/>
  <c r="E751" i="40"/>
  <c r="E750" i="40"/>
  <c r="I749" i="40"/>
  <c r="E749" i="40" s="1"/>
  <c r="E748" i="40"/>
  <c r="E747" i="40"/>
  <c r="E746" i="40"/>
  <c r="E745" i="40"/>
  <c r="E744" i="40"/>
  <c r="I743" i="40"/>
  <c r="H743" i="40"/>
  <c r="G743" i="40"/>
  <c r="F743" i="40"/>
  <c r="E742" i="40"/>
  <c r="E741" i="40"/>
  <c r="F740" i="40"/>
  <c r="E739" i="40"/>
  <c r="E738" i="40"/>
  <c r="I737" i="40"/>
  <c r="H737" i="40"/>
  <c r="G737" i="40"/>
  <c r="I736" i="40"/>
  <c r="H736" i="40"/>
  <c r="G736" i="40"/>
  <c r="F736" i="40"/>
  <c r="I735" i="40"/>
  <c r="H735" i="40"/>
  <c r="G735" i="40"/>
  <c r="F735" i="40"/>
  <c r="I734" i="40"/>
  <c r="G734" i="40"/>
  <c r="I733" i="40"/>
  <c r="H733" i="40"/>
  <c r="G733" i="40"/>
  <c r="F733" i="40"/>
  <c r="I732" i="40"/>
  <c r="H732" i="40"/>
  <c r="G732" i="40"/>
  <c r="F732" i="40"/>
  <c r="E730" i="40"/>
  <c r="E729" i="40"/>
  <c r="E728" i="40"/>
  <c r="M727" i="40"/>
  <c r="E727" i="40"/>
  <c r="E726" i="40"/>
  <c r="I725" i="40"/>
  <c r="H725" i="40"/>
  <c r="G725" i="40"/>
  <c r="F725" i="40"/>
  <c r="E724" i="40"/>
  <c r="E723" i="40"/>
  <c r="E722" i="40"/>
  <c r="E721" i="40"/>
  <c r="E720" i="40"/>
  <c r="I719" i="40"/>
  <c r="H719" i="40"/>
  <c r="G719" i="40"/>
  <c r="F719" i="40"/>
  <c r="I718" i="40"/>
  <c r="H718" i="40"/>
  <c r="G718" i="40"/>
  <c r="F718" i="40"/>
  <c r="I717" i="40"/>
  <c r="H717" i="40"/>
  <c r="G717" i="40"/>
  <c r="F717" i="40"/>
  <c r="I716" i="40"/>
  <c r="H716" i="40"/>
  <c r="G716" i="40"/>
  <c r="F716" i="40"/>
  <c r="I715" i="40"/>
  <c r="H715" i="40"/>
  <c r="G715" i="40"/>
  <c r="F715" i="40"/>
  <c r="I714" i="40"/>
  <c r="H714" i="40"/>
  <c r="G714" i="40"/>
  <c r="F714" i="40"/>
  <c r="I688" i="40"/>
  <c r="I683" i="40" s="1"/>
  <c r="E687" i="40"/>
  <c r="E686" i="40"/>
  <c r="E685" i="40"/>
  <c r="E684" i="40"/>
  <c r="G683" i="40"/>
  <c r="F683" i="40"/>
  <c r="G682" i="40"/>
  <c r="F682" i="40"/>
  <c r="I681" i="40"/>
  <c r="H681" i="40"/>
  <c r="G681" i="40"/>
  <c r="F681" i="40"/>
  <c r="I680" i="40"/>
  <c r="H680" i="40"/>
  <c r="G680" i="40"/>
  <c r="F680" i="40"/>
  <c r="I679" i="40"/>
  <c r="H679" i="40"/>
  <c r="G679" i="40"/>
  <c r="F679" i="40"/>
  <c r="I678" i="40"/>
  <c r="H678" i="40"/>
  <c r="G678" i="40"/>
  <c r="G677" i="40" s="1"/>
  <c r="F678" i="40"/>
  <c r="F676" i="40"/>
  <c r="E676" i="40" s="1"/>
  <c r="F675" i="40"/>
  <c r="E675" i="40" s="1"/>
  <c r="F674" i="40"/>
  <c r="E674" i="40" s="1"/>
  <c r="H673" i="40"/>
  <c r="H671" i="40" s="1"/>
  <c r="F672" i="40"/>
  <c r="E672" i="40" s="1"/>
  <c r="E670" i="40"/>
  <c r="E669" i="40"/>
  <c r="E668" i="40"/>
  <c r="H667" i="40"/>
  <c r="E666" i="40"/>
  <c r="F665" i="40"/>
  <c r="E664" i="40"/>
  <c r="E663" i="40"/>
  <c r="E662" i="40"/>
  <c r="F661" i="40"/>
  <c r="H661" i="40" s="1"/>
  <c r="H659" i="40" s="1"/>
  <c r="E660" i="40"/>
  <c r="I659" i="40"/>
  <c r="G659" i="40"/>
  <c r="E658" i="40"/>
  <c r="E657" i="40"/>
  <c r="E656" i="40"/>
  <c r="F655" i="40"/>
  <c r="H655" i="40" s="1"/>
  <c r="H653" i="40" s="1"/>
  <c r="E654" i="40"/>
  <c r="I653" i="40"/>
  <c r="G653" i="40"/>
  <c r="E652" i="40"/>
  <c r="E651" i="40"/>
  <c r="E650" i="40"/>
  <c r="E649" i="40"/>
  <c r="E648" i="40"/>
  <c r="I647" i="40"/>
  <c r="H647" i="40"/>
  <c r="G647" i="40"/>
  <c r="F647" i="40"/>
  <c r="E646" i="40"/>
  <c r="E645" i="40"/>
  <c r="E644" i="40"/>
  <c r="E643" i="40"/>
  <c r="E642" i="40"/>
  <c r="I641" i="40"/>
  <c r="H641" i="40"/>
  <c r="G641" i="40"/>
  <c r="F641" i="40"/>
  <c r="E640" i="40"/>
  <c r="E639" i="40"/>
  <c r="E638" i="40"/>
  <c r="E637" i="40"/>
  <c r="E636" i="40"/>
  <c r="I635" i="40"/>
  <c r="H635" i="40"/>
  <c r="G635" i="40"/>
  <c r="F635" i="40"/>
  <c r="E634" i="40"/>
  <c r="E633" i="40"/>
  <c r="I632" i="40"/>
  <c r="E632" i="40" s="1"/>
  <c r="H631" i="40"/>
  <c r="G629" i="40"/>
  <c r="G625" i="40" s="1"/>
  <c r="F629" i="40"/>
  <c r="E628" i="40"/>
  <c r="E627" i="40"/>
  <c r="E626" i="40"/>
  <c r="H625" i="40"/>
  <c r="H623" i="40" s="1"/>
  <c r="I623" i="40"/>
  <c r="I622" i="40" s="1"/>
  <c r="I621" i="40" s="1"/>
  <c r="I620" i="40" s="1"/>
  <c r="I619" i="40" s="1"/>
  <c r="I618" i="40" s="1"/>
  <c r="I617" i="40" s="1"/>
  <c r="I616" i="40" s="1"/>
  <c r="I615" i="40" s="1"/>
  <c r="I614" i="40" s="1"/>
  <c r="I613" i="40" s="1"/>
  <c r="I612" i="40" s="1"/>
  <c r="I611" i="40" s="1"/>
  <c r="I610" i="40" s="1"/>
  <c r="I609" i="40" s="1"/>
  <c r="I608" i="40" s="1"/>
  <c r="I607" i="40" s="1"/>
  <c r="I606" i="40" s="1"/>
  <c r="I605" i="40" s="1"/>
  <c r="I604" i="40" s="1"/>
  <c r="I603" i="40" s="1"/>
  <c r="I602" i="40" s="1"/>
  <c r="I601" i="40" s="1"/>
  <c r="I600" i="40" s="1"/>
  <c r="I599" i="40" s="1"/>
  <c r="I598" i="40" s="1"/>
  <c r="F623" i="40"/>
  <c r="H617" i="40"/>
  <c r="F617" i="40"/>
  <c r="H613" i="40"/>
  <c r="H611" i="40" s="1"/>
  <c r="F611" i="40"/>
  <c r="H607" i="40"/>
  <c r="H605" i="40" s="1"/>
  <c r="F605" i="40"/>
  <c r="H599" i="40"/>
  <c r="F599" i="40"/>
  <c r="H595" i="40"/>
  <c r="H593" i="40" s="1"/>
  <c r="F593" i="40"/>
  <c r="E592" i="40"/>
  <c r="E591" i="40"/>
  <c r="E590" i="40"/>
  <c r="E589" i="40"/>
  <c r="E588" i="40"/>
  <c r="I587" i="40"/>
  <c r="H587" i="40"/>
  <c r="G587" i="40"/>
  <c r="F587" i="40"/>
  <c r="E586" i="40"/>
  <c r="E585" i="40"/>
  <c r="E584" i="40"/>
  <c r="E583" i="40"/>
  <c r="E582" i="40"/>
  <c r="I581" i="40"/>
  <c r="H581" i="40"/>
  <c r="G581" i="40"/>
  <c r="F581" i="40"/>
  <c r="E580" i="40"/>
  <c r="E579" i="40"/>
  <c r="E578" i="40"/>
  <c r="E577" i="40"/>
  <c r="E576" i="40"/>
  <c r="I575" i="40"/>
  <c r="H575" i="40"/>
  <c r="G575" i="40"/>
  <c r="F575" i="40"/>
  <c r="E574" i="40"/>
  <c r="E573" i="40"/>
  <c r="E572" i="40"/>
  <c r="E571" i="40"/>
  <c r="E570" i="40"/>
  <c r="I569" i="40"/>
  <c r="H569" i="40"/>
  <c r="G569" i="40"/>
  <c r="F569" i="40"/>
  <c r="E568" i="40"/>
  <c r="E567" i="40"/>
  <c r="E566" i="40"/>
  <c r="E565" i="40"/>
  <c r="H564" i="40"/>
  <c r="H563" i="40" s="1"/>
  <c r="G563" i="40"/>
  <c r="F563" i="40"/>
  <c r="E562" i="40"/>
  <c r="E561" i="40"/>
  <c r="E560" i="40"/>
  <c r="H559" i="40"/>
  <c r="E559" i="40" s="1"/>
  <c r="H558" i="40"/>
  <c r="E558" i="40" s="1"/>
  <c r="I557" i="40"/>
  <c r="G557" i="40"/>
  <c r="F557" i="40"/>
  <c r="E556" i="40"/>
  <c r="E555" i="40"/>
  <c r="E554" i="40"/>
  <c r="E553" i="40"/>
  <c r="E552" i="40"/>
  <c r="I551" i="40"/>
  <c r="H551" i="40"/>
  <c r="G551" i="40"/>
  <c r="F551" i="40"/>
  <c r="E550" i="40"/>
  <c r="E549" i="40"/>
  <c r="E548" i="40"/>
  <c r="E547" i="40"/>
  <c r="E546" i="40"/>
  <c r="E545" i="40"/>
  <c r="E544" i="40"/>
  <c r="E543" i="40"/>
  <c r="E542" i="40"/>
  <c r="E541" i="40"/>
  <c r="E540" i="40"/>
  <c r="I539" i="40"/>
  <c r="H539" i="40"/>
  <c r="G539" i="40"/>
  <c r="F539" i="40"/>
  <c r="H534" i="40"/>
  <c r="E534" i="40" s="1"/>
  <c r="I533" i="40"/>
  <c r="G533" i="40"/>
  <c r="F533" i="40"/>
  <c r="H528" i="40"/>
  <c r="E528" i="40" s="1"/>
  <c r="I527" i="40"/>
  <c r="G527" i="40"/>
  <c r="F527" i="40"/>
  <c r="H522" i="40"/>
  <c r="H521" i="40" s="1"/>
  <c r="E522" i="40"/>
  <c r="I521" i="40"/>
  <c r="G521" i="40"/>
  <c r="F521" i="40"/>
  <c r="H516" i="40"/>
  <c r="E516" i="40" s="1"/>
  <c r="I515" i="40"/>
  <c r="G515" i="40"/>
  <c r="F515" i="40"/>
  <c r="H510" i="40"/>
  <c r="E510" i="40" s="1"/>
  <c r="I509" i="40"/>
  <c r="G509" i="40"/>
  <c r="F509" i="40"/>
  <c r="H504" i="40"/>
  <c r="E504" i="40" s="1"/>
  <c r="I503" i="40"/>
  <c r="G503" i="40"/>
  <c r="F503" i="40"/>
  <c r="E498" i="40"/>
  <c r="I497" i="40"/>
  <c r="H497" i="40"/>
  <c r="G497" i="40"/>
  <c r="F497" i="40"/>
  <c r="E496" i="40"/>
  <c r="E495" i="40"/>
  <c r="E494" i="40"/>
  <c r="F493" i="40"/>
  <c r="F492" i="40"/>
  <c r="I491" i="40"/>
  <c r="H491" i="40"/>
  <c r="G491" i="40"/>
  <c r="E490" i="40"/>
  <c r="E489" i="40"/>
  <c r="E488" i="40"/>
  <c r="E487" i="40"/>
  <c r="E486" i="40"/>
  <c r="I485" i="40"/>
  <c r="H485" i="40"/>
  <c r="G485" i="40"/>
  <c r="F485" i="40"/>
  <c r="E484" i="40"/>
  <c r="I483" i="40"/>
  <c r="E483" i="40" s="1"/>
  <c r="F482" i="40"/>
  <c r="F479" i="40" s="1"/>
  <c r="E481" i="40"/>
  <c r="E480" i="40"/>
  <c r="H479" i="40"/>
  <c r="G479" i="40"/>
  <c r="H478" i="40"/>
  <c r="F478" i="40"/>
  <c r="H477" i="40"/>
  <c r="F477" i="40"/>
  <c r="H476" i="40"/>
  <c r="E472" i="40"/>
  <c r="E471" i="40"/>
  <c r="E470" i="40"/>
  <c r="E469" i="40"/>
  <c r="E468" i="40"/>
  <c r="I467" i="40"/>
  <c r="H467" i="40"/>
  <c r="G467" i="40"/>
  <c r="F467" i="40"/>
  <c r="E466" i="40"/>
  <c r="E465" i="40"/>
  <c r="E464" i="40"/>
  <c r="E463" i="40"/>
  <c r="E462" i="40"/>
  <c r="I461" i="40"/>
  <c r="H461" i="40"/>
  <c r="F461" i="40"/>
  <c r="E460" i="40"/>
  <c r="E459" i="40"/>
  <c r="E458" i="40"/>
  <c r="E457" i="40"/>
  <c r="E456" i="40"/>
  <c r="I455" i="40"/>
  <c r="H455" i="40"/>
  <c r="G455" i="40"/>
  <c r="F455" i="40"/>
  <c r="E454" i="40"/>
  <c r="E453" i="40"/>
  <c r="E452" i="40"/>
  <c r="F451" i="40"/>
  <c r="E450" i="40"/>
  <c r="I449" i="40"/>
  <c r="H449" i="40"/>
  <c r="G449" i="40"/>
  <c r="E448" i="40"/>
  <c r="E447" i="40"/>
  <c r="E446" i="40"/>
  <c r="E445" i="40"/>
  <c r="E444" i="40"/>
  <c r="I443" i="40"/>
  <c r="H443" i="40"/>
  <c r="G443" i="40"/>
  <c r="F443" i="40"/>
  <c r="E442" i="40"/>
  <c r="E441" i="40"/>
  <c r="E440" i="40"/>
  <c r="E439" i="40"/>
  <c r="E438" i="40"/>
  <c r="I437" i="40"/>
  <c r="I436" i="40" s="1"/>
  <c r="E436" i="40" s="1"/>
  <c r="H437" i="40"/>
  <c r="F437" i="40"/>
  <c r="H433" i="40"/>
  <c r="H431" i="40" s="1"/>
  <c r="F431" i="40"/>
  <c r="H425" i="40"/>
  <c r="G425" i="40"/>
  <c r="G424" i="40" s="1"/>
  <c r="G358" i="40" s="1"/>
  <c r="F425" i="40"/>
  <c r="H419" i="40"/>
  <c r="F419" i="40"/>
  <c r="E418" i="40"/>
  <c r="E417" i="40"/>
  <c r="E416" i="40"/>
  <c r="F415" i="40"/>
  <c r="F413" i="40" s="1"/>
  <c r="E414" i="40"/>
  <c r="I413" i="40"/>
  <c r="G413" i="40"/>
  <c r="E412" i="40"/>
  <c r="E411" i="40"/>
  <c r="E410" i="40"/>
  <c r="F409" i="40"/>
  <c r="E409" i="40" s="1"/>
  <c r="E408" i="40"/>
  <c r="I407" i="40"/>
  <c r="H407" i="40"/>
  <c r="G407" i="40"/>
  <c r="E406" i="40"/>
  <c r="E405" i="40"/>
  <c r="E404" i="40"/>
  <c r="E403" i="40"/>
  <c r="E402" i="40"/>
  <c r="I401" i="40"/>
  <c r="H401" i="40"/>
  <c r="G401" i="40"/>
  <c r="F401" i="40"/>
  <c r="E400" i="40"/>
  <c r="E399" i="40"/>
  <c r="E398" i="40"/>
  <c r="E397" i="40"/>
  <c r="E396" i="40"/>
  <c r="I395" i="40"/>
  <c r="H395" i="40"/>
  <c r="G395" i="40"/>
  <c r="F395" i="40"/>
  <c r="E394" i="40"/>
  <c r="E393" i="40"/>
  <c r="E392" i="40"/>
  <c r="E391" i="40"/>
  <c r="E390" i="40"/>
  <c r="I389" i="40"/>
  <c r="H389" i="40"/>
  <c r="G389" i="40"/>
  <c r="F389" i="40"/>
  <c r="E388" i="40"/>
  <c r="E387" i="40"/>
  <c r="E386" i="40"/>
  <c r="H385" i="40"/>
  <c r="H383" i="40" s="1"/>
  <c r="E384" i="40"/>
  <c r="I383" i="40"/>
  <c r="G383" i="40"/>
  <c r="F383" i="40"/>
  <c r="E382" i="40"/>
  <c r="E381" i="40"/>
  <c r="E380" i="40"/>
  <c r="E379" i="40"/>
  <c r="E378" i="40"/>
  <c r="I377" i="40"/>
  <c r="H377" i="40"/>
  <c r="G377" i="40"/>
  <c r="F377" i="40"/>
  <c r="E376" i="40"/>
  <c r="E375" i="40"/>
  <c r="E374" i="40"/>
  <c r="E373" i="40"/>
  <c r="E372" i="40"/>
  <c r="I371" i="40"/>
  <c r="H371" i="40"/>
  <c r="G371" i="40"/>
  <c r="F371" i="40"/>
  <c r="E370" i="40"/>
  <c r="E369" i="40"/>
  <c r="E368" i="40"/>
  <c r="E367" i="40"/>
  <c r="F366" i="40"/>
  <c r="F354" i="40" s="1"/>
  <c r="I365" i="40"/>
  <c r="G365" i="40"/>
  <c r="E364" i="40"/>
  <c r="E363" i="40"/>
  <c r="E362" i="40"/>
  <c r="E361" i="40"/>
  <c r="H360" i="40"/>
  <c r="I359" i="40"/>
  <c r="G359" i="40"/>
  <c r="F359" i="40"/>
  <c r="H358" i="40"/>
  <c r="F358" i="40"/>
  <c r="H357" i="40"/>
  <c r="F357" i="40"/>
  <c r="H356" i="40"/>
  <c r="F356" i="40"/>
  <c r="E346" i="40"/>
  <c r="E345" i="40"/>
  <c r="F344" i="40"/>
  <c r="F341" i="40" s="1"/>
  <c r="E343" i="40"/>
  <c r="E342" i="40"/>
  <c r="I341" i="40"/>
  <c r="H341" i="40"/>
  <c r="G341" i="40"/>
  <c r="E340" i="40"/>
  <c r="E339" i="40"/>
  <c r="E338" i="40"/>
  <c r="E337" i="40"/>
  <c r="E336" i="40"/>
  <c r="I335" i="40"/>
  <c r="H335" i="40"/>
  <c r="G335" i="40"/>
  <c r="F335" i="40"/>
  <c r="I334" i="40"/>
  <c r="H334" i="40"/>
  <c r="G334" i="40"/>
  <c r="F334" i="40"/>
  <c r="I333" i="40"/>
  <c r="H333" i="40"/>
  <c r="G333" i="40"/>
  <c r="F333" i="40"/>
  <c r="I332" i="40"/>
  <c r="H332" i="40"/>
  <c r="G332" i="40"/>
  <c r="I331" i="40"/>
  <c r="H331" i="40"/>
  <c r="G331" i="40"/>
  <c r="F331" i="40"/>
  <c r="I330" i="40"/>
  <c r="H330" i="40"/>
  <c r="G330" i="40"/>
  <c r="F330" i="40"/>
  <c r="E328" i="40"/>
  <c r="E327" i="40"/>
  <c r="E326" i="40"/>
  <c r="E325" i="40"/>
  <c r="E324" i="40"/>
  <c r="I323" i="40"/>
  <c r="H323" i="40"/>
  <c r="G323" i="40"/>
  <c r="F323" i="40"/>
  <c r="E322" i="40"/>
  <c r="E321" i="40"/>
  <c r="E320" i="40"/>
  <c r="E319" i="40"/>
  <c r="E318" i="40"/>
  <c r="I317" i="40"/>
  <c r="H317" i="40"/>
  <c r="G317" i="40"/>
  <c r="F317" i="40"/>
  <c r="I316" i="40"/>
  <c r="H316" i="40"/>
  <c r="G316" i="40"/>
  <c r="F316" i="40"/>
  <c r="I315" i="40"/>
  <c r="H315" i="40"/>
  <c r="G315" i="40"/>
  <c r="F315" i="40"/>
  <c r="I314" i="40"/>
  <c r="H314" i="40"/>
  <c r="G314" i="40"/>
  <c r="F314" i="40"/>
  <c r="I313" i="40"/>
  <c r="H313" i="40"/>
  <c r="G313" i="40"/>
  <c r="F313" i="40"/>
  <c r="I312" i="40"/>
  <c r="H312" i="40"/>
  <c r="G312" i="40"/>
  <c r="F312" i="40"/>
  <c r="E310" i="40"/>
  <c r="E309" i="40"/>
  <c r="E308" i="40"/>
  <c r="E307" i="40"/>
  <c r="E306" i="40"/>
  <c r="I305" i="40"/>
  <c r="H305" i="40"/>
  <c r="G305" i="40"/>
  <c r="F305" i="40"/>
  <c r="E304" i="40"/>
  <c r="E303" i="40"/>
  <c r="E302" i="40"/>
  <c r="F301" i="40"/>
  <c r="E300" i="40"/>
  <c r="I299" i="40"/>
  <c r="H299" i="40"/>
  <c r="G299" i="40"/>
  <c r="E298" i="40"/>
  <c r="E297" i="40"/>
  <c r="E296" i="40"/>
  <c r="E295" i="40"/>
  <c r="E294" i="40"/>
  <c r="I293" i="40"/>
  <c r="H293" i="40"/>
  <c r="G293" i="40"/>
  <c r="F293" i="40"/>
  <c r="E292" i="40"/>
  <c r="E291" i="40"/>
  <c r="E290" i="40"/>
  <c r="F289" i="40"/>
  <c r="F287" i="40" s="1"/>
  <c r="E288" i="40"/>
  <c r="I287" i="40"/>
  <c r="H287" i="40"/>
  <c r="G287" i="40"/>
  <c r="E286" i="40"/>
  <c r="E285" i="40"/>
  <c r="E284" i="40"/>
  <c r="E283" i="40"/>
  <c r="E282" i="40"/>
  <c r="I281" i="40"/>
  <c r="H281" i="40"/>
  <c r="G281" i="40"/>
  <c r="F281" i="40"/>
  <c r="E280" i="40"/>
  <c r="E279" i="40"/>
  <c r="E278" i="40"/>
  <c r="E277" i="40"/>
  <c r="E276" i="40"/>
  <c r="I275" i="40"/>
  <c r="H275" i="40"/>
  <c r="G275" i="40"/>
  <c r="F275" i="40"/>
  <c r="E274" i="40"/>
  <c r="E273" i="40"/>
  <c r="F272" i="40"/>
  <c r="E272" i="40" s="1"/>
  <c r="E271" i="40"/>
  <c r="E270" i="40"/>
  <c r="I269" i="40"/>
  <c r="H269" i="40"/>
  <c r="G269" i="40"/>
  <c r="E268" i="40"/>
  <c r="E267" i="40"/>
  <c r="E266" i="40"/>
  <c r="E264" i="40"/>
  <c r="I263" i="40"/>
  <c r="H263" i="40"/>
  <c r="G263" i="40"/>
  <c r="F263" i="40"/>
  <c r="E262" i="40"/>
  <c r="E261" i="40"/>
  <c r="E260" i="40"/>
  <c r="E259" i="40"/>
  <c r="E258" i="40"/>
  <c r="I257" i="40"/>
  <c r="H257" i="40"/>
  <c r="G257" i="40"/>
  <c r="F257" i="40"/>
  <c r="E256" i="40"/>
  <c r="E255" i="40"/>
  <c r="E254" i="40"/>
  <c r="E253" i="40"/>
  <c r="E252" i="40"/>
  <c r="I251" i="40"/>
  <c r="H251" i="40"/>
  <c r="G251" i="40"/>
  <c r="F251" i="40"/>
  <c r="E250" i="40"/>
  <c r="E249" i="40"/>
  <c r="F248" i="40"/>
  <c r="F247" i="40"/>
  <c r="E246" i="40"/>
  <c r="I245" i="40"/>
  <c r="H245" i="40"/>
  <c r="G245" i="40"/>
  <c r="E244" i="40"/>
  <c r="E243" i="40"/>
  <c r="E242" i="40"/>
  <c r="E241" i="40"/>
  <c r="E240" i="40"/>
  <c r="I239" i="40"/>
  <c r="H239" i="40"/>
  <c r="G239" i="40"/>
  <c r="F239" i="40"/>
  <c r="E238" i="40"/>
  <c r="E237" i="40"/>
  <c r="E236" i="40"/>
  <c r="E235" i="40"/>
  <c r="E234" i="40"/>
  <c r="I233" i="40"/>
  <c r="H233" i="40"/>
  <c r="G233" i="40"/>
  <c r="F233" i="40"/>
  <c r="E232" i="40"/>
  <c r="E231" i="40"/>
  <c r="E230" i="40"/>
  <c r="E229" i="40"/>
  <c r="E228" i="40"/>
  <c r="I227" i="40"/>
  <c r="H227" i="40"/>
  <c r="G227" i="40"/>
  <c r="F227" i="40"/>
  <c r="E226" i="40"/>
  <c r="E225" i="40"/>
  <c r="E224" i="40"/>
  <c r="E223" i="40"/>
  <c r="E222" i="40"/>
  <c r="I221" i="40"/>
  <c r="H221" i="40"/>
  <c r="G221" i="40"/>
  <c r="F221" i="40"/>
  <c r="E220" i="40"/>
  <c r="E219" i="40"/>
  <c r="E218" i="40"/>
  <c r="E217" i="40"/>
  <c r="E216" i="40"/>
  <c r="I215" i="40"/>
  <c r="H215" i="40"/>
  <c r="G215" i="40"/>
  <c r="F215" i="40"/>
  <c r="E214" i="40"/>
  <c r="E213" i="40"/>
  <c r="F212" i="40"/>
  <c r="F211" i="40"/>
  <c r="E210" i="40"/>
  <c r="I209" i="40"/>
  <c r="H209" i="40"/>
  <c r="G209" i="40"/>
  <c r="E208" i="40"/>
  <c r="E207" i="40"/>
  <c r="F206" i="40"/>
  <c r="F205" i="40"/>
  <c r="E204" i="40"/>
  <c r="I203" i="40"/>
  <c r="H203" i="40"/>
  <c r="G203" i="40"/>
  <c r="E202" i="40"/>
  <c r="E201" i="40"/>
  <c r="E200" i="40"/>
  <c r="E199" i="40"/>
  <c r="F198" i="40"/>
  <c r="I197" i="40"/>
  <c r="H197" i="40"/>
  <c r="G197" i="40"/>
  <c r="E196" i="40"/>
  <c r="E195" i="40"/>
  <c r="F194" i="40"/>
  <c r="E194" i="40" s="1"/>
  <c r="E193" i="40"/>
  <c r="E192" i="40"/>
  <c r="I191" i="40"/>
  <c r="H191" i="40"/>
  <c r="G191" i="40"/>
  <c r="G190" i="40"/>
  <c r="E189" i="40"/>
  <c r="F188" i="40"/>
  <c r="F187" i="40"/>
  <c r="F186" i="40"/>
  <c r="I185" i="40"/>
  <c r="H185" i="40"/>
  <c r="I184" i="40"/>
  <c r="H184" i="40"/>
  <c r="F184" i="40"/>
  <c r="I183" i="40"/>
  <c r="H183" i="40"/>
  <c r="G183" i="40"/>
  <c r="F183" i="40"/>
  <c r="I182" i="40"/>
  <c r="H182" i="40"/>
  <c r="G182" i="40"/>
  <c r="I181" i="40"/>
  <c r="H181" i="40"/>
  <c r="G181" i="40"/>
  <c r="I180" i="40"/>
  <c r="H180" i="40"/>
  <c r="G180" i="40"/>
  <c r="E172" i="40"/>
  <c r="E171" i="40"/>
  <c r="E170" i="40"/>
  <c r="E169" i="40"/>
  <c r="E168" i="40"/>
  <c r="I167" i="40"/>
  <c r="H167" i="40"/>
  <c r="G167" i="40"/>
  <c r="F167" i="40"/>
  <c r="E166" i="40"/>
  <c r="E165" i="40"/>
  <c r="E164" i="40"/>
  <c r="E163" i="40"/>
  <c r="E162" i="40"/>
  <c r="I161" i="40"/>
  <c r="H161" i="40"/>
  <c r="G161" i="40"/>
  <c r="F161" i="40"/>
  <c r="E160" i="40"/>
  <c r="E159" i="40"/>
  <c r="E158" i="40"/>
  <c r="E157" i="40"/>
  <c r="E156" i="40"/>
  <c r="I155" i="40"/>
  <c r="H155" i="40"/>
  <c r="G155" i="40"/>
  <c r="F155" i="40"/>
  <c r="E154" i="40"/>
  <c r="E153" i="40"/>
  <c r="E152" i="40"/>
  <c r="E151" i="40"/>
  <c r="E150" i="40"/>
  <c r="I149" i="40"/>
  <c r="H149" i="40"/>
  <c r="G149" i="40"/>
  <c r="F149" i="40"/>
  <c r="I148" i="40"/>
  <c r="H148" i="40"/>
  <c r="G148" i="40"/>
  <c r="F148" i="40"/>
  <c r="I147" i="40"/>
  <c r="H147" i="40"/>
  <c r="G147" i="40"/>
  <c r="F147" i="40"/>
  <c r="I146" i="40"/>
  <c r="H146" i="40"/>
  <c r="G146" i="40"/>
  <c r="F146" i="40"/>
  <c r="I145" i="40"/>
  <c r="H145" i="40"/>
  <c r="G145" i="40"/>
  <c r="F145" i="40"/>
  <c r="I144" i="40"/>
  <c r="I143" i="40" s="1"/>
  <c r="H144" i="40"/>
  <c r="G144" i="40"/>
  <c r="F144" i="40"/>
  <c r="E142" i="40"/>
  <c r="E141" i="40"/>
  <c r="E140" i="40"/>
  <c r="E139" i="40"/>
  <c r="E138" i="40"/>
  <c r="E136" i="40"/>
  <c r="E135" i="40"/>
  <c r="F134" i="40"/>
  <c r="E133" i="40"/>
  <c r="E132" i="40"/>
  <c r="I131" i="40"/>
  <c r="H131" i="40"/>
  <c r="G131" i="40"/>
  <c r="H130" i="40"/>
  <c r="H129" i="40"/>
  <c r="E128" i="40"/>
  <c r="H127" i="40"/>
  <c r="H126" i="40"/>
  <c r="I125" i="40"/>
  <c r="F125" i="40"/>
  <c r="E124" i="40"/>
  <c r="E123" i="40"/>
  <c r="E122" i="40"/>
  <c r="E121" i="40"/>
  <c r="E120" i="40"/>
  <c r="I119" i="40"/>
  <c r="H119" i="40"/>
  <c r="G119" i="40"/>
  <c r="F119" i="40"/>
  <c r="H118" i="40"/>
  <c r="G118" i="40" s="1"/>
  <c r="H117" i="40"/>
  <c r="G117" i="40" s="1"/>
  <c r="H116" i="40"/>
  <c r="G116" i="40" s="1"/>
  <c r="F115" i="40"/>
  <c r="E115" i="40" s="1"/>
  <c r="E114" i="40"/>
  <c r="I113" i="40"/>
  <c r="E112" i="40"/>
  <c r="E111" i="40"/>
  <c r="E110" i="40"/>
  <c r="E109" i="40"/>
  <c r="E108" i="40"/>
  <c r="I107" i="40"/>
  <c r="H107" i="40"/>
  <c r="G107" i="40"/>
  <c r="F107" i="40"/>
  <c r="E106" i="40"/>
  <c r="E105" i="40"/>
  <c r="F104" i="40"/>
  <c r="E103" i="40"/>
  <c r="E102" i="40"/>
  <c r="I101" i="40"/>
  <c r="H101" i="40"/>
  <c r="G101" i="40"/>
  <c r="E99" i="40"/>
  <c r="E98" i="40"/>
  <c r="E97" i="40"/>
  <c r="E96" i="40"/>
  <c r="I95" i="40"/>
  <c r="H95" i="40"/>
  <c r="G95" i="40"/>
  <c r="F95" i="40"/>
  <c r="E94" i="40"/>
  <c r="E93" i="40"/>
  <c r="E92" i="40"/>
  <c r="F91" i="40"/>
  <c r="E91" i="40" s="1"/>
  <c r="E90" i="40"/>
  <c r="I89" i="40"/>
  <c r="H89" i="40"/>
  <c r="G89" i="40"/>
  <c r="E88" i="40"/>
  <c r="E87" i="40"/>
  <c r="E86" i="40"/>
  <c r="E85" i="40"/>
  <c r="E84" i="40"/>
  <c r="I83" i="40"/>
  <c r="H83" i="40"/>
  <c r="G83" i="40"/>
  <c r="F83" i="40"/>
  <c r="E82" i="40"/>
  <c r="E81" i="40"/>
  <c r="F80" i="40"/>
  <c r="E79" i="40"/>
  <c r="F78" i="40"/>
  <c r="F48" i="40" s="1"/>
  <c r="I77" i="40"/>
  <c r="H77" i="40"/>
  <c r="G77" i="40"/>
  <c r="E76" i="40"/>
  <c r="E75" i="40"/>
  <c r="F74" i="40"/>
  <c r="E74" i="40" s="1"/>
  <c r="E73" i="40"/>
  <c r="E72" i="40"/>
  <c r="I71" i="40"/>
  <c r="H71" i="40"/>
  <c r="G71" i="40"/>
  <c r="E70" i="40"/>
  <c r="E69" i="40"/>
  <c r="E68" i="40"/>
  <c r="E67" i="40"/>
  <c r="E66" i="40"/>
  <c r="I65" i="40"/>
  <c r="H65" i="40"/>
  <c r="G65" i="40"/>
  <c r="F65" i="40"/>
  <c r="E64" i="40"/>
  <c r="E63" i="40"/>
  <c r="E62" i="40"/>
  <c r="E61" i="40"/>
  <c r="E60" i="40"/>
  <c r="I59" i="40"/>
  <c r="H59" i="40"/>
  <c r="G59" i="40"/>
  <c r="F59" i="40"/>
  <c r="E58" i="40"/>
  <c r="E57" i="40"/>
  <c r="F56" i="40"/>
  <c r="E55" i="40"/>
  <c r="E54" i="40"/>
  <c r="I53" i="40"/>
  <c r="H53" i="40"/>
  <c r="G53" i="40"/>
  <c r="I52" i="40"/>
  <c r="I51" i="40"/>
  <c r="H51" i="40"/>
  <c r="I50" i="40"/>
  <c r="I49" i="40"/>
  <c r="H49" i="40"/>
  <c r="G49" i="40"/>
  <c r="I48" i="40"/>
  <c r="H48" i="40"/>
  <c r="G48" i="40"/>
  <c r="E46" i="40"/>
  <c r="E45" i="40"/>
  <c r="E44" i="40"/>
  <c r="E43" i="40"/>
  <c r="E42" i="40"/>
  <c r="I41" i="40"/>
  <c r="H41" i="40"/>
  <c r="G41" i="40"/>
  <c r="F41" i="40"/>
  <c r="E40" i="40"/>
  <c r="E39" i="40"/>
  <c r="E38" i="40"/>
  <c r="E37" i="40"/>
  <c r="E36" i="40"/>
  <c r="I35" i="40"/>
  <c r="H35" i="40"/>
  <c r="G35" i="40"/>
  <c r="F35" i="40"/>
  <c r="I34" i="40"/>
  <c r="H34" i="40"/>
  <c r="G34" i="40"/>
  <c r="F34" i="40"/>
  <c r="I33" i="40"/>
  <c r="H33" i="40"/>
  <c r="G33" i="40"/>
  <c r="F33" i="40"/>
  <c r="I32" i="40"/>
  <c r="H32" i="40"/>
  <c r="G32" i="40"/>
  <c r="F32" i="40"/>
  <c r="I31" i="40"/>
  <c r="H31" i="40"/>
  <c r="G31" i="40"/>
  <c r="F31" i="40"/>
  <c r="I30" i="40"/>
  <c r="H30" i="40"/>
  <c r="G30" i="40"/>
  <c r="G29" i="40" s="1"/>
  <c r="F30" i="40"/>
  <c r="H52" i="40" l="1"/>
  <c r="F24" i="40"/>
  <c r="I329" i="40"/>
  <c r="H533" i="40"/>
  <c r="E533" i="40" s="1"/>
  <c r="I178" i="40"/>
  <c r="G329" i="40"/>
  <c r="I175" i="40"/>
  <c r="E681" i="40"/>
  <c r="H27" i="40"/>
  <c r="E717" i="40"/>
  <c r="E581" i="40"/>
  <c r="I682" i="40"/>
  <c r="H688" i="40" s="1"/>
  <c r="H683" i="40" s="1"/>
  <c r="E683" i="40" s="1"/>
  <c r="E83" i="40"/>
  <c r="F332" i="40"/>
  <c r="E332" i="40" s="1"/>
  <c r="H503" i="40"/>
  <c r="E31" i="40"/>
  <c r="H113" i="40"/>
  <c r="E341" i="40"/>
  <c r="F365" i="40"/>
  <c r="H366" i="40"/>
  <c r="E366" i="40" s="1"/>
  <c r="E365" i="40" s="1"/>
  <c r="E401" i="40"/>
  <c r="F713" i="40"/>
  <c r="H25" i="40"/>
  <c r="E275" i="40"/>
  <c r="E313" i="40"/>
  <c r="F177" i="40"/>
  <c r="E344" i="40"/>
  <c r="H509" i="40"/>
  <c r="E509" i="40" s="1"/>
  <c r="E716" i="40"/>
  <c r="E718" i="40"/>
  <c r="F89" i="40"/>
  <c r="E89" i="40" s="1"/>
  <c r="E155" i="40"/>
  <c r="E215" i="40"/>
  <c r="I713" i="40"/>
  <c r="H762" i="40"/>
  <c r="G174" i="40"/>
  <c r="E206" i="40"/>
  <c r="E521" i="40"/>
  <c r="I762" i="40"/>
  <c r="I763" i="40"/>
  <c r="I764" i="40"/>
  <c r="I765" i="40"/>
  <c r="I766" i="40"/>
  <c r="E59" i="40"/>
  <c r="F245" i="40"/>
  <c r="E371" i="40"/>
  <c r="E455" i="40"/>
  <c r="E467" i="40"/>
  <c r="G713" i="40"/>
  <c r="F767" i="40"/>
  <c r="I28" i="40"/>
  <c r="I27" i="40"/>
  <c r="G126" i="40"/>
  <c r="G129" i="40"/>
  <c r="I26" i="40"/>
  <c r="F178" i="40"/>
  <c r="G176" i="40"/>
  <c r="H178" i="40"/>
  <c r="E186" i="40"/>
  <c r="E248" i="40"/>
  <c r="E323" i="40"/>
  <c r="F407" i="40"/>
  <c r="E407" i="40" s="1"/>
  <c r="E461" i="40"/>
  <c r="E569" i="40"/>
  <c r="E575" i="40"/>
  <c r="E735" i="40"/>
  <c r="F762" i="40"/>
  <c r="F765" i="40"/>
  <c r="G762" i="40"/>
  <c r="E769" i="40"/>
  <c r="G764" i="40"/>
  <c r="G765" i="40"/>
  <c r="H125" i="40"/>
  <c r="I177" i="40"/>
  <c r="E188" i="40"/>
  <c r="E305" i="40"/>
  <c r="F351" i="40"/>
  <c r="E493" i="40"/>
  <c r="F71" i="40"/>
  <c r="E80" i="40"/>
  <c r="F131" i="40"/>
  <c r="G143" i="40"/>
  <c r="I176" i="40"/>
  <c r="E212" i="40"/>
  <c r="H351" i="40"/>
  <c r="E635" i="40"/>
  <c r="E715" i="40"/>
  <c r="F29" i="40"/>
  <c r="E34" i="40"/>
  <c r="E35" i="40"/>
  <c r="E78" i="40"/>
  <c r="G127" i="40"/>
  <c r="G130" i="40"/>
  <c r="F143" i="40"/>
  <c r="H175" i="40"/>
  <c r="G175" i="40"/>
  <c r="H179" i="40"/>
  <c r="H177" i="40"/>
  <c r="E187" i="40"/>
  <c r="F203" i="40"/>
  <c r="E211" i="40"/>
  <c r="E233" i="40"/>
  <c r="E263" i="40"/>
  <c r="F269" i="40"/>
  <c r="E269" i="40" s="1"/>
  <c r="E301" i="40"/>
  <c r="I174" i="40"/>
  <c r="E333" i="40"/>
  <c r="E389" i="40"/>
  <c r="E539" i="40"/>
  <c r="E551" i="40"/>
  <c r="E673" i="40"/>
  <c r="G731" i="40"/>
  <c r="I731" i="40"/>
  <c r="G766" i="40"/>
  <c r="H765" i="40"/>
  <c r="H766" i="40"/>
  <c r="F449" i="40"/>
  <c r="E449" i="40" s="1"/>
  <c r="E451" i="40"/>
  <c r="E56" i="40"/>
  <c r="F53" i="40"/>
  <c r="E679" i="40"/>
  <c r="H713" i="40"/>
  <c r="G767" i="40"/>
  <c r="H767" i="40"/>
  <c r="H764" i="40"/>
  <c r="H143" i="40"/>
  <c r="H29" i="40"/>
  <c r="E41" i="40"/>
  <c r="E65" i="40"/>
  <c r="E145" i="40"/>
  <c r="E190" i="40"/>
  <c r="G185" i="40"/>
  <c r="I311" i="40"/>
  <c r="G24" i="40"/>
  <c r="I29" i="40"/>
  <c r="I25" i="40"/>
  <c r="E48" i="40"/>
  <c r="F49" i="40"/>
  <c r="H50" i="40"/>
  <c r="F191" i="40"/>
  <c r="E191" i="40" s="1"/>
  <c r="E198" i="40"/>
  <c r="F197" i="40"/>
  <c r="E197" i="40" s="1"/>
  <c r="E221" i="40"/>
  <c r="E239" i="40"/>
  <c r="E312" i="40"/>
  <c r="E330" i="40"/>
  <c r="I473" i="40"/>
  <c r="E485" i="40"/>
  <c r="E492" i="40"/>
  <c r="F474" i="40"/>
  <c r="E564" i="40"/>
  <c r="I631" i="40"/>
  <c r="I630" i="40" s="1"/>
  <c r="E630" i="40" s="1"/>
  <c r="E678" i="40"/>
  <c r="E733" i="40"/>
  <c r="E773" i="40"/>
  <c r="E104" i="40"/>
  <c r="F101" i="40"/>
  <c r="F677" i="40"/>
  <c r="E149" i="40"/>
  <c r="H24" i="40"/>
  <c r="E30" i="40"/>
  <c r="E32" i="40"/>
  <c r="E33" i="40"/>
  <c r="G25" i="40"/>
  <c r="I47" i="40"/>
  <c r="E107" i="40"/>
  <c r="E119" i="40"/>
  <c r="E134" i="40"/>
  <c r="H176" i="40"/>
  <c r="G184" i="40"/>
  <c r="E184" i="40" s="1"/>
  <c r="F182" i="40"/>
  <c r="E205" i="40"/>
  <c r="E227" i="40"/>
  <c r="E257" i="40"/>
  <c r="E281" i="40"/>
  <c r="E287" i="40"/>
  <c r="E293" i="40"/>
  <c r="E314" i="40"/>
  <c r="E317" i="40"/>
  <c r="E334" i="40"/>
  <c r="G423" i="40"/>
  <c r="E437" i="40"/>
  <c r="I475" i="40"/>
  <c r="I479" i="40"/>
  <c r="E479" i="40" s="1"/>
  <c r="E497" i="40"/>
  <c r="E563" i="40"/>
  <c r="F653" i="40"/>
  <c r="E653" i="40" s="1"/>
  <c r="E655" i="40"/>
  <c r="E661" i="40"/>
  <c r="F659" i="40"/>
  <c r="E659" i="40" s="1"/>
  <c r="E667" i="40"/>
  <c r="H665" i="40"/>
  <c r="E665" i="40" s="1"/>
  <c r="F671" i="40"/>
  <c r="E671" i="40" s="1"/>
  <c r="F737" i="40"/>
  <c r="F734" i="40"/>
  <c r="F731" i="40" s="1"/>
  <c r="G763" i="40"/>
  <c r="E95" i="40"/>
  <c r="E137" i="40"/>
  <c r="E146" i="40"/>
  <c r="E147" i="40"/>
  <c r="E148" i="40"/>
  <c r="E161" i="40"/>
  <c r="E167" i="40"/>
  <c r="E183" i="40"/>
  <c r="F209" i="40"/>
  <c r="E251" i="40"/>
  <c r="H311" i="40"/>
  <c r="G311" i="40"/>
  <c r="E315" i="40"/>
  <c r="E316" i="40"/>
  <c r="H329" i="40"/>
  <c r="E331" i="40"/>
  <c r="E335" i="40"/>
  <c r="E377" i="40"/>
  <c r="E395" i="40"/>
  <c r="F355" i="40"/>
  <c r="F353" i="40" s="1"/>
  <c r="E443" i="40"/>
  <c r="I474" i="40"/>
  <c r="E503" i="40"/>
  <c r="E587" i="40"/>
  <c r="E641" i="40"/>
  <c r="E647" i="40"/>
  <c r="I349" i="40"/>
  <c r="E719" i="40"/>
  <c r="E725" i="40"/>
  <c r="E714" i="40"/>
  <c r="E732" i="40"/>
  <c r="E736" i="40"/>
  <c r="E743" i="40"/>
  <c r="E770" i="40"/>
  <c r="E771" i="40"/>
  <c r="E772" i="40"/>
  <c r="F116" i="40"/>
  <c r="G113" i="40"/>
  <c r="G50" i="40"/>
  <c r="E625" i="40"/>
  <c r="G624" i="40"/>
  <c r="G51" i="40"/>
  <c r="F117" i="40"/>
  <c r="H734" i="40"/>
  <c r="H350" i="40" s="1"/>
  <c r="H755" i="40"/>
  <c r="F118" i="40"/>
  <c r="G52" i="40"/>
  <c r="E126" i="40"/>
  <c r="E383" i="40"/>
  <c r="I478" i="40"/>
  <c r="I597" i="40"/>
  <c r="I24" i="40"/>
  <c r="F77" i="40"/>
  <c r="E144" i="40"/>
  <c r="E385" i="40"/>
  <c r="H475" i="40"/>
  <c r="E482" i="40"/>
  <c r="E680" i="40"/>
  <c r="E768" i="40"/>
  <c r="H174" i="40"/>
  <c r="E247" i="40"/>
  <c r="E289" i="40"/>
  <c r="F311" i="40"/>
  <c r="H359" i="40"/>
  <c r="H515" i="40"/>
  <c r="E515" i="40" s="1"/>
  <c r="F755" i="40"/>
  <c r="G177" i="40"/>
  <c r="I179" i="40"/>
  <c r="F476" i="40"/>
  <c r="F766" i="40"/>
  <c r="E360" i="40"/>
  <c r="E359" i="40" s="1"/>
  <c r="F491" i="40"/>
  <c r="H527" i="40"/>
  <c r="E527" i="40" s="1"/>
  <c r="E740" i="40"/>
  <c r="F180" i="40"/>
  <c r="F299" i="40"/>
  <c r="F764" i="40"/>
  <c r="F185" i="40"/>
  <c r="H415" i="40"/>
  <c r="H629" i="40"/>
  <c r="H28" i="40"/>
  <c r="F352" i="40"/>
  <c r="E358" i="40"/>
  <c r="H474" i="40"/>
  <c r="H557" i="40"/>
  <c r="E557" i="40" s="1"/>
  <c r="E758" i="40"/>
  <c r="I435" i="40"/>
  <c r="F181" i="40"/>
  <c r="F475" i="40"/>
  <c r="I677" i="40" l="1"/>
  <c r="H354" i="40"/>
  <c r="M720" i="40"/>
  <c r="E763" i="40"/>
  <c r="H682" i="40"/>
  <c r="E682" i="40" s="1"/>
  <c r="I629" i="40"/>
  <c r="H365" i="40"/>
  <c r="E688" i="40"/>
  <c r="E245" i="40"/>
  <c r="F329" i="40"/>
  <c r="E329" i="40" s="1"/>
  <c r="E53" i="40"/>
  <c r="E311" i="40"/>
  <c r="G179" i="40"/>
  <c r="E631" i="40"/>
  <c r="E143" i="40"/>
  <c r="I173" i="40"/>
  <c r="E177" i="40"/>
  <c r="E101" i="40"/>
  <c r="E129" i="40"/>
  <c r="E299" i="40"/>
  <c r="N13" i="40"/>
  <c r="E29" i="40"/>
  <c r="E131" i="40"/>
  <c r="E491" i="40"/>
  <c r="H173" i="40"/>
  <c r="E77" i="40"/>
  <c r="G125" i="40"/>
  <c r="I761" i="40"/>
  <c r="G27" i="40"/>
  <c r="G26" i="40"/>
  <c r="I348" i="40"/>
  <c r="E737" i="40"/>
  <c r="E203" i="40"/>
  <c r="E127" i="40"/>
  <c r="E765" i="40"/>
  <c r="E762" i="40"/>
  <c r="E209" i="40"/>
  <c r="G761" i="40"/>
  <c r="E766" i="40"/>
  <c r="F113" i="40"/>
  <c r="E113" i="40" s="1"/>
  <c r="E767" i="40"/>
  <c r="H26" i="40"/>
  <c r="E130" i="40"/>
  <c r="E71" i="40"/>
  <c r="E185" i="40"/>
  <c r="G28" i="40"/>
  <c r="E713" i="40"/>
  <c r="G178" i="40"/>
  <c r="G173" i="40" s="1"/>
  <c r="F348" i="40"/>
  <c r="H761" i="40"/>
  <c r="O15" i="40"/>
  <c r="O13" i="40"/>
  <c r="I352" i="40"/>
  <c r="E182" i="40"/>
  <c r="F176" i="40"/>
  <c r="E764" i="40"/>
  <c r="H47" i="40"/>
  <c r="H473" i="40"/>
  <c r="E629" i="40"/>
  <c r="F761" i="40"/>
  <c r="E49" i="40"/>
  <c r="F25" i="40"/>
  <c r="G422" i="40"/>
  <c r="G357" i="40"/>
  <c r="E357" i="40" s="1"/>
  <c r="E734" i="40"/>
  <c r="E116" i="40"/>
  <c r="F50" i="40"/>
  <c r="E755" i="40"/>
  <c r="E118" i="40"/>
  <c r="F52" i="40"/>
  <c r="H355" i="40"/>
  <c r="H413" i="40"/>
  <c r="E413" i="40" s="1"/>
  <c r="F350" i="40"/>
  <c r="E624" i="40"/>
  <c r="G623" i="40"/>
  <c r="E180" i="40"/>
  <c r="F174" i="40"/>
  <c r="F179" i="40"/>
  <c r="I23" i="40"/>
  <c r="F473" i="40"/>
  <c r="F51" i="40"/>
  <c r="E117" i="40"/>
  <c r="E24" i="40"/>
  <c r="E181" i="40"/>
  <c r="F175" i="40"/>
  <c r="E415" i="40"/>
  <c r="H731" i="40"/>
  <c r="E731" i="40" s="1"/>
  <c r="G47" i="40"/>
  <c r="E435" i="40"/>
  <c r="I434" i="40"/>
  <c r="H348" i="40"/>
  <c r="I596" i="40"/>
  <c r="I477" i="40"/>
  <c r="F349" i="40"/>
  <c r="O16" i="40" l="1"/>
  <c r="H677" i="40"/>
  <c r="E677" i="40" s="1"/>
  <c r="H352" i="40"/>
  <c r="N16" i="40"/>
  <c r="H23" i="40"/>
  <c r="N15" i="40"/>
  <c r="E179" i="40"/>
  <c r="E761" i="40"/>
  <c r="E125" i="40"/>
  <c r="G23" i="40"/>
  <c r="I351" i="40"/>
  <c r="E25" i="40"/>
  <c r="E176" i="40"/>
  <c r="E178" i="40"/>
  <c r="G421" i="40"/>
  <c r="G356" i="40"/>
  <c r="E356" i="40" s="1"/>
  <c r="I595" i="40"/>
  <c r="I594" i="40" s="1"/>
  <c r="I593" i="40" s="1"/>
  <c r="I476" i="40"/>
  <c r="E51" i="40"/>
  <c r="F27" i="40"/>
  <c r="E434" i="40"/>
  <c r="I433" i="40"/>
  <c r="E174" i="40"/>
  <c r="F173" i="40"/>
  <c r="H349" i="40"/>
  <c r="H353" i="40"/>
  <c r="E52" i="40"/>
  <c r="F28" i="40"/>
  <c r="F347" i="40"/>
  <c r="E175" i="40"/>
  <c r="M13" i="40"/>
  <c r="E623" i="40"/>
  <c r="G622" i="40"/>
  <c r="F26" i="40"/>
  <c r="E50" i="40"/>
  <c r="F47" i="40"/>
  <c r="E173" i="40" l="1"/>
  <c r="E47" i="40"/>
  <c r="I350" i="40"/>
  <c r="H347" i="40"/>
  <c r="G355" i="40"/>
  <c r="E355" i="40" s="1"/>
  <c r="G420" i="40"/>
  <c r="I432" i="40"/>
  <c r="E433" i="40"/>
  <c r="M16" i="40"/>
  <c r="E28" i="40"/>
  <c r="E27" i="40"/>
  <c r="M15" i="40"/>
  <c r="E26" i="40"/>
  <c r="F23" i="40"/>
  <c r="G621" i="40"/>
  <c r="E622" i="40"/>
  <c r="M798" i="36"/>
  <c r="E23" i="40" l="1"/>
  <c r="G354" i="40"/>
  <c r="G419" i="40"/>
  <c r="E621" i="40"/>
  <c r="G620" i="40"/>
  <c r="E432" i="40"/>
  <c r="I431" i="40"/>
  <c r="G353" i="40" l="1"/>
  <c r="E353" i="40" s="1"/>
  <c r="E354" i="40"/>
  <c r="I430" i="40"/>
  <c r="E431" i="40"/>
  <c r="E620" i="40"/>
  <c r="G619" i="40"/>
  <c r="E619" i="40" l="1"/>
  <c r="G618" i="40"/>
  <c r="E430" i="40"/>
  <c r="I429" i="40"/>
  <c r="E429" i="40" l="1"/>
  <c r="I428" i="40"/>
  <c r="G617" i="40"/>
  <c r="E618" i="40"/>
  <c r="G616" i="40" l="1"/>
  <c r="E617" i="40"/>
  <c r="E428" i="40"/>
  <c r="I427" i="40"/>
  <c r="F788" i="36"/>
  <c r="F787" i="36"/>
  <c r="E427" i="40" l="1"/>
  <c r="I426" i="40"/>
  <c r="E616" i="40"/>
  <c r="G615" i="40"/>
  <c r="F789" i="36"/>
  <c r="F786" i="36"/>
  <c r="F785" i="36"/>
  <c r="G789" i="36"/>
  <c r="G788" i="36"/>
  <c r="G787" i="36"/>
  <c r="G786" i="36"/>
  <c r="G785" i="36"/>
  <c r="H789" i="36"/>
  <c r="H788" i="36"/>
  <c r="H787" i="36"/>
  <c r="H786" i="36"/>
  <c r="H785" i="36"/>
  <c r="I789" i="36"/>
  <c r="I788" i="36"/>
  <c r="I787" i="36"/>
  <c r="I786" i="36"/>
  <c r="I785" i="36"/>
  <c r="E801" i="36"/>
  <c r="E800" i="36"/>
  <c r="E799" i="36"/>
  <c r="E798" i="36"/>
  <c r="E797" i="36"/>
  <c r="I796" i="36"/>
  <c r="H796" i="36"/>
  <c r="F796" i="36"/>
  <c r="G796" i="36"/>
  <c r="G784" i="36" l="1"/>
  <c r="G614" i="40"/>
  <c r="E615" i="40"/>
  <c r="I425" i="40"/>
  <c r="E426" i="40"/>
  <c r="E787" i="36"/>
  <c r="H23" i="36"/>
  <c r="G24" i="19" s="1"/>
  <c r="M24" i="19" s="1"/>
  <c r="E788" i="36"/>
  <c r="E789" i="36"/>
  <c r="E796" i="36"/>
  <c r="H784" i="36"/>
  <c r="E785" i="36"/>
  <c r="E786" i="36"/>
  <c r="F784" i="36"/>
  <c r="I784" i="36"/>
  <c r="M791" i="36" l="1"/>
  <c r="I424" i="40"/>
  <c r="E425" i="40"/>
  <c r="E614" i="40"/>
  <c r="G613" i="40"/>
  <c r="E784" i="36"/>
  <c r="E613" i="40" l="1"/>
  <c r="G612" i="40"/>
  <c r="E424" i="40"/>
  <c r="I423" i="40"/>
  <c r="I422" i="40" l="1"/>
  <c r="E423" i="40"/>
  <c r="G611" i="40"/>
  <c r="E612" i="40"/>
  <c r="E611" i="40" l="1"/>
  <c r="G610" i="40"/>
  <c r="I421" i="40"/>
  <c r="E422" i="40"/>
  <c r="F220" i="36"/>
  <c r="F217" i="36" s="1"/>
  <c r="F302" i="36"/>
  <c r="F299" i="36" s="1"/>
  <c r="E610" i="40" l="1"/>
  <c r="G609" i="40"/>
  <c r="I420" i="40"/>
  <c r="E421" i="40"/>
  <c r="F206" i="36"/>
  <c r="E162" i="36"/>
  <c r="E161" i="36"/>
  <c r="E160" i="36"/>
  <c r="E159" i="36"/>
  <c r="E158" i="36"/>
  <c r="E853" i="36"/>
  <c r="E852" i="36"/>
  <c r="E851" i="36"/>
  <c r="E850" i="36"/>
  <c r="E849" i="36"/>
  <c r="I848" i="36"/>
  <c r="H848" i="36"/>
  <c r="G848" i="36"/>
  <c r="I846" i="36"/>
  <c r="H846" i="36"/>
  <c r="G846" i="36"/>
  <c r="F846" i="36"/>
  <c r="I845" i="36"/>
  <c r="H845" i="36"/>
  <c r="G845" i="36"/>
  <c r="F845" i="36"/>
  <c r="I844" i="36"/>
  <c r="H844" i="36"/>
  <c r="G844" i="36"/>
  <c r="F844" i="36"/>
  <c r="I843" i="36"/>
  <c r="H843" i="36"/>
  <c r="G843" i="36"/>
  <c r="F843" i="36"/>
  <c r="I842" i="36"/>
  <c r="H842" i="36"/>
  <c r="G842" i="36"/>
  <c r="F842" i="36"/>
  <c r="F841" i="36" s="1"/>
  <c r="E833" i="36"/>
  <c r="E832" i="36"/>
  <c r="F831" i="36"/>
  <c r="H831" i="36" s="1"/>
  <c r="H22" i="36" s="1"/>
  <c r="G23" i="19" s="1"/>
  <c r="M23" i="19" s="1"/>
  <c r="E830" i="36"/>
  <c r="E829" i="36"/>
  <c r="I828" i="36"/>
  <c r="G828" i="36"/>
  <c r="E827" i="36"/>
  <c r="E826" i="36"/>
  <c r="E825" i="36"/>
  <c r="E824" i="36"/>
  <c r="E823" i="36"/>
  <c r="I822" i="36"/>
  <c r="E822" i="36" s="1"/>
  <c r="E821" i="36"/>
  <c r="E820" i="36"/>
  <c r="E819" i="36"/>
  <c r="E818" i="36"/>
  <c r="E817" i="36"/>
  <c r="I816" i="36"/>
  <c r="H816" i="36"/>
  <c r="G816" i="36"/>
  <c r="F816" i="36"/>
  <c r="E814" i="36"/>
  <c r="E813" i="36"/>
  <c r="F812" i="36"/>
  <c r="F809" i="36" s="1"/>
  <c r="E811" i="36"/>
  <c r="E810" i="36"/>
  <c r="I809" i="36"/>
  <c r="H809" i="36"/>
  <c r="G809" i="36"/>
  <c r="I807" i="36"/>
  <c r="H807" i="36"/>
  <c r="G807" i="36"/>
  <c r="F807" i="36"/>
  <c r="I806" i="36"/>
  <c r="H806" i="36"/>
  <c r="G806" i="36"/>
  <c r="F806" i="36"/>
  <c r="I805" i="36"/>
  <c r="G805" i="36"/>
  <c r="I804" i="36"/>
  <c r="H804" i="36"/>
  <c r="G804" i="36"/>
  <c r="F804" i="36"/>
  <c r="I803" i="36"/>
  <c r="H803" i="36"/>
  <c r="G803" i="36"/>
  <c r="F803" i="36"/>
  <c r="I758" i="36"/>
  <c r="H95" i="19" s="1"/>
  <c r="N95" i="19" s="1"/>
  <c r="E757" i="36"/>
  <c r="D94" i="19" s="1"/>
  <c r="J94" i="19" s="1"/>
  <c r="E756" i="36"/>
  <c r="D93" i="19" s="1"/>
  <c r="J93" i="19" s="1"/>
  <c r="E755" i="36"/>
  <c r="D92" i="19" s="1"/>
  <c r="J92" i="19" s="1"/>
  <c r="E754" i="36"/>
  <c r="D91" i="19" s="1"/>
  <c r="J91" i="19" s="1"/>
  <c r="G751" i="36"/>
  <c r="F88" i="19" s="1"/>
  <c r="L88" i="19" s="1"/>
  <c r="F751" i="36"/>
  <c r="E88" i="19" s="1"/>
  <c r="K88" i="19" s="1"/>
  <c r="I750" i="36"/>
  <c r="H87" i="19" s="1"/>
  <c r="N87" i="19" s="1"/>
  <c r="H750" i="36"/>
  <c r="G87" i="19" s="1"/>
  <c r="M87" i="19" s="1"/>
  <c r="G750" i="36"/>
  <c r="F87" i="19" s="1"/>
  <c r="L87" i="19" s="1"/>
  <c r="F750" i="36"/>
  <c r="E87" i="19" s="1"/>
  <c r="K87" i="19" s="1"/>
  <c r="I749" i="36"/>
  <c r="H86" i="19" s="1"/>
  <c r="N86" i="19" s="1"/>
  <c r="H749" i="36"/>
  <c r="G86" i="19" s="1"/>
  <c r="M86" i="19" s="1"/>
  <c r="G749" i="36"/>
  <c r="F86" i="19" s="1"/>
  <c r="L86" i="19" s="1"/>
  <c r="F749" i="36"/>
  <c r="E86" i="19" s="1"/>
  <c r="K86" i="19" s="1"/>
  <c r="I748" i="36"/>
  <c r="H85" i="19" s="1"/>
  <c r="N85" i="19" s="1"/>
  <c r="H748" i="36"/>
  <c r="G85" i="19" s="1"/>
  <c r="M85" i="19" s="1"/>
  <c r="G748" i="36"/>
  <c r="F85" i="19" s="1"/>
  <c r="L85" i="19" s="1"/>
  <c r="F748" i="36"/>
  <c r="E85" i="19" s="1"/>
  <c r="K85" i="19" s="1"/>
  <c r="I747" i="36"/>
  <c r="H84" i="19" s="1"/>
  <c r="N84" i="19" s="1"/>
  <c r="H747" i="36"/>
  <c r="G84" i="19" s="1"/>
  <c r="M84" i="19" s="1"/>
  <c r="G747" i="36"/>
  <c r="F747" i="36"/>
  <c r="F731" i="36"/>
  <c r="F24" i="36" s="1"/>
  <c r="E25" i="19" s="1"/>
  <c r="K25" i="19" s="1"/>
  <c r="F730" i="36"/>
  <c r="F23" i="36" s="1"/>
  <c r="E24" i="19" s="1"/>
  <c r="K24" i="19" s="1"/>
  <c r="F729" i="36"/>
  <c r="H728" i="36"/>
  <c r="H726" i="36" s="1"/>
  <c r="F727" i="36"/>
  <c r="E727" i="36" s="1"/>
  <c r="E725" i="36"/>
  <c r="E724" i="36"/>
  <c r="E723" i="36"/>
  <c r="H722" i="36"/>
  <c r="E722" i="36" s="1"/>
  <c r="E721" i="36"/>
  <c r="F720" i="36"/>
  <c r="E719" i="36"/>
  <c r="E718" i="36"/>
  <c r="E717" i="36"/>
  <c r="F716" i="36"/>
  <c r="H716" i="36" s="1"/>
  <c r="H714" i="36" s="1"/>
  <c r="E715" i="36"/>
  <c r="I714" i="36"/>
  <c r="G714" i="36"/>
  <c r="E713" i="36"/>
  <c r="E712" i="36"/>
  <c r="E711" i="36"/>
  <c r="F710" i="36"/>
  <c r="H710" i="36" s="1"/>
  <c r="E709" i="36"/>
  <c r="I708" i="36"/>
  <c r="G708" i="36"/>
  <c r="E707" i="36"/>
  <c r="E706" i="36"/>
  <c r="E705" i="36"/>
  <c r="E704" i="36"/>
  <c r="E703" i="36"/>
  <c r="I702" i="36"/>
  <c r="H702" i="36"/>
  <c r="G702" i="36"/>
  <c r="F702" i="36"/>
  <c r="E701" i="36"/>
  <c r="E700" i="36"/>
  <c r="E699" i="36"/>
  <c r="E698" i="36"/>
  <c r="E697" i="36"/>
  <c r="I696" i="36"/>
  <c r="H696" i="36"/>
  <c r="G696" i="36"/>
  <c r="F696" i="36"/>
  <c r="E695" i="36"/>
  <c r="E694" i="36"/>
  <c r="E693" i="36"/>
  <c r="E692" i="36"/>
  <c r="E691" i="36"/>
  <c r="I690" i="36"/>
  <c r="H690" i="36"/>
  <c r="G690" i="36"/>
  <c r="F690" i="36"/>
  <c r="E689" i="36"/>
  <c r="E688" i="36"/>
  <c r="I687" i="36"/>
  <c r="E687" i="36" s="1"/>
  <c r="H686" i="36"/>
  <c r="H684" i="36" s="1"/>
  <c r="G684" i="36"/>
  <c r="G680" i="36" s="1"/>
  <c r="F684" i="36"/>
  <c r="E683" i="36"/>
  <c r="E682" i="36"/>
  <c r="E681" i="36"/>
  <c r="H680" i="36"/>
  <c r="H678" i="36" s="1"/>
  <c r="I678" i="36"/>
  <c r="I677" i="36" s="1"/>
  <c r="I676" i="36" s="1"/>
  <c r="I675" i="36" s="1"/>
  <c r="I674" i="36" s="1"/>
  <c r="I673" i="36" s="1"/>
  <c r="I672" i="36" s="1"/>
  <c r="I671" i="36" s="1"/>
  <c r="I670" i="36" s="1"/>
  <c r="I669" i="36" s="1"/>
  <c r="I668" i="36" s="1"/>
  <c r="I667" i="36" s="1"/>
  <c r="I666" i="36" s="1"/>
  <c r="I665" i="36" s="1"/>
  <c r="I664" i="36" s="1"/>
  <c r="I663" i="36" s="1"/>
  <c r="I662" i="36" s="1"/>
  <c r="I661" i="36" s="1"/>
  <c r="I660" i="36" s="1"/>
  <c r="I659" i="36" s="1"/>
  <c r="I658" i="36" s="1"/>
  <c r="I657" i="36" s="1"/>
  <c r="I656" i="36" s="1"/>
  <c r="I655" i="36" s="1"/>
  <c r="I654" i="36" s="1"/>
  <c r="I653" i="36" s="1"/>
  <c r="F678" i="36"/>
  <c r="H672" i="36"/>
  <c r="F672" i="36"/>
  <c r="H668" i="36"/>
  <c r="H666" i="36" s="1"/>
  <c r="F666" i="36"/>
  <c r="H662" i="36"/>
  <c r="H660" i="36" s="1"/>
  <c r="F660" i="36"/>
  <c r="H654" i="36"/>
  <c r="F654" i="36"/>
  <c r="H650" i="36"/>
  <c r="H648" i="36" s="1"/>
  <c r="F648" i="36"/>
  <c r="E647" i="36"/>
  <c r="E646" i="36"/>
  <c r="E645" i="36"/>
  <c r="E644" i="36"/>
  <c r="E643" i="36"/>
  <c r="I642" i="36"/>
  <c r="H642" i="36"/>
  <c r="G642" i="36"/>
  <c r="F642" i="36"/>
  <c r="E640" i="36"/>
  <c r="E639" i="36"/>
  <c r="E638" i="36"/>
  <c r="E637" i="36"/>
  <c r="E636" i="36"/>
  <c r="I635" i="36"/>
  <c r="H635" i="36"/>
  <c r="G635" i="36"/>
  <c r="E634" i="36"/>
  <c r="E633" i="36"/>
  <c r="E632" i="36"/>
  <c r="E631" i="36"/>
  <c r="E630" i="36"/>
  <c r="I629" i="36"/>
  <c r="H629" i="36"/>
  <c r="G629" i="36"/>
  <c r="F629" i="36"/>
  <c r="E628" i="36"/>
  <c r="E627" i="36"/>
  <c r="E626" i="36"/>
  <c r="E625" i="36"/>
  <c r="E624" i="36"/>
  <c r="I623" i="36"/>
  <c r="H623" i="36"/>
  <c r="G623" i="36"/>
  <c r="F623" i="36"/>
  <c r="E622" i="36"/>
  <c r="E621" i="36"/>
  <c r="E620" i="36"/>
  <c r="E619" i="36"/>
  <c r="H618" i="36"/>
  <c r="H617" i="36" s="1"/>
  <c r="G617" i="36"/>
  <c r="F617" i="36"/>
  <c r="E616" i="36"/>
  <c r="E615" i="36"/>
  <c r="E614" i="36"/>
  <c r="H613" i="36"/>
  <c r="E613" i="36" s="1"/>
  <c r="H612" i="36"/>
  <c r="E612" i="36" s="1"/>
  <c r="I611" i="36"/>
  <c r="G611" i="36"/>
  <c r="F611" i="36"/>
  <c r="E610" i="36"/>
  <c r="E609" i="36"/>
  <c r="E608" i="36"/>
  <c r="E607" i="36"/>
  <c r="E606" i="36"/>
  <c r="I605" i="36"/>
  <c r="H605" i="36"/>
  <c r="G605" i="36"/>
  <c r="F605" i="36"/>
  <c r="E604" i="36"/>
  <c r="E603" i="36"/>
  <c r="E602" i="36"/>
  <c r="E601" i="36"/>
  <c r="E600" i="36"/>
  <c r="E599" i="36"/>
  <c r="E598" i="36"/>
  <c r="E597" i="36"/>
  <c r="E596" i="36"/>
  <c r="E595" i="36"/>
  <c r="E594" i="36"/>
  <c r="I593" i="36"/>
  <c r="H593" i="36"/>
  <c r="G593" i="36"/>
  <c r="F593" i="36"/>
  <c r="H588" i="36"/>
  <c r="H587" i="36" s="1"/>
  <c r="I587" i="36"/>
  <c r="G587" i="36"/>
  <c r="F587" i="36"/>
  <c r="H582" i="36"/>
  <c r="H581" i="36" s="1"/>
  <c r="I581" i="36"/>
  <c r="G581" i="36"/>
  <c r="F581" i="36"/>
  <c r="H576" i="36"/>
  <c r="E576" i="36" s="1"/>
  <c r="I575" i="36"/>
  <c r="G575" i="36"/>
  <c r="F575" i="36"/>
  <c r="H570" i="36"/>
  <c r="E570" i="36" s="1"/>
  <c r="I569" i="36"/>
  <c r="G569" i="36"/>
  <c r="F569" i="36"/>
  <c r="H564" i="36"/>
  <c r="H563" i="36" s="1"/>
  <c r="I563" i="36"/>
  <c r="G563" i="36"/>
  <c r="F563" i="36"/>
  <c r="H558" i="36"/>
  <c r="E558" i="36" s="1"/>
  <c r="I557" i="36"/>
  <c r="G557" i="36"/>
  <c r="F557" i="36"/>
  <c r="E552" i="36"/>
  <c r="I551" i="36"/>
  <c r="H551" i="36"/>
  <c r="G551" i="36"/>
  <c r="F551" i="36"/>
  <c r="E550" i="36"/>
  <c r="E549" i="36"/>
  <c r="E548" i="36"/>
  <c r="F547" i="36"/>
  <c r="F546" i="36"/>
  <c r="I545" i="36"/>
  <c r="H545" i="36"/>
  <c r="G545" i="36"/>
  <c r="E543" i="36"/>
  <c r="E542" i="36"/>
  <c r="E541" i="36"/>
  <c r="E540" i="36"/>
  <c r="E539" i="36"/>
  <c r="I538" i="36"/>
  <c r="H538" i="36"/>
  <c r="G538" i="36"/>
  <c r="E537" i="36"/>
  <c r="I536" i="36"/>
  <c r="F535" i="36"/>
  <c r="E534" i="36"/>
  <c r="E533" i="36"/>
  <c r="H532" i="36"/>
  <c r="G532" i="36"/>
  <c r="H530" i="36"/>
  <c r="H529" i="36"/>
  <c r="H528" i="36"/>
  <c r="E512" i="36"/>
  <c r="E511" i="36"/>
  <c r="E510" i="36"/>
  <c r="E509" i="36"/>
  <c r="E508" i="36"/>
  <c r="I507" i="36"/>
  <c r="H507" i="36"/>
  <c r="G507" i="36"/>
  <c r="F507" i="36"/>
  <c r="E506" i="36"/>
  <c r="E505" i="36"/>
  <c r="E504" i="36"/>
  <c r="E503" i="36"/>
  <c r="E502" i="36"/>
  <c r="I501" i="36"/>
  <c r="H501" i="36"/>
  <c r="F501" i="36"/>
  <c r="E500" i="36"/>
  <c r="E499" i="36"/>
  <c r="E498" i="36"/>
  <c r="E497" i="36"/>
  <c r="E496" i="36"/>
  <c r="I495" i="36"/>
  <c r="H495" i="36"/>
  <c r="G495" i="36"/>
  <c r="F495" i="36"/>
  <c r="E494" i="36"/>
  <c r="E493" i="36"/>
  <c r="E492" i="36"/>
  <c r="F491" i="36"/>
  <c r="F489" i="36" s="1"/>
  <c r="E490" i="36"/>
  <c r="I489" i="36"/>
  <c r="H489" i="36"/>
  <c r="G489" i="36"/>
  <c r="E488" i="36"/>
  <c r="E487" i="36"/>
  <c r="E486" i="36"/>
  <c r="E485" i="36"/>
  <c r="E484" i="36"/>
  <c r="I483" i="36"/>
  <c r="H483" i="36"/>
  <c r="G483" i="36"/>
  <c r="F483" i="36"/>
  <c r="E482" i="36"/>
  <c r="E481" i="36"/>
  <c r="E480" i="36"/>
  <c r="E479" i="36"/>
  <c r="E478" i="36"/>
  <c r="I477" i="36"/>
  <c r="I476" i="36" s="1"/>
  <c r="H477" i="36"/>
  <c r="F477" i="36"/>
  <c r="H473" i="36"/>
  <c r="H471" i="36" s="1"/>
  <c r="F471" i="36"/>
  <c r="H465" i="36"/>
  <c r="G465" i="36"/>
  <c r="G464" i="36" s="1"/>
  <c r="F465" i="36"/>
  <c r="H459" i="36"/>
  <c r="F459" i="36"/>
  <c r="E458" i="36"/>
  <c r="E457" i="36"/>
  <c r="E456" i="36"/>
  <c r="F455" i="36"/>
  <c r="F21" i="36" s="1"/>
  <c r="E22" i="19" s="1"/>
  <c r="K22" i="19" s="1"/>
  <c r="E454" i="36"/>
  <c r="I453" i="36"/>
  <c r="G453" i="36"/>
  <c r="E452" i="36"/>
  <c r="E451" i="36"/>
  <c r="E450" i="36"/>
  <c r="F449" i="36"/>
  <c r="F447" i="36" s="1"/>
  <c r="E448" i="36"/>
  <c r="I447" i="36"/>
  <c r="H447" i="36"/>
  <c r="G447" i="36"/>
  <c r="E446" i="36"/>
  <c r="E445" i="36"/>
  <c r="E444" i="36"/>
  <c r="E443" i="36"/>
  <c r="E442" i="36"/>
  <c r="I441" i="36"/>
  <c r="H441" i="36"/>
  <c r="G441" i="36"/>
  <c r="F441" i="36"/>
  <c r="E440" i="36"/>
  <c r="E439" i="36"/>
  <c r="E438" i="36"/>
  <c r="E437" i="36"/>
  <c r="E436" i="36"/>
  <c r="I435" i="36"/>
  <c r="H435" i="36"/>
  <c r="G435" i="36"/>
  <c r="F435" i="36"/>
  <c r="E434" i="36"/>
  <c r="E433" i="36"/>
  <c r="E432" i="36"/>
  <c r="E431" i="36"/>
  <c r="E430" i="36"/>
  <c r="I429" i="36"/>
  <c r="H429" i="36"/>
  <c r="G429" i="36"/>
  <c r="F429" i="36"/>
  <c r="E428" i="36"/>
  <c r="E427" i="36"/>
  <c r="E426" i="36"/>
  <c r="H425" i="36"/>
  <c r="E424" i="36"/>
  <c r="I423" i="36"/>
  <c r="G423" i="36"/>
  <c r="F423" i="36"/>
  <c r="E422" i="36"/>
  <c r="E421" i="36"/>
  <c r="E420" i="36"/>
  <c r="E419" i="36"/>
  <c r="E418" i="36"/>
  <c r="I417" i="36"/>
  <c r="H417" i="36"/>
  <c r="G417" i="36"/>
  <c r="F417" i="36"/>
  <c r="E416" i="36"/>
  <c r="E415" i="36"/>
  <c r="E414" i="36"/>
  <c r="E413" i="36"/>
  <c r="E412" i="36"/>
  <c r="I411" i="36"/>
  <c r="H411" i="36"/>
  <c r="G411" i="36"/>
  <c r="F411" i="36"/>
  <c r="E410" i="36"/>
  <c r="E409" i="36"/>
  <c r="E408" i="36"/>
  <c r="E407" i="36"/>
  <c r="F406" i="36"/>
  <c r="I405" i="36"/>
  <c r="G405" i="36"/>
  <c r="E404" i="36"/>
  <c r="E403" i="36"/>
  <c r="E402" i="36"/>
  <c r="E401" i="36"/>
  <c r="H400" i="36"/>
  <c r="I399" i="36"/>
  <c r="G399" i="36"/>
  <c r="F399" i="36"/>
  <c r="H398" i="36"/>
  <c r="F398" i="36"/>
  <c r="H397" i="36"/>
  <c r="H396" i="36"/>
  <c r="F396" i="36"/>
  <c r="E385" i="36"/>
  <c r="E384" i="36"/>
  <c r="F383" i="36"/>
  <c r="E382" i="36"/>
  <c r="E381" i="36"/>
  <c r="I380" i="36"/>
  <c r="H380" i="36"/>
  <c r="G380" i="36"/>
  <c r="E379" i="36"/>
  <c r="E378" i="36"/>
  <c r="E377" i="36"/>
  <c r="E376" i="36"/>
  <c r="E375" i="36"/>
  <c r="I374" i="36"/>
  <c r="H374" i="36"/>
  <c r="G374" i="36"/>
  <c r="F374" i="36"/>
  <c r="I373" i="36"/>
  <c r="H373" i="36"/>
  <c r="G373" i="36"/>
  <c r="F373" i="36"/>
  <c r="I372" i="36"/>
  <c r="H372" i="36"/>
  <c r="G372" i="36"/>
  <c r="I371" i="36"/>
  <c r="H371" i="36"/>
  <c r="G371" i="36"/>
  <c r="I370" i="36"/>
  <c r="H370" i="36"/>
  <c r="G370" i="36"/>
  <c r="F370" i="36"/>
  <c r="I369" i="36"/>
  <c r="H369" i="36"/>
  <c r="G369" i="36"/>
  <c r="F369" i="36"/>
  <c r="E366" i="36"/>
  <c r="E365" i="36"/>
  <c r="E364" i="36"/>
  <c r="E363" i="36"/>
  <c r="E362" i="36"/>
  <c r="I361" i="36"/>
  <c r="H361" i="36"/>
  <c r="G361" i="36"/>
  <c r="F361" i="36"/>
  <c r="E360" i="36"/>
  <c r="E359" i="36"/>
  <c r="E358" i="36"/>
  <c r="E357" i="36"/>
  <c r="E356" i="36"/>
  <c r="I355" i="36"/>
  <c r="H355" i="36"/>
  <c r="G355" i="36"/>
  <c r="F355" i="36"/>
  <c r="I353" i="36"/>
  <c r="H353" i="36"/>
  <c r="G353" i="36"/>
  <c r="F353" i="36"/>
  <c r="I352" i="36"/>
  <c r="H352" i="36"/>
  <c r="G352" i="36"/>
  <c r="I351" i="36"/>
  <c r="H351" i="36"/>
  <c r="G351" i="36"/>
  <c r="F351" i="36"/>
  <c r="I350" i="36"/>
  <c r="H350" i="36"/>
  <c r="G350" i="36"/>
  <c r="F350" i="36"/>
  <c r="I349" i="36"/>
  <c r="H349" i="36"/>
  <c r="H348" i="36" s="1"/>
  <c r="G349" i="36"/>
  <c r="F349" i="36"/>
  <c r="E341" i="36"/>
  <c r="E340" i="36"/>
  <c r="E339" i="36"/>
  <c r="E338" i="36"/>
  <c r="E337" i="36"/>
  <c r="I336" i="36"/>
  <c r="H336" i="36"/>
  <c r="G336" i="36"/>
  <c r="F336" i="36"/>
  <c r="E335" i="36"/>
  <c r="E334" i="36"/>
  <c r="E333" i="36"/>
  <c r="F332" i="36"/>
  <c r="E331" i="36"/>
  <c r="I330" i="36"/>
  <c r="H330" i="36"/>
  <c r="G330" i="36"/>
  <c r="E329" i="36"/>
  <c r="E328" i="36"/>
  <c r="E327" i="36"/>
  <c r="E326" i="36"/>
  <c r="E325" i="36"/>
  <c r="I324" i="36"/>
  <c r="H324" i="36"/>
  <c r="G324" i="36"/>
  <c r="F324" i="36"/>
  <c r="E323" i="36"/>
  <c r="E322" i="36"/>
  <c r="E321" i="36"/>
  <c r="F320" i="36"/>
  <c r="E320" i="36" s="1"/>
  <c r="E319" i="36"/>
  <c r="I318" i="36"/>
  <c r="H318" i="36"/>
  <c r="G318" i="36"/>
  <c r="E317" i="36"/>
  <c r="E316" i="36"/>
  <c r="E315" i="36"/>
  <c r="E314" i="36"/>
  <c r="E313" i="36"/>
  <c r="I312" i="36"/>
  <c r="H312" i="36"/>
  <c r="G312" i="36"/>
  <c r="F312" i="36"/>
  <c r="E311" i="36"/>
  <c r="E310" i="36"/>
  <c r="E309" i="36"/>
  <c r="E308" i="36"/>
  <c r="E307" i="36"/>
  <c r="I306" i="36"/>
  <c r="H306" i="36"/>
  <c r="G306" i="36"/>
  <c r="F306" i="36"/>
  <c r="E304" i="36"/>
  <c r="E303" i="36"/>
  <c r="E302" i="36"/>
  <c r="E301" i="36"/>
  <c r="E300" i="36"/>
  <c r="I299" i="36"/>
  <c r="H299" i="36"/>
  <c r="G299" i="36"/>
  <c r="E298" i="36"/>
  <c r="E297" i="36"/>
  <c r="E296" i="36"/>
  <c r="E294" i="36"/>
  <c r="I293" i="36"/>
  <c r="H293" i="36"/>
  <c r="G293" i="36"/>
  <c r="F293" i="36"/>
  <c r="E292" i="36"/>
  <c r="E291" i="36"/>
  <c r="E290" i="36"/>
  <c r="E289" i="36"/>
  <c r="E288" i="36"/>
  <c r="I287" i="36"/>
  <c r="H287" i="36"/>
  <c r="G287" i="36"/>
  <c r="F287" i="36"/>
  <c r="E286" i="36"/>
  <c r="E285" i="36"/>
  <c r="E284" i="36"/>
  <c r="E283" i="36"/>
  <c r="E282" i="36"/>
  <c r="I281" i="36"/>
  <c r="H281" i="36"/>
  <c r="G281" i="36"/>
  <c r="F281" i="36"/>
  <c r="E280" i="36"/>
  <c r="E279" i="36"/>
  <c r="E278" i="36"/>
  <c r="F277" i="36"/>
  <c r="E276" i="36"/>
  <c r="I275" i="36"/>
  <c r="H275" i="36"/>
  <c r="G275" i="36"/>
  <c r="E274" i="36"/>
  <c r="E273" i="36"/>
  <c r="E272" i="36"/>
  <c r="E271" i="36"/>
  <c r="E270" i="36"/>
  <c r="I269" i="36"/>
  <c r="H269" i="36"/>
  <c r="G269" i="36"/>
  <c r="F269" i="36"/>
  <c r="E268" i="36"/>
  <c r="E267" i="36"/>
  <c r="E266" i="36"/>
  <c r="E265" i="36"/>
  <c r="E264" i="36"/>
  <c r="I263" i="36"/>
  <c r="H263" i="36"/>
  <c r="G263" i="36"/>
  <c r="F263" i="36"/>
  <c r="E262" i="36"/>
  <c r="E261" i="36"/>
  <c r="E260" i="36"/>
  <c r="E259" i="36"/>
  <c r="E258" i="36"/>
  <c r="I257" i="36"/>
  <c r="H257" i="36"/>
  <c r="G257" i="36"/>
  <c r="F257" i="36"/>
  <c r="E256" i="36"/>
  <c r="E255" i="36"/>
  <c r="E254" i="36"/>
  <c r="E253" i="36"/>
  <c r="E252" i="36"/>
  <c r="I251" i="36"/>
  <c r="H251" i="36"/>
  <c r="G251" i="36"/>
  <c r="F251" i="36"/>
  <c r="E250" i="36"/>
  <c r="E249" i="36"/>
  <c r="E248" i="36"/>
  <c r="E247" i="36"/>
  <c r="E246" i="36"/>
  <c r="I245" i="36"/>
  <c r="H245" i="36"/>
  <c r="G245" i="36"/>
  <c r="F245" i="36"/>
  <c r="E243" i="36"/>
  <c r="E242" i="36"/>
  <c r="E241" i="36"/>
  <c r="F240" i="36"/>
  <c r="F238" i="36" s="1"/>
  <c r="E239" i="36"/>
  <c r="I238" i="36"/>
  <c r="H238" i="36"/>
  <c r="G238" i="36"/>
  <c r="E236" i="36"/>
  <c r="E235" i="36"/>
  <c r="E234" i="36"/>
  <c r="F233" i="36"/>
  <c r="F231" i="36" s="1"/>
  <c r="E232" i="36"/>
  <c r="I231" i="36"/>
  <c r="H231" i="36"/>
  <c r="G231" i="36"/>
  <c r="E229" i="36"/>
  <c r="E228" i="36"/>
  <c r="E227" i="36"/>
  <c r="E226" i="36"/>
  <c r="F225" i="36"/>
  <c r="I224" i="36"/>
  <c r="H224" i="36"/>
  <c r="G224" i="36"/>
  <c r="E222" i="36"/>
  <c r="E221" i="36"/>
  <c r="E220" i="36"/>
  <c r="E219" i="36"/>
  <c r="E218" i="36"/>
  <c r="I217" i="36"/>
  <c r="H217" i="36"/>
  <c r="G217" i="36"/>
  <c r="G215" i="36"/>
  <c r="E214" i="36"/>
  <c r="E213" i="36"/>
  <c r="F212" i="36"/>
  <c r="F211" i="36"/>
  <c r="I210" i="36"/>
  <c r="H210" i="36"/>
  <c r="I208" i="36"/>
  <c r="H208" i="36"/>
  <c r="F208" i="36"/>
  <c r="I207" i="36"/>
  <c r="H207" i="36"/>
  <c r="G207" i="36"/>
  <c r="I206" i="36"/>
  <c r="H206" i="36"/>
  <c r="G206" i="36"/>
  <c r="I205" i="36"/>
  <c r="H205" i="36"/>
  <c r="G205" i="36"/>
  <c r="I204" i="36"/>
  <c r="H204" i="36"/>
  <c r="G204" i="36"/>
  <c r="E195" i="36"/>
  <c r="E194" i="36"/>
  <c r="E193" i="36"/>
  <c r="E192" i="36"/>
  <c r="E191" i="36"/>
  <c r="I190" i="36"/>
  <c r="H190" i="36"/>
  <c r="G190" i="36"/>
  <c r="F190" i="36"/>
  <c r="E188" i="36"/>
  <c r="E187" i="36"/>
  <c r="E186" i="36"/>
  <c r="E185" i="36"/>
  <c r="E184" i="36"/>
  <c r="I183" i="36"/>
  <c r="H183" i="36"/>
  <c r="G183" i="36"/>
  <c r="E181" i="36"/>
  <c r="E180" i="36"/>
  <c r="E179" i="36"/>
  <c r="E178" i="36"/>
  <c r="E177" i="36"/>
  <c r="I176" i="36"/>
  <c r="H176" i="36"/>
  <c r="G176" i="36"/>
  <c r="E175" i="36"/>
  <c r="E174" i="36"/>
  <c r="E173" i="36"/>
  <c r="E172" i="36"/>
  <c r="E171" i="36"/>
  <c r="I170" i="36"/>
  <c r="H170" i="36"/>
  <c r="G170" i="36"/>
  <c r="F170" i="36"/>
  <c r="I168" i="36"/>
  <c r="H168" i="36"/>
  <c r="G168" i="36"/>
  <c r="F168" i="36"/>
  <c r="I167" i="36"/>
  <c r="H167" i="36"/>
  <c r="G167" i="36"/>
  <c r="I166" i="36"/>
  <c r="H166" i="36"/>
  <c r="G166" i="36"/>
  <c r="F166" i="36"/>
  <c r="I165" i="36"/>
  <c r="H165" i="36"/>
  <c r="G165" i="36"/>
  <c r="F165" i="36"/>
  <c r="I164" i="36"/>
  <c r="H164" i="36"/>
  <c r="G164" i="36"/>
  <c r="F164" i="36"/>
  <c r="E155" i="36"/>
  <c r="E154" i="36"/>
  <c r="E153" i="36"/>
  <c r="E152" i="36"/>
  <c r="E151" i="36"/>
  <c r="I150" i="36"/>
  <c r="H150" i="36"/>
  <c r="G150" i="36"/>
  <c r="H148" i="36"/>
  <c r="H147" i="36"/>
  <c r="E146" i="36"/>
  <c r="H145" i="36"/>
  <c r="H144" i="36"/>
  <c r="I143" i="36"/>
  <c r="E141" i="36"/>
  <c r="E140" i="36"/>
  <c r="E139" i="36"/>
  <c r="E138" i="36"/>
  <c r="E137" i="36"/>
  <c r="I136" i="36"/>
  <c r="H136" i="36"/>
  <c r="G136" i="36"/>
  <c r="H135" i="36"/>
  <c r="G135" i="36" s="1"/>
  <c r="H134" i="36"/>
  <c r="G134" i="36" s="1"/>
  <c r="F134" i="36" s="1"/>
  <c r="H133" i="36"/>
  <c r="G133" i="36" s="1"/>
  <c r="G60" i="36" s="1"/>
  <c r="F132" i="36"/>
  <c r="E131" i="36"/>
  <c r="I130" i="36"/>
  <c r="E129" i="36"/>
  <c r="E128" i="36"/>
  <c r="E127" i="36"/>
  <c r="E126" i="36"/>
  <c r="E125" i="36"/>
  <c r="I124" i="36"/>
  <c r="H124" i="36"/>
  <c r="G124" i="36"/>
  <c r="F124" i="36"/>
  <c r="E122" i="36"/>
  <c r="E121" i="36"/>
  <c r="E120" i="36"/>
  <c r="E119" i="36"/>
  <c r="E118" i="36"/>
  <c r="I117" i="36"/>
  <c r="H117" i="36"/>
  <c r="G117" i="36"/>
  <c r="E115" i="36"/>
  <c r="E114" i="36"/>
  <c r="E113" i="36"/>
  <c r="E112" i="36"/>
  <c r="I111" i="36"/>
  <c r="H111" i="36"/>
  <c r="G111" i="36"/>
  <c r="F111" i="36"/>
  <c r="E110" i="36"/>
  <c r="E109" i="36"/>
  <c r="E108" i="36"/>
  <c r="F107" i="36"/>
  <c r="E107" i="36" s="1"/>
  <c r="E106" i="36"/>
  <c r="I105" i="36"/>
  <c r="H105" i="36"/>
  <c r="G105" i="36"/>
  <c r="E103" i="36"/>
  <c r="E102" i="36"/>
  <c r="E101" i="36"/>
  <c r="E100" i="36"/>
  <c r="E99" i="36"/>
  <c r="I98" i="36"/>
  <c r="H98" i="36"/>
  <c r="G98" i="36"/>
  <c r="E96" i="36"/>
  <c r="E95" i="36"/>
  <c r="E94" i="36"/>
  <c r="E93" i="36"/>
  <c r="F92" i="36"/>
  <c r="F91" i="36" s="1"/>
  <c r="I91" i="36"/>
  <c r="H91" i="36"/>
  <c r="G91" i="36"/>
  <c r="E89" i="36"/>
  <c r="E88" i="36"/>
  <c r="E86" i="36"/>
  <c r="E85" i="36"/>
  <c r="I84" i="36"/>
  <c r="H84" i="36"/>
  <c r="G84" i="36"/>
  <c r="E82" i="36"/>
  <c r="E81" i="36"/>
  <c r="E80" i="36"/>
  <c r="E79" i="36"/>
  <c r="E78" i="36"/>
  <c r="I77" i="36"/>
  <c r="H77" i="36"/>
  <c r="G77" i="36"/>
  <c r="E76" i="36"/>
  <c r="E75" i="36"/>
  <c r="E74" i="36"/>
  <c r="E73" i="36"/>
  <c r="E72" i="36"/>
  <c r="I71" i="36"/>
  <c r="H71" i="36"/>
  <c r="G71" i="36"/>
  <c r="F71" i="36"/>
  <c r="E69" i="36"/>
  <c r="E68" i="36"/>
  <c r="E67" i="36"/>
  <c r="E66" i="36"/>
  <c r="E65" i="36"/>
  <c r="I64" i="36"/>
  <c r="H64" i="36"/>
  <c r="G64" i="36"/>
  <c r="I62" i="36"/>
  <c r="I61" i="36"/>
  <c r="I60" i="36"/>
  <c r="I59" i="36"/>
  <c r="H59" i="36"/>
  <c r="G59" i="36"/>
  <c r="I58" i="36"/>
  <c r="H58" i="36"/>
  <c r="G58" i="36"/>
  <c r="E50" i="36"/>
  <c r="E49" i="36"/>
  <c r="E48" i="36"/>
  <c r="E47" i="36"/>
  <c r="E46" i="36"/>
  <c r="I45" i="36"/>
  <c r="H45" i="36"/>
  <c r="G45" i="36"/>
  <c r="F45" i="36"/>
  <c r="E44" i="36"/>
  <c r="E43" i="36"/>
  <c r="E42" i="36"/>
  <c r="E41" i="36"/>
  <c r="E40" i="36"/>
  <c r="I39" i="36"/>
  <c r="H39" i="36"/>
  <c r="G39" i="36"/>
  <c r="F39" i="36"/>
  <c r="I38" i="36"/>
  <c r="H38" i="36"/>
  <c r="G38" i="36"/>
  <c r="F38" i="36"/>
  <c r="I37" i="36"/>
  <c r="H37" i="36"/>
  <c r="G37" i="36"/>
  <c r="I36" i="36"/>
  <c r="H36" i="36"/>
  <c r="G36" i="36"/>
  <c r="F36" i="36"/>
  <c r="I35" i="36"/>
  <c r="H35" i="36"/>
  <c r="G35" i="36"/>
  <c r="F35" i="36"/>
  <c r="I34" i="36"/>
  <c r="H34" i="36"/>
  <c r="G34" i="36"/>
  <c r="F34" i="36"/>
  <c r="F348" i="36" l="1"/>
  <c r="G746" i="36"/>
  <c r="F83" i="19" s="1"/>
  <c r="L83" i="19" s="1"/>
  <c r="F84" i="19"/>
  <c r="L84" i="19" s="1"/>
  <c r="F746" i="36"/>
  <c r="E83" i="19" s="1"/>
  <c r="K83" i="19" s="1"/>
  <c r="E84" i="19"/>
  <c r="K84" i="19" s="1"/>
  <c r="F163" i="36"/>
  <c r="F210" i="36"/>
  <c r="F201" i="36"/>
  <c r="E383" i="36"/>
  <c r="I57" i="36"/>
  <c r="H837" i="36"/>
  <c r="I751" i="36"/>
  <c r="H88" i="19" s="1"/>
  <c r="N88" i="19" s="1"/>
  <c r="E225" i="36"/>
  <c r="E491" i="36"/>
  <c r="G144" i="36"/>
  <c r="G148" i="36"/>
  <c r="F330" i="36"/>
  <c r="F532" i="36"/>
  <c r="E547" i="36"/>
  <c r="I839" i="36"/>
  <c r="E277" i="36"/>
  <c r="H390" i="36"/>
  <c r="G80" i="19" s="1"/>
  <c r="M80" i="19" s="1"/>
  <c r="G836" i="36"/>
  <c r="G837" i="36"/>
  <c r="G838" i="36"/>
  <c r="G839" i="36"/>
  <c r="I835" i="36"/>
  <c r="I836" i="36"/>
  <c r="I837" i="36"/>
  <c r="G145" i="36"/>
  <c r="E240" i="36"/>
  <c r="E536" i="36"/>
  <c r="F838" i="36"/>
  <c r="F839" i="36"/>
  <c r="E92" i="36"/>
  <c r="G147" i="36"/>
  <c r="E215" i="36"/>
  <c r="F22" i="36"/>
  <c r="E23" i="19" s="1"/>
  <c r="K23" i="19" s="1"/>
  <c r="H836" i="36"/>
  <c r="H838" i="36"/>
  <c r="F390" i="36"/>
  <c r="E80" i="19" s="1"/>
  <c r="K80" i="19" s="1"/>
  <c r="F714" i="36"/>
  <c r="E714" i="36" s="1"/>
  <c r="F391" i="36"/>
  <c r="E81" i="19" s="1"/>
  <c r="K81" i="19" s="1"/>
  <c r="I419" i="40"/>
  <c r="E419" i="40" s="1"/>
  <c r="E420" i="40"/>
  <c r="E609" i="40"/>
  <c r="G608" i="40"/>
  <c r="F528" i="36"/>
  <c r="E730" i="36"/>
  <c r="E400" i="36"/>
  <c r="E399" i="36" s="1"/>
  <c r="E731" i="36"/>
  <c r="F405" i="36"/>
  <c r="F20" i="36"/>
  <c r="E21" i="19" s="1"/>
  <c r="K21" i="19" s="1"/>
  <c r="E425" i="36"/>
  <c r="F708" i="36"/>
  <c r="E729" i="36"/>
  <c r="F828" i="36"/>
  <c r="I30" i="36"/>
  <c r="H61" i="36"/>
  <c r="H197" i="36"/>
  <c r="G28" i="36"/>
  <c r="E629" i="36"/>
  <c r="E111" i="36"/>
  <c r="E251" i="36"/>
  <c r="E728" i="36"/>
  <c r="E588" i="36"/>
  <c r="E618" i="36"/>
  <c r="G841" i="36"/>
  <c r="H720" i="36"/>
  <c r="H841" i="36"/>
  <c r="E845" i="36"/>
  <c r="E435" i="36"/>
  <c r="E64" i="36"/>
  <c r="E233" i="36"/>
  <c r="E281" i="36"/>
  <c r="E312" i="36"/>
  <c r="F58" i="36"/>
  <c r="F105" i="36"/>
  <c r="E105" i="36" s="1"/>
  <c r="E211" i="36"/>
  <c r="E535" i="36"/>
  <c r="E696" i="36"/>
  <c r="G802" i="36"/>
  <c r="I802" i="36"/>
  <c r="E170" i="36"/>
  <c r="E306" i="36"/>
  <c r="E117" i="36"/>
  <c r="E212" i="36"/>
  <c r="G210" i="36"/>
  <c r="F275" i="36"/>
  <c r="E332" i="36"/>
  <c r="F394" i="36"/>
  <c r="E564" i="36"/>
  <c r="E623" i="36"/>
  <c r="I31" i="36"/>
  <c r="E373" i="36"/>
  <c r="H611" i="36"/>
  <c r="E611" i="36" s="1"/>
  <c r="E750" i="36"/>
  <c r="D87" i="19" s="1"/>
  <c r="J87" i="19" s="1"/>
  <c r="E37" i="36"/>
  <c r="G679" i="36"/>
  <c r="G678" i="36" s="1"/>
  <c r="E680" i="36"/>
  <c r="G197" i="36"/>
  <c r="I200" i="36"/>
  <c r="H200" i="36"/>
  <c r="E483" i="36"/>
  <c r="E489" i="36"/>
  <c r="E749" i="36"/>
  <c r="D86" i="19" s="1"/>
  <c r="J86" i="19" s="1"/>
  <c r="F33" i="36"/>
  <c r="I348" i="36"/>
  <c r="E35" i="36"/>
  <c r="G198" i="36"/>
  <c r="I201" i="36"/>
  <c r="I368" i="36"/>
  <c r="E702" i="36"/>
  <c r="E336" i="36"/>
  <c r="I163" i="36"/>
  <c r="I28" i="36"/>
  <c r="E168" i="36"/>
  <c r="I199" i="36"/>
  <c r="E351" i="36"/>
  <c r="H60" i="36"/>
  <c r="E587" i="36"/>
  <c r="E84" i="36"/>
  <c r="H163" i="36"/>
  <c r="H199" i="36"/>
  <c r="I198" i="36"/>
  <c r="E287" i="36"/>
  <c r="E370" i="36"/>
  <c r="E411" i="36"/>
  <c r="E642" i="36"/>
  <c r="E843" i="36"/>
  <c r="E844" i="36"/>
  <c r="G27" i="36"/>
  <c r="F200" i="36"/>
  <c r="E374" i="36"/>
  <c r="H28" i="36"/>
  <c r="E39" i="36"/>
  <c r="H62" i="36"/>
  <c r="E71" i="36"/>
  <c r="E98" i="36"/>
  <c r="E136" i="36"/>
  <c r="E176" i="36"/>
  <c r="E183" i="36"/>
  <c r="E190" i="36"/>
  <c r="I197" i="36"/>
  <c r="G199" i="36"/>
  <c r="G208" i="36"/>
  <c r="E217" i="36"/>
  <c r="E293" i="36"/>
  <c r="E299" i="36"/>
  <c r="G348" i="36"/>
  <c r="E352" i="36"/>
  <c r="E355" i="36"/>
  <c r="G368" i="36"/>
  <c r="E429" i="36"/>
  <c r="E441" i="36"/>
  <c r="E447" i="36"/>
  <c r="E477" i="36"/>
  <c r="E501" i="36"/>
  <c r="E538" i="36"/>
  <c r="F545" i="36"/>
  <c r="E563" i="36"/>
  <c r="E582" i="36"/>
  <c r="E605" i="36"/>
  <c r="E635" i="36"/>
  <c r="I686" i="36"/>
  <c r="E686" i="36" s="1"/>
  <c r="E747" i="36"/>
  <c r="D84" i="19" s="1"/>
  <c r="J84" i="19" s="1"/>
  <c r="I753" i="36"/>
  <c r="H90" i="19" s="1"/>
  <c r="N90" i="19" s="1"/>
  <c r="E806" i="36"/>
  <c r="F835" i="36"/>
  <c r="E848" i="36"/>
  <c r="H203" i="36"/>
  <c r="E324" i="36"/>
  <c r="E369" i="36"/>
  <c r="E372" i="36"/>
  <c r="E417" i="36"/>
  <c r="E551" i="36"/>
  <c r="E58" i="36"/>
  <c r="E77" i="36"/>
  <c r="E124" i="36"/>
  <c r="E164" i="36"/>
  <c r="E165" i="36"/>
  <c r="E166" i="36"/>
  <c r="E167" i="36"/>
  <c r="E207" i="36"/>
  <c r="H201" i="36"/>
  <c r="E245" i="36"/>
  <c r="E257" i="36"/>
  <c r="E263" i="36"/>
  <c r="E269" i="36"/>
  <c r="E330" i="36"/>
  <c r="H198" i="36"/>
  <c r="E353" i="36"/>
  <c r="E361" i="36"/>
  <c r="H368" i="36"/>
  <c r="H406" i="36"/>
  <c r="H20" i="36" s="1"/>
  <c r="G21" i="19" s="1"/>
  <c r="M21" i="19" s="1"/>
  <c r="H455" i="36"/>
  <c r="E455" i="36" s="1"/>
  <c r="E495" i="36"/>
  <c r="E507" i="36"/>
  <c r="F527" i="36"/>
  <c r="H557" i="36"/>
  <c r="E557" i="36" s="1"/>
  <c r="E581" i="36"/>
  <c r="E593" i="36"/>
  <c r="E690" i="36"/>
  <c r="E720" i="36"/>
  <c r="E803" i="36"/>
  <c r="F805" i="36"/>
  <c r="E807" i="36"/>
  <c r="E812" i="36"/>
  <c r="E816" i="36"/>
  <c r="F836" i="36"/>
  <c r="E846" i="36"/>
  <c r="G163" i="36"/>
  <c r="E157" i="36"/>
  <c r="I33" i="36"/>
  <c r="I27" i="36"/>
  <c r="I29" i="36"/>
  <c r="E36" i="36"/>
  <c r="E45" i="36"/>
  <c r="G33" i="36"/>
  <c r="E34" i="36"/>
  <c r="E38" i="36"/>
  <c r="H130" i="36"/>
  <c r="E134" i="36"/>
  <c r="F61" i="36"/>
  <c r="F30" i="36" s="1"/>
  <c r="M16" i="36" s="1"/>
  <c r="F135" i="36"/>
  <c r="G130" i="36"/>
  <c r="G62" i="36"/>
  <c r="E476" i="36"/>
  <c r="I475" i="36"/>
  <c r="I530" i="36"/>
  <c r="I652" i="36"/>
  <c r="I651" i="36" s="1"/>
  <c r="H805" i="36"/>
  <c r="H828" i="36"/>
  <c r="G463" i="36"/>
  <c r="G398" i="36"/>
  <c r="E617" i="36"/>
  <c r="H708" i="36"/>
  <c r="H527" i="36"/>
  <c r="E87" i="36"/>
  <c r="E132" i="36"/>
  <c r="G200" i="36"/>
  <c r="I203" i="36"/>
  <c r="E349" i="36"/>
  <c r="E449" i="36"/>
  <c r="F526" i="36"/>
  <c r="E710" i="36"/>
  <c r="E716" i="36"/>
  <c r="I841" i="36"/>
  <c r="F371" i="36"/>
  <c r="E842" i="36"/>
  <c r="I525" i="36"/>
  <c r="G29" i="36"/>
  <c r="F27" i="36"/>
  <c r="G61" i="36"/>
  <c r="F204" i="36"/>
  <c r="F318" i="36"/>
  <c r="E318" i="36" s="1"/>
  <c r="H526" i="36"/>
  <c r="E748" i="36"/>
  <c r="D85" i="19" s="1"/>
  <c r="J85" i="19" s="1"/>
  <c r="E804" i="36"/>
  <c r="I838" i="36"/>
  <c r="F59" i="36"/>
  <c r="F133" i="36"/>
  <c r="F60" i="36" s="1"/>
  <c r="H143" i="36"/>
  <c r="F224" i="36"/>
  <c r="F380" i="36"/>
  <c r="F395" i="36"/>
  <c r="I526" i="36"/>
  <c r="E546" i="36"/>
  <c r="H27" i="36"/>
  <c r="H423" i="36"/>
  <c r="E423" i="36" s="1"/>
  <c r="I532" i="36"/>
  <c r="H575" i="36"/>
  <c r="E575" i="36" s="1"/>
  <c r="F726" i="36"/>
  <c r="E726" i="36" s="1"/>
  <c r="H33" i="36"/>
  <c r="E350" i="36"/>
  <c r="F453" i="36"/>
  <c r="F837" i="36"/>
  <c r="H839" i="36"/>
  <c r="F205" i="36"/>
  <c r="I527" i="36"/>
  <c r="H399" i="36"/>
  <c r="H569" i="36"/>
  <c r="E569" i="36" s="1"/>
  <c r="E831" i="36"/>
  <c r="G835" i="36"/>
  <c r="H835" i="36"/>
  <c r="I746" i="36" l="1"/>
  <c r="H83" i="19" s="1"/>
  <c r="N83" i="19" s="1"/>
  <c r="H758" i="36"/>
  <c r="G95" i="19" s="1"/>
  <c r="M95" i="19" s="1"/>
  <c r="F525" i="36"/>
  <c r="H196" i="36"/>
  <c r="F834" i="36"/>
  <c r="F203" i="36"/>
  <c r="F802" i="36"/>
  <c r="H395" i="36"/>
  <c r="E679" i="36"/>
  <c r="H57" i="36"/>
  <c r="H753" i="36"/>
  <c r="G90" i="19" s="1"/>
  <c r="M90" i="19" s="1"/>
  <c r="E380" i="36"/>
  <c r="H802" i="36"/>
  <c r="G57" i="36"/>
  <c r="E224" i="36"/>
  <c r="E144" i="36"/>
  <c r="E91" i="36"/>
  <c r="H31" i="36"/>
  <c r="E145" i="36"/>
  <c r="E837" i="36"/>
  <c r="E838" i="36"/>
  <c r="G143" i="36"/>
  <c r="G834" i="36"/>
  <c r="F388" i="36"/>
  <c r="E78" i="19" s="1"/>
  <c r="K78" i="19" s="1"/>
  <c r="H29" i="36"/>
  <c r="H30" i="36"/>
  <c r="E532" i="36"/>
  <c r="E836" i="36"/>
  <c r="E545" i="36"/>
  <c r="E275" i="36"/>
  <c r="E148" i="36"/>
  <c r="E238" i="36"/>
  <c r="F29" i="36"/>
  <c r="E828" i="36"/>
  <c r="E809" i="36"/>
  <c r="E147" i="36"/>
  <c r="F389" i="36"/>
  <c r="E79" i="19" s="1"/>
  <c r="K79" i="19" s="1"/>
  <c r="E708" i="36"/>
  <c r="H388" i="36"/>
  <c r="G78" i="19" s="1"/>
  <c r="M78" i="19" s="1"/>
  <c r="G607" i="40"/>
  <c r="E608" i="40"/>
  <c r="I388" i="36"/>
  <c r="H78" i="19" s="1"/>
  <c r="N78" i="19" s="1"/>
  <c r="I387" i="36"/>
  <c r="H77" i="19" s="1"/>
  <c r="N77" i="19" s="1"/>
  <c r="E398" i="36"/>
  <c r="H21" i="36"/>
  <c r="G22" i="19" s="1"/>
  <c r="M22" i="19" s="1"/>
  <c r="H389" i="36"/>
  <c r="G79" i="19" s="1"/>
  <c r="M79" i="19" s="1"/>
  <c r="F387" i="36"/>
  <c r="F19" i="36"/>
  <c r="E20" i="19" s="1"/>
  <c r="K20" i="19" s="1"/>
  <c r="N14" i="36"/>
  <c r="E841" i="36"/>
  <c r="I685" i="36"/>
  <c r="E685" i="36" s="1"/>
  <c r="E150" i="36"/>
  <c r="E231" i="36"/>
  <c r="H834" i="36"/>
  <c r="E210" i="36"/>
  <c r="I391" i="36"/>
  <c r="H81" i="19" s="1"/>
  <c r="N81" i="19" s="1"/>
  <c r="I196" i="36"/>
  <c r="G677" i="36"/>
  <c r="E677" i="36" s="1"/>
  <c r="E678" i="36"/>
  <c r="E348" i="36"/>
  <c r="G30" i="36"/>
  <c r="G31" i="36"/>
  <c r="I26" i="36"/>
  <c r="E208" i="36"/>
  <c r="O14" i="36"/>
  <c r="E200" i="36"/>
  <c r="H525" i="36"/>
  <c r="H405" i="36"/>
  <c r="E406" i="36"/>
  <c r="E405" i="36" s="1"/>
  <c r="G201" i="36"/>
  <c r="I529" i="36"/>
  <c r="E163" i="36"/>
  <c r="H394" i="36"/>
  <c r="G203" i="36"/>
  <c r="H453" i="36"/>
  <c r="E453" i="36" s="1"/>
  <c r="E758" i="36"/>
  <c r="D95" i="19" s="1"/>
  <c r="J95" i="19" s="1"/>
  <c r="H751" i="36"/>
  <c r="G88" i="19" s="1"/>
  <c r="M88" i="19" s="1"/>
  <c r="E33" i="36"/>
  <c r="G462" i="36"/>
  <c r="G397" i="36"/>
  <c r="E475" i="36"/>
  <c r="I474" i="36"/>
  <c r="I834" i="36"/>
  <c r="E133" i="36"/>
  <c r="F197" i="36"/>
  <c r="E204" i="36"/>
  <c r="F130" i="36"/>
  <c r="E130" i="36" s="1"/>
  <c r="F28" i="36"/>
  <c r="E59" i="36"/>
  <c r="E839" i="36"/>
  <c r="E61" i="36"/>
  <c r="E27" i="36"/>
  <c r="E206" i="36"/>
  <c r="F199" i="36"/>
  <c r="E205" i="36"/>
  <c r="F198" i="36"/>
  <c r="E835" i="36"/>
  <c r="F62" i="36"/>
  <c r="E135" i="36"/>
  <c r="I650" i="36"/>
  <c r="I649" i="36" s="1"/>
  <c r="I648" i="36" s="1"/>
  <c r="I528" i="36"/>
  <c r="F368" i="36"/>
  <c r="E371" i="36"/>
  <c r="F393" i="36"/>
  <c r="E805" i="36"/>
  <c r="F386" i="36" l="1"/>
  <c r="E76" i="19" s="1"/>
  <c r="K76" i="19" s="1"/>
  <c r="E77" i="19"/>
  <c r="K77" i="19" s="1"/>
  <c r="F196" i="36"/>
  <c r="E802" i="36"/>
  <c r="E753" i="36"/>
  <c r="D90" i="19" s="1"/>
  <c r="J90" i="19" s="1"/>
  <c r="F57" i="36"/>
  <c r="E143" i="36"/>
  <c r="H9" i="36"/>
  <c r="G10" i="19" s="1"/>
  <c r="O16" i="36"/>
  <c r="H7" i="36"/>
  <c r="G8" i="19" s="1"/>
  <c r="E834" i="36"/>
  <c r="H26" i="36"/>
  <c r="O17" i="36"/>
  <c r="F6" i="36"/>
  <c r="E7" i="19" s="1"/>
  <c r="M14" i="36"/>
  <c r="N16" i="36"/>
  <c r="I6" i="36"/>
  <c r="H7" i="19" s="1"/>
  <c r="H391" i="36"/>
  <c r="G81" i="19" s="1"/>
  <c r="M81" i="19" s="1"/>
  <c r="F8" i="36"/>
  <c r="E9" i="19" s="1"/>
  <c r="E607" i="40"/>
  <c r="G606" i="40"/>
  <c r="I389" i="36"/>
  <c r="H79" i="19" s="1"/>
  <c r="N79" i="19" s="1"/>
  <c r="H24" i="36"/>
  <c r="G25" i="19" s="1"/>
  <c r="M25" i="19" s="1"/>
  <c r="I390" i="36"/>
  <c r="H80" i="19" s="1"/>
  <c r="N80" i="19" s="1"/>
  <c r="I7" i="36"/>
  <c r="H8" i="19" s="1"/>
  <c r="H387" i="36"/>
  <c r="G77" i="19" s="1"/>
  <c r="M77" i="19" s="1"/>
  <c r="G676" i="36"/>
  <c r="G675" i="36" s="1"/>
  <c r="H8" i="36"/>
  <c r="G9" i="19" s="1"/>
  <c r="I10" i="36"/>
  <c r="H11" i="19" s="1"/>
  <c r="F7" i="36"/>
  <c r="E8" i="19" s="1"/>
  <c r="N17" i="36"/>
  <c r="I684" i="36"/>
  <c r="E684" i="36" s="1"/>
  <c r="G26" i="36"/>
  <c r="E198" i="36"/>
  <c r="G196" i="36"/>
  <c r="E199" i="36"/>
  <c r="E368" i="36"/>
  <c r="E203" i="36"/>
  <c r="E201" i="36"/>
  <c r="H393" i="36"/>
  <c r="H746" i="36"/>
  <c r="G83" i="19" s="1"/>
  <c r="M83" i="19" s="1"/>
  <c r="E751" i="36"/>
  <c r="D88" i="19" s="1"/>
  <c r="J88" i="19" s="1"/>
  <c r="E62" i="36"/>
  <c r="F31" i="36"/>
  <c r="F26" i="36" s="1"/>
  <c r="E474" i="36"/>
  <c r="I473" i="36"/>
  <c r="E197" i="36"/>
  <c r="E60" i="36"/>
  <c r="E397" i="36"/>
  <c r="G396" i="36"/>
  <c r="G461" i="36"/>
  <c r="F9" i="36"/>
  <c r="E10" i="19" s="1"/>
  <c r="E30" i="36"/>
  <c r="E28" i="36"/>
  <c r="F13" i="36" l="1"/>
  <c r="I20" i="36"/>
  <c r="H21" i="19" s="1"/>
  <c r="N21" i="19" s="1"/>
  <c r="H14" i="36"/>
  <c r="H19" i="36"/>
  <c r="G20" i="19" s="1"/>
  <c r="M20" i="19" s="1"/>
  <c r="H16" i="36"/>
  <c r="G17" i="19" s="1"/>
  <c r="E746" i="36"/>
  <c r="D83" i="19" s="1"/>
  <c r="J83" i="19" s="1"/>
  <c r="M10" i="19"/>
  <c r="K8" i="19"/>
  <c r="K7" i="19"/>
  <c r="K10" i="19"/>
  <c r="M9" i="19"/>
  <c r="N8" i="19"/>
  <c r="N11" i="19"/>
  <c r="I8" i="36"/>
  <c r="H9" i="19" s="1"/>
  <c r="N7" i="19"/>
  <c r="M8" i="19"/>
  <c r="F15" i="36"/>
  <c r="K9" i="19"/>
  <c r="E606" i="40"/>
  <c r="G605" i="40"/>
  <c r="H15" i="36"/>
  <c r="E676" i="36"/>
  <c r="H10" i="36"/>
  <c r="G11" i="19" s="1"/>
  <c r="I24" i="36"/>
  <c r="H25" i="19" s="1"/>
  <c r="N25" i="19" s="1"/>
  <c r="I21" i="36"/>
  <c r="H22" i="19" s="1"/>
  <c r="N22" i="19" s="1"/>
  <c r="I9" i="36"/>
  <c r="H10" i="19" s="1"/>
  <c r="H6" i="36"/>
  <c r="G7" i="19" s="1"/>
  <c r="H386" i="36"/>
  <c r="G76" i="19" s="1"/>
  <c r="M76" i="19" s="1"/>
  <c r="E196" i="36"/>
  <c r="E57" i="36"/>
  <c r="G460" i="36"/>
  <c r="G395" i="36"/>
  <c r="F14" i="36"/>
  <c r="E396" i="36"/>
  <c r="I472" i="36"/>
  <c r="E473" i="36"/>
  <c r="F16" i="36"/>
  <c r="E17" i="19" s="1"/>
  <c r="G674" i="36"/>
  <c r="E675" i="36"/>
  <c r="M17" i="36"/>
  <c r="E31" i="36"/>
  <c r="F10" i="36"/>
  <c r="E11" i="19" s="1"/>
  <c r="E29" i="36"/>
  <c r="G16" i="19" l="1"/>
  <c r="M16" i="19" s="1"/>
  <c r="E16" i="19"/>
  <c r="K16" i="19" s="1"/>
  <c r="G15" i="19"/>
  <c r="M15" i="19" s="1"/>
  <c r="E15" i="19"/>
  <c r="K15" i="19" s="1"/>
  <c r="E14" i="19"/>
  <c r="K14" i="19" s="1"/>
  <c r="H5" i="36"/>
  <c r="G6" i="19" s="1"/>
  <c r="F5" i="36"/>
  <c r="E6" i="19" s="1"/>
  <c r="K11" i="19"/>
  <c r="M17" i="19"/>
  <c r="K17" i="19"/>
  <c r="N10" i="19"/>
  <c r="M7" i="19"/>
  <c r="M11" i="19"/>
  <c r="N9" i="19"/>
  <c r="H17" i="36"/>
  <c r="G604" i="40"/>
  <c r="E605" i="40"/>
  <c r="I5" i="36"/>
  <c r="H6" i="19" s="1"/>
  <c r="H13" i="36"/>
  <c r="E26" i="36"/>
  <c r="E674" i="36"/>
  <c r="G673" i="36"/>
  <c r="E472" i="36"/>
  <c r="I471" i="36"/>
  <c r="F17" i="36"/>
  <c r="E395" i="36"/>
  <c r="G459" i="36"/>
  <c r="G394" i="36"/>
  <c r="G18" i="19" l="1"/>
  <c r="M18" i="19" s="1"/>
  <c r="G14" i="19"/>
  <c r="M14" i="19" s="1"/>
  <c r="E18" i="19"/>
  <c r="K18" i="19" s="1"/>
  <c r="N6" i="19"/>
  <c r="F12" i="36"/>
  <c r="E13" i="19" s="1"/>
  <c r="K13" i="19" s="1"/>
  <c r="H12" i="36"/>
  <c r="M6" i="19"/>
  <c r="K6" i="19"/>
  <c r="E604" i="40"/>
  <c r="G603" i="40"/>
  <c r="I470" i="36"/>
  <c r="E471" i="36"/>
  <c r="G393" i="36"/>
  <c r="E394" i="36"/>
  <c r="E673" i="36"/>
  <c r="G672" i="36"/>
  <c r="G13" i="19" l="1"/>
  <c r="M13" i="19" s="1"/>
  <c r="E393" i="36"/>
  <c r="E603" i="40"/>
  <c r="G602" i="40"/>
  <c r="E470" i="36"/>
  <c r="I469" i="36"/>
  <c r="I23" i="36" s="1"/>
  <c r="H24" i="19" s="1"/>
  <c r="N24" i="19" s="1"/>
  <c r="G671" i="36"/>
  <c r="E672" i="36"/>
  <c r="E602" i="40" l="1"/>
  <c r="G601" i="40"/>
  <c r="E671" i="36"/>
  <c r="G670" i="36"/>
  <c r="I468" i="36"/>
  <c r="I22" i="36" s="1"/>
  <c r="H23" i="19" s="1"/>
  <c r="N23" i="19" s="1"/>
  <c r="E469" i="36"/>
  <c r="G600" i="40" l="1"/>
  <c r="E601" i="40"/>
  <c r="I19" i="36"/>
  <c r="H20" i="19" s="1"/>
  <c r="N20" i="19" s="1"/>
  <c r="I467" i="36"/>
  <c r="E468" i="36"/>
  <c r="E670" i="36"/>
  <c r="G669" i="36"/>
  <c r="E600" i="40" l="1"/>
  <c r="G599" i="40"/>
  <c r="E669" i="36"/>
  <c r="G668" i="36"/>
  <c r="E467" i="36"/>
  <c r="I466" i="36"/>
  <c r="G598" i="40" l="1"/>
  <c r="E599" i="40"/>
  <c r="G667" i="36"/>
  <c r="E668" i="36"/>
  <c r="E466" i="36"/>
  <c r="I465" i="36"/>
  <c r="G597" i="40" l="1"/>
  <c r="G478" i="40"/>
  <c r="E598" i="40"/>
  <c r="I464" i="36"/>
  <c r="E465" i="36"/>
  <c r="E667" i="36"/>
  <c r="G666" i="36"/>
  <c r="E478" i="40" l="1"/>
  <c r="G352" i="40"/>
  <c r="E597" i="40"/>
  <c r="G477" i="40"/>
  <c r="G596" i="40"/>
  <c r="E666" i="36"/>
  <c r="G665" i="36"/>
  <c r="I463" i="36"/>
  <c r="E464" i="36"/>
  <c r="E596" i="40" l="1"/>
  <c r="G595" i="40"/>
  <c r="G476" i="40"/>
  <c r="E477" i="40"/>
  <c r="G351" i="40"/>
  <c r="E352" i="40"/>
  <c r="I462" i="36"/>
  <c r="E463" i="36"/>
  <c r="G664" i="36"/>
  <c r="E665" i="36"/>
  <c r="E351" i="40" l="1"/>
  <c r="G350" i="40"/>
  <c r="E476" i="40"/>
  <c r="G475" i="40"/>
  <c r="E595" i="40"/>
  <c r="G594" i="40"/>
  <c r="E664" i="36"/>
  <c r="G663" i="36"/>
  <c r="I461" i="36"/>
  <c r="E462" i="36"/>
  <c r="G593" i="40" l="1"/>
  <c r="E593" i="40" s="1"/>
  <c r="G474" i="40"/>
  <c r="E594" i="40"/>
  <c r="E475" i="40"/>
  <c r="G349" i="40"/>
  <c r="E350" i="40"/>
  <c r="I460" i="36"/>
  <c r="E461" i="36"/>
  <c r="E663" i="36"/>
  <c r="G662" i="36"/>
  <c r="E349" i="40" l="1"/>
  <c r="G473" i="40"/>
  <c r="E474" i="40"/>
  <c r="G348" i="40"/>
  <c r="E662" i="36"/>
  <c r="G661" i="36"/>
  <c r="I459" i="36"/>
  <c r="E459" i="36" s="1"/>
  <c r="E460" i="36"/>
  <c r="E473" i="40" l="1"/>
  <c r="G347" i="40"/>
  <c r="E348" i="40"/>
  <c r="G660" i="36"/>
  <c r="E661" i="36"/>
  <c r="E945" i="24"/>
  <c r="E944" i="24"/>
  <c r="E943" i="24"/>
  <c r="E942" i="24"/>
  <c r="E941" i="24"/>
  <c r="I940" i="24"/>
  <c r="H940" i="24"/>
  <c r="G940" i="24"/>
  <c r="F940" i="24"/>
  <c r="F939" i="24"/>
  <c r="E939" i="24" s="1"/>
  <c r="F938" i="24"/>
  <c r="F937" i="24"/>
  <c r="F936" i="24"/>
  <c r="F935" i="24"/>
  <c r="I933" i="24"/>
  <c r="H933" i="24"/>
  <c r="G933" i="24"/>
  <c r="I932" i="24"/>
  <c r="H932" i="24"/>
  <c r="G932" i="24"/>
  <c r="I931" i="24"/>
  <c r="G931" i="24"/>
  <c r="I930" i="24"/>
  <c r="H930" i="24"/>
  <c r="I929" i="24"/>
  <c r="H929" i="24"/>
  <c r="E927" i="24"/>
  <c r="E926" i="24"/>
  <c r="E925" i="24"/>
  <c r="E924" i="24"/>
  <c r="E923" i="24"/>
  <c r="I922" i="24"/>
  <c r="H922" i="24"/>
  <c r="G922" i="24"/>
  <c r="F922" i="24"/>
  <c r="E921" i="24"/>
  <c r="E920" i="24"/>
  <c r="E919" i="24"/>
  <c r="F918" i="24"/>
  <c r="E917" i="24"/>
  <c r="I916" i="24"/>
  <c r="H916" i="24"/>
  <c r="G916" i="24"/>
  <c r="I915" i="24"/>
  <c r="H915" i="24"/>
  <c r="G915" i="24"/>
  <c r="F915" i="24"/>
  <c r="I914" i="24"/>
  <c r="H914" i="24"/>
  <c r="G914" i="24"/>
  <c r="F914" i="24"/>
  <c r="I913" i="24"/>
  <c r="H913" i="24"/>
  <c r="G913" i="24"/>
  <c r="F913" i="24"/>
  <c r="I912" i="24"/>
  <c r="H912" i="24"/>
  <c r="G912" i="24"/>
  <c r="I911" i="24"/>
  <c r="H911" i="24"/>
  <c r="G911" i="24"/>
  <c r="F911" i="24"/>
  <c r="E909" i="24"/>
  <c r="E908" i="24"/>
  <c r="E907" i="24"/>
  <c r="E906" i="24"/>
  <c r="E905" i="24"/>
  <c r="I904" i="24"/>
  <c r="H904" i="24"/>
  <c r="G904" i="24"/>
  <c r="F904" i="24"/>
  <c r="E903" i="24"/>
  <c r="E902" i="24"/>
  <c r="E901" i="24"/>
  <c r="E900" i="24"/>
  <c r="E899" i="24"/>
  <c r="I898" i="24"/>
  <c r="H898" i="24"/>
  <c r="G898" i="24"/>
  <c r="F898" i="24"/>
  <c r="E897" i="24"/>
  <c r="E896" i="24"/>
  <c r="E895" i="24"/>
  <c r="E894" i="24"/>
  <c r="F893" i="24"/>
  <c r="F892" i="24" s="1"/>
  <c r="I892" i="24"/>
  <c r="H892" i="24"/>
  <c r="G892" i="24"/>
  <c r="E891" i="24"/>
  <c r="E890" i="24"/>
  <c r="E889" i="24"/>
  <c r="E888" i="24"/>
  <c r="E887" i="24"/>
  <c r="I886" i="24"/>
  <c r="H886" i="24"/>
  <c r="G886" i="24"/>
  <c r="F886" i="24"/>
  <c r="E885" i="24"/>
  <c r="E884" i="24"/>
  <c r="E883" i="24"/>
  <c r="E882" i="24"/>
  <c r="E881" i="24"/>
  <c r="I880" i="24"/>
  <c r="H880" i="24"/>
  <c r="G880" i="24"/>
  <c r="F880" i="24"/>
  <c r="I879" i="24"/>
  <c r="H879" i="24"/>
  <c r="G879" i="24"/>
  <c r="F879" i="24"/>
  <c r="I878" i="24"/>
  <c r="H878" i="24"/>
  <c r="G878" i="24"/>
  <c r="F878" i="24"/>
  <c r="I877" i="24"/>
  <c r="H877" i="24"/>
  <c r="G877" i="24"/>
  <c r="F877" i="24"/>
  <c r="I876" i="24"/>
  <c r="H876" i="24"/>
  <c r="G876" i="24"/>
  <c r="F876" i="24"/>
  <c r="I875" i="24"/>
  <c r="H875" i="24"/>
  <c r="G875" i="24"/>
  <c r="E873" i="24"/>
  <c r="E872" i="24"/>
  <c r="E871" i="24"/>
  <c r="E870" i="24"/>
  <c r="E869" i="24"/>
  <c r="I868" i="24"/>
  <c r="H868" i="24"/>
  <c r="G868" i="24"/>
  <c r="F868" i="24"/>
  <c r="E867" i="24"/>
  <c r="E866" i="24"/>
  <c r="E865" i="24"/>
  <c r="E864" i="24"/>
  <c r="E863" i="24"/>
  <c r="I862" i="24"/>
  <c r="H862" i="24"/>
  <c r="G862" i="24"/>
  <c r="F862" i="24"/>
  <c r="E861" i="24"/>
  <c r="E860" i="24"/>
  <c r="E859" i="24"/>
  <c r="E858" i="24"/>
  <c r="E857" i="24"/>
  <c r="I856" i="24"/>
  <c r="H856" i="24"/>
  <c r="G856" i="24"/>
  <c r="F856" i="24"/>
  <c r="E855" i="24"/>
  <c r="E854" i="24"/>
  <c r="E853" i="24"/>
  <c r="E852" i="24"/>
  <c r="E851" i="24"/>
  <c r="I850" i="24"/>
  <c r="H850" i="24"/>
  <c r="G850" i="24"/>
  <c r="F850" i="24"/>
  <c r="E849" i="24"/>
  <c r="E848" i="24"/>
  <c r="E847" i="24"/>
  <c r="E846" i="24"/>
  <c r="E845" i="24"/>
  <c r="E844" i="24"/>
  <c r="E843" i="24"/>
  <c r="E842" i="24"/>
  <c r="F841" i="24"/>
  <c r="F838" i="24" s="1"/>
  <c r="E840" i="24"/>
  <c r="E839" i="24"/>
  <c r="I838" i="24"/>
  <c r="H838" i="24"/>
  <c r="G838" i="24"/>
  <c r="E837" i="24"/>
  <c r="E836" i="24"/>
  <c r="E835" i="24"/>
  <c r="E834" i="24"/>
  <c r="E833" i="24"/>
  <c r="I832" i="24"/>
  <c r="H832" i="24"/>
  <c r="G832" i="24"/>
  <c r="F832" i="24"/>
  <c r="E831" i="24"/>
  <c r="E830" i="24"/>
  <c r="E829" i="24"/>
  <c r="E828" i="24"/>
  <c r="E827" i="24"/>
  <c r="I826" i="24"/>
  <c r="H826" i="24"/>
  <c r="G826" i="24"/>
  <c r="F826" i="24"/>
  <c r="E825" i="24"/>
  <c r="E824" i="24"/>
  <c r="E823" i="24"/>
  <c r="E822" i="24"/>
  <c r="E821" i="24"/>
  <c r="I820" i="24"/>
  <c r="H820" i="24"/>
  <c r="G820" i="24"/>
  <c r="F820" i="24"/>
  <c r="E819" i="24"/>
  <c r="E818" i="24"/>
  <c r="E817" i="24"/>
  <c r="E816" i="24"/>
  <c r="E815" i="24"/>
  <c r="I814" i="24"/>
  <c r="H814" i="24"/>
  <c r="G814" i="24"/>
  <c r="F814" i="24"/>
  <c r="E813" i="24"/>
  <c r="AB812" i="24"/>
  <c r="AA812" i="24"/>
  <c r="F812" i="24"/>
  <c r="AB811" i="24"/>
  <c r="AA811" i="24"/>
  <c r="F811" i="24"/>
  <c r="F805" i="24" s="1"/>
  <c r="E810" i="24"/>
  <c r="R30" i="21" s="1"/>
  <c r="E809" i="24"/>
  <c r="AB808" i="24"/>
  <c r="AA808" i="24"/>
  <c r="I808" i="24"/>
  <c r="V28" i="21" s="1"/>
  <c r="H808" i="24"/>
  <c r="U28" i="21" s="1"/>
  <c r="G808" i="24"/>
  <c r="I807" i="24"/>
  <c r="H807" i="24"/>
  <c r="G807" i="24"/>
  <c r="F807" i="24"/>
  <c r="F30" i="22" s="1"/>
  <c r="I806" i="24"/>
  <c r="H806" i="24"/>
  <c r="G806" i="24"/>
  <c r="I805" i="24"/>
  <c r="V25" i="21" s="1"/>
  <c r="H805" i="24"/>
  <c r="U25" i="21" s="1"/>
  <c r="G805" i="24"/>
  <c r="G28" i="22" s="1"/>
  <c r="I804" i="24"/>
  <c r="H804" i="24"/>
  <c r="G804" i="24"/>
  <c r="T24" i="21" s="1"/>
  <c r="F804" i="24"/>
  <c r="S24" i="21" s="1"/>
  <c r="I803" i="24"/>
  <c r="H803" i="24"/>
  <c r="G803" i="24"/>
  <c r="T23" i="21" s="1"/>
  <c r="F803" i="24"/>
  <c r="S23" i="21" s="1"/>
  <c r="E801" i="24"/>
  <c r="E800" i="24"/>
  <c r="E799" i="24"/>
  <c r="E798" i="24"/>
  <c r="E797" i="24"/>
  <c r="I796" i="24"/>
  <c r="H796" i="24"/>
  <c r="G796" i="24"/>
  <c r="F796" i="24"/>
  <c r="E795" i="24"/>
  <c r="E794" i="24"/>
  <c r="E793" i="24"/>
  <c r="E792" i="24"/>
  <c r="E791" i="24"/>
  <c r="I790" i="24"/>
  <c r="H790" i="24"/>
  <c r="G790" i="24"/>
  <c r="F790" i="24"/>
  <c r="E789" i="24"/>
  <c r="E788" i="24"/>
  <c r="E787" i="24"/>
  <c r="H786" i="24"/>
  <c r="E786" i="24" s="1"/>
  <c r="E785" i="24"/>
  <c r="I784" i="24"/>
  <c r="G784" i="24"/>
  <c r="F784" i="24"/>
  <c r="E783" i="24"/>
  <c r="E782" i="24"/>
  <c r="E781" i="24"/>
  <c r="E780" i="24"/>
  <c r="E779" i="24"/>
  <c r="I778" i="24"/>
  <c r="H778" i="24"/>
  <c r="G778" i="24"/>
  <c r="F778" i="24"/>
  <c r="E777" i="24"/>
  <c r="E776" i="24"/>
  <c r="E775" i="24"/>
  <c r="E774" i="24"/>
  <c r="E773" i="24"/>
  <c r="I772" i="24"/>
  <c r="H772" i="24"/>
  <c r="G772" i="24"/>
  <c r="F772" i="24"/>
  <c r="E771" i="24"/>
  <c r="E769" i="24"/>
  <c r="E768" i="24"/>
  <c r="I766" i="24"/>
  <c r="H766" i="24"/>
  <c r="G766" i="24"/>
  <c r="F766" i="24"/>
  <c r="E765" i="24"/>
  <c r="E763" i="24"/>
  <c r="E762" i="24"/>
  <c r="I760" i="24"/>
  <c r="H760" i="24"/>
  <c r="G760" i="24"/>
  <c r="F760" i="24"/>
  <c r="E759" i="24"/>
  <c r="E756" i="24"/>
  <c r="I754" i="24"/>
  <c r="H754" i="24"/>
  <c r="G754" i="24"/>
  <c r="F754" i="24"/>
  <c r="E753" i="24"/>
  <c r="E752" i="24"/>
  <c r="E751" i="24"/>
  <c r="E750" i="24"/>
  <c r="E749" i="24"/>
  <c r="I748" i="24"/>
  <c r="H748" i="24"/>
  <c r="G748" i="24"/>
  <c r="F748" i="24"/>
  <c r="E747" i="24"/>
  <c r="E744" i="24"/>
  <c r="E743" i="24"/>
  <c r="I742" i="24"/>
  <c r="H742" i="24"/>
  <c r="G742" i="24"/>
  <c r="F742" i="24"/>
  <c r="E741" i="24"/>
  <c r="E740" i="24"/>
  <c r="E739" i="24"/>
  <c r="E738" i="24"/>
  <c r="E737" i="24"/>
  <c r="I736" i="24"/>
  <c r="H736" i="24"/>
  <c r="G736" i="24"/>
  <c r="F736" i="24"/>
  <c r="E735" i="24"/>
  <c r="E734" i="24"/>
  <c r="E733" i="24"/>
  <c r="E732" i="24"/>
  <c r="E731" i="24"/>
  <c r="I730" i="24"/>
  <c r="H730" i="24"/>
  <c r="G730" i="24"/>
  <c r="F730" i="24"/>
  <c r="I729" i="24"/>
  <c r="H729" i="24"/>
  <c r="G729" i="24"/>
  <c r="F729" i="24"/>
  <c r="I728" i="24"/>
  <c r="H728" i="24"/>
  <c r="G728" i="24"/>
  <c r="F728" i="24"/>
  <c r="I727" i="24"/>
  <c r="H727" i="24"/>
  <c r="G727" i="24"/>
  <c r="F727" i="24"/>
  <c r="I726" i="24"/>
  <c r="G726" i="24"/>
  <c r="F726" i="24"/>
  <c r="I725" i="24"/>
  <c r="H725" i="24"/>
  <c r="G725" i="24"/>
  <c r="F725" i="24"/>
  <c r="E717" i="24"/>
  <c r="E716" i="24"/>
  <c r="F715" i="24"/>
  <c r="E714" i="24"/>
  <c r="I712" i="24"/>
  <c r="H712" i="24"/>
  <c r="E711" i="24"/>
  <c r="E710" i="24"/>
  <c r="E709" i="24"/>
  <c r="E708" i="24"/>
  <c r="I706" i="24"/>
  <c r="H706" i="24"/>
  <c r="F706" i="24"/>
  <c r="E705" i="24"/>
  <c r="E704" i="24"/>
  <c r="F703" i="24"/>
  <c r="E703" i="24" s="1"/>
  <c r="H702" i="24"/>
  <c r="H700" i="24" s="1"/>
  <c r="F702" i="24"/>
  <c r="I700" i="24"/>
  <c r="E699" i="24"/>
  <c r="E698" i="24"/>
  <c r="E697" i="24"/>
  <c r="F696" i="24"/>
  <c r="E695" i="24"/>
  <c r="I694" i="24"/>
  <c r="H694" i="24"/>
  <c r="G694" i="24"/>
  <c r="E693" i="24"/>
  <c r="E692" i="24"/>
  <c r="E691" i="24"/>
  <c r="E690" i="24"/>
  <c r="E689" i="24"/>
  <c r="I688" i="24"/>
  <c r="H688" i="24"/>
  <c r="G688" i="24"/>
  <c r="F688" i="24"/>
  <c r="E687" i="24"/>
  <c r="E686" i="24"/>
  <c r="E685" i="24"/>
  <c r="E684" i="24"/>
  <c r="I682" i="24"/>
  <c r="H682" i="24"/>
  <c r="G682" i="24"/>
  <c r="F682" i="24"/>
  <c r="I681" i="24"/>
  <c r="I680" i="24"/>
  <c r="I679" i="24"/>
  <c r="I678" i="24"/>
  <c r="H677" i="24"/>
  <c r="I671" i="24"/>
  <c r="F671" i="24"/>
  <c r="E669" i="24"/>
  <c r="E668" i="24"/>
  <c r="E667" i="24"/>
  <c r="F666" i="24"/>
  <c r="E665" i="24"/>
  <c r="I664" i="24"/>
  <c r="H664" i="24"/>
  <c r="G664" i="24"/>
  <c r="E663" i="24"/>
  <c r="E662" i="24"/>
  <c r="E661" i="24"/>
  <c r="F660" i="24"/>
  <c r="E659" i="24"/>
  <c r="I658" i="24"/>
  <c r="H658" i="24"/>
  <c r="G658" i="24"/>
  <c r="E657" i="24"/>
  <c r="E656" i="24"/>
  <c r="E655" i="24"/>
  <c r="F654" i="24"/>
  <c r="F652" i="24" s="1"/>
  <c r="E653" i="24"/>
  <c r="I652" i="24"/>
  <c r="H652" i="24"/>
  <c r="G652" i="24"/>
  <c r="E651" i="24"/>
  <c r="E650" i="24"/>
  <c r="E649" i="24"/>
  <c r="E648" i="24"/>
  <c r="E647" i="24"/>
  <c r="I646" i="24"/>
  <c r="H646" i="24"/>
  <c r="G646" i="24"/>
  <c r="F646" i="24"/>
  <c r="E645" i="24"/>
  <c r="E644" i="24"/>
  <c r="G643" i="24"/>
  <c r="E642" i="24"/>
  <c r="E641" i="24"/>
  <c r="I640" i="24"/>
  <c r="H640" i="24"/>
  <c r="F640" i="24"/>
  <c r="E639" i="24"/>
  <c r="E638" i="24"/>
  <c r="E637" i="24"/>
  <c r="E636" i="24"/>
  <c r="E635" i="24"/>
  <c r="I634" i="24"/>
  <c r="H634" i="24"/>
  <c r="G634" i="24"/>
  <c r="F634" i="24"/>
  <c r="E633" i="24"/>
  <c r="E632" i="24"/>
  <c r="E631" i="24"/>
  <c r="F630" i="24"/>
  <c r="E629" i="24"/>
  <c r="I628" i="24"/>
  <c r="H628" i="24"/>
  <c r="G628" i="24"/>
  <c r="E627" i="24"/>
  <c r="F626" i="24"/>
  <c r="M625" i="24"/>
  <c r="G625" i="24"/>
  <c r="G622" i="24" s="1"/>
  <c r="F624" i="24"/>
  <c r="E624" i="24" s="1"/>
  <c r="E623" i="24"/>
  <c r="I622" i="24"/>
  <c r="H622" i="24"/>
  <c r="E621" i="24"/>
  <c r="E620" i="24"/>
  <c r="E619" i="24"/>
  <c r="F618" i="24"/>
  <c r="E617" i="24"/>
  <c r="I616" i="24"/>
  <c r="H616" i="24"/>
  <c r="G616" i="24"/>
  <c r="E615" i="24"/>
  <c r="E614" i="24"/>
  <c r="E613" i="24"/>
  <c r="E612" i="24"/>
  <c r="E611" i="24"/>
  <c r="I610" i="24"/>
  <c r="H610" i="24"/>
  <c r="G610" i="24"/>
  <c r="F610" i="24"/>
  <c r="E609" i="24"/>
  <c r="E608" i="24"/>
  <c r="G607" i="24"/>
  <c r="G606" i="24"/>
  <c r="E606" i="24" s="1"/>
  <c r="E605" i="24"/>
  <c r="I604" i="24"/>
  <c r="H604" i="24"/>
  <c r="F604" i="24"/>
  <c r="I603" i="24"/>
  <c r="H603" i="24"/>
  <c r="U603" i="24" s="1"/>
  <c r="G603" i="24"/>
  <c r="F603" i="24"/>
  <c r="S603" i="24" s="1"/>
  <c r="I602" i="24"/>
  <c r="H602" i="24"/>
  <c r="G602" i="24"/>
  <c r="T602" i="24" s="1"/>
  <c r="I601" i="24"/>
  <c r="H601" i="24"/>
  <c r="U601" i="24" s="1"/>
  <c r="F601" i="24"/>
  <c r="S601" i="24" s="1"/>
  <c r="I600" i="24"/>
  <c r="H600" i="24"/>
  <c r="I599" i="24"/>
  <c r="H599" i="24"/>
  <c r="U599" i="24" s="1"/>
  <c r="G599" i="24"/>
  <c r="F599" i="24"/>
  <c r="S599" i="24" s="1"/>
  <c r="E591" i="24"/>
  <c r="E590" i="24"/>
  <c r="E589" i="24"/>
  <c r="E588" i="24"/>
  <c r="E587" i="24"/>
  <c r="I586" i="24"/>
  <c r="H586" i="24"/>
  <c r="G586" i="24"/>
  <c r="F586" i="24"/>
  <c r="H582" i="24"/>
  <c r="H580" i="24" s="1"/>
  <c r="F582" i="24"/>
  <c r="I580" i="24"/>
  <c r="G580" i="24"/>
  <c r="F576" i="24"/>
  <c r="E576" i="24" s="1"/>
  <c r="E574" i="24" s="1"/>
  <c r="I574" i="24"/>
  <c r="H574" i="24"/>
  <c r="G574" i="24"/>
  <c r="E570" i="24"/>
  <c r="E568" i="24" s="1"/>
  <c r="I568" i="24"/>
  <c r="H568" i="24"/>
  <c r="G568" i="24"/>
  <c r="F568" i="24"/>
  <c r="E564" i="24"/>
  <c r="E562" i="24" s="1"/>
  <c r="I562" i="24"/>
  <c r="H562" i="24"/>
  <c r="G562" i="24"/>
  <c r="F562" i="24"/>
  <c r="E558" i="24"/>
  <c r="H557" i="24"/>
  <c r="H556" i="24" s="1"/>
  <c r="F557" i="24"/>
  <c r="F556" i="24" s="1"/>
  <c r="I556" i="24"/>
  <c r="G556" i="24"/>
  <c r="I555" i="24"/>
  <c r="H555" i="24"/>
  <c r="G555" i="24"/>
  <c r="F555" i="24"/>
  <c r="E555" i="24"/>
  <c r="I554" i="24"/>
  <c r="H554" i="24"/>
  <c r="G554" i="24"/>
  <c r="F554" i="24"/>
  <c r="E554" i="24"/>
  <c r="I553" i="24"/>
  <c r="H553" i="24"/>
  <c r="G553" i="24"/>
  <c r="F553" i="24"/>
  <c r="E553" i="24"/>
  <c r="I552" i="24"/>
  <c r="H552" i="24"/>
  <c r="G552" i="24"/>
  <c r="I551" i="24"/>
  <c r="G551" i="24"/>
  <c r="E547" i="24"/>
  <c r="F546" i="24"/>
  <c r="E546" i="24" s="1"/>
  <c r="E545" i="24"/>
  <c r="I544" i="24"/>
  <c r="I539" i="24" s="1"/>
  <c r="H544" i="24"/>
  <c r="H539" i="24" s="1"/>
  <c r="H538" i="24" s="1"/>
  <c r="G544" i="24"/>
  <c r="F542" i="24"/>
  <c r="G541" i="24"/>
  <c r="F541" i="24"/>
  <c r="G539" i="24"/>
  <c r="F539" i="24"/>
  <c r="E537" i="24"/>
  <c r="E536" i="24"/>
  <c r="E535" i="24"/>
  <c r="F534" i="24"/>
  <c r="E533" i="24"/>
  <c r="I532" i="24"/>
  <c r="H532" i="24"/>
  <c r="G532" i="24"/>
  <c r="E531" i="24"/>
  <c r="E530" i="24"/>
  <c r="E529" i="24"/>
  <c r="E528" i="24"/>
  <c r="E527" i="24"/>
  <c r="I526" i="24"/>
  <c r="H526" i="24"/>
  <c r="G526" i="24"/>
  <c r="F526" i="24"/>
  <c r="I525" i="24"/>
  <c r="H525" i="24"/>
  <c r="G525" i="24"/>
  <c r="F525" i="24"/>
  <c r="I524" i="24"/>
  <c r="H524" i="24"/>
  <c r="G524" i="24"/>
  <c r="F524" i="24"/>
  <c r="I523" i="24"/>
  <c r="H523" i="24"/>
  <c r="G523" i="24"/>
  <c r="F523" i="24"/>
  <c r="I522" i="24"/>
  <c r="H522" i="24"/>
  <c r="G522" i="24"/>
  <c r="I521" i="24"/>
  <c r="H521" i="24"/>
  <c r="G521" i="24"/>
  <c r="F521" i="24"/>
  <c r="E519" i="24"/>
  <c r="E518" i="24"/>
  <c r="E517" i="24"/>
  <c r="E516" i="24"/>
  <c r="E515" i="24"/>
  <c r="I514" i="24"/>
  <c r="H514" i="24"/>
  <c r="G514" i="24"/>
  <c r="F514" i="24"/>
  <c r="F513" i="24"/>
  <c r="E513" i="24" s="1"/>
  <c r="F512" i="24"/>
  <c r="E512" i="24" s="1"/>
  <c r="F511" i="24"/>
  <c r="E511" i="24" s="1"/>
  <c r="E510" i="24"/>
  <c r="E509" i="24"/>
  <c r="I508" i="24"/>
  <c r="H508" i="24"/>
  <c r="G508" i="24"/>
  <c r="E507" i="24"/>
  <c r="E506" i="24"/>
  <c r="E505" i="24"/>
  <c r="E504" i="24"/>
  <c r="E503" i="24"/>
  <c r="I502" i="24"/>
  <c r="H502" i="24"/>
  <c r="G502" i="24"/>
  <c r="F502" i="24"/>
  <c r="E501" i="24"/>
  <c r="E500" i="24"/>
  <c r="E499" i="24"/>
  <c r="E498" i="24"/>
  <c r="E497" i="24"/>
  <c r="I496" i="24"/>
  <c r="H496" i="24"/>
  <c r="G496" i="24"/>
  <c r="G495" i="24" s="1"/>
  <c r="F496" i="24"/>
  <c r="E495" i="24"/>
  <c r="E494" i="24"/>
  <c r="E493" i="24"/>
  <c r="E492" i="24"/>
  <c r="E491" i="24"/>
  <c r="I490" i="24"/>
  <c r="H490" i="24"/>
  <c r="F490" i="24"/>
  <c r="E489" i="24"/>
  <c r="E488" i="24"/>
  <c r="E487" i="24"/>
  <c r="E486" i="24"/>
  <c r="E485" i="24"/>
  <c r="H484" i="24"/>
  <c r="G484" i="24"/>
  <c r="F484" i="24"/>
  <c r="E483" i="24"/>
  <c r="E482" i="24"/>
  <c r="E481" i="24"/>
  <c r="E480" i="24"/>
  <c r="E479" i="24"/>
  <c r="I478" i="24"/>
  <c r="H478" i="24"/>
  <c r="G478" i="24"/>
  <c r="F478" i="24"/>
  <c r="E477" i="24"/>
  <c r="E476" i="24"/>
  <c r="E475" i="24"/>
  <c r="E474" i="24"/>
  <c r="E473" i="24"/>
  <c r="H472" i="24"/>
  <c r="G472" i="24"/>
  <c r="F472" i="24"/>
  <c r="E471" i="24"/>
  <c r="E470" i="24"/>
  <c r="E469" i="24"/>
  <c r="E468" i="24"/>
  <c r="E467" i="24"/>
  <c r="I466" i="24"/>
  <c r="H466" i="24"/>
  <c r="G466" i="24"/>
  <c r="F466" i="24"/>
  <c r="I465" i="24"/>
  <c r="H465" i="24"/>
  <c r="F465" i="24"/>
  <c r="I464" i="24"/>
  <c r="H464" i="24"/>
  <c r="F464" i="24"/>
  <c r="I463" i="24"/>
  <c r="H463" i="24"/>
  <c r="F463" i="24"/>
  <c r="I462" i="24"/>
  <c r="H462" i="24"/>
  <c r="F462" i="24"/>
  <c r="I461" i="24"/>
  <c r="H461" i="24"/>
  <c r="F461" i="24"/>
  <c r="E459" i="24"/>
  <c r="E458" i="24"/>
  <c r="E457" i="24"/>
  <c r="E456" i="24"/>
  <c r="E455" i="24"/>
  <c r="I454" i="24"/>
  <c r="H454" i="24"/>
  <c r="G454" i="24"/>
  <c r="F454" i="24"/>
  <c r="I453" i="24"/>
  <c r="H453" i="24"/>
  <c r="G453" i="24"/>
  <c r="F453" i="24"/>
  <c r="I452" i="24"/>
  <c r="H452" i="24"/>
  <c r="G452" i="24"/>
  <c r="F452" i="24"/>
  <c r="I451" i="24"/>
  <c r="H451" i="24"/>
  <c r="G451" i="24"/>
  <c r="F451" i="24"/>
  <c r="I450" i="24"/>
  <c r="H450" i="24"/>
  <c r="G450" i="24"/>
  <c r="F450" i="24"/>
  <c r="I449" i="24"/>
  <c r="H449" i="24"/>
  <c r="G449" i="24"/>
  <c r="F449" i="24"/>
  <c r="I448" i="24"/>
  <c r="E447" i="24"/>
  <c r="E446" i="24"/>
  <c r="E445" i="24"/>
  <c r="E444" i="24"/>
  <c r="E443" i="24"/>
  <c r="I442" i="24"/>
  <c r="H442" i="24"/>
  <c r="G442" i="24"/>
  <c r="F442" i="24"/>
  <c r="E441" i="24"/>
  <c r="E440" i="24"/>
  <c r="E439" i="24"/>
  <c r="E438" i="24"/>
  <c r="E437" i="24"/>
  <c r="I436" i="24"/>
  <c r="H436" i="24"/>
  <c r="G436" i="24"/>
  <c r="F436" i="24"/>
  <c r="E435" i="24"/>
  <c r="E434" i="24"/>
  <c r="E432" i="24"/>
  <c r="E431" i="24"/>
  <c r="I430" i="24"/>
  <c r="H430" i="24"/>
  <c r="G430" i="24"/>
  <c r="F430" i="24"/>
  <c r="E429" i="24"/>
  <c r="E428" i="24"/>
  <c r="E426" i="24"/>
  <c r="E425" i="24"/>
  <c r="I424" i="24"/>
  <c r="H424" i="24"/>
  <c r="G424" i="24"/>
  <c r="F424" i="24"/>
  <c r="E423" i="24"/>
  <c r="E422" i="24"/>
  <c r="E421" i="24"/>
  <c r="E420" i="24"/>
  <c r="E419" i="24"/>
  <c r="I418" i="24"/>
  <c r="H418" i="24"/>
  <c r="G418" i="24"/>
  <c r="F418" i="24"/>
  <c r="E417" i="24"/>
  <c r="E416" i="24"/>
  <c r="E415" i="24"/>
  <c r="E414" i="24"/>
  <c r="E413" i="24"/>
  <c r="I412" i="24"/>
  <c r="H412" i="24"/>
  <c r="G412" i="24"/>
  <c r="F412" i="24"/>
  <c r="E411" i="24"/>
  <c r="E410" i="24"/>
  <c r="E409" i="24"/>
  <c r="E408" i="24"/>
  <c r="E407" i="24"/>
  <c r="I406" i="24"/>
  <c r="H406" i="24"/>
  <c r="G406" i="24"/>
  <c r="F406" i="24"/>
  <c r="E405" i="24"/>
  <c r="E404" i="24"/>
  <c r="E403" i="24"/>
  <c r="E402" i="24"/>
  <c r="E401" i="24"/>
  <c r="I400" i="24"/>
  <c r="H400" i="24"/>
  <c r="G400" i="24"/>
  <c r="F400" i="24"/>
  <c r="I399" i="24"/>
  <c r="H399" i="24"/>
  <c r="G399" i="24"/>
  <c r="F399" i="24"/>
  <c r="I398" i="24"/>
  <c r="H398" i="24"/>
  <c r="G398" i="24"/>
  <c r="F398" i="24"/>
  <c r="I397" i="24"/>
  <c r="H397" i="24"/>
  <c r="G397" i="24"/>
  <c r="F397" i="24"/>
  <c r="I396" i="24"/>
  <c r="H396" i="24"/>
  <c r="G396" i="24"/>
  <c r="F396" i="24"/>
  <c r="I395" i="24"/>
  <c r="H395" i="24"/>
  <c r="G395" i="24"/>
  <c r="F395" i="24"/>
  <c r="E393" i="24"/>
  <c r="E392" i="24"/>
  <c r="E391" i="24"/>
  <c r="E390" i="24"/>
  <c r="E389" i="24"/>
  <c r="I388" i="24"/>
  <c r="H388" i="24"/>
  <c r="G388" i="24"/>
  <c r="F388" i="24"/>
  <c r="E387" i="24"/>
  <c r="E386" i="24"/>
  <c r="E385" i="24"/>
  <c r="E384" i="24"/>
  <c r="E383" i="24"/>
  <c r="I382" i="24"/>
  <c r="H382" i="24"/>
  <c r="G382" i="24"/>
  <c r="F382" i="24"/>
  <c r="I381" i="24"/>
  <c r="H381" i="24"/>
  <c r="G381" i="24"/>
  <c r="F381" i="24"/>
  <c r="I380" i="24"/>
  <c r="H380" i="24"/>
  <c r="G380" i="24"/>
  <c r="F380" i="24"/>
  <c r="I379" i="24"/>
  <c r="H379" i="24"/>
  <c r="G379" i="24"/>
  <c r="F379" i="24"/>
  <c r="I378" i="24"/>
  <c r="H378" i="24"/>
  <c r="G378" i="24"/>
  <c r="F378" i="24"/>
  <c r="I377" i="24"/>
  <c r="H377" i="24"/>
  <c r="G377" i="24"/>
  <c r="F377" i="24"/>
  <c r="E375" i="24"/>
  <c r="E374" i="24"/>
  <c r="E373" i="24"/>
  <c r="E372" i="24"/>
  <c r="E371" i="24"/>
  <c r="I370" i="24"/>
  <c r="H370" i="24"/>
  <c r="G370" i="24"/>
  <c r="F370" i="24"/>
  <c r="E369" i="24"/>
  <c r="E368" i="24"/>
  <c r="E367" i="24"/>
  <c r="E366" i="24"/>
  <c r="E365" i="24"/>
  <c r="I364" i="24"/>
  <c r="H364" i="24"/>
  <c r="G364" i="24"/>
  <c r="F364" i="24"/>
  <c r="E363" i="24"/>
  <c r="E362" i="24"/>
  <c r="E361" i="24"/>
  <c r="I358" i="24"/>
  <c r="H358" i="24"/>
  <c r="G358" i="24"/>
  <c r="F358" i="24"/>
  <c r="I357" i="24"/>
  <c r="H357" i="24"/>
  <c r="G357" i="24"/>
  <c r="F357" i="24"/>
  <c r="I356" i="24"/>
  <c r="H356" i="24"/>
  <c r="G356" i="24"/>
  <c r="F356" i="24"/>
  <c r="I355" i="24"/>
  <c r="H355" i="24"/>
  <c r="G355" i="24"/>
  <c r="F355" i="24"/>
  <c r="I354" i="24"/>
  <c r="H354" i="24"/>
  <c r="G354" i="24"/>
  <c r="F354" i="24"/>
  <c r="I353" i="24"/>
  <c r="I352" i="24" s="1"/>
  <c r="H353" i="24"/>
  <c r="G353" i="24"/>
  <c r="F353" i="24"/>
  <c r="E344" i="24"/>
  <c r="E343" i="24"/>
  <c r="E342" i="24"/>
  <c r="E341" i="24"/>
  <c r="I340" i="24"/>
  <c r="H340" i="24"/>
  <c r="G340" i="24"/>
  <c r="F340" i="24"/>
  <c r="E338" i="24"/>
  <c r="E337" i="24"/>
  <c r="E336" i="24"/>
  <c r="E335" i="24"/>
  <c r="I334" i="24"/>
  <c r="H334" i="24"/>
  <c r="G334" i="24"/>
  <c r="F334" i="24"/>
  <c r="I333" i="24"/>
  <c r="H333" i="24"/>
  <c r="G333" i="24"/>
  <c r="F333" i="24"/>
  <c r="I332" i="24"/>
  <c r="H332" i="24"/>
  <c r="G332" i="24"/>
  <c r="F332" i="24"/>
  <c r="I331" i="24"/>
  <c r="H331" i="24"/>
  <c r="G331" i="24"/>
  <c r="F331" i="24"/>
  <c r="I330" i="24"/>
  <c r="H330" i="24"/>
  <c r="G330" i="24"/>
  <c r="F330" i="24"/>
  <c r="I329" i="24"/>
  <c r="H329" i="24"/>
  <c r="G329" i="24"/>
  <c r="F329" i="24"/>
  <c r="E326" i="24"/>
  <c r="E325" i="24"/>
  <c r="E324" i="24"/>
  <c r="E323" i="24"/>
  <c r="I322" i="24"/>
  <c r="H322" i="24"/>
  <c r="G322" i="24"/>
  <c r="F322" i="24"/>
  <c r="I321" i="24"/>
  <c r="H321" i="24"/>
  <c r="G321" i="24"/>
  <c r="F321" i="24"/>
  <c r="I320" i="24"/>
  <c r="H320" i="24"/>
  <c r="G320" i="24"/>
  <c r="F320" i="24"/>
  <c r="I319" i="24"/>
  <c r="H319" i="24"/>
  <c r="G319" i="24"/>
  <c r="F319" i="24"/>
  <c r="I318" i="24"/>
  <c r="H318" i="24"/>
  <c r="G318" i="24"/>
  <c r="F318" i="24"/>
  <c r="I317" i="24"/>
  <c r="H317" i="24"/>
  <c r="G317" i="24"/>
  <c r="F317" i="24"/>
  <c r="E314" i="24"/>
  <c r="E313" i="24"/>
  <c r="F312" i="24"/>
  <c r="E311" i="24"/>
  <c r="I310" i="24"/>
  <c r="H310" i="24"/>
  <c r="G310" i="24"/>
  <c r="F308" i="24"/>
  <c r="F307" i="24"/>
  <c r="E307" i="24" s="1"/>
  <c r="I304" i="24"/>
  <c r="H304" i="24"/>
  <c r="G304" i="24"/>
  <c r="E303" i="24"/>
  <c r="E302" i="24"/>
  <c r="E301" i="24"/>
  <c r="F300" i="24"/>
  <c r="E300" i="24" s="1"/>
  <c r="E299" i="24"/>
  <c r="I298" i="24"/>
  <c r="H298" i="24"/>
  <c r="G298" i="24"/>
  <c r="E297" i="24"/>
  <c r="E296" i="24"/>
  <c r="E295" i="24"/>
  <c r="F294" i="24"/>
  <c r="F292" i="24" s="1"/>
  <c r="I292" i="24"/>
  <c r="H292" i="24"/>
  <c r="G292" i="24"/>
  <c r="I291" i="24"/>
  <c r="H291" i="24"/>
  <c r="G291" i="24"/>
  <c r="F291" i="24"/>
  <c r="I290" i="24"/>
  <c r="H290" i="24"/>
  <c r="G290" i="24"/>
  <c r="F290" i="24"/>
  <c r="I289" i="24"/>
  <c r="H289" i="24"/>
  <c r="G289" i="24"/>
  <c r="F289" i="24"/>
  <c r="I288" i="24"/>
  <c r="H288" i="24"/>
  <c r="G288" i="24"/>
  <c r="I287" i="24"/>
  <c r="H287" i="24"/>
  <c r="G287" i="24"/>
  <c r="F287" i="24"/>
  <c r="E283" i="24"/>
  <c r="E282" i="24"/>
  <c r="I280" i="24"/>
  <c r="H280" i="24"/>
  <c r="G280" i="24"/>
  <c r="F280" i="24"/>
  <c r="E277" i="24"/>
  <c r="I276" i="24"/>
  <c r="I274" i="24" s="1"/>
  <c r="H276" i="24"/>
  <c r="G276" i="24"/>
  <c r="G274" i="24" s="1"/>
  <c r="F276" i="24"/>
  <c r="H275" i="24"/>
  <c r="F275" i="24"/>
  <c r="E273" i="24"/>
  <c r="E272" i="24"/>
  <c r="E271" i="24"/>
  <c r="E270" i="24"/>
  <c r="E269" i="24"/>
  <c r="I268" i="24"/>
  <c r="H268" i="24"/>
  <c r="G268" i="24"/>
  <c r="F268" i="24"/>
  <c r="F267" i="24"/>
  <c r="E267" i="24" s="1"/>
  <c r="F266" i="24"/>
  <c r="E266" i="24" s="1"/>
  <c r="F265" i="24"/>
  <c r="E265" i="24" s="1"/>
  <c r="F264" i="24"/>
  <c r="E264" i="24" s="1"/>
  <c r="F263" i="24"/>
  <c r="E263" i="24" s="1"/>
  <c r="I262" i="24"/>
  <c r="H262" i="24"/>
  <c r="G262" i="24"/>
  <c r="E261" i="24"/>
  <c r="E260" i="24"/>
  <c r="E259" i="24"/>
  <c r="E258" i="24"/>
  <c r="E257" i="24"/>
  <c r="I256" i="24"/>
  <c r="H256" i="24"/>
  <c r="G256" i="24"/>
  <c r="F256" i="24"/>
  <c r="E255" i="24"/>
  <c r="E254" i="24"/>
  <c r="E253" i="24"/>
  <c r="E252" i="24"/>
  <c r="E251" i="24"/>
  <c r="I250" i="24"/>
  <c r="H250" i="24"/>
  <c r="G250" i="24"/>
  <c r="F250" i="24"/>
  <c r="E249" i="24"/>
  <c r="E248" i="24"/>
  <c r="E247" i="24"/>
  <c r="E246" i="24"/>
  <c r="E245" i="24"/>
  <c r="I244" i="24"/>
  <c r="H244" i="24"/>
  <c r="G244" i="24"/>
  <c r="F244" i="24"/>
  <c r="I243" i="24"/>
  <c r="H243" i="24"/>
  <c r="G243" i="24"/>
  <c r="F243" i="24"/>
  <c r="I242" i="24"/>
  <c r="H242" i="24"/>
  <c r="G242" i="24"/>
  <c r="F242" i="24"/>
  <c r="I241" i="24"/>
  <c r="H241" i="24"/>
  <c r="G241" i="24"/>
  <c r="F241" i="24"/>
  <c r="I240" i="24"/>
  <c r="H240" i="24"/>
  <c r="G240" i="24"/>
  <c r="F240" i="24"/>
  <c r="I239" i="24"/>
  <c r="H239" i="24"/>
  <c r="G239" i="24"/>
  <c r="F239" i="24"/>
  <c r="E237" i="24"/>
  <c r="E236" i="24"/>
  <c r="E235" i="24"/>
  <c r="F234" i="24"/>
  <c r="G233" i="24"/>
  <c r="E233" i="24" s="1"/>
  <c r="I232" i="24"/>
  <c r="H232" i="24"/>
  <c r="I231" i="24"/>
  <c r="H231" i="24"/>
  <c r="G231" i="24"/>
  <c r="F231" i="24"/>
  <c r="I230" i="24"/>
  <c r="H230" i="24"/>
  <c r="G230" i="24"/>
  <c r="F230" i="24"/>
  <c r="I229" i="24"/>
  <c r="H229" i="24"/>
  <c r="G229" i="24"/>
  <c r="F229" i="24"/>
  <c r="I228" i="24"/>
  <c r="H228" i="24"/>
  <c r="G228" i="24"/>
  <c r="I227" i="24"/>
  <c r="H227" i="24"/>
  <c r="F227" i="24"/>
  <c r="E225" i="24"/>
  <c r="E224" i="24"/>
  <c r="E223" i="24"/>
  <c r="E222" i="24"/>
  <c r="E221" i="24"/>
  <c r="I220" i="24"/>
  <c r="H220" i="24"/>
  <c r="G220" i="24"/>
  <c r="F220" i="24"/>
  <c r="E219" i="24"/>
  <c r="E218" i="24"/>
  <c r="E217" i="24"/>
  <c r="E216" i="24"/>
  <c r="E215" i="24"/>
  <c r="H214" i="24"/>
  <c r="F214" i="24"/>
  <c r="E213" i="24"/>
  <c r="E212" i="24"/>
  <c r="E211" i="24"/>
  <c r="E210" i="24"/>
  <c r="E209" i="24"/>
  <c r="F208" i="24"/>
  <c r="E207" i="24"/>
  <c r="E206" i="24"/>
  <c r="E205" i="24"/>
  <c r="E204" i="24"/>
  <c r="E203" i="24"/>
  <c r="F202" i="24"/>
  <c r="E201" i="24"/>
  <c r="E200" i="24"/>
  <c r="E199" i="24"/>
  <c r="E198" i="24"/>
  <c r="F197" i="24"/>
  <c r="F185" i="24" s="1"/>
  <c r="I196" i="24"/>
  <c r="H196" i="24"/>
  <c r="G196" i="24"/>
  <c r="E195" i="24"/>
  <c r="E194" i="24"/>
  <c r="E193" i="24"/>
  <c r="F192" i="24"/>
  <c r="E192" i="24" s="1"/>
  <c r="E191" i="24"/>
  <c r="I190" i="24"/>
  <c r="H190" i="24"/>
  <c r="G190" i="24"/>
  <c r="I189" i="24"/>
  <c r="H189" i="24"/>
  <c r="G189" i="24"/>
  <c r="F189" i="24"/>
  <c r="I188" i="24"/>
  <c r="H188" i="24"/>
  <c r="G188" i="24"/>
  <c r="F188" i="24"/>
  <c r="I187" i="24"/>
  <c r="H187" i="24"/>
  <c r="G187" i="24"/>
  <c r="F187" i="24"/>
  <c r="I186" i="24"/>
  <c r="H186" i="24"/>
  <c r="G186" i="24"/>
  <c r="I185" i="24"/>
  <c r="H185" i="24"/>
  <c r="G185" i="24"/>
  <c r="E183" i="24"/>
  <c r="E182" i="24"/>
  <c r="E181" i="24"/>
  <c r="E180" i="24"/>
  <c r="E179" i="24"/>
  <c r="I178" i="24"/>
  <c r="H178" i="24"/>
  <c r="G178" i="24"/>
  <c r="F178" i="24"/>
  <c r="E177" i="24"/>
  <c r="E176" i="24"/>
  <c r="E175" i="24"/>
  <c r="E174" i="24"/>
  <c r="E173" i="24"/>
  <c r="I172" i="24"/>
  <c r="H172" i="24"/>
  <c r="G172" i="24"/>
  <c r="F172" i="24"/>
  <c r="I171" i="24"/>
  <c r="I159" i="24" s="1"/>
  <c r="H171" i="24"/>
  <c r="H159" i="24" s="1"/>
  <c r="G171" i="24"/>
  <c r="G159" i="24" s="1"/>
  <c r="F171" i="24"/>
  <c r="F159" i="24" s="1"/>
  <c r="I170" i="24"/>
  <c r="H170" i="24"/>
  <c r="G170" i="24"/>
  <c r="F170" i="24"/>
  <c r="I169" i="24"/>
  <c r="H169" i="24"/>
  <c r="G169" i="24"/>
  <c r="F169" i="24"/>
  <c r="I168" i="24"/>
  <c r="I156" i="24" s="1"/>
  <c r="H168" i="24"/>
  <c r="G168" i="24"/>
  <c r="F168" i="24"/>
  <c r="I167" i="24"/>
  <c r="H167" i="24"/>
  <c r="G167" i="24"/>
  <c r="F167" i="24"/>
  <c r="E165" i="24"/>
  <c r="E164" i="24"/>
  <c r="E163" i="24"/>
  <c r="I160" i="24"/>
  <c r="F160" i="24"/>
  <c r="I158" i="24"/>
  <c r="F158" i="24"/>
  <c r="I157" i="24"/>
  <c r="H157" i="24"/>
  <c r="G157" i="24"/>
  <c r="F157" i="24"/>
  <c r="H156" i="24"/>
  <c r="G156" i="24"/>
  <c r="F156" i="24"/>
  <c r="I155" i="24"/>
  <c r="H155" i="24"/>
  <c r="G155" i="24"/>
  <c r="F155" i="24"/>
  <c r="E153" i="24"/>
  <c r="E151" i="24"/>
  <c r="G150" i="24"/>
  <c r="E149" i="24"/>
  <c r="I148" i="24"/>
  <c r="H148" i="24"/>
  <c r="F148" i="24"/>
  <c r="E147" i="24"/>
  <c r="E145" i="24"/>
  <c r="F144" i="24"/>
  <c r="E144" i="24" s="1"/>
  <c r="E143" i="24"/>
  <c r="I142" i="24"/>
  <c r="H142" i="24"/>
  <c r="G142" i="24"/>
  <c r="E141" i="24"/>
  <c r="E139" i="24"/>
  <c r="F138" i="24"/>
  <c r="E138" i="24" s="1"/>
  <c r="E137" i="24"/>
  <c r="I136" i="24"/>
  <c r="H136" i="24"/>
  <c r="G136" i="24"/>
  <c r="E135" i="24"/>
  <c r="E133" i="24"/>
  <c r="E132" i="24"/>
  <c r="E131" i="24"/>
  <c r="I130" i="24"/>
  <c r="H130" i="24"/>
  <c r="G130" i="24"/>
  <c r="F130" i="24"/>
  <c r="E129" i="24"/>
  <c r="E127" i="24"/>
  <c r="F126" i="24"/>
  <c r="I124" i="24"/>
  <c r="H124" i="24"/>
  <c r="G124" i="24"/>
  <c r="E123" i="24"/>
  <c r="E122" i="24"/>
  <c r="E121" i="24"/>
  <c r="F120" i="24"/>
  <c r="F118" i="24" s="1"/>
  <c r="E119" i="24"/>
  <c r="I118" i="24"/>
  <c r="H118" i="24"/>
  <c r="G118" i="24"/>
  <c r="E117" i="24"/>
  <c r="E116" i="24"/>
  <c r="E115" i="24"/>
  <c r="E114" i="24"/>
  <c r="E113" i="24"/>
  <c r="I112" i="24"/>
  <c r="H112" i="24"/>
  <c r="G112" i="24"/>
  <c r="F112" i="24"/>
  <c r="E111" i="24"/>
  <c r="E110" i="24"/>
  <c r="E109" i="24"/>
  <c r="E108" i="24"/>
  <c r="E107" i="24"/>
  <c r="F106" i="24"/>
  <c r="E106" i="24" s="1"/>
  <c r="E105" i="24"/>
  <c r="E104" i="24"/>
  <c r="E103" i="24"/>
  <c r="E102" i="24"/>
  <c r="E101" i="24"/>
  <c r="I100" i="24"/>
  <c r="H100" i="24"/>
  <c r="G100" i="24"/>
  <c r="F100" i="24"/>
  <c r="E99" i="24"/>
  <c r="E98" i="24"/>
  <c r="E97" i="24"/>
  <c r="E96" i="24"/>
  <c r="E95" i="24"/>
  <c r="I94" i="24"/>
  <c r="H94" i="24"/>
  <c r="G94" i="24"/>
  <c r="F94" i="24"/>
  <c r="E93" i="24"/>
  <c r="E92" i="24"/>
  <c r="E91" i="24"/>
  <c r="F90" i="24"/>
  <c r="E89" i="24"/>
  <c r="I88" i="24"/>
  <c r="H88" i="24"/>
  <c r="G88" i="24"/>
  <c r="E87" i="24"/>
  <c r="E86" i="24"/>
  <c r="E85" i="24"/>
  <c r="F84" i="24"/>
  <c r="E83" i="24"/>
  <c r="I82" i="24"/>
  <c r="H82" i="24"/>
  <c r="G82" i="24"/>
  <c r="E81" i="24"/>
  <c r="E80" i="24"/>
  <c r="F79" i="24"/>
  <c r="E79" i="24" s="1"/>
  <c r="E78" i="24"/>
  <c r="E77" i="24"/>
  <c r="I76" i="24"/>
  <c r="H76" i="24"/>
  <c r="G76" i="24"/>
  <c r="E75" i="24"/>
  <c r="E74" i="24"/>
  <c r="E73" i="24"/>
  <c r="E72" i="24"/>
  <c r="E71" i="24"/>
  <c r="I70" i="24"/>
  <c r="H70" i="24"/>
  <c r="G70" i="24"/>
  <c r="F70" i="24"/>
  <c r="E69" i="24"/>
  <c r="E68" i="24"/>
  <c r="E67" i="24"/>
  <c r="F66" i="24"/>
  <c r="E66" i="24" s="1"/>
  <c r="E65" i="24"/>
  <c r="I64" i="24"/>
  <c r="H64" i="24"/>
  <c r="G64" i="24"/>
  <c r="E63" i="24"/>
  <c r="E62" i="24"/>
  <c r="F61" i="24"/>
  <c r="E61" i="24" s="1"/>
  <c r="F60" i="24"/>
  <c r="E59" i="24"/>
  <c r="I58" i="24"/>
  <c r="H58" i="24"/>
  <c r="G58" i="24"/>
  <c r="E57" i="24"/>
  <c r="E56" i="24"/>
  <c r="E55" i="24"/>
  <c r="E54" i="24"/>
  <c r="E53" i="24"/>
  <c r="I52" i="24"/>
  <c r="H52" i="24"/>
  <c r="G52" i="24"/>
  <c r="F52" i="24"/>
  <c r="H51" i="24"/>
  <c r="H45" i="24" s="1"/>
  <c r="U45" i="24" s="1"/>
  <c r="F51" i="24"/>
  <c r="H50" i="24"/>
  <c r="H44" i="24" s="1"/>
  <c r="U44" i="24" s="1"/>
  <c r="F50" i="24"/>
  <c r="H49" i="24"/>
  <c r="H43" i="24" s="1"/>
  <c r="U43" i="24" s="1"/>
  <c r="F49" i="24"/>
  <c r="H48" i="24"/>
  <c r="F48" i="24"/>
  <c r="H47" i="24"/>
  <c r="H41" i="24" s="1"/>
  <c r="F47" i="24"/>
  <c r="F41" i="24" s="1"/>
  <c r="S41" i="24" s="1"/>
  <c r="I46" i="24"/>
  <c r="G46" i="24"/>
  <c r="I45" i="24"/>
  <c r="V45" i="24" s="1"/>
  <c r="G45" i="24"/>
  <c r="T45" i="24" s="1"/>
  <c r="I44" i="24"/>
  <c r="V44" i="24" s="1"/>
  <c r="G44" i="24"/>
  <c r="T44" i="24" s="1"/>
  <c r="I43" i="24"/>
  <c r="V43" i="24" s="1"/>
  <c r="G43" i="24"/>
  <c r="T43" i="24" s="1"/>
  <c r="I42" i="24"/>
  <c r="V42" i="24" s="1"/>
  <c r="I41" i="24"/>
  <c r="G41" i="24"/>
  <c r="T41" i="24" s="1"/>
  <c r="E39" i="24"/>
  <c r="E38" i="24"/>
  <c r="E37" i="24"/>
  <c r="E36" i="24"/>
  <c r="E35" i="24"/>
  <c r="I34" i="24"/>
  <c r="H34" i="24"/>
  <c r="G34" i="24"/>
  <c r="F34" i="24"/>
  <c r="E32" i="24"/>
  <c r="F31" i="24"/>
  <c r="F25" i="24" s="1"/>
  <c r="F30" i="24"/>
  <c r="E30" i="24" s="1"/>
  <c r="E29" i="24"/>
  <c r="I28" i="24"/>
  <c r="H28" i="24"/>
  <c r="G28" i="24"/>
  <c r="I27" i="24"/>
  <c r="H27" i="24"/>
  <c r="G27" i="24"/>
  <c r="F27" i="24"/>
  <c r="I26" i="24"/>
  <c r="H26" i="24"/>
  <c r="G26" i="24"/>
  <c r="F26" i="24"/>
  <c r="I25" i="24"/>
  <c r="H25" i="24"/>
  <c r="G25" i="24"/>
  <c r="I24" i="24"/>
  <c r="H24" i="24"/>
  <c r="G24" i="24"/>
  <c r="I23" i="24"/>
  <c r="H23" i="24"/>
  <c r="G23" i="24"/>
  <c r="F23" i="24"/>
  <c r="Y21" i="24"/>
  <c r="Y20" i="24"/>
  <c r="Y19" i="24"/>
  <c r="Y18" i="24"/>
  <c r="Y17" i="24"/>
  <c r="Y15" i="24"/>
  <c r="Y14" i="24"/>
  <c r="Y13" i="24"/>
  <c r="Y12" i="24"/>
  <c r="Y11" i="24"/>
  <c r="Y10" i="24"/>
  <c r="E945" i="23"/>
  <c r="E944" i="23"/>
  <c r="E943" i="23"/>
  <c r="E942" i="23"/>
  <c r="E941" i="23"/>
  <c r="I940" i="23"/>
  <c r="H940" i="23"/>
  <c r="G940" i="23"/>
  <c r="F940" i="23"/>
  <c r="F939" i="23"/>
  <c r="F933" i="23" s="1"/>
  <c r="E933" i="23" s="1"/>
  <c r="F938" i="23"/>
  <c r="F937" i="23"/>
  <c r="F931" i="23" s="1"/>
  <c r="F936" i="23"/>
  <c r="E936" i="23" s="1"/>
  <c r="F935" i="23"/>
  <c r="I933" i="23"/>
  <c r="H933" i="23"/>
  <c r="G933" i="23"/>
  <c r="I932" i="23"/>
  <c r="H932" i="23"/>
  <c r="G932" i="23"/>
  <c r="I931" i="23"/>
  <c r="G931" i="23"/>
  <c r="I930" i="23"/>
  <c r="H930" i="23"/>
  <c r="I929" i="23"/>
  <c r="H929" i="23"/>
  <c r="E927" i="23"/>
  <c r="E926" i="23"/>
  <c r="E925" i="23"/>
  <c r="E924" i="23"/>
  <c r="E923" i="23"/>
  <c r="I922" i="23"/>
  <c r="H922" i="23"/>
  <c r="G922" i="23"/>
  <c r="F922" i="23"/>
  <c r="E921" i="23"/>
  <c r="E920" i="23"/>
  <c r="E919" i="23"/>
  <c r="F918" i="23"/>
  <c r="F916" i="23" s="1"/>
  <c r="E917" i="23"/>
  <c r="I916" i="23"/>
  <c r="H916" i="23"/>
  <c r="G916" i="23"/>
  <c r="I915" i="23"/>
  <c r="H915" i="23"/>
  <c r="G915" i="23"/>
  <c r="F915" i="23"/>
  <c r="I914" i="23"/>
  <c r="H914" i="23"/>
  <c r="G914" i="23"/>
  <c r="F914" i="23"/>
  <c r="I913" i="23"/>
  <c r="H913" i="23"/>
  <c r="G913" i="23"/>
  <c r="F913" i="23"/>
  <c r="I912" i="23"/>
  <c r="H912" i="23"/>
  <c r="G912" i="23"/>
  <c r="I911" i="23"/>
  <c r="H911" i="23"/>
  <c r="G911" i="23"/>
  <c r="F911" i="23"/>
  <c r="E909" i="23"/>
  <c r="E908" i="23"/>
  <c r="E907" i="23"/>
  <c r="E906" i="23"/>
  <c r="E905" i="23"/>
  <c r="I904" i="23"/>
  <c r="H904" i="23"/>
  <c r="G904" i="23"/>
  <c r="F904" i="23"/>
  <c r="E903" i="23"/>
  <c r="E902" i="23"/>
  <c r="E901" i="23"/>
  <c r="E900" i="23"/>
  <c r="E899" i="23"/>
  <c r="I898" i="23"/>
  <c r="H898" i="23"/>
  <c r="G898" i="23"/>
  <c r="F898" i="23"/>
  <c r="E897" i="23"/>
  <c r="E896" i="23"/>
  <c r="E895" i="23"/>
  <c r="E894" i="23"/>
  <c r="F893" i="23"/>
  <c r="F892" i="23" s="1"/>
  <c r="I892" i="23"/>
  <c r="H892" i="23"/>
  <c r="G892" i="23"/>
  <c r="E891" i="23"/>
  <c r="E890" i="23"/>
  <c r="E889" i="23"/>
  <c r="E888" i="23"/>
  <c r="E887" i="23"/>
  <c r="I886" i="23"/>
  <c r="H886" i="23"/>
  <c r="G886" i="23"/>
  <c r="F886" i="23"/>
  <c r="E885" i="23"/>
  <c r="E884" i="23"/>
  <c r="E883" i="23"/>
  <c r="E882" i="23"/>
  <c r="E881" i="23"/>
  <c r="I880" i="23"/>
  <c r="H880" i="23"/>
  <c r="G880" i="23"/>
  <c r="F880" i="23"/>
  <c r="I879" i="23"/>
  <c r="H879" i="23"/>
  <c r="G879" i="23"/>
  <c r="F879" i="23"/>
  <c r="I878" i="23"/>
  <c r="H878" i="23"/>
  <c r="G878" i="23"/>
  <c r="F878" i="23"/>
  <c r="I877" i="23"/>
  <c r="H877" i="23"/>
  <c r="G877" i="23"/>
  <c r="F877" i="23"/>
  <c r="I876" i="23"/>
  <c r="H876" i="23"/>
  <c r="G876" i="23"/>
  <c r="F876" i="23"/>
  <c r="I875" i="23"/>
  <c r="H875" i="23"/>
  <c r="G875" i="23"/>
  <c r="E873" i="23"/>
  <c r="E872" i="23"/>
  <c r="E871" i="23"/>
  <c r="E870" i="23"/>
  <c r="E869" i="23"/>
  <c r="I868" i="23"/>
  <c r="H868" i="23"/>
  <c r="G868" i="23"/>
  <c r="F868" i="23"/>
  <c r="E867" i="23"/>
  <c r="E866" i="23"/>
  <c r="E865" i="23"/>
  <c r="E864" i="23"/>
  <c r="E863" i="23"/>
  <c r="I862" i="23"/>
  <c r="H862" i="23"/>
  <c r="G862" i="23"/>
  <c r="F862" i="23"/>
  <c r="E861" i="23"/>
  <c r="E860" i="23"/>
  <c r="E859" i="23"/>
  <c r="E858" i="23"/>
  <c r="E857" i="23"/>
  <c r="I856" i="23"/>
  <c r="H856" i="23"/>
  <c r="G856" i="23"/>
  <c r="F856" i="23"/>
  <c r="E855" i="23"/>
  <c r="E854" i="23"/>
  <c r="E853" i="23"/>
  <c r="E852" i="23"/>
  <c r="E851" i="23"/>
  <c r="I850" i="23"/>
  <c r="H850" i="23"/>
  <c r="G850" i="23"/>
  <c r="F850" i="23"/>
  <c r="E849" i="23"/>
  <c r="E848" i="23"/>
  <c r="E847" i="23"/>
  <c r="E846" i="23"/>
  <c r="E845" i="23"/>
  <c r="E844" i="23"/>
  <c r="E843" i="23"/>
  <c r="E842" i="23"/>
  <c r="F841" i="23"/>
  <c r="E841" i="23" s="1"/>
  <c r="E840" i="23"/>
  <c r="E839" i="23"/>
  <c r="I838" i="23"/>
  <c r="H838" i="23"/>
  <c r="G838" i="23"/>
  <c r="E837" i="23"/>
  <c r="E836" i="23"/>
  <c r="E835" i="23"/>
  <c r="E834" i="23"/>
  <c r="E833" i="23"/>
  <c r="I832" i="23"/>
  <c r="H832" i="23"/>
  <c r="G832" i="23"/>
  <c r="F832" i="23"/>
  <c r="E831" i="23"/>
  <c r="E830" i="23"/>
  <c r="E829" i="23"/>
  <c r="E828" i="23"/>
  <c r="E827" i="23"/>
  <c r="I826" i="23"/>
  <c r="H826" i="23"/>
  <c r="G826" i="23"/>
  <c r="F826" i="23"/>
  <c r="E825" i="23"/>
  <c r="E824" i="23"/>
  <c r="E823" i="23"/>
  <c r="E822" i="23"/>
  <c r="E821" i="23"/>
  <c r="I820" i="23"/>
  <c r="H820" i="23"/>
  <c r="G820" i="23"/>
  <c r="F820" i="23"/>
  <c r="E819" i="23"/>
  <c r="E818" i="23"/>
  <c r="E817" i="23"/>
  <c r="E816" i="23"/>
  <c r="E815" i="23"/>
  <c r="I814" i="23"/>
  <c r="H814" i="23"/>
  <c r="G814" i="23"/>
  <c r="F814" i="23"/>
  <c r="E813" i="23"/>
  <c r="E33" i="21" s="1"/>
  <c r="AB812" i="23"/>
  <c r="AA812" i="23"/>
  <c r="F812" i="23"/>
  <c r="E812" i="23" s="1"/>
  <c r="AB811" i="23"/>
  <c r="AA811" i="23"/>
  <c r="F811" i="23"/>
  <c r="F805" i="23" s="1"/>
  <c r="E810" i="23"/>
  <c r="E30" i="21" s="1"/>
  <c r="E809" i="23"/>
  <c r="E29" i="21" s="1"/>
  <c r="AB808" i="23"/>
  <c r="AA808" i="23"/>
  <c r="I808" i="23"/>
  <c r="I28" i="21" s="1"/>
  <c r="H808" i="23"/>
  <c r="H28" i="21" s="1"/>
  <c r="O28" i="21" s="1"/>
  <c r="G808" i="23"/>
  <c r="G28" i="21" s="1"/>
  <c r="I807" i="23"/>
  <c r="I27" i="21" s="1"/>
  <c r="H807" i="23"/>
  <c r="H27" i="21" s="1"/>
  <c r="G807" i="23"/>
  <c r="F807" i="23"/>
  <c r="F27" i="21" s="1"/>
  <c r="I806" i="23"/>
  <c r="I26" i="21" s="1"/>
  <c r="H806" i="23"/>
  <c r="H26" i="21" s="1"/>
  <c r="G806" i="23"/>
  <c r="G26" i="21" s="1"/>
  <c r="I805" i="23"/>
  <c r="I25" i="21" s="1"/>
  <c r="H805" i="23"/>
  <c r="H25" i="21" s="1"/>
  <c r="G805" i="23"/>
  <c r="G25" i="21" s="1"/>
  <c r="I804" i="23"/>
  <c r="H804" i="23"/>
  <c r="H24" i="21" s="1"/>
  <c r="G804" i="23"/>
  <c r="G24" i="21" s="1"/>
  <c r="F804" i="23"/>
  <c r="F24" i="21" s="1"/>
  <c r="I803" i="23"/>
  <c r="I23" i="21" s="1"/>
  <c r="H803" i="23"/>
  <c r="H23" i="21" s="1"/>
  <c r="G803" i="23"/>
  <c r="F803" i="23"/>
  <c r="F23" i="21" s="1"/>
  <c r="E801" i="23"/>
  <c r="E800" i="23"/>
  <c r="E799" i="23"/>
  <c r="E798" i="23"/>
  <c r="E797" i="23"/>
  <c r="I796" i="23"/>
  <c r="H796" i="23"/>
  <c r="G796" i="23"/>
  <c r="F796" i="23"/>
  <c r="E795" i="23"/>
  <c r="E794" i="23"/>
  <c r="E793" i="23"/>
  <c r="E792" i="23"/>
  <c r="E791" i="23"/>
  <c r="I790" i="23"/>
  <c r="H790" i="23"/>
  <c r="G790" i="23"/>
  <c r="F790" i="23"/>
  <c r="E789" i="23"/>
  <c r="E788" i="23"/>
  <c r="E787" i="23"/>
  <c r="H786" i="23"/>
  <c r="E785" i="23"/>
  <c r="I784" i="23"/>
  <c r="G784" i="23"/>
  <c r="F784" i="23"/>
  <c r="E783" i="23"/>
  <c r="E782" i="23"/>
  <c r="E781" i="23"/>
  <c r="E780" i="23"/>
  <c r="E779" i="23"/>
  <c r="I778" i="23"/>
  <c r="H778" i="23"/>
  <c r="G778" i="23"/>
  <c r="F778" i="23"/>
  <c r="E777" i="23"/>
  <c r="E776" i="23"/>
  <c r="E775" i="23"/>
  <c r="E774" i="23"/>
  <c r="E773" i="23"/>
  <c r="I772" i="23"/>
  <c r="H772" i="23"/>
  <c r="G772" i="23"/>
  <c r="F772" i="23"/>
  <c r="E771" i="23"/>
  <c r="E769" i="23"/>
  <c r="E768" i="23"/>
  <c r="I766" i="23"/>
  <c r="H766" i="23"/>
  <c r="G766" i="23"/>
  <c r="F766" i="23"/>
  <c r="E765" i="23"/>
  <c r="E763" i="23"/>
  <c r="E762" i="23"/>
  <c r="I760" i="23"/>
  <c r="H760" i="23"/>
  <c r="G760" i="23"/>
  <c r="F760" i="23"/>
  <c r="E759" i="23"/>
  <c r="E756" i="23"/>
  <c r="I754" i="23"/>
  <c r="H754" i="23"/>
  <c r="G754" i="23"/>
  <c r="F754" i="23"/>
  <c r="E753" i="23"/>
  <c r="E752" i="23"/>
  <c r="E751" i="23"/>
  <c r="E750" i="23"/>
  <c r="E749" i="23"/>
  <c r="I748" i="23"/>
  <c r="H748" i="23"/>
  <c r="G748" i="23"/>
  <c r="F748" i="23"/>
  <c r="E747" i="23"/>
  <c r="E744" i="23"/>
  <c r="E743" i="23"/>
  <c r="I742" i="23"/>
  <c r="H742" i="23"/>
  <c r="G742" i="23"/>
  <c r="F742" i="23"/>
  <c r="E741" i="23"/>
  <c r="E740" i="23"/>
  <c r="E739" i="23"/>
  <c r="E738" i="23"/>
  <c r="E737" i="23"/>
  <c r="I736" i="23"/>
  <c r="H736" i="23"/>
  <c r="G736" i="23"/>
  <c r="F736" i="23"/>
  <c r="E735" i="23"/>
  <c r="E734" i="23"/>
  <c r="E733" i="23"/>
  <c r="E732" i="23"/>
  <c r="E731" i="23"/>
  <c r="I730" i="23"/>
  <c r="H730" i="23"/>
  <c r="G730" i="23"/>
  <c r="F730" i="23"/>
  <c r="I729" i="23"/>
  <c r="H729" i="23"/>
  <c r="G729" i="23"/>
  <c r="F729" i="23"/>
  <c r="I728" i="23"/>
  <c r="H728" i="23"/>
  <c r="G728" i="23"/>
  <c r="F728" i="23"/>
  <c r="I727" i="23"/>
  <c r="H727" i="23"/>
  <c r="G727" i="23"/>
  <c r="F727" i="23"/>
  <c r="I726" i="23"/>
  <c r="G726" i="23"/>
  <c r="F726" i="23"/>
  <c r="I725" i="23"/>
  <c r="H725" i="23"/>
  <c r="G725" i="23"/>
  <c r="F725" i="23"/>
  <c r="E717" i="23"/>
  <c r="E716" i="23"/>
  <c r="F715" i="23"/>
  <c r="E714" i="23"/>
  <c r="I712" i="23"/>
  <c r="H712" i="23"/>
  <c r="E711" i="23"/>
  <c r="E710" i="23"/>
  <c r="E709" i="23"/>
  <c r="E708" i="23"/>
  <c r="I706" i="23"/>
  <c r="H706" i="23"/>
  <c r="F706" i="23"/>
  <c r="E705" i="23"/>
  <c r="E704" i="23"/>
  <c r="F703" i="23"/>
  <c r="E703" i="23" s="1"/>
  <c r="H702" i="23"/>
  <c r="H700" i="23" s="1"/>
  <c r="F702" i="23"/>
  <c r="I700" i="23"/>
  <c r="E699" i="23"/>
  <c r="E698" i="23"/>
  <c r="E697" i="23"/>
  <c r="F696" i="23"/>
  <c r="E695" i="23"/>
  <c r="I694" i="23"/>
  <c r="H694" i="23"/>
  <c r="G694" i="23"/>
  <c r="E693" i="23"/>
  <c r="E692" i="23"/>
  <c r="E691" i="23"/>
  <c r="E690" i="23"/>
  <c r="E689" i="23"/>
  <c r="I688" i="23"/>
  <c r="H688" i="23"/>
  <c r="G688" i="23"/>
  <c r="F688" i="23"/>
  <c r="E687" i="23"/>
  <c r="E686" i="23"/>
  <c r="E685" i="23"/>
  <c r="E684" i="23"/>
  <c r="I682" i="23"/>
  <c r="H682" i="23"/>
  <c r="G682" i="23"/>
  <c r="F682" i="23"/>
  <c r="I681" i="23"/>
  <c r="I680" i="23"/>
  <c r="I679" i="23"/>
  <c r="I673" i="23" s="1"/>
  <c r="I678" i="23"/>
  <c r="H677" i="23"/>
  <c r="H671" i="23" s="1"/>
  <c r="I671" i="23"/>
  <c r="F671" i="23"/>
  <c r="E669" i="23"/>
  <c r="E668" i="23"/>
  <c r="E667" i="23"/>
  <c r="F666" i="23"/>
  <c r="E665" i="23"/>
  <c r="I664" i="23"/>
  <c r="H664" i="23"/>
  <c r="G664" i="23"/>
  <c r="E663" i="23"/>
  <c r="E662" i="23"/>
  <c r="E661" i="23"/>
  <c r="F660" i="23"/>
  <c r="E660" i="23" s="1"/>
  <c r="E659" i="23"/>
  <c r="I658" i="23"/>
  <c r="H658" i="23"/>
  <c r="G658" i="23"/>
  <c r="E657" i="23"/>
  <c r="E656" i="23"/>
  <c r="E655" i="23"/>
  <c r="F654" i="23"/>
  <c r="E653" i="23"/>
  <c r="I652" i="23"/>
  <c r="H652" i="23"/>
  <c r="G652" i="23"/>
  <c r="E651" i="23"/>
  <c r="E650" i="23"/>
  <c r="E649" i="23"/>
  <c r="E648" i="23"/>
  <c r="E647" i="23"/>
  <c r="I646" i="23"/>
  <c r="H646" i="23"/>
  <c r="G646" i="23"/>
  <c r="F646" i="23"/>
  <c r="E645" i="23"/>
  <c r="E644" i="23"/>
  <c r="G643" i="23"/>
  <c r="E642" i="23"/>
  <c r="E641" i="23"/>
  <c r="I640" i="23"/>
  <c r="H640" i="23"/>
  <c r="F640" i="23"/>
  <c r="E639" i="23"/>
  <c r="E638" i="23"/>
  <c r="E637" i="23"/>
  <c r="E636" i="23"/>
  <c r="E635" i="23"/>
  <c r="I634" i="23"/>
  <c r="H634" i="23"/>
  <c r="G634" i="23"/>
  <c r="F634" i="23"/>
  <c r="E633" i="23"/>
  <c r="E632" i="23"/>
  <c r="E631" i="23"/>
  <c r="F630" i="23"/>
  <c r="E629" i="23"/>
  <c r="I628" i="23"/>
  <c r="H628" i="23"/>
  <c r="G628" i="23"/>
  <c r="E627" i="23"/>
  <c r="F626" i="23"/>
  <c r="E626" i="23" s="1"/>
  <c r="M625" i="23"/>
  <c r="G625" i="23"/>
  <c r="G622" i="23" s="1"/>
  <c r="F624" i="23"/>
  <c r="E623" i="23"/>
  <c r="I622" i="23"/>
  <c r="H622" i="23"/>
  <c r="E621" i="23"/>
  <c r="E620" i="23"/>
  <c r="E619" i="23"/>
  <c r="F618" i="23"/>
  <c r="F616" i="23" s="1"/>
  <c r="E617" i="23"/>
  <c r="I616" i="23"/>
  <c r="H616" i="23"/>
  <c r="G616" i="23"/>
  <c r="E615" i="23"/>
  <c r="E614" i="23"/>
  <c r="E613" i="23"/>
  <c r="E612" i="23"/>
  <c r="E611" i="23"/>
  <c r="I610" i="23"/>
  <c r="H610" i="23"/>
  <c r="G610" i="23"/>
  <c r="F610" i="23"/>
  <c r="E609" i="23"/>
  <c r="E608" i="23"/>
  <c r="G607" i="23"/>
  <c r="E607" i="23" s="1"/>
  <c r="G606" i="23"/>
  <c r="E605" i="23"/>
  <c r="I604" i="23"/>
  <c r="H604" i="23"/>
  <c r="F604" i="23"/>
  <c r="I603" i="23"/>
  <c r="H603" i="23"/>
  <c r="U603" i="23" s="1"/>
  <c r="G603" i="23"/>
  <c r="T603" i="23" s="1"/>
  <c r="F603" i="23"/>
  <c r="I602" i="23"/>
  <c r="H602" i="23"/>
  <c r="U602" i="23" s="1"/>
  <c r="G602" i="23"/>
  <c r="T602" i="23" s="1"/>
  <c r="I601" i="23"/>
  <c r="H601" i="23"/>
  <c r="U601" i="23" s="1"/>
  <c r="F601" i="23"/>
  <c r="I600" i="23"/>
  <c r="H600" i="23"/>
  <c r="U600" i="23" s="1"/>
  <c r="I599" i="23"/>
  <c r="H599" i="23"/>
  <c r="G599" i="23"/>
  <c r="T599" i="23" s="1"/>
  <c r="F599" i="23"/>
  <c r="E591" i="23"/>
  <c r="E590" i="23"/>
  <c r="E589" i="23"/>
  <c r="E588" i="23"/>
  <c r="E587" i="23"/>
  <c r="I586" i="23"/>
  <c r="H586" i="23"/>
  <c r="G586" i="23"/>
  <c r="F586" i="23"/>
  <c r="H582" i="23"/>
  <c r="H580" i="23" s="1"/>
  <c r="F582" i="23"/>
  <c r="F580" i="23" s="1"/>
  <c r="I580" i="23"/>
  <c r="G580" i="23"/>
  <c r="F576" i="23"/>
  <c r="E576" i="23" s="1"/>
  <c r="E574" i="23" s="1"/>
  <c r="I574" i="23"/>
  <c r="H574" i="23"/>
  <c r="G574" i="23"/>
  <c r="E570" i="23"/>
  <c r="E568" i="23" s="1"/>
  <c r="I568" i="23"/>
  <c r="H568" i="23"/>
  <c r="G568" i="23"/>
  <c r="F568" i="23"/>
  <c r="E564" i="23"/>
  <c r="E562" i="23" s="1"/>
  <c r="I562" i="23"/>
  <c r="H562" i="23"/>
  <c r="G562" i="23"/>
  <c r="F562" i="23"/>
  <c r="E558" i="23"/>
  <c r="H557" i="23"/>
  <c r="F557" i="23"/>
  <c r="F556" i="23" s="1"/>
  <c r="I556" i="23"/>
  <c r="G556" i="23"/>
  <c r="I555" i="23"/>
  <c r="H555" i="23"/>
  <c r="G555" i="23"/>
  <c r="F555" i="23"/>
  <c r="E555" i="23"/>
  <c r="I554" i="23"/>
  <c r="H554" i="23"/>
  <c r="G554" i="23"/>
  <c r="F554" i="23"/>
  <c r="E554" i="23"/>
  <c r="I553" i="23"/>
  <c r="H553" i="23"/>
  <c r="G553" i="23"/>
  <c r="F553" i="23"/>
  <c r="E553" i="23"/>
  <c r="I552" i="23"/>
  <c r="H552" i="23"/>
  <c r="G552" i="23"/>
  <c r="I551" i="23"/>
  <c r="G551" i="23"/>
  <c r="E547" i="23"/>
  <c r="F546" i="23"/>
  <c r="E545" i="23"/>
  <c r="I544" i="23"/>
  <c r="I539" i="23" s="1"/>
  <c r="I538" i="23" s="1"/>
  <c r="H544" i="23"/>
  <c r="H539" i="23" s="1"/>
  <c r="G544" i="23"/>
  <c r="F542" i="23"/>
  <c r="G541" i="23"/>
  <c r="F541" i="23"/>
  <c r="G539" i="23"/>
  <c r="F539" i="23"/>
  <c r="E537" i="23"/>
  <c r="E536" i="23"/>
  <c r="E535" i="23"/>
  <c r="F534" i="23"/>
  <c r="F532" i="23" s="1"/>
  <c r="E533" i="23"/>
  <c r="I532" i="23"/>
  <c r="H532" i="23"/>
  <c r="G532" i="23"/>
  <c r="E531" i="23"/>
  <c r="E530" i="23"/>
  <c r="E529" i="23"/>
  <c r="E528" i="23"/>
  <c r="E527" i="23"/>
  <c r="I526" i="23"/>
  <c r="H526" i="23"/>
  <c r="G526" i="23"/>
  <c r="F526" i="23"/>
  <c r="I525" i="23"/>
  <c r="H525" i="23"/>
  <c r="G525" i="23"/>
  <c r="F525" i="23"/>
  <c r="I524" i="23"/>
  <c r="H524" i="23"/>
  <c r="G524" i="23"/>
  <c r="F524" i="23"/>
  <c r="I523" i="23"/>
  <c r="H523" i="23"/>
  <c r="G523" i="23"/>
  <c r="F523" i="23"/>
  <c r="I522" i="23"/>
  <c r="H522" i="23"/>
  <c r="G522" i="23"/>
  <c r="I521" i="23"/>
  <c r="H521" i="23"/>
  <c r="G521" i="23"/>
  <c r="F521" i="23"/>
  <c r="E519" i="23"/>
  <c r="E518" i="23"/>
  <c r="E517" i="23"/>
  <c r="E516" i="23"/>
  <c r="E515" i="23"/>
  <c r="I514" i="23"/>
  <c r="H514" i="23"/>
  <c r="G514" i="23"/>
  <c r="F514" i="23"/>
  <c r="F513" i="23"/>
  <c r="E513" i="23" s="1"/>
  <c r="F512" i="23"/>
  <c r="E512" i="23" s="1"/>
  <c r="F511" i="23"/>
  <c r="E511" i="23" s="1"/>
  <c r="E510" i="23"/>
  <c r="E509" i="23"/>
  <c r="I508" i="23"/>
  <c r="H508" i="23"/>
  <c r="G508" i="23"/>
  <c r="E507" i="23"/>
  <c r="E506" i="23"/>
  <c r="E505" i="23"/>
  <c r="E504" i="23"/>
  <c r="E503" i="23"/>
  <c r="I502" i="23"/>
  <c r="H502" i="23"/>
  <c r="G502" i="23"/>
  <c r="F502" i="23"/>
  <c r="E501" i="23"/>
  <c r="E500" i="23"/>
  <c r="E499" i="23"/>
  <c r="E498" i="23"/>
  <c r="E497" i="23"/>
  <c r="I496" i="23"/>
  <c r="H496" i="23"/>
  <c r="G496" i="23"/>
  <c r="F496" i="23"/>
  <c r="E495" i="23"/>
  <c r="E494" i="23"/>
  <c r="E493" i="23"/>
  <c r="E492" i="23"/>
  <c r="E491" i="23"/>
  <c r="I490" i="23"/>
  <c r="H490" i="23"/>
  <c r="F490" i="23"/>
  <c r="E489" i="23"/>
  <c r="E488" i="23"/>
  <c r="E487" i="23"/>
  <c r="E486" i="23"/>
  <c r="E485" i="23"/>
  <c r="H484" i="23"/>
  <c r="G484" i="23"/>
  <c r="F484" i="23"/>
  <c r="E483" i="23"/>
  <c r="E482" i="23"/>
  <c r="E481" i="23"/>
  <c r="E480" i="23"/>
  <c r="E479" i="23"/>
  <c r="I478" i="23"/>
  <c r="H478" i="23"/>
  <c r="G478" i="23"/>
  <c r="F478" i="23"/>
  <c r="E477" i="23"/>
  <c r="E476" i="23"/>
  <c r="E475" i="23"/>
  <c r="E474" i="23"/>
  <c r="E473" i="23"/>
  <c r="H472" i="23"/>
  <c r="G472" i="23"/>
  <c r="F472" i="23"/>
  <c r="E471" i="23"/>
  <c r="E470" i="23"/>
  <c r="E469" i="23"/>
  <c r="E468" i="23"/>
  <c r="E467" i="23"/>
  <c r="I466" i="23"/>
  <c r="H466" i="23"/>
  <c r="G466" i="23"/>
  <c r="F466" i="23"/>
  <c r="I465" i="23"/>
  <c r="H465" i="23"/>
  <c r="F465" i="23"/>
  <c r="I464" i="23"/>
  <c r="H464" i="23"/>
  <c r="F464" i="23"/>
  <c r="I463" i="23"/>
  <c r="H463" i="23"/>
  <c r="F463" i="23"/>
  <c r="I462" i="23"/>
  <c r="H462" i="23"/>
  <c r="F462" i="23"/>
  <c r="I461" i="23"/>
  <c r="H461" i="23"/>
  <c r="F461" i="23"/>
  <c r="E459" i="23"/>
  <c r="E458" i="23"/>
  <c r="E457" i="23"/>
  <c r="E456" i="23"/>
  <c r="E455" i="23"/>
  <c r="I454" i="23"/>
  <c r="H454" i="23"/>
  <c r="G454" i="23"/>
  <c r="F454" i="23"/>
  <c r="I453" i="23"/>
  <c r="H453" i="23"/>
  <c r="G453" i="23"/>
  <c r="F453" i="23"/>
  <c r="I452" i="23"/>
  <c r="H452" i="23"/>
  <c r="G452" i="23"/>
  <c r="F452" i="23"/>
  <c r="I451" i="23"/>
  <c r="H451" i="23"/>
  <c r="G451" i="23"/>
  <c r="F451" i="23"/>
  <c r="I450" i="23"/>
  <c r="H450" i="23"/>
  <c r="G450" i="23"/>
  <c r="F450" i="23"/>
  <c r="I449" i="23"/>
  <c r="H449" i="23"/>
  <c r="G449" i="23"/>
  <c r="F449" i="23"/>
  <c r="E447" i="23"/>
  <c r="E446" i="23"/>
  <c r="E445" i="23"/>
  <c r="E444" i="23"/>
  <c r="E443" i="23"/>
  <c r="I442" i="23"/>
  <c r="H442" i="23"/>
  <c r="G442" i="23"/>
  <c r="F442" i="23"/>
  <c r="E441" i="23"/>
  <c r="E440" i="23"/>
  <c r="E439" i="23"/>
  <c r="E438" i="23"/>
  <c r="E437" i="23"/>
  <c r="I436" i="23"/>
  <c r="H436" i="23"/>
  <c r="G436" i="23"/>
  <c r="F436" i="23"/>
  <c r="E435" i="23"/>
  <c r="E434" i="23"/>
  <c r="E432" i="23"/>
  <c r="E431" i="23"/>
  <c r="I430" i="23"/>
  <c r="H430" i="23"/>
  <c r="G430" i="23"/>
  <c r="F430" i="23"/>
  <c r="E429" i="23"/>
  <c r="E428" i="23"/>
  <c r="E426" i="23"/>
  <c r="E425" i="23"/>
  <c r="I424" i="23"/>
  <c r="H424" i="23"/>
  <c r="G424" i="23"/>
  <c r="F424" i="23"/>
  <c r="E423" i="23"/>
  <c r="E422" i="23"/>
  <c r="E421" i="23"/>
  <c r="E420" i="23"/>
  <c r="E419" i="23"/>
  <c r="I418" i="23"/>
  <c r="H418" i="23"/>
  <c r="G418" i="23"/>
  <c r="F418" i="23"/>
  <c r="E417" i="23"/>
  <c r="E416" i="23"/>
  <c r="E415" i="23"/>
  <c r="E414" i="23"/>
  <c r="E413" i="23"/>
  <c r="I412" i="23"/>
  <c r="H412" i="23"/>
  <c r="G412" i="23"/>
  <c r="F412" i="23"/>
  <c r="E411" i="23"/>
  <c r="E410" i="23"/>
  <c r="E409" i="23"/>
  <c r="E408" i="23"/>
  <c r="E407" i="23"/>
  <c r="I406" i="23"/>
  <c r="H406" i="23"/>
  <c r="G406" i="23"/>
  <c r="F406" i="23"/>
  <c r="E405" i="23"/>
  <c r="E404" i="23"/>
  <c r="E403" i="23"/>
  <c r="E402" i="23"/>
  <c r="E401" i="23"/>
  <c r="I400" i="23"/>
  <c r="H400" i="23"/>
  <c r="G400" i="23"/>
  <c r="F400" i="23"/>
  <c r="I399" i="23"/>
  <c r="H399" i="23"/>
  <c r="G399" i="23"/>
  <c r="F399" i="23"/>
  <c r="I398" i="23"/>
  <c r="H398" i="23"/>
  <c r="G398" i="23"/>
  <c r="F398" i="23"/>
  <c r="I397" i="23"/>
  <c r="H397" i="23"/>
  <c r="G397" i="23"/>
  <c r="F397" i="23"/>
  <c r="I396" i="23"/>
  <c r="H396" i="23"/>
  <c r="G396" i="23"/>
  <c r="F396" i="23"/>
  <c r="I395" i="23"/>
  <c r="H395" i="23"/>
  <c r="G395" i="23"/>
  <c r="F395" i="23"/>
  <c r="E393" i="23"/>
  <c r="E392" i="23"/>
  <c r="E391" i="23"/>
  <c r="E390" i="23"/>
  <c r="E389" i="23"/>
  <c r="I388" i="23"/>
  <c r="H388" i="23"/>
  <c r="G388" i="23"/>
  <c r="F388" i="23"/>
  <c r="E387" i="23"/>
  <c r="E386" i="23"/>
  <c r="E385" i="23"/>
  <c r="E384" i="23"/>
  <c r="E383" i="23"/>
  <c r="I382" i="23"/>
  <c r="H382" i="23"/>
  <c r="G382" i="23"/>
  <c r="F382" i="23"/>
  <c r="I381" i="23"/>
  <c r="H381" i="23"/>
  <c r="G381" i="23"/>
  <c r="F381" i="23"/>
  <c r="I380" i="23"/>
  <c r="H380" i="23"/>
  <c r="G380" i="23"/>
  <c r="F380" i="23"/>
  <c r="I379" i="23"/>
  <c r="H379" i="23"/>
  <c r="G379" i="23"/>
  <c r="F379" i="23"/>
  <c r="I378" i="23"/>
  <c r="H378" i="23"/>
  <c r="G378" i="23"/>
  <c r="F378" i="23"/>
  <c r="I377" i="23"/>
  <c r="H377" i="23"/>
  <c r="G377" i="23"/>
  <c r="F377" i="23"/>
  <c r="F376" i="23" s="1"/>
  <c r="E375" i="23"/>
  <c r="E374" i="23"/>
  <c r="E373" i="23"/>
  <c r="E372" i="23"/>
  <c r="E371" i="23"/>
  <c r="I370" i="23"/>
  <c r="H370" i="23"/>
  <c r="G370" i="23"/>
  <c r="F370" i="23"/>
  <c r="E369" i="23"/>
  <c r="E368" i="23"/>
  <c r="E367" i="23"/>
  <c r="E366" i="23"/>
  <c r="E365" i="23"/>
  <c r="I364" i="23"/>
  <c r="H364" i="23"/>
  <c r="G364" i="23"/>
  <c r="F364" i="23"/>
  <c r="E363" i="23"/>
  <c r="E362" i="23"/>
  <c r="E361" i="23"/>
  <c r="I358" i="23"/>
  <c r="H358" i="23"/>
  <c r="G358" i="23"/>
  <c r="F358" i="23"/>
  <c r="I357" i="23"/>
  <c r="H357" i="23"/>
  <c r="G357" i="23"/>
  <c r="F357" i="23"/>
  <c r="I356" i="23"/>
  <c r="H356" i="23"/>
  <c r="G356" i="23"/>
  <c r="F356" i="23"/>
  <c r="I355" i="23"/>
  <c r="H355" i="23"/>
  <c r="G355" i="23"/>
  <c r="F355" i="23"/>
  <c r="I354" i="23"/>
  <c r="H354" i="23"/>
  <c r="G354" i="23"/>
  <c r="F354" i="23"/>
  <c r="I353" i="23"/>
  <c r="H353" i="23"/>
  <c r="G353" i="23"/>
  <c r="F353" i="23"/>
  <c r="E344" i="23"/>
  <c r="E343" i="23"/>
  <c r="E342" i="23"/>
  <c r="E341" i="23"/>
  <c r="I340" i="23"/>
  <c r="H340" i="23"/>
  <c r="G340" i="23"/>
  <c r="F340" i="23"/>
  <c r="E338" i="23"/>
  <c r="E337" i="23"/>
  <c r="E336" i="23"/>
  <c r="E335" i="23"/>
  <c r="I334" i="23"/>
  <c r="H334" i="23"/>
  <c r="G334" i="23"/>
  <c r="F334" i="23"/>
  <c r="I333" i="23"/>
  <c r="H333" i="23"/>
  <c r="G333" i="23"/>
  <c r="F333" i="23"/>
  <c r="I332" i="23"/>
  <c r="H332" i="23"/>
  <c r="G332" i="23"/>
  <c r="F332" i="23"/>
  <c r="I331" i="23"/>
  <c r="H331" i="23"/>
  <c r="G331" i="23"/>
  <c r="F331" i="23"/>
  <c r="I330" i="23"/>
  <c r="H330" i="23"/>
  <c r="G330" i="23"/>
  <c r="F330" i="23"/>
  <c r="I329" i="23"/>
  <c r="H329" i="23"/>
  <c r="G329" i="23"/>
  <c r="F329" i="23"/>
  <c r="F328" i="23" s="1"/>
  <c r="E326" i="23"/>
  <c r="E325" i="23"/>
  <c r="E324" i="23"/>
  <c r="E323" i="23"/>
  <c r="I322" i="23"/>
  <c r="H322" i="23"/>
  <c r="G322" i="23"/>
  <c r="F322" i="23"/>
  <c r="I321" i="23"/>
  <c r="H321" i="23"/>
  <c r="G321" i="23"/>
  <c r="F321" i="23"/>
  <c r="I320" i="23"/>
  <c r="H320" i="23"/>
  <c r="G320" i="23"/>
  <c r="F320" i="23"/>
  <c r="I319" i="23"/>
  <c r="H319" i="23"/>
  <c r="G319" i="23"/>
  <c r="F319" i="23"/>
  <c r="I318" i="23"/>
  <c r="H318" i="23"/>
  <c r="G318" i="23"/>
  <c r="F318" i="23"/>
  <c r="I317" i="23"/>
  <c r="H317" i="23"/>
  <c r="H316" i="23" s="1"/>
  <c r="G317" i="23"/>
  <c r="F317" i="23"/>
  <c r="E314" i="23"/>
  <c r="E313" i="23"/>
  <c r="F312" i="23"/>
  <c r="F310" i="23" s="1"/>
  <c r="E311" i="23"/>
  <c r="I310" i="23"/>
  <c r="H310" i="23"/>
  <c r="G310" i="23"/>
  <c r="F308" i="23"/>
  <c r="E308" i="23" s="1"/>
  <c r="F307" i="23"/>
  <c r="I304" i="23"/>
  <c r="H304" i="23"/>
  <c r="G304" i="23"/>
  <c r="E303" i="23"/>
  <c r="E302" i="23"/>
  <c r="E301" i="23"/>
  <c r="F300" i="23"/>
  <c r="F298" i="23" s="1"/>
  <c r="E299" i="23"/>
  <c r="I298" i="23"/>
  <c r="H298" i="23"/>
  <c r="G298" i="23"/>
  <c r="E297" i="23"/>
  <c r="E296" i="23"/>
  <c r="E295" i="23"/>
  <c r="F294" i="23"/>
  <c r="E294" i="23" s="1"/>
  <c r="I292" i="23"/>
  <c r="H292" i="23"/>
  <c r="G292" i="23"/>
  <c r="I291" i="23"/>
  <c r="H291" i="23"/>
  <c r="G291" i="23"/>
  <c r="F291" i="23"/>
  <c r="I290" i="23"/>
  <c r="H290" i="23"/>
  <c r="G290" i="23"/>
  <c r="F290" i="23"/>
  <c r="I289" i="23"/>
  <c r="H289" i="23"/>
  <c r="G289" i="23"/>
  <c r="F289" i="23"/>
  <c r="I288" i="23"/>
  <c r="H288" i="23"/>
  <c r="G288" i="23"/>
  <c r="I287" i="23"/>
  <c r="H287" i="23"/>
  <c r="G287" i="23"/>
  <c r="F287" i="23"/>
  <c r="E283" i="23"/>
  <c r="E282" i="23"/>
  <c r="I280" i="23"/>
  <c r="H280" i="23"/>
  <c r="G280" i="23"/>
  <c r="F280" i="23"/>
  <c r="E277" i="23"/>
  <c r="I276" i="23"/>
  <c r="I274" i="23" s="1"/>
  <c r="H276" i="23"/>
  <c r="G276" i="23"/>
  <c r="F276" i="23"/>
  <c r="H275" i="23"/>
  <c r="F275" i="23"/>
  <c r="E273" i="23"/>
  <c r="E272" i="23"/>
  <c r="E271" i="23"/>
  <c r="E270" i="23"/>
  <c r="E269" i="23"/>
  <c r="I268" i="23"/>
  <c r="H268" i="23"/>
  <c r="G268" i="23"/>
  <c r="F268" i="23"/>
  <c r="F267" i="23"/>
  <c r="E267" i="23" s="1"/>
  <c r="F266" i="23"/>
  <c r="E266" i="23" s="1"/>
  <c r="F265" i="23"/>
  <c r="E265" i="23" s="1"/>
  <c r="F264" i="23"/>
  <c r="F263" i="23"/>
  <c r="E263" i="23" s="1"/>
  <c r="I262" i="23"/>
  <c r="H262" i="23"/>
  <c r="G262" i="23"/>
  <c r="E261" i="23"/>
  <c r="E260" i="23"/>
  <c r="E259" i="23"/>
  <c r="E258" i="23"/>
  <c r="E257" i="23"/>
  <c r="I256" i="23"/>
  <c r="H256" i="23"/>
  <c r="G256" i="23"/>
  <c r="F256" i="23"/>
  <c r="E255" i="23"/>
  <c r="E254" i="23"/>
  <c r="E253" i="23"/>
  <c r="E252" i="23"/>
  <c r="E251" i="23"/>
  <c r="I250" i="23"/>
  <c r="H250" i="23"/>
  <c r="G250" i="23"/>
  <c r="F250" i="23"/>
  <c r="E249" i="23"/>
  <c r="E248" i="23"/>
  <c r="E247" i="23"/>
  <c r="E246" i="23"/>
  <c r="E245" i="23"/>
  <c r="I244" i="23"/>
  <c r="H244" i="23"/>
  <c r="G244" i="23"/>
  <c r="F244" i="23"/>
  <c r="I243" i="23"/>
  <c r="H243" i="23"/>
  <c r="G243" i="23"/>
  <c r="F243" i="23"/>
  <c r="I242" i="23"/>
  <c r="H242" i="23"/>
  <c r="G242" i="23"/>
  <c r="F242" i="23"/>
  <c r="I241" i="23"/>
  <c r="H241" i="23"/>
  <c r="G241" i="23"/>
  <c r="F241" i="23"/>
  <c r="I240" i="23"/>
  <c r="H240" i="23"/>
  <c r="G240" i="23"/>
  <c r="F240" i="23"/>
  <c r="I239" i="23"/>
  <c r="I238" i="23" s="1"/>
  <c r="H239" i="23"/>
  <c r="G239" i="23"/>
  <c r="F239" i="23"/>
  <c r="E237" i="23"/>
  <c r="E236" i="23"/>
  <c r="E235" i="23"/>
  <c r="F234" i="23"/>
  <c r="E234" i="23" s="1"/>
  <c r="G233" i="23"/>
  <c r="E233" i="23" s="1"/>
  <c r="I232" i="23"/>
  <c r="H232" i="23"/>
  <c r="I231" i="23"/>
  <c r="H231" i="23"/>
  <c r="G231" i="23"/>
  <c r="F231" i="23"/>
  <c r="I230" i="23"/>
  <c r="H230" i="23"/>
  <c r="G230" i="23"/>
  <c r="F230" i="23"/>
  <c r="I229" i="23"/>
  <c r="H229" i="23"/>
  <c r="G229" i="23"/>
  <c r="F229" i="23"/>
  <c r="I228" i="23"/>
  <c r="H228" i="23"/>
  <c r="G228" i="23"/>
  <c r="I227" i="23"/>
  <c r="H227" i="23"/>
  <c r="F227" i="23"/>
  <c r="E225" i="23"/>
  <c r="E224" i="23"/>
  <c r="E223" i="23"/>
  <c r="E222" i="23"/>
  <c r="E221" i="23"/>
  <c r="I220" i="23"/>
  <c r="H220" i="23"/>
  <c r="G220" i="23"/>
  <c r="F220" i="23"/>
  <c r="E219" i="23"/>
  <c r="E218" i="23"/>
  <c r="E217" i="23"/>
  <c r="E216" i="23"/>
  <c r="E215" i="23"/>
  <c r="H214" i="23"/>
  <c r="F214" i="23"/>
  <c r="E213" i="23"/>
  <c r="E212" i="23"/>
  <c r="E211" i="23"/>
  <c r="E210" i="23"/>
  <c r="E209" i="23"/>
  <c r="F208" i="23"/>
  <c r="E207" i="23"/>
  <c r="E206" i="23"/>
  <c r="E205" i="23"/>
  <c r="E204" i="23"/>
  <c r="E203" i="23"/>
  <c r="F202" i="23"/>
  <c r="E201" i="23"/>
  <c r="E200" i="23"/>
  <c r="E199" i="23"/>
  <c r="E198" i="23"/>
  <c r="F197" i="23"/>
  <c r="E197" i="23" s="1"/>
  <c r="I196" i="23"/>
  <c r="H196" i="23"/>
  <c r="G196" i="23"/>
  <c r="E195" i="23"/>
  <c r="E194" i="23"/>
  <c r="E193" i="23"/>
  <c r="F192" i="23"/>
  <c r="F190" i="23" s="1"/>
  <c r="E191" i="23"/>
  <c r="I190" i="23"/>
  <c r="H190" i="23"/>
  <c r="G190" i="23"/>
  <c r="I189" i="23"/>
  <c r="H189" i="23"/>
  <c r="G189" i="23"/>
  <c r="F189" i="23"/>
  <c r="I188" i="23"/>
  <c r="H188" i="23"/>
  <c r="G188" i="23"/>
  <c r="F188" i="23"/>
  <c r="I187" i="23"/>
  <c r="H187" i="23"/>
  <c r="G187" i="23"/>
  <c r="F187" i="23"/>
  <c r="I186" i="23"/>
  <c r="H186" i="23"/>
  <c r="G186" i="23"/>
  <c r="I185" i="23"/>
  <c r="H185" i="23"/>
  <c r="G185" i="23"/>
  <c r="E183" i="23"/>
  <c r="E182" i="23"/>
  <c r="E181" i="23"/>
  <c r="E180" i="23"/>
  <c r="E179" i="23"/>
  <c r="I178" i="23"/>
  <c r="H178" i="23"/>
  <c r="G178" i="23"/>
  <c r="F178" i="23"/>
  <c r="E177" i="23"/>
  <c r="E176" i="23"/>
  <c r="E175" i="23"/>
  <c r="E174" i="23"/>
  <c r="E173" i="23"/>
  <c r="I172" i="23"/>
  <c r="H172" i="23"/>
  <c r="G172" i="23"/>
  <c r="F172" i="23"/>
  <c r="I171" i="23"/>
  <c r="I159" i="23" s="1"/>
  <c r="H171" i="23"/>
  <c r="G171" i="23"/>
  <c r="F171" i="23"/>
  <c r="F159" i="23" s="1"/>
  <c r="I170" i="23"/>
  <c r="H170" i="23"/>
  <c r="G170" i="23"/>
  <c r="F170" i="23"/>
  <c r="I169" i="23"/>
  <c r="H169" i="23"/>
  <c r="G169" i="23"/>
  <c r="F169" i="23"/>
  <c r="I168" i="23"/>
  <c r="I156" i="23" s="1"/>
  <c r="H168" i="23"/>
  <c r="G168" i="23"/>
  <c r="F168" i="23"/>
  <c r="I167" i="23"/>
  <c r="H167" i="23"/>
  <c r="G167" i="23"/>
  <c r="F167" i="23"/>
  <c r="E165" i="23"/>
  <c r="E164" i="23"/>
  <c r="E163" i="23"/>
  <c r="I160" i="23"/>
  <c r="F160" i="23"/>
  <c r="H159" i="23"/>
  <c r="I158" i="23"/>
  <c r="F158" i="23"/>
  <c r="E158" i="23" s="1"/>
  <c r="I157" i="23"/>
  <c r="H157" i="23"/>
  <c r="G157" i="23"/>
  <c r="F157" i="23"/>
  <c r="H156" i="23"/>
  <c r="G156" i="23"/>
  <c r="F156" i="23"/>
  <c r="I155" i="23"/>
  <c r="H155" i="23"/>
  <c r="G155" i="23"/>
  <c r="F155" i="23"/>
  <c r="E153" i="23"/>
  <c r="E151" i="23"/>
  <c r="G150" i="23"/>
  <c r="E150" i="23" s="1"/>
  <c r="E149" i="23"/>
  <c r="I148" i="23"/>
  <c r="H148" i="23"/>
  <c r="F148" i="23"/>
  <c r="E147" i="23"/>
  <c r="E145" i="23"/>
  <c r="F144" i="23"/>
  <c r="E143" i="23"/>
  <c r="I142" i="23"/>
  <c r="H142" i="23"/>
  <c r="G142" i="23"/>
  <c r="E141" i="23"/>
  <c r="E139" i="23"/>
  <c r="F138" i="23"/>
  <c r="F136" i="23" s="1"/>
  <c r="E137" i="23"/>
  <c r="I136" i="23"/>
  <c r="H136" i="23"/>
  <c r="G136" i="23"/>
  <c r="E135" i="23"/>
  <c r="E133" i="23"/>
  <c r="E132" i="23"/>
  <c r="E131" i="23"/>
  <c r="I130" i="23"/>
  <c r="H130" i="23"/>
  <c r="G130" i="23"/>
  <c r="F130" i="23"/>
  <c r="E129" i="23"/>
  <c r="E127" i="23"/>
  <c r="F126" i="23"/>
  <c r="E126" i="23" s="1"/>
  <c r="I124" i="23"/>
  <c r="H124" i="23"/>
  <c r="G124" i="23"/>
  <c r="E123" i="23"/>
  <c r="E122" i="23"/>
  <c r="E121" i="23"/>
  <c r="F120" i="23"/>
  <c r="E119" i="23"/>
  <c r="I118" i="23"/>
  <c r="H118" i="23"/>
  <c r="G118" i="23"/>
  <c r="E117" i="23"/>
  <c r="E116" i="23"/>
  <c r="E115" i="23"/>
  <c r="E114" i="23"/>
  <c r="E113" i="23"/>
  <c r="I112" i="23"/>
  <c r="H112" i="23"/>
  <c r="G112" i="23"/>
  <c r="F112" i="23"/>
  <c r="E111" i="23"/>
  <c r="E110" i="23"/>
  <c r="E109" i="23"/>
  <c r="E108" i="23"/>
  <c r="E107" i="23"/>
  <c r="F106" i="23"/>
  <c r="E106" i="23" s="1"/>
  <c r="E105" i="23"/>
  <c r="E104" i="23"/>
  <c r="E103" i="23"/>
  <c r="E102" i="23"/>
  <c r="E101" i="23"/>
  <c r="I100" i="23"/>
  <c r="H100" i="23"/>
  <c r="G100" i="23"/>
  <c r="F100" i="23"/>
  <c r="E99" i="23"/>
  <c r="E98" i="23"/>
  <c r="E97" i="23"/>
  <c r="E96" i="23"/>
  <c r="E95" i="23"/>
  <c r="I94" i="23"/>
  <c r="H94" i="23"/>
  <c r="G94" i="23"/>
  <c r="F94" i="23"/>
  <c r="E93" i="23"/>
  <c r="E92" i="23"/>
  <c r="E91" i="23"/>
  <c r="F90" i="23"/>
  <c r="E90" i="23" s="1"/>
  <c r="E89" i="23"/>
  <c r="I88" i="23"/>
  <c r="H88" i="23"/>
  <c r="G88" i="23"/>
  <c r="E87" i="23"/>
  <c r="E86" i="23"/>
  <c r="E85" i="23"/>
  <c r="F84" i="23"/>
  <c r="E84" i="23" s="1"/>
  <c r="E83" i="23"/>
  <c r="I82" i="23"/>
  <c r="H82" i="23"/>
  <c r="G82" i="23"/>
  <c r="E81" i="23"/>
  <c r="E80" i="23"/>
  <c r="F79" i="23"/>
  <c r="F76" i="23" s="1"/>
  <c r="E78" i="23"/>
  <c r="E77" i="23"/>
  <c r="I76" i="23"/>
  <c r="H76" i="23"/>
  <c r="G76" i="23"/>
  <c r="E75" i="23"/>
  <c r="E74" i="23"/>
  <c r="E73" i="23"/>
  <c r="E72" i="23"/>
  <c r="E71" i="23"/>
  <c r="I70" i="23"/>
  <c r="H70" i="23"/>
  <c r="G70" i="23"/>
  <c r="F70" i="23"/>
  <c r="E69" i="23"/>
  <c r="E68" i="23"/>
  <c r="E67" i="23"/>
  <c r="F66" i="23"/>
  <c r="F64" i="23" s="1"/>
  <c r="E65" i="23"/>
  <c r="I64" i="23"/>
  <c r="H64" i="23"/>
  <c r="G64" i="23"/>
  <c r="E63" i="23"/>
  <c r="E62" i="23"/>
  <c r="F61" i="23"/>
  <c r="E61" i="23" s="1"/>
  <c r="F60" i="23"/>
  <c r="E59" i="23"/>
  <c r="I58" i="23"/>
  <c r="H58" i="23"/>
  <c r="G58" i="23"/>
  <c r="E57" i="23"/>
  <c r="E56" i="23"/>
  <c r="E55" i="23"/>
  <c r="E54" i="23"/>
  <c r="E53" i="23"/>
  <c r="I52" i="23"/>
  <c r="H52" i="23"/>
  <c r="G52" i="23"/>
  <c r="F52" i="23"/>
  <c r="H51" i="23"/>
  <c r="H45" i="23" s="1"/>
  <c r="U45" i="23" s="1"/>
  <c r="F51" i="23"/>
  <c r="F45" i="23" s="1"/>
  <c r="S45" i="23" s="1"/>
  <c r="H50" i="23"/>
  <c r="F50" i="23"/>
  <c r="F44" i="23" s="1"/>
  <c r="S44" i="23" s="1"/>
  <c r="H49" i="23"/>
  <c r="H43" i="23" s="1"/>
  <c r="U43" i="23" s="1"/>
  <c r="F49" i="23"/>
  <c r="H48" i="23"/>
  <c r="F48" i="23"/>
  <c r="H47" i="23"/>
  <c r="H41" i="23" s="1"/>
  <c r="F47" i="23"/>
  <c r="I46" i="23"/>
  <c r="G46" i="23"/>
  <c r="I45" i="23"/>
  <c r="V45" i="23" s="1"/>
  <c r="G45" i="23"/>
  <c r="T45" i="23" s="1"/>
  <c r="I44" i="23"/>
  <c r="V44" i="23" s="1"/>
  <c r="G44" i="23"/>
  <c r="T44" i="23" s="1"/>
  <c r="I43" i="23"/>
  <c r="V43" i="23" s="1"/>
  <c r="G43" i="23"/>
  <c r="T43" i="23" s="1"/>
  <c r="I42" i="23"/>
  <c r="V42" i="23" s="1"/>
  <c r="I41" i="23"/>
  <c r="G41" i="23"/>
  <c r="T41" i="23" s="1"/>
  <c r="E39" i="23"/>
  <c r="E38" i="23"/>
  <c r="E37" i="23"/>
  <c r="E36" i="23"/>
  <c r="E35" i="23"/>
  <c r="I34" i="23"/>
  <c r="H34" i="23"/>
  <c r="G34" i="23"/>
  <c r="F34" i="23"/>
  <c r="E32" i="23"/>
  <c r="F31" i="23"/>
  <c r="F25" i="23" s="1"/>
  <c r="F30" i="23"/>
  <c r="E29" i="23"/>
  <c r="I28" i="23"/>
  <c r="H28" i="23"/>
  <c r="G28" i="23"/>
  <c r="I27" i="23"/>
  <c r="H27" i="23"/>
  <c r="G27" i="23"/>
  <c r="F27" i="23"/>
  <c r="I26" i="23"/>
  <c r="H26" i="23"/>
  <c r="G26" i="23"/>
  <c r="F26" i="23"/>
  <c r="I25" i="23"/>
  <c r="H25" i="23"/>
  <c r="G25" i="23"/>
  <c r="I24" i="23"/>
  <c r="H24" i="23"/>
  <c r="G24" i="23"/>
  <c r="I23" i="23"/>
  <c r="H23" i="23"/>
  <c r="G23" i="23"/>
  <c r="F23" i="23"/>
  <c r="Y21" i="23"/>
  <c r="Y20" i="23"/>
  <c r="Y19" i="23"/>
  <c r="Y18" i="23"/>
  <c r="Y17" i="23"/>
  <c r="Y15" i="23"/>
  <c r="Y14" i="23"/>
  <c r="Y13" i="23"/>
  <c r="Y12" i="23"/>
  <c r="Y11" i="23"/>
  <c r="Y10" i="23"/>
  <c r="G30" i="22"/>
  <c r="G29" i="22"/>
  <c r="H27" i="22"/>
  <c r="G27" i="22"/>
  <c r="H26" i="22"/>
  <c r="E17" i="22"/>
  <c r="E13" i="22" s="1"/>
  <c r="F16" i="22"/>
  <c r="F13" i="22" s="1"/>
  <c r="I13" i="22"/>
  <c r="H13" i="22"/>
  <c r="V33" i="21"/>
  <c r="U33" i="21"/>
  <c r="T33" i="21"/>
  <c r="S33" i="21"/>
  <c r="R33" i="21"/>
  <c r="I33" i="21"/>
  <c r="H33" i="21"/>
  <c r="G33" i="21"/>
  <c r="F33" i="21"/>
  <c r="V32" i="21"/>
  <c r="U32" i="21"/>
  <c r="T32" i="21"/>
  <c r="I32" i="21"/>
  <c r="H32" i="21"/>
  <c r="G32" i="21"/>
  <c r="E32" i="21"/>
  <c r="V31" i="21"/>
  <c r="U31" i="21"/>
  <c r="T31" i="21"/>
  <c r="I31" i="21"/>
  <c r="H31" i="21"/>
  <c r="G31" i="21"/>
  <c r="V30" i="21"/>
  <c r="U30" i="21"/>
  <c r="T30" i="21"/>
  <c r="S30" i="21"/>
  <c r="I30" i="21"/>
  <c r="H30" i="21"/>
  <c r="G30" i="21"/>
  <c r="F30" i="21"/>
  <c r="V29" i="21"/>
  <c r="U29" i="21"/>
  <c r="T29" i="21"/>
  <c r="S29" i="21"/>
  <c r="R29" i="21"/>
  <c r="I29" i="21"/>
  <c r="H29" i="21"/>
  <c r="G29" i="21"/>
  <c r="F29" i="21"/>
  <c r="T28" i="21"/>
  <c r="B28" i="21"/>
  <c r="T27" i="21"/>
  <c r="T26" i="21"/>
  <c r="U24" i="21"/>
  <c r="I24" i="21"/>
  <c r="U23" i="21"/>
  <c r="Q4" i="21"/>
  <c r="I18" i="20"/>
  <c r="I17" i="20"/>
  <c r="I16" i="20"/>
  <c r="I15" i="20"/>
  <c r="I14" i="20"/>
  <c r="I13" i="20"/>
  <c r="G39" i="20"/>
  <c r="E395" i="16"/>
  <c r="E394" i="16"/>
  <c r="E393" i="16"/>
  <c r="E392" i="16"/>
  <c r="E391" i="16"/>
  <c r="I390" i="16"/>
  <c r="H390" i="16"/>
  <c r="G390" i="16"/>
  <c r="F390" i="16"/>
  <c r="I389" i="16"/>
  <c r="H389" i="16"/>
  <c r="H383" i="16" s="1"/>
  <c r="G389" i="16"/>
  <c r="G383" i="16" s="1"/>
  <c r="F389" i="16"/>
  <c r="I388" i="16"/>
  <c r="I382" i="16" s="1"/>
  <c r="H388" i="16"/>
  <c r="H382" i="16" s="1"/>
  <c r="G388" i="16"/>
  <c r="G382" i="16" s="1"/>
  <c r="F388" i="16"/>
  <c r="I387" i="16"/>
  <c r="I381" i="16" s="1"/>
  <c r="H387" i="16"/>
  <c r="G387" i="16"/>
  <c r="G381" i="16" s="1"/>
  <c r="F387" i="16"/>
  <c r="F381" i="16" s="1"/>
  <c r="I386" i="16"/>
  <c r="H386" i="16"/>
  <c r="H380" i="16" s="1"/>
  <c r="G386" i="16"/>
  <c r="G380" i="16" s="1"/>
  <c r="F386" i="16"/>
  <c r="I385" i="16"/>
  <c r="I379" i="16" s="1"/>
  <c r="H385" i="16"/>
  <c r="H379" i="16" s="1"/>
  <c r="G385" i="16"/>
  <c r="G379" i="16" s="1"/>
  <c r="F385" i="16"/>
  <c r="F379" i="16" s="1"/>
  <c r="I383" i="16"/>
  <c r="E377" i="16"/>
  <c r="E376" i="16"/>
  <c r="H375" i="16"/>
  <c r="E374" i="16"/>
  <c r="E373" i="16"/>
  <c r="I372" i="16"/>
  <c r="G372" i="16"/>
  <c r="F372" i="16"/>
  <c r="E371" i="16"/>
  <c r="E370" i="16"/>
  <c r="E369" i="16"/>
  <c r="E368" i="16"/>
  <c r="E367" i="16"/>
  <c r="I366" i="16"/>
  <c r="H366" i="16"/>
  <c r="G366" i="16"/>
  <c r="F366" i="16"/>
  <c r="E365" i="16"/>
  <c r="E364" i="16"/>
  <c r="E363" i="16"/>
  <c r="E362" i="16"/>
  <c r="E361" i="16"/>
  <c r="I360" i="16"/>
  <c r="H360" i="16"/>
  <c r="G360" i="16"/>
  <c r="F360" i="16"/>
  <c r="E359" i="16"/>
  <c r="E358" i="16"/>
  <c r="E357" i="16"/>
  <c r="E356" i="16"/>
  <c r="F355" i="16"/>
  <c r="E355" i="16" s="1"/>
  <c r="I354" i="16"/>
  <c r="H354" i="16"/>
  <c r="G354" i="16"/>
  <c r="I353" i="16"/>
  <c r="H353" i="16"/>
  <c r="G353" i="16"/>
  <c r="F353" i="16"/>
  <c r="I352" i="16"/>
  <c r="H352" i="16"/>
  <c r="G352" i="16"/>
  <c r="F352" i="16"/>
  <c r="I351" i="16"/>
  <c r="G351" i="16"/>
  <c r="F351" i="16"/>
  <c r="L350" i="16"/>
  <c r="I350" i="16"/>
  <c r="H350" i="16"/>
  <c r="G350" i="16"/>
  <c r="F350" i="16"/>
  <c r="L349" i="16"/>
  <c r="I349" i="16"/>
  <c r="H349" i="16"/>
  <c r="G349" i="16"/>
  <c r="F349" i="16"/>
  <c r="E347" i="16"/>
  <c r="E346" i="16"/>
  <c r="E345" i="16"/>
  <c r="E344" i="16"/>
  <c r="E343" i="16"/>
  <c r="I342" i="16"/>
  <c r="H342" i="16"/>
  <c r="G342" i="16"/>
  <c r="F342" i="16"/>
  <c r="E335" i="16"/>
  <c r="E334" i="16"/>
  <c r="E333" i="16"/>
  <c r="E332" i="16"/>
  <c r="E331" i="16"/>
  <c r="I330" i="16"/>
  <c r="H330" i="16"/>
  <c r="G330" i="16"/>
  <c r="F330" i="16"/>
  <c r="H325" i="16"/>
  <c r="E325" i="16" s="1"/>
  <c r="I324" i="16"/>
  <c r="G324" i="16"/>
  <c r="F324" i="16"/>
  <c r="H319" i="16"/>
  <c r="E319" i="16" s="1"/>
  <c r="I318" i="16"/>
  <c r="G318" i="16"/>
  <c r="F318" i="16"/>
  <c r="H313" i="16"/>
  <c r="H312" i="16" s="1"/>
  <c r="I312" i="16"/>
  <c r="G312" i="16"/>
  <c r="F312" i="16"/>
  <c r="H307" i="16"/>
  <c r="I306" i="16"/>
  <c r="G306" i="16"/>
  <c r="F306" i="16"/>
  <c r="H301" i="16"/>
  <c r="I300" i="16"/>
  <c r="G300" i="16"/>
  <c r="F300" i="16"/>
  <c r="H295" i="16"/>
  <c r="I294" i="16"/>
  <c r="G294" i="16"/>
  <c r="F294" i="16"/>
  <c r="E289" i="16"/>
  <c r="I288" i="16"/>
  <c r="H288" i="16"/>
  <c r="G288" i="16"/>
  <c r="F288" i="16"/>
  <c r="F283" i="16"/>
  <c r="F282" i="16" s="1"/>
  <c r="I282" i="16"/>
  <c r="H282" i="16"/>
  <c r="G282" i="16"/>
  <c r="E281" i="16"/>
  <c r="E280" i="16"/>
  <c r="E279" i="16"/>
  <c r="E278" i="16"/>
  <c r="E277" i="16"/>
  <c r="I276" i="16"/>
  <c r="H276" i="16"/>
  <c r="G276" i="16"/>
  <c r="F276" i="16"/>
  <c r="E275" i="16"/>
  <c r="E274" i="16"/>
  <c r="E273" i="16"/>
  <c r="H272" i="16"/>
  <c r="E272" i="16" s="1"/>
  <c r="E271" i="16"/>
  <c r="I270" i="16"/>
  <c r="G270" i="16"/>
  <c r="F270" i="16"/>
  <c r="I269" i="16"/>
  <c r="H269" i="16"/>
  <c r="G269" i="16"/>
  <c r="F269" i="16"/>
  <c r="I268" i="16"/>
  <c r="H268" i="16"/>
  <c r="G268" i="16"/>
  <c r="F268" i="16"/>
  <c r="I267" i="16"/>
  <c r="H267" i="16"/>
  <c r="G267" i="16"/>
  <c r="F267" i="16"/>
  <c r="I266" i="16"/>
  <c r="G266" i="16"/>
  <c r="F266" i="16"/>
  <c r="I265" i="16"/>
  <c r="G265" i="16"/>
  <c r="E263" i="16"/>
  <c r="E262" i="16"/>
  <c r="E261" i="16"/>
  <c r="E260" i="16"/>
  <c r="E259" i="16"/>
  <c r="I258" i="16"/>
  <c r="H258" i="16"/>
  <c r="G258" i="16"/>
  <c r="F258" i="16"/>
  <c r="E257" i="16"/>
  <c r="E256" i="16"/>
  <c r="E255" i="16"/>
  <c r="E254" i="16"/>
  <c r="E253" i="16"/>
  <c r="I252" i="16"/>
  <c r="H252" i="16"/>
  <c r="G252" i="16"/>
  <c r="F252" i="16"/>
  <c r="I246" i="16"/>
  <c r="G246" i="16"/>
  <c r="E245" i="16"/>
  <c r="E244" i="16"/>
  <c r="E243" i="16"/>
  <c r="E242" i="16"/>
  <c r="H241" i="16"/>
  <c r="E241" i="16" s="1"/>
  <c r="I240" i="16"/>
  <c r="G240" i="16"/>
  <c r="F240" i="16"/>
  <c r="E239" i="16"/>
  <c r="E238" i="16"/>
  <c r="E237" i="16"/>
  <c r="E236" i="16"/>
  <c r="E235" i="16"/>
  <c r="I234" i="16"/>
  <c r="H234" i="16"/>
  <c r="G234" i="16"/>
  <c r="F234" i="16"/>
  <c r="I228" i="16"/>
  <c r="H228" i="16"/>
  <c r="G228" i="16"/>
  <c r="F228" i="16"/>
  <c r="I227" i="16"/>
  <c r="H227" i="16"/>
  <c r="G227" i="16"/>
  <c r="F227" i="16"/>
  <c r="I226" i="16"/>
  <c r="H226" i="16"/>
  <c r="G226" i="16"/>
  <c r="F226" i="16"/>
  <c r="I225" i="16"/>
  <c r="H225" i="16"/>
  <c r="G225" i="16"/>
  <c r="F225" i="16"/>
  <c r="I224" i="16"/>
  <c r="G224" i="16"/>
  <c r="F224" i="16"/>
  <c r="E216" i="16"/>
  <c r="E215" i="16"/>
  <c r="E214" i="16"/>
  <c r="E213" i="16"/>
  <c r="E212" i="16"/>
  <c r="I211" i="16"/>
  <c r="H211" i="16"/>
  <c r="G211" i="16"/>
  <c r="F211" i="16"/>
  <c r="E210" i="16"/>
  <c r="E209" i="16"/>
  <c r="E208" i="16"/>
  <c r="E207" i="16"/>
  <c r="G206" i="16"/>
  <c r="G200" i="16" s="1"/>
  <c r="F206" i="16"/>
  <c r="I205" i="16"/>
  <c r="H205" i="16"/>
  <c r="I204" i="16"/>
  <c r="H204" i="16"/>
  <c r="G204" i="16"/>
  <c r="F204" i="16"/>
  <c r="I203" i="16"/>
  <c r="H203" i="16"/>
  <c r="G203" i="16"/>
  <c r="F203" i="16"/>
  <c r="I202" i="16"/>
  <c r="H202" i="16"/>
  <c r="G202" i="16"/>
  <c r="F202" i="16"/>
  <c r="I201" i="16"/>
  <c r="H201" i="16"/>
  <c r="G201" i="16"/>
  <c r="F201" i="16"/>
  <c r="I200" i="16"/>
  <c r="I199" i="16" s="1"/>
  <c r="H200" i="16"/>
  <c r="E198" i="16"/>
  <c r="E197" i="16"/>
  <c r="E196" i="16"/>
  <c r="E195" i="16"/>
  <c r="E194" i="16"/>
  <c r="I193" i="16"/>
  <c r="H193" i="16"/>
  <c r="G193" i="16"/>
  <c r="F193" i="16"/>
  <c r="E192" i="16"/>
  <c r="E191" i="16"/>
  <c r="E190" i="16"/>
  <c r="E189" i="16"/>
  <c r="E188" i="16"/>
  <c r="I187" i="16"/>
  <c r="H187" i="16"/>
  <c r="G187" i="16"/>
  <c r="F187" i="16"/>
  <c r="I186" i="16"/>
  <c r="H186" i="16"/>
  <c r="G186" i="16"/>
  <c r="F186" i="16"/>
  <c r="I185" i="16"/>
  <c r="H185" i="16"/>
  <c r="G185" i="16"/>
  <c r="F185" i="16"/>
  <c r="I184" i="16"/>
  <c r="H184" i="16"/>
  <c r="G184" i="16"/>
  <c r="F184" i="16"/>
  <c r="I183" i="16"/>
  <c r="H183" i="16"/>
  <c r="G183" i="16"/>
  <c r="F183" i="16"/>
  <c r="I182" i="16"/>
  <c r="H182" i="16"/>
  <c r="G182" i="16"/>
  <c r="F182" i="16"/>
  <c r="E180" i="16"/>
  <c r="E179" i="16"/>
  <c r="E178" i="16"/>
  <c r="E177" i="16"/>
  <c r="E176" i="16"/>
  <c r="I175" i="16"/>
  <c r="H175" i="16"/>
  <c r="G175" i="16"/>
  <c r="F175" i="16"/>
  <c r="E170" i="16"/>
  <c r="I169" i="16"/>
  <c r="H169" i="16"/>
  <c r="G169" i="16"/>
  <c r="F169" i="16"/>
  <c r="E164" i="16"/>
  <c r="I163" i="16"/>
  <c r="H163" i="16"/>
  <c r="G163" i="16"/>
  <c r="F163" i="16"/>
  <c r="E158" i="16"/>
  <c r="I157" i="16"/>
  <c r="H157" i="16"/>
  <c r="G157" i="16"/>
  <c r="F157" i="16"/>
  <c r="E156" i="16"/>
  <c r="E155" i="16"/>
  <c r="E154" i="16"/>
  <c r="E153" i="16"/>
  <c r="E152" i="16"/>
  <c r="I151" i="16"/>
  <c r="H151" i="16"/>
  <c r="G151" i="16"/>
  <c r="F151" i="16"/>
  <c r="E150" i="16"/>
  <c r="E149" i="16"/>
  <c r="E148" i="16"/>
  <c r="E147" i="16"/>
  <c r="F146" i="16"/>
  <c r="E146" i="16" s="1"/>
  <c r="I145" i="16"/>
  <c r="H145" i="16"/>
  <c r="G145" i="16"/>
  <c r="E144" i="16"/>
  <c r="E143" i="16"/>
  <c r="E142" i="16"/>
  <c r="E141" i="16"/>
  <c r="F140" i="16"/>
  <c r="I139" i="16"/>
  <c r="H139" i="16"/>
  <c r="G139" i="16"/>
  <c r="E138" i="16"/>
  <c r="E137" i="16"/>
  <c r="E136" i="16"/>
  <c r="E135" i="16"/>
  <c r="E134" i="16"/>
  <c r="I133" i="16"/>
  <c r="H133" i="16"/>
  <c r="G133" i="16"/>
  <c r="F133" i="16"/>
  <c r="G132" i="16"/>
  <c r="G127" i="16" s="1"/>
  <c r="E131" i="16"/>
  <c r="E130" i="16"/>
  <c r="E129" i="16"/>
  <c r="F128" i="16"/>
  <c r="F127" i="16" s="1"/>
  <c r="I127" i="16"/>
  <c r="H127" i="16"/>
  <c r="I126" i="16"/>
  <c r="H126" i="16"/>
  <c r="F126" i="16"/>
  <c r="I125" i="16"/>
  <c r="I119" i="16" s="1"/>
  <c r="H125" i="16"/>
  <c r="H119" i="16" s="1"/>
  <c r="G125" i="16"/>
  <c r="F125" i="16"/>
  <c r="I124" i="16"/>
  <c r="H124" i="16"/>
  <c r="G124" i="16"/>
  <c r="G118" i="16" s="1"/>
  <c r="F124" i="16"/>
  <c r="F118" i="16" s="1"/>
  <c r="I123" i="16"/>
  <c r="H123" i="16"/>
  <c r="G123" i="16"/>
  <c r="G117" i="16" s="1"/>
  <c r="F123" i="16"/>
  <c r="I122" i="16"/>
  <c r="I116" i="16" s="1"/>
  <c r="H122" i="16"/>
  <c r="G122" i="16"/>
  <c r="E114" i="16"/>
  <c r="E110" i="16"/>
  <c r="I109" i="16"/>
  <c r="H109" i="16"/>
  <c r="G109" i="16"/>
  <c r="F109" i="16"/>
  <c r="E108" i="16"/>
  <c r="E107" i="16"/>
  <c r="E106" i="16"/>
  <c r="E105" i="16"/>
  <c r="E104" i="16"/>
  <c r="I103" i="16"/>
  <c r="H103" i="16"/>
  <c r="G103" i="16"/>
  <c r="F103" i="16"/>
  <c r="E102" i="16"/>
  <c r="E101" i="16"/>
  <c r="E100" i="16"/>
  <c r="E99" i="16"/>
  <c r="E98" i="16"/>
  <c r="I97" i="16"/>
  <c r="H97" i="16"/>
  <c r="G97" i="16"/>
  <c r="F97" i="16"/>
  <c r="E91" i="16"/>
  <c r="E90" i="16"/>
  <c r="E89" i="16"/>
  <c r="E88" i="16"/>
  <c r="E87" i="16"/>
  <c r="I86" i="16"/>
  <c r="H86" i="16"/>
  <c r="G86" i="16"/>
  <c r="F86" i="16"/>
  <c r="I85" i="16"/>
  <c r="H85" i="16"/>
  <c r="G85" i="16"/>
  <c r="F85" i="16"/>
  <c r="I84" i="16"/>
  <c r="H84" i="16"/>
  <c r="G84" i="16"/>
  <c r="F84" i="16"/>
  <c r="I83" i="16"/>
  <c r="H83" i="16"/>
  <c r="G83" i="16"/>
  <c r="F83" i="16"/>
  <c r="I82" i="16"/>
  <c r="H82" i="16"/>
  <c r="G82" i="16"/>
  <c r="F82" i="16"/>
  <c r="I81" i="16"/>
  <c r="H81" i="16"/>
  <c r="G81" i="16"/>
  <c r="F81" i="16"/>
  <c r="E79" i="16"/>
  <c r="E78" i="16"/>
  <c r="E77" i="16"/>
  <c r="E76" i="16"/>
  <c r="F75" i="16"/>
  <c r="I74" i="16"/>
  <c r="H74" i="16"/>
  <c r="G74" i="16"/>
  <c r="E73" i="16"/>
  <c r="E72" i="16"/>
  <c r="E71" i="16"/>
  <c r="E70" i="16"/>
  <c r="F69" i="16"/>
  <c r="I68" i="16"/>
  <c r="H68" i="16"/>
  <c r="G68" i="16"/>
  <c r="E67" i="16"/>
  <c r="E66" i="16"/>
  <c r="E65" i="16"/>
  <c r="E64" i="16"/>
  <c r="E63" i="16"/>
  <c r="I62" i="16"/>
  <c r="H62" i="16"/>
  <c r="G62" i="16"/>
  <c r="F62" i="16"/>
  <c r="E61" i="16"/>
  <c r="E60" i="16"/>
  <c r="E59" i="16"/>
  <c r="E58" i="16"/>
  <c r="E57" i="16"/>
  <c r="I56" i="16"/>
  <c r="H56" i="16"/>
  <c r="G56" i="16"/>
  <c r="F56" i="16"/>
  <c r="E55" i="16"/>
  <c r="E54" i="16"/>
  <c r="E53" i="16"/>
  <c r="E52" i="16"/>
  <c r="E51" i="16"/>
  <c r="I50" i="16"/>
  <c r="H50" i="16"/>
  <c r="G50" i="16"/>
  <c r="F50" i="16"/>
  <c r="I49" i="16"/>
  <c r="H49" i="16"/>
  <c r="G49" i="16"/>
  <c r="F49" i="16"/>
  <c r="I48" i="16"/>
  <c r="H48" i="16"/>
  <c r="G48" i="16"/>
  <c r="F48" i="16"/>
  <c r="I47" i="16"/>
  <c r="H47" i="16"/>
  <c r="G47" i="16"/>
  <c r="F47" i="16"/>
  <c r="I46" i="16"/>
  <c r="H46" i="16"/>
  <c r="G46" i="16"/>
  <c r="F46" i="16"/>
  <c r="I45" i="16"/>
  <c r="H45" i="16"/>
  <c r="G45" i="16"/>
  <c r="E36" i="16"/>
  <c r="E35" i="16" s="1"/>
  <c r="I35" i="16"/>
  <c r="H35" i="16"/>
  <c r="G35" i="16"/>
  <c r="F35" i="16"/>
  <c r="I34" i="16"/>
  <c r="H34" i="16"/>
  <c r="G34" i="16"/>
  <c r="F34" i="16"/>
  <c r="I33" i="16"/>
  <c r="H33" i="16"/>
  <c r="G33" i="16"/>
  <c r="F33" i="16"/>
  <c r="I32" i="16"/>
  <c r="H32" i="16"/>
  <c r="G32" i="16"/>
  <c r="F32" i="16"/>
  <c r="I31" i="16"/>
  <c r="H31" i="16"/>
  <c r="G31" i="16"/>
  <c r="F31" i="16"/>
  <c r="I30" i="16"/>
  <c r="H30" i="16"/>
  <c r="G30" i="16"/>
  <c r="F30" i="16"/>
  <c r="I22" i="16"/>
  <c r="H22" i="16"/>
  <c r="G22" i="16"/>
  <c r="F22" i="16"/>
  <c r="I21" i="16"/>
  <c r="H21" i="16"/>
  <c r="G21" i="16"/>
  <c r="F21" i="16"/>
  <c r="I20" i="16"/>
  <c r="G20" i="16"/>
  <c r="F20" i="16"/>
  <c r="I19" i="16"/>
  <c r="H19" i="16"/>
  <c r="G19" i="16"/>
  <c r="F19" i="16"/>
  <c r="I18" i="16"/>
  <c r="G18" i="16"/>
  <c r="F18" i="16"/>
  <c r="L12" i="16"/>
  <c r="U17" i="15"/>
  <c r="O17" i="15" s="1"/>
  <c r="T17" i="15"/>
  <c r="N17" i="15" s="1"/>
  <c r="S17" i="15"/>
  <c r="M17" i="15" s="1"/>
  <c r="R17" i="15"/>
  <c r="L17" i="15" s="1"/>
  <c r="Q17" i="15"/>
  <c r="K17" i="15" s="1"/>
  <c r="U16" i="15"/>
  <c r="O16" i="15" s="1"/>
  <c r="T16" i="15"/>
  <c r="N16" i="15" s="1"/>
  <c r="S16" i="15"/>
  <c r="M16" i="15" s="1"/>
  <c r="R16" i="15"/>
  <c r="L16" i="15" s="1"/>
  <c r="Q16" i="15"/>
  <c r="K16" i="15" s="1"/>
  <c r="U15" i="15"/>
  <c r="O15" i="15" s="1"/>
  <c r="T15" i="15"/>
  <c r="N15" i="15" s="1"/>
  <c r="S15" i="15"/>
  <c r="M15" i="15" s="1"/>
  <c r="R15" i="15"/>
  <c r="L15" i="15" s="1"/>
  <c r="Q15" i="15"/>
  <c r="K15" i="15" s="1"/>
  <c r="U14" i="15"/>
  <c r="O14" i="15" s="1"/>
  <c r="T14" i="15"/>
  <c r="N14" i="15" s="1"/>
  <c r="S14" i="15"/>
  <c r="M14" i="15" s="1"/>
  <c r="R14" i="15"/>
  <c r="L14" i="15" s="1"/>
  <c r="Q14" i="15"/>
  <c r="K14" i="15" s="1"/>
  <c r="U13" i="15"/>
  <c r="O13" i="15" s="1"/>
  <c r="T13" i="15"/>
  <c r="N13" i="15" s="1"/>
  <c r="S13" i="15"/>
  <c r="M13" i="15" s="1"/>
  <c r="R13" i="15"/>
  <c r="L13" i="15" s="1"/>
  <c r="Q13" i="15"/>
  <c r="K13" i="15" s="1"/>
  <c r="U12" i="15"/>
  <c r="O12" i="15" s="1"/>
  <c r="T12" i="15"/>
  <c r="N12" i="15" s="1"/>
  <c r="S12" i="15"/>
  <c r="M12" i="15" s="1"/>
  <c r="R12" i="15"/>
  <c r="L12" i="15" s="1"/>
  <c r="Q12" i="15"/>
  <c r="K12" i="15" s="1"/>
  <c r="U11" i="15"/>
  <c r="O11" i="15" s="1"/>
  <c r="T11" i="15"/>
  <c r="N11" i="15" s="1"/>
  <c r="S11" i="15"/>
  <c r="M11" i="15" s="1"/>
  <c r="R11" i="15"/>
  <c r="L11" i="15" s="1"/>
  <c r="Q11" i="15"/>
  <c r="K11" i="15" s="1"/>
  <c r="U10" i="15"/>
  <c r="O10" i="15" s="1"/>
  <c r="T10" i="15"/>
  <c r="N10" i="15" s="1"/>
  <c r="S10" i="15"/>
  <c r="M10" i="15" s="1"/>
  <c r="R10" i="15"/>
  <c r="L10" i="15" s="1"/>
  <c r="Q10" i="15"/>
  <c r="K10" i="15" s="1"/>
  <c r="U9" i="15"/>
  <c r="O9" i="15" s="1"/>
  <c r="T9" i="15"/>
  <c r="N9" i="15" s="1"/>
  <c r="S9" i="15"/>
  <c r="M9" i="15" s="1"/>
  <c r="R9" i="15"/>
  <c r="L9" i="15" s="1"/>
  <c r="Q9" i="15"/>
  <c r="K9" i="15" s="1"/>
  <c r="U8" i="15"/>
  <c r="O8" i="15" s="1"/>
  <c r="T8" i="15"/>
  <c r="N8" i="15" s="1"/>
  <c r="S8" i="15"/>
  <c r="M8" i="15" s="1"/>
  <c r="R8" i="15"/>
  <c r="L8" i="15" s="1"/>
  <c r="Q8" i="15"/>
  <c r="K8" i="15" s="1"/>
  <c r="U7" i="15"/>
  <c r="O7" i="15" s="1"/>
  <c r="T7" i="15"/>
  <c r="N7" i="15" s="1"/>
  <c r="S7" i="15"/>
  <c r="M7" i="15" s="1"/>
  <c r="R7" i="15"/>
  <c r="L7" i="15" s="1"/>
  <c r="Q7" i="15"/>
  <c r="K7" i="15" s="1"/>
  <c r="U6" i="15"/>
  <c r="O6" i="15" s="1"/>
  <c r="T6" i="15"/>
  <c r="N6" i="15" s="1"/>
  <c r="S6" i="15"/>
  <c r="M6" i="15" s="1"/>
  <c r="R6" i="15"/>
  <c r="L6" i="15" s="1"/>
  <c r="Q6" i="15"/>
  <c r="K6" i="15" s="1"/>
  <c r="E395" i="13"/>
  <c r="E394" i="13"/>
  <c r="E393" i="13"/>
  <c r="E392" i="13"/>
  <c r="E391" i="13"/>
  <c r="I390" i="13"/>
  <c r="H390" i="13"/>
  <c r="G390" i="13"/>
  <c r="F390" i="13"/>
  <c r="I389" i="13"/>
  <c r="I383" i="13" s="1"/>
  <c r="H389" i="13"/>
  <c r="H383" i="13" s="1"/>
  <c r="G389" i="13"/>
  <c r="G383" i="13" s="1"/>
  <c r="F389" i="13"/>
  <c r="F383" i="13" s="1"/>
  <c r="I388" i="13"/>
  <c r="I382" i="13" s="1"/>
  <c r="H388" i="13"/>
  <c r="H382" i="13" s="1"/>
  <c r="G388" i="13"/>
  <c r="G382" i="13" s="1"/>
  <c r="F388" i="13"/>
  <c r="F382" i="13" s="1"/>
  <c r="I387" i="13"/>
  <c r="I381" i="13" s="1"/>
  <c r="H387" i="13"/>
  <c r="H381" i="13" s="1"/>
  <c r="G387" i="13"/>
  <c r="G381" i="13" s="1"/>
  <c r="F387" i="13"/>
  <c r="I386" i="13"/>
  <c r="I380" i="13" s="1"/>
  <c r="H386" i="13"/>
  <c r="H380" i="13" s="1"/>
  <c r="G386" i="13"/>
  <c r="G380" i="13" s="1"/>
  <c r="F386" i="13"/>
  <c r="I385" i="13"/>
  <c r="I379" i="13" s="1"/>
  <c r="H385" i="13"/>
  <c r="G385" i="13"/>
  <c r="G379" i="13" s="1"/>
  <c r="F385" i="13"/>
  <c r="E377" i="13"/>
  <c r="E376" i="13"/>
  <c r="H375" i="13"/>
  <c r="H351" i="13" s="1"/>
  <c r="E374" i="13"/>
  <c r="E373" i="13"/>
  <c r="I372" i="13"/>
  <c r="G372" i="13"/>
  <c r="F372" i="13"/>
  <c r="E371" i="13"/>
  <c r="E370" i="13"/>
  <c r="E369" i="13"/>
  <c r="E368" i="13"/>
  <c r="E367" i="13"/>
  <c r="I366" i="13"/>
  <c r="H366" i="13"/>
  <c r="G366" i="13"/>
  <c r="F366" i="13"/>
  <c r="E365" i="13"/>
  <c r="E364" i="13"/>
  <c r="E363" i="13"/>
  <c r="E362" i="13"/>
  <c r="E361" i="13"/>
  <c r="I360" i="13"/>
  <c r="H360" i="13"/>
  <c r="G360" i="13"/>
  <c r="F360" i="13"/>
  <c r="E359" i="13"/>
  <c r="E358" i="13"/>
  <c r="E357" i="13"/>
  <c r="E356" i="13"/>
  <c r="F355" i="13"/>
  <c r="E355" i="13" s="1"/>
  <c r="I354" i="13"/>
  <c r="H354" i="13"/>
  <c r="G354" i="13"/>
  <c r="I353" i="13"/>
  <c r="H353" i="13"/>
  <c r="G353" i="13"/>
  <c r="F353" i="13"/>
  <c r="I352" i="13"/>
  <c r="H352" i="13"/>
  <c r="G352" i="13"/>
  <c r="F352" i="13"/>
  <c r="I351" i="13"/>
  <c r="G351" i="13"/>
  <c r="F351" i="13"/>
  <c r="L350" i="13"/>
  <c r="I350" i="13"/>
  <c r="H350" i="13"/>
  <c r="G350" i="13"/>
  <c r="F350" i="13"/>
  <c r="L349" i="13"/>
  <c r="I349" i="13"/>
  <c r="H349" i="13"/>
  <c r="G349" i="13"/>
  <c r="F349" i="13"/>
  <c r="E347" i="13"/>
  <c r="E346" i="13"/>
  <c r="E345" i="13"/>
  <c r="E344" i="13"/>
  <c r="E343" i="13"/>
  <c r="I342" i="13"/>
  <c r="H342" i="13"/>
  <c r="G342" i="13"/>
  <c r="F342" i="13"/>
  <c r="E335" i="13"/>
  <c r="E334" i="13"/>
  <c r="E333" i="13"/>
  <c r="E332" i="13"/>
  <c r="E331" i="13"/>
  <c r="I330" i="13"/>
  <c r="H330" i="13"/>
  <c r="G330" i="13"/>
  <c r="F330" i="13"/>
  <c r="H325" i="13"/>
  <c r="E325" i="13" s="1"/>
  <c r="I324" i="13"/>
  <c r="G324" i="13"/>
  <c r="F324" i="13"/>
  <c r="H319" i="13"/>
  <c r="H318" i="13" s="1"/>
  <c r="I318" i="13"/>
  <c r="G318" i="13"/>
  <c r="F318" i="13"/>
  <c r="H313" i="13"/>
  <c r="I312" i="13"/>
  <c r="G312" i="13"/>
  <c r="F312" i="13"/>
  <c r="H307" i="13"/>
  <c r="E307" i="13" s="1"/>
  <c r="I306" i="13"/>
  <c r="G306" i="13"/>
  <c r="F306" i="13"/>
  <c r="H301" i="13"/>
  <c r="I300" i="13"/>
  <c r="G300" i="13"/>
  <c r="F300" i="13"/>
  <c r="H295" i="13"/>
  <c r="E295" i="13" s="1"/>
  <c r="I294" i="13"/>
  <c r="G294" i="13"/>
  <c r="F294" i="13"/>
  <c r="E289" i="13"/>
  <c r="I288" i="13"/>
  <c r="H288" i="13"/>
  <c r="G288" i="13"/>
  <c r="F288" i="13"/>
  <c r="F283" i="13"/>
  <c r="I282" i="13"/>
  <c r="H282" i="13"/>
  <c r="G282" i="13"/>
  <c r="E281" i="13"/>
  <c r="E280" i="13"/>
  <c r="E279" i="13"/>
  <c r="E278" i="13"/>
  <c r="E277" i="13"/>
  <c r="I276" i="13"/>
  <c r="H276" i="13"/>
  <c r="G276" i="13"/>
  <c r="F276" i="13"/>
  <c r="E275" i="13"/>
  <c r="E274" i="13"/>
  <c r="E273" i="13"/>
  <c r="H272" i="13"/>
  <c r="E271" i="13"/>
  <c r="I270" i="13"/>
  <c r="G270" i="13"/>
  <c r="F270" i="13"/>
  <c r="I269" i="13"/>
  <c r="H269" i="13"/>
  <c r="G269" i="13"/>
  <c r="F269" i="13"/>
  <c r="I268" i="13"/>
  <c r="H268" i="13"/>
  <c r="G268" i="13"/>
  <c r="F268" i="13"/>
  <c r="I267" i="13"/>
  <c r="H267" i="13"/>
  <c r="G267" i="13"/>
  <c r="F267" i="13"/>
  <c r="I266" i="13"/>
  <c r="G266" i="13"/>
  <c r="F266" i="13"/>
  <c r="I265" i="13"/>
  <c r="G265" i="13"/>
  <c r="E263" i="13"/>
  <c r="E262" i="13"/>
  <c r="E261" i="13"/>
  <c r="E260" i="13"/>
  <c r="E259" i="13"/>
  <c r="I258" i="13"/>
  <c r="H258" i="13"/>
  <c r="G258" i="13"/>
  <c r="F258" i="13"/>
  <c r="E257" i="13"/>
  <c r="E256" i="13"/>
  <c r="E255" i="13"/>
  <c r="E254" i="13"/>
  <c r="E253" i="13"/>
  <c r="I252" i="13"/>
  <c r="H252" i="13"/>
  <c r="G252" i="13"/>
  <c r="F252" i="13"/>
  <c r="I246" i="13"/>
  <c r="G246" i="13"/>
  <c r="E245" i="13"/>
  <c r="E244" i="13"/>
  <c r="E243" i="13"/>
  <c r="E242" i="13"/>
  <c r="H241" i="13"/>
  <c r="I240" i="13"/>
  <c r="G240" i="13"/>
  <c r="F240" i="13"/>
  <c r="E239" i="13"/>
  <c r="E238" i="13"/>
  <c r="E237" i="13"/>
  <c r="E236" i="13"/>
  <c r="E235" i="13"/>
  <c r="I234" i="13"/>
  <c r="H234" i="13"/>
  <c r="G234" i="13"/>
  <c r="F234" i="13"/>
  <c r="I228" i="13"/>
  <c r="H228" i="13"/>
  <c r="H222" i="13" s="1"/>
  <c r="G228" i="13"/>
  <c r="F228" i="13"/>
  <c r="I227" i="13"/>
  <c r="H227" i="13"/>
  <c r="G227" i="13"/>
  <c r="F227" i="13"/>
  <c r="I226" i="13"/>
  <c r="H226" i="13"/>
  <c r="G226" i="13"/>
  <c r="F226" i="13"/>
  <c r="I225" i="13"/>
  <c r="H225" i="13"/>
  <c r="G225" i="13"/>
  <c r="F225" i="13"/>
  <c r="I224" i="13"/>
  <c r="G224" i="13"/>
  <c r="F224" i="13"/>
  <c r="E216" i="13"/>
  <c r="E215" i="13"/>
  <c r="E214" i="13"/>
  <c r="E213" i="13"/>
  <c r="E212" i="13"/>
  <c r="I211" i="13"/>
  <c r="H211" i="13"/>
  <c r="G211" i="13"/>
  <c r="F211" i="13"/>
  <c r="E210" i="13"/>
  <c r="E209" i="13"/>
  <c r="E208" i="13"/>
  <c r="E207" i="13"/>
  <c r="G206" i="13"/>
  <c r="F206" i="13"/>
  <c r="F205" i="13" s="1"/>
  <c r="I205" i="13"/>
  <c r="H205" i="13"/>
  <c r="I204" i="13"/>
  <c r="H204" i="13"/>
  <c r="G204" i="13"/>
  <c r="F204" i="13"/>
  <c r="I203" i="13"/>
  <c r="H203" i="13"/>
  <c r="G203" i="13"/>
  <c r="F203" i="13"/>
  <c r="I202" i="13"/>
  <c r="H202" i="13"/>
  <c r="G202" i="13"/>
  <c r="F202" i="13"/>
  <c r="I201" i="13"/>
  <c r="H201" i="13"/>
  <c r="G201" i="13"/>
  <c r="F201" i="13"/>
  <c r="I200" i="13"/>
  <c r="I199" i="13" s="1"/>
  <c r="H200" i="13"/>
  <c r="E198" i="13"/>
  <c r="E197" i="13"/>
  <c r="E196" i="13"/>
  <c r="E195" i="13"/>
  <c r="E194" i="13"/>
  <c r="I193" i="13"/>
  <c r="H193" i="13"/>
  <c r="G193" i="13"/>
  <c r="F193" i="13"/>
  <c r="E192" i="13"/>
  <c r="E191" i="13"/>
  <c r="E190" i="13"/>
  <c r="E189" i="13"/>
  <c r="E188" i="13"/>
  <c r="I187" i="13"/>
  <c r="H187" i="13"/>
  <c r="G187" i="13"/>
  <c r="F187" i="13"/>
  <c r="I186" i="13"/>
  <c r="H186" i="13"/>
  <c r="G186" i="13"/>
  <c r="F186" i="13"/>
  <c r="I185" i="13"/>
  <c r="H185" i="13"/>
  <c r="G185" i="13"/>
  <c r="F185" i="13"/>
  <c r="I184" i="13"/>
  <c r="H184" i="13"/>
  <c r="G184" i="13"/>
  <c r="F184" i="13"/>
  <c r="I183" i="13"/>
  <c r="H183" i="13"/>
  <c r="G183" i="13"/>
  <c r="F183" i="13"/>
  <c r="I182" i="13"/>
  <c r="H182" i="13"/>
  <c r="G182" i="13"/>
  <c r="F182" i="13"/>
  <c r="E180" i="13"/>
  <c r="E179" i="13"/>
  <c r="E178" i="13"/>
  <c r="E177" i="13"/>
  <c r="E176" i="13"/>
  <c r="I175" i="13"/>
  <c r="H175" i="13"/>
  <c r="G175" i="13"/>
  <c r="F175" i="13"/>
  <c r="E170" i="13"/>
  <c r="I169" i="13"/>
  <c r="H169" i="13"/>
  <c r="G169" i="13"/>
  <c r="F169" i="13"/>
  <c r="E164" i="13"/>
  <c r="I163" i="13"/>
  <c r="H163" i="13"/>
  <c r="G163" i="13"/>
  <c r="F163" i="13"/>
  <c r="E158" i="13"/>
  <c r="I157" i="13"/>
  <c r="H157" i="13"/>
  <c r="G157" i="13"/>
  <c r="F157" i="13"/>
  <c r="E156" i="13"/>
  <c r="E155" i="13"/>
  <c r="E154" i="13"/>
  <c r="E153" i="13"/>
  <c r="E152" i="13"/>
  <c r="I151" i="13"/>
  <c r="H151" i="13"/>
  <c r="G151" i="13"/>
  <c r="F151" i="13"/>
  <c r="E150" i="13"/>
  <c r="E149" i="13"/>
  <c r="E148" i="13"/>
  <c r="E147" i="13"/>
  <c r="F146" i="13"/>
  <c r="E146" i="13" s="1"/>
  <c r="I145" i="13"/>
  <c r="H145" i="13"/>
  <c r="G145" i="13"/>
  <c r="E144" i="13"/>
  <c r="E143" i="13"/>
  <c r="E142" i="13"/>
  <c r="E141" i="13"/>
  <c r="F140" i="13"/>
  <c r="E140" i="13" s="1"/>
  <c r="I139" i="13"/>
  <c r="H139" i="13"/>
  <c r="G139" i="13"/>
  <c r="E138" i="13"/>
  <c r="E137" i="13"/>
  <c r="E136" i="13"/>
  <c r="E135" i="13"/>
  <c r="E134" i="13"/>
  <c r="I133" i="13"/>
  <c r="H133" i="13"/>
  <c r="G133" i="13"/>
  <c r="F133" i="13"/>
  <c r="G132" i="13"/>
  <c r="G127" i="13" s="1"/>
  <c r="E131" i="13"/>
  <c r="E130" i="13"/>
  <c r="E129" i="13"/>
  <c r="F128" i="13"/>
  <c r="F127" i="13" s="1"/>
  <c r="I127" i="13"/>
  <c r="H127" i="13"/>
  <c r="I126" i="13"/>
  <c r="H126" i="13"/>
  <c r="H120" i="13" s="1"/>
  <c r="F126" i="13"/>
  <c r="I125" i="13"/>
  <c r="H125" i="13"/>
  <c r="G125" i="13"/>
  <c r="F125" i="13"/>
  <c r="I124" i="13"/>
  <c r="H124" i="13"/>
  <c r="G124" i="13"/>
  <c r="F124" i="13"/>
  <c r="I123" i="13"/>
  <c r="I117" i="13" s="1"/>
  <c r="H123" i="13"/>
  <c r="G123" i="13"/>
  <c r="F123" i="13"/>
  <c r="I122" i="13"/>
  <c r="H122" i="13"/>
  <c r="G122" i="13"/>
  <c r="E114" i="13"/>
  <c r="E110" i="13"/>
  <c r="I109" i="13"/>
  <c r="H109" i="13"/>
  <c r="G109" i="13"/>
  <c r="F109" i="13"/>
  <c r="E108" i="13"/>
  <c r="E107" i="13"/>
  <c r="E106" i="13"/>
  <c r="E105" i="13"/>
  <c r="E104" i="13"/>
  <c r="I103" i="13"/>
  <c r="H103" i="13"/>
  <c r="G103" i="13"/>
  <c r="F103" i="13"/>
  <c r="E102" i="13"/>
  <c r="E101" i="13"/>
  <c r="E100" i="13"/>
  <c r="E99" i="13"/>
  <c r="E98" i="13"/>
  <c r="I97" i="13"/>
  <c r="H97" i="13"/>
  <c r="G97" i="13"/>
  <c r="F97" i="13"/>
  <c r="E91" i="13"/>
  <c r="E90" i="13"/>
  <c r="E89" i="13"/>
  <c r="E88" i="13"/>
  <c r="E87" i="13"/>
  <c r="I86" i="13"/>
  <c r="H86" i="13"/>
  <c r="G86" i="13"/>
  <c r="F86" i="13"/>
  <c r="I85" i="13"/>
  <c r="H85" i="13"/>
  <c r="G85" i="13"/>
  <c r="F85" i="13"/>
  <c r="I84" i="13"/>
  <c r="H84" i="13"/>
  <c r="G84" i="13"/>
  <c r="F84" i="13"/>
  <c r="I83" i="13"/>
  <c r="H83" i="13"/>
  <c r="G83" i="13"/>
  <c r="F83" i="13"/>
  <c r="I82" i="13"/>
  <c r="H82" i="13"/>
  <c r="G82" i="13"/>
  <c r="F82" i="13"/>
  <c r="I81" i="13"/>
  <c r="H81" i="13"/>
  <c r="G81" i="13"/>
  <c r="F81" i="13"/>
  <c r="E79" i="13"/>
  <c r="E78" i="13"/>
  <c r="E77" i="13"/>
  <c r="E76" i="13"/>
  <c r="F75" i="13"/>
  <c r="F74" i="13" s="1"/>
  <c r="I74" i="13"/>
  <c r="H74" i="13"/>
  <c r="G74" i="13"/>
  <c r="E73" i="13"/>
  <c r="E72" i="13"/>
  <c r="E71" i="13"/>
  <c r="E70" i="13"/>
  <c r="F69" i="13"/>
  <c r="E69" i="13" s="1"/>
  <c r="I68" i="13"/>
  <c r="H68" i="13"/>
  <c r="G68" i="13"/>
  <c r="E67" i="13"/>
  <c r="E66" i="13"/>
  <c r="E65" i="13"/>
  <c r="E64" i="13"/>
  <c r="E63" i="13"/>
  <c r="I62" i="13"/>
  <c r="H62" i="13"/>
  <c r="G62" i="13"/>
  <c r="F62" i="13"/>
  <c r="E61" i="13"/>
  <c r="E60" i="13"/>
  <c r="E59" i="13"/>
  <c r="E58" i="13"/>
  <c r="E57" i="13"/>
  <c r="I56" i="13"/>
  <c r="H56" i="13"/>
  <c r="G56" i="13"/>
  <c r="F56" i="13"/>
  <c r="E55" i="13"/>
  <c r="E54" i="13"/>
  <c r="E53" i="13"/>
  <c r="E52" i="13"/>
  <c r="E51" i="13"/>
  <c r="I50" i="13"/>
  <c r="H50" i="13"/>
  <c r="G50" i="13"/>
  <c r="F50" i="13"/>
  <c r="I49" i="13"/>
  <c r="H49" i="13"/>
  <c r="G49" i="13"/>
  <c r="F49" i="13"/>
  <c r="I48" i="13"/>
  <c r="H48" i="13"/>
  <c r="G48" i="13"/>
  <c r="F48" i="13"/>
  <c r="I47" i="13"/>
  <c r="H47" i="13"/>
  <c r="G47" i="13"/>
  <c r="F47" i="13"/>
  <c r="I46" i="13"/>
  <c r="H46" i="13"/>
  <c r="G46" i="13"/>
  <c r="F46" i="13"/>
  <c r="I45" i="13"/>
  <c r="H45" i="13"/>
  <c r="G45" i="13"/>
  <c r="E36" i="13"/>
  <c r="E35" i="13" s="1"/>
  <c r="I35" i="13"/>
  <c r="H35" i="13"/>
  <c r="G35" i="13"/>
  <c r="F35" i="13"/>
  <c r="I34" i="13"/>
  <c r="H34" i="13"/>
  <c r="H28" i="13" s="1"/>
  <c r="G34" i="13"/>
  <c r="F34" i="13"/>
  <c r="I33" i="13"/>
  <c r="H33" i="13"/>
  <c r="H27" i="13" s="1"/>
  <c r="G33" i="13"/>
  <c r="F33" i="13"/>
  <c r="I32" i="13"/>
  <c r="H32" i="13"/>
  <c r="H26" i="13" s="1"/>
  <c r="G32" i="13"/>
  <c r="F32" i="13"/>
  <c r="I31" i="13"/>
  <c r="H31" i="13"/>
  <c r="G31" i="13"/>
  <c r="F31" i="13"/>
  <c r="I30" i="13"/>
  <c r="H30" i="13"/>
  <c r="G30" i="13"/>
  <c r="F30" i="13"/>
  <c r="I22" i="13"/>
  <c r="H22" i="13"/>
  <c r="G22" i="13"/>
  <c r="F22" i="13"/>
  <c r="I21" i="13"/>
  <c r="H21" i="13"/>
  <c r="G21" i="13"/>
  <c r="F21" i="13"/>
  <c r="I20" i="13"/>
  <c r="G20" i="13"/>
  <c r="F20" i="13"/>
  <c r="I19" i="13"/>
  <c r="H19" i="13"/>
  <c r="G19" i="13"/>
  <c r="F19" i="13"/>
  <c r="I18" i="13"/>
  <c r="G18" i="13"/>
  <c r="F18" i="13"/>
  <c r="L12" i="13"/>
  <c r="E232" i="11"/>
  <c r="E231" i="11"/>
  <c r="E230" i="11"/>
  <c r="E229" i="11"/>
  <c r="E228" i="11"/>
  <c r="I227" i="11"/>
  <c r="H227" i="11"/>
  <c r="G227" i="11"/>
  <c r="F227" i="11"/>
  <c r="I226" i="11"/>
  <c r="H226" i="11"/>
  <c r="H220" i="11" s="1"/>
  <c r="G226" i="11"/>
  <c r="G220" i="11" s="1"/>
  <c r="F226" i="11"/>
  <c r="F220" i="11" s="1"/>
  <c r="I225" i="11"/>
  <c r="I219" i="11" s="1"/>
  <c r="H225" i="11"/>
  <c r="H219" i="11" s="1"/>
  <c r="G225" i="11"/>
  <c r="G219" i="11" s="1"/>
  <c r="F225" i="11"/>
  <c r="F219" i="11" s="1"/>
  <c r="I224" i="11"/>
  <c r="I218" i="11" s="1"/>
  <c r="H224" i="11"/>
  <c r="H218" i="11" s="1"/>
  <c r="G224" i="11"/>
  <c r="F224" i="11"/>
  <c r="F218" i="11" s="1"/>
  <c r="I223" i="11"/>
  <c r="I217" i="11" s="1"/>
  <c r="H223" i="11"/>
  <c r="H217" i="11" s="1"/>
  <c r="G223" i="11"/>
  <c r="G217" i="11" s="1"/>
  <c r="F223" i="11"/>
  <c r="F217" i="11" s="1"/>
  <c r="I222" i="11"/>
  <c r="H222" i="11"/>
  <c r="H216" i="11" s="1"/>
  <c r="G222" i="11"/>
  <c r="F222" i="11"/>
  <c r="G216" i="11"/>
  <c r="E214" i="11"/>
  <c r="E213" i="11"/>
  <c r="E212" i="11"/>
  <c r="E211" i="11"/>
  <c r="E210" i="11"/>
  <c r="I209" i="11"/>
  <c r="H209" i="11"/>
  <c r="G209" i="11"/>
  <c r="F209" i="11"/>
  <c r="E208" i="11"/>
  <c r="E207" i="11"/>
  <c r="E206" i="11"/>
  <c r="E205" i="11"/>
  <c r="E204" i="11"/>
  <c r="I203" i="11"/>
  <c r="H203" i="11"/>
  <c r="G203" i="11"/>
  <c r="F203" i="11"/>
  <c r="E202" i="11"/>
  <c r="E201" i="11"/>
  <c r="E200" i="11"/>
  <c r="E199" i="11"/>
  <c r="E198" i="11"/>
  <c r="I197" i="11"/>
  <c r="H197" i="11"/>
  <c r="G197" i="11"/>
  <c r="F197" i="11"/>
  <c r="I196" i="11"/>
  <c r="H196" i="11"/>
  <c r="G196" i="11"/>
  <c r="F196" i="11"/>
  <c r="I195" i="11"/>
  <c r="H195" i="11"/>
  <c r="G195" i="11"/>
  <c r="F195" i="11"/>
  <c r="I194" i="11"/>
  <c r="H194" i="11"/>
  <c r="G194" i="11"/>
  <c r="F194" i="11"/>
  <c r="I193" i="11"/>
  <c r="G193" i="11"/>
  <c r="F193" i="11"/>
  <c r="I192" i="11"/>
  <c r="H192" i="11"/>
  <c r="G192" i="11"/>
  <c r="F192" i="11"/>
  <c r="E190" i="11"/>
  <c r="E189" i="11"/>
  <c r="E188" i="11"/>
  <c r="E187" i="11"/>
  <c r="E186" i="11"/>
  <c r="I185" i="11"/>
  <c r="H185" i="11"/>
  <c r="G185" i="11"/>
  <c r="F185" i="11"/>
  <c r="E184" i="11"/>
  <c r="E183" i="11"/>
  <c r="E182" i="11"/>
  <c r="H181" i="11"/>
  <c r="H193" i="11" s="1"/>
  <c r="E180" i="11"/>
  <c r="I179" i="11"/>
  <c r="G179" i="11"/>
  <c r="F179" i="11"/>
  <c r="I178" i="11"/>
  <c r="H178" i="11"/>
  <c r="G178" i="11"/>
  <c r="F178" i="11"/>
  <c r="I177" i="11"/>
  <c r="H177" i="11"/>
  <c r="G177" i="11"/>
  <c r="F177" i="11"/>
  <c r="I176" i="11"/>
  <c r="H176" i="11"/>
  <c r="G176" i="11"/>
  <c r="G158" i="11" s="1"/>
  <c r="F176" i="11"/>
  <c r="F158" i="11" s="1"/>
  <c r="I175" i="11"/>
  <c r="G175" i="11"/>
  <c r="F175" i="11"/>
  <c r="I174" i="11"/>
  <c r="H174" i="11"/>
  <c r="G174" i="11"/>
  <c r="F174" i="11"/>
  <c r="E172" i="11"/>
  <c r="E171" i="11"/>
  <c r="E170" i="11"/>
  <c r="E169" i="11"/>
  <c r="E168" i="11"/>
  <c r="I167" i="11"/>
  <c r="H167" i="11"/>
  <c r="G167" i="11"/>
  <c r="F167" i="11"/>
  <c r="E166" i="11"/>
  <c r="E165" i="11"/>
  <c r="E164" i="11"/>
  <c r="H163" i="11"/>
  <c r="F163" i="11"/>
  <c r="H162" i="11"/>
  <c r="F162" i="11"/>
  <c r="I161" i="11"/>
  <c r="G161" i="11"/>
  <c r="E154" i="11"/>
  <c r="E153" i="11"/>
  <c r="E152" i="11"/>
  <c r="E151" i="11"/>
  <c r="E150" i="11"/>
  <c r="I149" i="11"/>
  <c r="H149" i="11"/>
  <c r="G149" i="11"/>
  <c r="F149" i="11"/>
  <c r="I148" i="11"/>
  <c r="H148" i="11"/>
  <c r="G148" i="11"/>
  <c r="F148" i="11"/>
  <c r="I147" i="11"/>
  <c r="H147" i="11"/>
  <c r="G147" i="11"/>
  <c r="F147" i="11"/>
  <c r="I146" i="11"/>
  <c r="H146" i="11"/>
  <c r="G146" i="11"/>
  <c r="F146" i="11"/>
  <c r="I145" i="11"/>
  <c r="H145" i="11"/>
  <c r="G145" i="11"/>
  <c r="F145" i="11"/>
  <c r="I144" i="11"/>
  <c r="H144" i="11"/>
  <c r="G144" i="11"/>
  <c r="G143" i="11" s="1"/>
  <c r="F144" i="11"/>
  <c r="E142" i="11"/>
  <c r="E141" i="11"/>
  <c r="E140" i="11"/>
  <c r="E139" i="11"/>
  <c r="E138" i="11"/>
  <c r="I137" i="11"/>
  <c r="H137" i="11"/>
  <c r="G137" i="11"/>
  <c r="F137" i="11"/>
  <c r="E136" i="11"/>
  <c r="E135" i="11"/>
  <c r="E134" i="11"/>
  <c r="E133" i="11"/>
  <c r="E132" i="11"/>
  <c r="I131" i="11"/>
  <c r="H131" i="11"/>
  <c r="G131" i="11"/>
  <c r="F131" i="11"/>
  <c r="I130" i="11"/>
  <c r="H130" i="11"/>
  <c r="G130" i="11"/>
  <c r="F130" i="11"/>
  <c r="I129" i="11"/>
  <c r="H129" i="11"/>
  <c r="G129" i="11"/>
  <c r="F129" i="11"/>
  <c r="I128" i="11"/>
  <c r="H128" i="11"/>
  <c r="G128" i="11"/>
  <c r="F128" i="11"/>
  <c r="I127" i="11"/>
  <c r="H127" i="11"/>
  <c r="G127" i="11"/>
  <c r="F127" i="11"/>
  <c r="I126" i="11"/>
  <c r="I125" i="11" s="1"/>
  <c r="H126" i="11"/>
  <c r="G126" i="11"/>
  <c r="G125" i="11" s="1"/>
  <c r="F126" i="11"/>
  <c r="E124" i="11"/>
  <c r="E123" i="11"/>
  <c r="E122" i="11"/>
  <c r="E121" i="11"/>
  <c r="E120" i="11"/>
  <c r="I119" i="11"/>
  <c r="H119" i="11"/>
  <c r="G119" i="11"/>
  <c r="F119" i="11"/>
  <c r="E118" i="11"/>
  <c r="E117" i="11"/>
  <c r="E116" i="11"/>
  <c r="E115" i="11"/>
  <c r="E114" i="11"/>
  <c r="I113" i="11"/>
  <c r="H113" i="11"/>
  <c r="G113" i="11"/>
  <c r="F113" i="11"/>
  <c r="E112" i="11"/>
  <c r="E111" i="11"/>
  <c r="E110" i="11"/>
  <c r="E109" i="11"/>
  <c r="E108" i="11"/>
  <c r="I107" i="11"/>
  <c r="H107" i="11"/>
  <c r="G107" i="11"/>
  <c r="F107" i="11"/>
  <c r="E106" i="11"/>
  <c r="E105" i="11"/>
  <c r="E104" i="11"/>
  <c r="E103" i="11"/>
  <c r="E102" i="11"/>
  <c r="I101" i="11"/>
  <c r="H101" i="11"/>
  <c r="G101" i="11"/>
  <c r="F101" i="11"/>
  <c r="G100" i="11"/>
  <c r="E99" i="11"/>
  <c r="E98" i="11"/>
  <c r="E97" i="11"/>
  <c r="E96" i="11"/>
  <c r="I95" i="11"/>
  <c r="H95" i="11"/>
  <c r="F95" i="11"/>
  <c r="I94" i="11"/>
  <c r="H94" i="11"/>
  <c r="F94" i="11"/>
  <c r="I93" i="11"/>
  <c r="H93" i="11"/>
  <c r="G93" i="11"/>
  <c r="F93" i="11"/>
  <c r="I92" i="11"/>
  <c r="H92" i="11"/>
  <c r="G92" i="11"/>
  <c r="F92" i="11"/>
  <c r="I91" i="11"/>
  <c r="H91" i="11"/>
  <c r="G91" i="11"/>
  <c r="F91" i="11"/>
  <c r="I90" i="11"/>
  <c r="H90" i="11"/>
  <c r="G90" i="11"/>
  <c r="F90" i="11"/>
  <c r="E82" i="11"/>
  <c r="E81" i="11"/>
  <c r="E80" i="11"/>
  <c r="E79" i="11"/>
  <c r="E78" i="11"/>
  <c r="I77" i="11"/>
  <c r="H77" i="11"/>
  <c r="G77" i="11"/>
  <c r="F77" i="11"/>
  <c r="E76" i="11"/>
  <c r="E75" i="11"/>
  <c r="E74" i="11"/>
  <c r="E73" i="11"/>
  <c r="E72" i="11"/>
  <c r="I71" i="11"/>
  <c r="H71" i="11"/>
  <c r="G71" i="11"/>
  <c r="F71" i="11"/>
  <c r="E70" i="11"/>
  <c r="E69" i="11"/>
  <c r="E68" i="11"/>
  <c r="E67" i="11"/>
  <c r="E66" i="11"/>
  <c r="I65" i="11"/>
  <c r="H65" i="11"/>
  <c r="G65" i="11"/>
  <c r="F65" i="11"/>
  <c r="I64" i="11"/>
  <c r="H64" i="11"/>
  <c r="G64" i="11"/>
  <c r="F64" i="11"/>
  <c r="I63" i="11"/>
  <c r="H63" i="11"/>
  <c r="G63" i="11"/>
  <c r="F63" i="11"/>
  <c r="I62" i="11"/>
  <c r="H62" i="11"/>
  <c r="G62" i="11"/>
  <c r="F62" i="11"/>
  <c r="I61" i="11"/>
  <c r="H61" i="11"/>
  <c r="G61" i="11"/>
  <c r="F61" i="11"/>
  <c r="I60" i="11"/>
  <c r="H60" i="11"/>
  <c r="G60" i="11"/>
  <c r="G59" i="11" s="1"/>
  <c r="F60" i="11"/>
  <c r="E58" i="11"/>
  <c r="E57" i="11"/>
  <c r="E56" i="11"/>
  <c r="E55" i="11"/>
  <c r="E54" i="11"/>
  <c r="I53" i="11"/>
  <c r="H53" i="11"/>
  <c r="G53" i="11"/>
  <c r="F53" i="11"/>
  <c r="E52" i="11"/>
  <c r="E51" i="11"/>
  <c r="E50" i="11"/>
  <c r="E49" i="11"/>
  <c r="E48" i="11"/>
  <c r="I47" i="11"/>
  <c r="H47" i="11"/>
  <c r="G47" i="11"/>
  <c r="F47" i="11"/>
  <c r="I46" i="11"/>
  <c r="H46" i="11"/>
  <c r="G46" i="11"/>
  <c r="F46" i="11"/>
  <c r="I45" i="11"/>
  <c r="H45" i="11"/>
  <c r="G45" i="11"/>
  <c r="F45" i="11"/>
  <c r="I44" i="11"/>
  <c r="H44" i="11"/>
  <c r="G44" i="11"/>
  <c r="F44" i="11"/>
  <c r="I43" i="11"/>
  <c r="H43" i="11"/>
  <c r="G43" i="11"/>
  <c r="F43" i="11"/>
  <c r="I42" i="11"/>
  <c r="H42" i="11"/>
  <c r="G42" i="11"/>
  <c r="G41" i="11" s="1"/>
  <c r="F42" i="11"/>
  <c r="E36" i="11"/>
  <c r="E35" i="11" s="1"/>
  <c r="I35" i="11"/>
  <c r="H35" i="11"/>
  <c r="G35" i="11"/>
  <c r="F35" i="11"/>
  <c r="I34" i="11"/>
  <c r="H34" i="11"/>
  <c r="G34" i="11"/>
  <c r="F34" i="11"/>
  <c r="I33" i="11"/>
  <c r="H33" i="11"/>
  <c r="G33" i="11"/>
  <c r="F33" i="11"/>
  <c r="I32" i="11"/>
  <c r="H32" i="11"/>
  <c r="G32" i="11"/>
  <c r="F32" i="11"/>
  <c r="I31" i="11"/>
  <c r="H31" i="11"/>
  <c r="G31" i="11"/>
  <c r="F31" i="11"/>
  <c r="I30" i="11"/>
  <c r="H30" i="11"/>
  <c r="H29" i="11" s="1"/>
  <c r="G30" i="11"/>
  <c r="F30" i="11"/>
  <c r="I22" i="11"/>
  <c r="H22" i="11"/>
  <c r="G22" i="11"/>
  <c r="F22" i="11"/>
  <c r="I21" i="11"/>
  <c r="H21" i="11"/>
  <c r="G21" i="11"/>
  <c r="F21" i="11"/>
  <c r="I20" i="11"/>
  <c r="H20" i="11"/>
  <c r="G20" i="11"/>
  <c r="F20" i="11"/>
  <c r="I19" i="11"/>
  <c r="H19" i="11"/>
  <c r="G19" i="11"/>
  <c r="F19" i="11"/>
  <c r="I18" i="11"/>
  <c r="H18" i="11"/>
  <c r="G18" i="11"/>
  <c r="F18" i="11"/>
  <c r="I17" i="11"/>
  <c r="AC110" i="10"/>
  <c r="AC109" i="10" s="1"/>
  <c r="AC108" i="10" s="1"/>
  <c r="AC107" i="10" s="1"/>
  <c r="AC106" i="10" s="1"/>
  <c r="AA110" i="10"/>
  <c r="L110" i="10"/>
  <c r="R110" i="10" s="1"/>
  <c r="K110" i="10"/>
  <c r="Q110" i="10" s="1"/>
  <c r="J110" i="10"/>
  <c r="I110" i="10"/>
  <c r="I105" i="10" s="1"/>
  <c r="Q109" i="10"/>
  <c r="O109" i="10"/>
  <c r="L109" i="10"/>
  <c r="R109" i="10" s="1"/>
  <c r="J109" i="10"/>
  <c r="Q108" i="10"/>
  <c r="O108" i="10"/>
  <c r="L108" i="10"/>
  <c r="J108" i="10"/>
  <c r="Q107" i="10"/>
  <c r="O107" i="10"/>
  <c r="L107" i="10"/>
  <c r="J107" i="10"/>
  <c r="Q106" i="10"/>
  <c r="O106" i="10"/>
  <c r="L106" i="10"/>
  <c r="J106" i="10"/>
  <c r="AB105" i="10"/>
  <c r="Z105" i="10"/>
  <c r="L105" i="10"/>
  <c r="J105" i="10"/>
  <c r="Y104" i="10"/>
  <c r="L104" i="10"/>
  <c r="K104" i="10"/>
  <c r="Q104" i="10" s="1"/>
  <c r="J104" i="10"/>
  <c r="P104" i="10" s="1"/>
  <c r="I104" i="10"/>
  <c r="Y103" i="10"/>
  <c r="N103" i="10" s="1"/>
  <c r="Q103" i="10"/>
  <c r="O103" i="10"/>
  <c r="L103" i="10"/>
  <c r="R103" i="10" s="1"/>
  <c r="J103" i="10"/>
  <c r="P103" i="10" s="1"/>
  <c r="Y102" i="10"/>
  <c r="N102" i="10" s="1"/>
  <c r="Q102" i="10"/>
  <c r="O102" i="10"/>
  <c r="L102" i="10"/>
  <c r="R102" i="10" s="1"/>
  <c r="J102" i="10"/>
  <c r="P102" i="10" s="1"/>
  <c r="Y101" i="10"/>
  <c r="N101" i="10" s="1"/>
  <c r="Q101" i="10"/>
  <c r="O101" i="10"/>
  <c r="L101" i="10"/>
  <c r="R101" i="10" s="1"/>
  <c r="J101" i="10"/>
  <c r="P101" i="10" s="1"/>
  <c r="Y100" i="10"/>
  <c r="N100" i="10" s="1"/>
  <c r="Q100" i="10"/>
  <c r="O100" i="10"/>
  <c r="L100" i="10"/>
  <c r="R100" i="10" s="1"/>
  <c r="J100" i="10"/>
  <c r="P100" i="10" s="1"/>
  <c r="AC99" i="10"/>
  <c r="AB99" i="10"/>
  <c r="AA99" i="10"/>
  <c r="Z99" i="10"/>
  <c r="L99" i="10"/>
  <c r="R99" i="10" s="1"/>
  <c r="J99" i="10"/>
  <c r="Y98" i="10"/>
  <c r="L98" i="10"/>
  <c r="K98" i="10"/>
  <c r="Q98" i="10" s="1"/>
  <c r="J98" i="10"/>
  <c r="P98" i="10" s="1"/>
  <c r="I98" i="10"/>
  <c r="O98" i="10" s="1"/>
  <c r="Y97" i="10"/>
  <c r="N97" i="10" s="1"/>
  <c r="Q97" i="10"/>
  <c r="O97" i="10"/>
  <c r="L97" i="10"/>
  <c r="R97" i="10" s="1"/>
  <c r="J97" i="10"/>
  <c r="P97" i="10" s="1"/>
  <c r="Y96" i="10"/>
  <c r="N96" i="10" s="1"/>
  <c r="Q96" i="10"/>
  <c r="O96" i="10"/>
  <c r="L96" i="10"/>
  <c r="R96" i="10" s="1"/>
  <c r="J96" i="10"/>
  <c r="P96" i="10" s="1"/>
  <c r="Y95" i="10"/>
  <c r="N95" i="10" s="1"/>
  <c r="Q95" i="10"/>
  <c r="O95" i="10"/>
  <c r="L95" i="10"/>
  <c r="R95" i="10" s="1"/>
  <c r="J95" i="10"/>
  <c r="P95" i="10" s="1"/>
  <c r="Y94" i="10"/>
  <c r="N94" i="10" s="1"/>
  <c r="Q94" i="10"/>
  <c r="O94" i="10"/>
  <c r="L94" i="10"/>
  <c r="R94" i="10" s="1"/>
  <c r="J94" i="10"/>
  <c r="P94" i="10" s="1"/>
  <c r="AC93" i="10"/>
  <c r="AC92" i="10" s="1"/>
  <c r="AB93" i="10"/>
  <c r="Z93" i="10"/>
  <c r="L93" i="10"/>
  <c r="R93" i="10" s="1"/>
  <c r="J93" i="10"/>
  <c r="P93" i="10" s="1"/>
  <c r="L92" i="10"/>
  <c r="K92" i="10"/>
  <c r="J92" i="10"/>
  <c r="P92" i="10" s="1"/>
  <c r="I92" i="10"/>
  <c r="O92" i="10" s="1"/>
  <c r="Q91" i="10"/>
  <c r="O91" i="10"/>
  <c r="L91" i="10"/>
  <c r="J91" i="10"/>
  <c r="P91" i="10" s="1"/>
  <c r="Q90" i="10"/>
  <c r="O90" i="10"/>
  <c r="L90" i="10"/>
  <c r="J90" i="10"/>
  <c r="P90" i="10" s="1"/>
  <c r="AB89" i="10"/>
  <c r="O89" i="10"/>
  <c r="L89" i="10"/>
  <c r="J89" i="10"/>
  <c r="P89" i="10" s="1"/>
  <c r="Q88" i="10"/>
  <c r="O88" i="10"/>
  <c r="L88" i="10"/>
  <c r="J88" i="10"/>
  <c r="P88" i="10" s="1"/>
  <c r="Z87" i="10"/>
  <c r="L87" i="10"/>
  <c r="J87" i="10"/>
  <c r="P87" i="10" s="1"/>
  <c r="L86" i="10"/>
  <c r="K86" i="10"/>
  <c r="Q86" i="10" s="1"/>
  <c r="J86" i="10"/>
  <c r="P86" i="10" s="1"/>
  <c r="I86" i="10"/>
  <c r="Q85" i="10"/>
  <c r="O85" i="10"/>
  <c r="L85" i="10"/>
  <c r="J85" i="10"/>
  <c r="P85" i="10" s="1"/>
  <c r="Q84" i="10"/>
  <c r="O84" i="10"/>
  <c r="L84" i="10"/>
  <c r="J84" i="10"/>
  <c r="P84" i="10" s="1"/>
  <c r="Q83" i="10"/>
  <c r="O83" i="10"/>
  <c r="L83" i="10"/>
  <c r="J83" i="10"/>
  <c r="P83" i="10" s="1"/>
  <c r="Q82" i="10"/>
  <c r="O82" i="10"/>
  <c r="L82" i="10"/>
  <c r="J82" i="10"/>
  <c r="P82" i="10" s="1"/>
  <c r="AB81" i="10"/>
  <c r="AA81" i="10"/>
  <c r="AA80" i="10" s="1"/>
  <c r="Z81" i="10"/>
  <c r="L81" i="10"/>
  <c r="J81" i="10"/>
  <c r="L80" i="10"/>
  <c r="K80" i="10"/>
  <c r="Q80" i="10" s="1"/>
  <c r="J80" i="10"/>
  <c r="I80" i="10"/>
  <c r="I75" i="10" s="1"/>
  <c r="Q79" i="10"/>
  <c r="O79" i="10"/>
  <c r="L79" i="10"/>
  <c r="J79" i="10"/>
  <c r="Q78" i="10"/>
  <c r="O78" i="10"/>
  <c r="L78" i="10"/>
  <c r="J78" i="10"/>
  <c r="AB77" i="10"/>
  <c r="Z77" i="10"/>
  <c r="O77" i="10" s="1"/>
  <c r="L77" i="10"/>
  <c r="J77" i="10"/>
  <c r="Q76" i="10"/>
  <c r="O76" i="10"/>
  <c r="L76" i="10"/>
  <c r="J76" i="10"/>
  <c r="L75" i="10"/>
  <c r="J75" i="10"/>
  <c r="Y74" i="10"/>
  <c r="L74" i="10"/>
  <c r="K74" i="10"/>
  <c r="J74" i="10"/>
  <c r="P74" i="10" s="1"/>
  <c r="I74" i="10"/>
  <c r="O74" i="10" s="1"/>
  <c r="Y73" i="10"/>
  <c r="N73" i="10" s="1"/>
  <c r="Q73" i="10"/>
  <c r="O73" i="10"/>
  <c r="L73" i="10"/>
  <c r="R73" i="10" s="1"/>
  <c r="J73" i="10"/>
  <c r="P73" i="10" s="1"/>
  <c r="Y72" i="10"/>
  <c r="N72" i="10" s="1"/>
  <c r="Q72" i="10"/>
  <c r="O72" i="10"/>
  <c r="L72" i="10"/>
  <c r="R72" i="10" s="1"/>
  <c r="J72" i="10"/>
  <c r="P72" i="10" s="1"/>
  <c r="Z71" i="10"/>
  <c r="O71" i="10" s="1"/>
  <c r="L71" i="10"/>
  <c r="R71" i="10" s="1"/>
  <c r="J71" i="10"/>
  <c r="P71" i="10" s="1"/>
  <c r="Y70" i="10"/>
  <c r="N70" i="10" s="1"/>
  <c r="Q70" i="10"/>
  <c r="O70" i="10"/>
  <c r="L70" i="10"/>
  <c r="R70" i="10" s="1"/>
  <c r="J70" i="10"/>
  <c r="P70" i="10" s="1"/>
  <c r="AC69" i="10"/>
  <c r="AA69" i="10"/>
  <c r="L69" i="10"/>
  <c r="R69" i="10" s="1"/>
  <c r="J69" i="10"/>
  <c r="Y68" i="10"/>
  <c r="L68" i="10"/>
  <c r="K68" i="10"/>
  <c r="J68" i="10"/>
  <c r="P68" i="10" s="1"/>
  <c r="I68" i="10"/>
  <c r="O68" i="10" s="1"/>
  <c r="Y67" i="10"/>
  <c r="N67" i="10" s="1"/>
  <c r="Q67" i="10"/>
  <c r="O67" i="10"/>
  <c r="L67" i="10"/>
  <c r="R67" i="10" s="1"/>
  <c r="J67" i="10"/>
  <c r="P67" i="10" s="1"/>
  <c r="Y66" i="10"/>
  <c r="N66" i="10" s="1"/>
  <c r="Q66" i="10"/>
  <c r="O66" i="10"/>
  <c r="L66" i="10"/>
  <c r="R66" i="10" s="1"/>
  <c r="J66" i="10"/>
  <c r="P66" i="10" s="1"/>
  <c r="Y65" i="10"/>
  <c r="N65" i="10" s="1"/>
  <c r="Q65" i="10"/>
  <c r="O65" i="10"/>
  <c r="L65" i="10"/>
  <c r="R65" i="10" s="1"/>
  <c r="J65" i="10"/>
  <c r="P65" i="10" s="1"/>
  <c r="Y64" i="10"/>
  <c r="N64" i="10" s="1"/>
  <c r="Q64" i="10"/>
  <c r="O64" i="10"/>
  <c r="L64" i="10"/>
  <c r="R64" i="10" s="1"/>
  <c r="J64" i="10"/>
  <c r="P64" i="10" s="1"/>
  <c r="AC63" i="10"/>
  <c r="AB63" i="10"/>
  <c r="AA63" i="10"/>
  <c r="Z63" i="10"/>
  <c r="L63" i="10"/>
  <c r="R63" i="10" s="1"/>
  <c r="J63" i="10"/>
  <c r="Y62" i="10"/>
  <c r="L62" i="10"/>
  <c r="K62" i="10"/>
  <c r="Q62" i="10" s="1"/>
  <c r="J62" i="10"/>
  <c r="P62" i="10" s="1"/>
  <c r="I62" i="10"/>
  <c r="Y61" i="10"/>
  <c r="N61" i="10" s="1"/>
  <c r="Q61" i="10"/>
  <c r="O61" i="10"/>
  <c r="L61" i="10"/>
  <c r="R61" i="10" s="1"/>
  <c r="J61" i="10"/>
  <c r="P61" i="10" s="1"/>
  <c r="Y60" i="10"/>
  <c r="N60" i="10" s="1"/>
  <c r="Q60" i="10"/>
  <c r="O60" i="10"/>
  <c r="L60" i="10"/>
  <c r="R60" i="10" s="1"/>
  <c r="J60" i="10"/>
  <c r="P60" i="10" s="1"/>
  <c r="Y59" i="10"/>
  <c r="N59" i="10" s="1"/>
  <c r="Q59" i="10"/>
  <c r="O59" i="10"/>
  <c r="L59" i="10"/>
  <c r="R59" i="10" s="1"/>
  <c r="J59" i="10"/>
  <c r="P59" i="10" s="1"/>
  <c r="Y58" i="10"/>
  <c r="N58" i="10" s="1"/>
  <c r="Q58" i="10"/>
  <c r="O58" i="10"/>
  <c r="L58" i="10"/>
  <c r="R58" i="10" s="1"/>
  <c r="J58" i="10"/>
  <c r="P58" i="10" s="1"/>
  <c r="AC57" i="10"/>
  <c r="R56" i="10" s="1"/>
  <c r="AB57" i="10"/>
  <c r="AA57" i="10"/>
  <c r="Z57" i="10"/>
  <c r="L57" i="10"/>
  <c r="R57" i="10" s="1"/>
  <c r="J57" i="10"/>
  <c r="Y56" i="10"/>
  <c r="Q56" i="10"/>
  <c r="P56" i="10"/>
  <c r="O56" i="10"/>
  <c r="H56" i="10"/>
  <c r="Y55" i="10"/>
  <c r="R55" i="10"/>
  <c r="Q55" i="10"/>
  <c r="P55" i="10"/>
  <c r="O55" i="10"/>
  <c r="H55" i="10"/>
  <c r="Y54" i="10"/>
  <c r="R54" i="10"/>
  <c r="Q54" i="10"/>
  <c r="P54" i="10"/>
  <c r="O54" i="10"/>
  <c r="H54" i="10"/>
  <c r="Y53" i="10"/>
  <c r="R53" i="10"/>
  <c r="Q53" i="10"/>
  <c r="P53" i="10"/>
  <c r="O53" i="10"/>
  <c r="H53" i="10"/>
  <c r="Y52" i="10"/>
  <c r="R52" i="10"/>
  <c r="Q52" i="10"/>
  <c r="P52" i="10"/>
  <c r="O52" i="10"/>
  <c r="H52" i="10"/>
  <c r="Y51" i="10"/>
  <c r="R51" i="10"/>
  <c r="Q51" i="10"/>
  <c r="P51" i="10"/>
  <c r="O51" i="10"/>
  <c r="H51" i="10"/>
  <c r="Y50" i="10"/>
  <c r="R50" i="10"/>
  <c r="Q50" i="10"/>
  <c r="P50" i="10"/>
  <c r="O50" i="10"/>
  <c r="H50" i="10"/>
  <c r="Y49" i="10"/>
  <c r="R49" i="10"/>
  <c r="Q49" i="10"/>
  <c r="P49" i="10"/>
  <c r="O49" i="10"/>
  <c r="H49" i="10"/>
  <c r="AC48" i="10"/>
  <c r="AB48" i="10"/>
  <c r="AA48" i="10"/>
  <c r="Z48" i="10"/>
  <c r="L48" i="10"/>
  <c r="R48" i="10" s="1"/>
  <c r="K48" i="10"/>
  <c r="Q48" i="10" s="1"/>
  <c r="J48" i="10"/>
  <c r="I48" i="10"/>
  <c r="Y47" i="10"/>
  <c r="L47" i="10"/>
  <c r="R47" i="10" s="1"/>
  <c r="K47" i="10"/>
  <c r="Q47" i="10" s="1"/>
  <c r="J47" i="10"/>
  <c r="P47" i="10" s="1"/>
  <c r="I47" i="10"/>
  <c r="Y46" i="10"/>
  <c r="L46" i="10"/>
  <c r="R46" i="10" s="1"/>
  <c r="K46" i="10"/>
  <c r="Q46" i="10" s="1"/>
  <c r="J46" i="10"/>
  <c r="P46" i="10" s="1"/>
  <c r="I46" i="10"/>
  <c r="Y45" i="10"/>
  <c r="L45" i="10"/>
  <c r="R45" i="10" s="1"/>
  <c r="K45" i="10"/>
  <c r="J45" i="10"/>
  <c r="P45" i="10" s="1"/>
  <c r="I45" i="10"/>
  <c r="Y44" i="10"/>
  <c r="Q44" i="10"/>
  <c r="O44" i="10"/>
  <c r="L44" i="10"/>
  <c r="R44" i="10" s="1"/>
  <c r="J44" i="10"/>
  <c r="Y43" i="10"/>
  <c r="L43" i="10"/>
  <c r="R43" i="10" s="1"/>
  <c r="K43" i="10"/>
  <c r="Q43" i="10" s="1"/>
  <c r="J43" i="10"/>
  <c r="P43" i="10" s="1"/>
  <c r="I43" i="10"/>
  <c r="O43" i="10" s="1"/>
  <c r="AC42" i="10"/>
  <c r="AB42" i="10"/>
  <c r="AA42" i="10"/>
  <c r="Z42" i="10"/>
  <c r="L42" i="10"/>
  <c r="R42" i="10" s="1"/>
  <c r="J42" i="10"/>
  <c r="Y41" i="10"/>
  <c r="L41" i="10"/>
  <c r="K41" i="10"/>
  <c r="J41" i="10"/>
  <c r="P41" i="10" s="1"/>
  <c r="I41" i="10"/>
  <c r="Y40" i="10"/>
  <c r="L40" i="10"/>
  <c r="R40" i="10" s="1"/>
  <c r="K40" i="10"/>
  <c r="Q40" i="10" s="1"/>
  <c r="J40" i="10"/>
  <c r="P40" i="10" s="1"/>
  <c r="I40" i="10"/>
  <c r="O40" i="10" s="1"/>
  <c r="Y39" i="10"/>
  <c r="L39" i="10"/>
  <c r="R39" i="10" s="1"/>
  <c r="K39" i="10"/>
  <c r="Q39" i="10" s="1"/>
  <c r="J39" i="10"/>
  <c r="I39" i="10"/>
  <c r="Y38" i="10"/>
  <c r="L38" i="10"/>
  <c r="R38" i="10" s="1"/>
  <c r="K38" i="10"/>
  <c r="Q38" i="10" s="1"/>
  <c r="J38" i="10"/>
  <c r="P38" i="10" s="1"/>
  <c r="I38" i="10"/>
  <c r="O38" i="10" s="1"/>
  <c r="Z37" i="10"/>
  <c r="L37" i="10"/>
  <c r="R37" i="10" s="1"/>
  <c r="K37" i="10"/>
  <c r="J37" i="10"/>
  <c r="P37" i="10" s="1"/>
  <c r="I37" i="10"/>
  <c r="AC36" i="10"/>
  <c r="AA36" i="10"/>
  <c r="L36" i="10"/>
  <c r="R36" i="10" s="1"/>
  <c r="J36" i="10"/>
  <c r="Y35" i="10"/>
  <c r="L35" i="10"/>
  <c r="K35" i="10"/>
  <c r="Q35" i="10" s="1"/>
  <c r="J35" i="10"/>
  <c r="I35" i="10"/>
  <c r="Y34" i="10"/>
  <c r="L34" i="10"/>
  <c r="R34" i="10" s="1"/>
  <c r="K34" i="10"/>
  <c r="J34" i="10"/>
  <c r="I34" i="10"/>
  <c r="Y33" i="10"/>
  <c r="Q33" i="10"/>
  <c r="O33" i="10"/>
  <c r="L33" i="10"/>
  <c r="R33" i="10" s="1"/>
  <c r="J33" i="10"/>
  <c r="P33" i="10" s="1"/>
  <c r="Y32" i="10"/>
  <c r="R32" i="10"/>
  <c r="Q32" i="10"/>
  <c r="P32" i="10"/>
  <c r="O32" i="10"/>
  <c r="H32" i="10"/>
  <c r="AB31" i="10"/>
  <c r="Y31" i="10" s="1"/>
  <c r="R31" i="10"/>
  <c r="P31" i="10"/>
  <c r="O31" i="10"/>
  <c r="H31" i="10"/>
  <c r="R30" i="10"/>
  <c r="Q30" i="10"/>
  <c r="P30" i="10"/>
  <c r="O30" i="10"/>
  <c r="H30" i="10"/>
  <c r="N30" i="10" s="1"/>
  <c r="AC29" i="10"/>
  <c r="AA29" i="10"/>
  <c r="Z29" i="10"/>
  <c r="L29" i="10"/>
  <c r="J29" i="10"/>
  <c r="R28" i="10"/>
  <c r="Q28" i="10"/>
  <c r="P28" i="10"/>
  <c r="O28" i="10"/>
  <c r="H28" i="10"/>
  <c r="N28" i="10" s="1"/>
  <c r="R27" i="10"/>
  <c r="Q27" i="10"/>
  <c r="P27" i="10"/>
  <c r="O27" i="10"/>
  <c r="H27" i="10"/>
  <c r="N27" i="10" s="1"/>
  <c r="R26" i="10"/>
  <c r="P26" i="10"/>
  <c r="K26" i="10"/>
  <c r="K23" i="10" s="1"/>
  <c r="Q23" i="10" s="1"/>
  <c r="I26" i="10"/>
  <c r="O26" i="10" s="1"/>
  <c r="R25" i="10"/>
  <c r="Q25" i="10"/>
  <c r="P25" i="10"/>
  <c r="O25" i="10"/>
  <c r="H25" i="10"/>
  <c r="R24" i="10"/>
  <c r="Q24" i="10"/>
  <c r="P24" i="10"/>
  <c r="O24" i="10"/>
  <c r="H24" i="10"/>
  <c r="N24" i="10" s="1"/>
  <c r="L23" i="10"/>
  <c r="R23" i="10" s="1"/>
  <c r="J23" i="10"/>
  <c r="L22" i="10"/>
  <c r="R22" i="10" s="1"/>
  <c r="K22" i="10"/>
  <c r="Q22" i="10" s="1"/>
  <c r="J22" i="10"/>
  <c r="I22" i="10"/>
  <c r="O22" i="10" s="1"/>
  <c r="H22" i="10"/>
  <c r="N22" i="10" s="1"/>
  <c r="L21" i="10"/>
  <c r="R21" i="10" s="1"/>
  <c r="K21" i="10"/>
  <c r="J21" i="10"/>
  <c r="I21" i="10"/>
  <c r="H21" i="10"/>
  <c r="R20" i="10"/>
  <c r="Q20" i="10"/>
  <c r="P20" i="10"/>
  <c r="O20" i="10"/>
  <c r="H20" i="10"/>
  <c r="N20" i="10" s="1"/>
  <c r="R19" i="10"/>
  <c r="Q19" i="10"/>
  <c r="P19" i="10"/>
  <c r="O19" i="10"/>
  <c r="H19" i="10"/>
  <c r="L17" i="10"/>
  <c r="K17" i="10"/>
  <c r="Q17" i="10" s="1"/>
  <c r="J17" i="10"/>
  <c r="P17" i="10" s="1"/>
  <c r="I17" i="10"/>
  <c r="O17" i="10" s="1"/>
  <c r="H17" i="10"/>
  <c r="N17" i="10" s="1"/>
  <c r="L16" i="10"/>
  <c r="R16" i="10" s="1"/>
  <c r="K16" i="10"/>
  <c r="J16" i="10"/>
  <c r="P16" i="10" s="1"/>
  <c r="I16" i="10"/>
  <c r="O16" i="10" s="1"/>
  <c r="H16" i="10"/>
  <c r="N16" i="10" s="1"/>
  <c r="R15" i="10"/>
  <c r="Q15" i="10"/>
  <c r="P15" i="10"/>
  <c r="O15" i="10"/>
  <c r="H15" i="10"/>
  <c r="R14" i="10"/>
  <c r="Q14" i="10"/>
  <c r="P14" i="10"/>
  <c r="O14" i="10"/>
  <c r="H14" i="10"/>
  <c r="N14" i="10" s="1"/>
  <c r="AB12" i="10"/>
  <c r="Z12" i="10"/>
  <c r="AB11" i="10"/>
  <c r="Z11" i="10"/>
  <c r="AB10" i="10"/>
  <c r="Z10" i="10"/>
  <c r="AC7" i="10"/>
  <c r="AB7" i="10"/>
  <c r="AA7" i="10"/>
  <c r="Z7" i="10"/>
  <c r="L7" i="10"/>
  <c r="K7" i="10"/>
  <c r="J7" i="10"/>
  <c r="I7" i="10"/>
  <c r="AC6" i="10"/>
  <c r="AB6" i="10"/>
  <c r="AA6" i="10"/>
  <c r="Z6" i="10"/>
  <c r="Y6" i="10"/>
  <c r="L6" i="10"/>
  <c r="K6" i="10"/>
  <c r="J6" i="10"/>
  <c r="I6" i="10"/>
  <c r="E616" i="9"/>
  <c r="E615" i="9"/>
  <c r="E614" i="9"/>
  <c r="E613" i="9"/>
  <c r="E612" i="9"/>
  <c r="I611" i="9"/>
  <c r="H611" i="9"/>
  <c r="G611" i="9"/>
  <c r="F611" i="9"/>
  <c r="I610" i="9"/>
  <c r="I604" i="9" s="1"/>
  <c r="H610" i="9"/>
  <c r="H604" i="9" s="1"/>
  <c r="G610" i="9"/>
  <c r="G604" i="9" s="1"/>
  <c r="F610" i="9"/>
  <c r="F604" i="9" s="1"/>
  <c r="I609" i="9"/>
  <c r="I603" i="9" s="1"/>
  <c r="H609" i="9"/>
  <c r="H603" i="9" s="1"/>
  <c r="G609" i="9"/>
  <c r="G603" i="9" s="1"/>
  <c r="F609" i="9"/>
  <c r="I608" i="9"/>
  <c r="H608" i="9"/>
  <c r="G608" i="9"/>
  <c r="G602" i="9" s="1"/>
  <c r="F608" i="9"/>
  <c r="F602" i="9" s="1"/>
  <c r="I607" i="9"/>
  <c r="I601" i="9" s="1"/>
  <c r="H607" i="9"/>
  <c r="H601" i="9" s="1"/>
  <c r="G607" i="9"/>
  <c r="G601" i="9" s="1"/>
  <c r="F607" i="9"/>
  <c r="F601" i="9" s="1"/>
  <c r="I606" i="9"/>
  <c r="I600" i="9" s="1"/>
  <c r="H606" i="9"/>
  <c r="G606" i="9"/>
  <c r="G600" i="9" s="1"/>
  <c r="F606" i="9"/>
  <c r="I602" i="9"/>
  <c r="H602" i="9"/>
  <c r="E598" i="9"/>
  <c r="E597" i="9"/>
  <c r="F596" i="9"/>
  <c r="F593" i="9" s="1"/>
  <c r="E595" i="9"/>
  <c r="E594" i="9"/>
  <c r="I593" i="9"/>
  <c r="G593" i="9"/>
  <c r="E592" i="9"/>
  <c r="E591" i="9"/>
  <c r="E590" i="9"/>
  <c r="E589" i="9"/>
  <c r="E588" i="9"/>
  <c r="I587" i="9"/>
  <c r="H587" i="9"/>
  <c r="G587" i="9"/>
  <c r="F587" i="9"/>
  <c r="E586" i="9"/>
  <c r="E585" i="9"/>
  <c r="E584" i="9"/>
  <c r="H583" i="9"/>
  <c r="E583" i="9" s="1"/>
  <c r="E582" i="9"/>
  <c r="I581" i="9"/>
  <c r="G581" i="9"/>
  <c r="F581" i="9"/>
  <c r="E580" i="9"/>
  <c r="E579" i="9"/>
  <c r="E578" i="9"/>
  <c r="E577" i="9"/>
  <c r="E576" i="9"/>
  <c r="I575" i="9"/>
  <c r="H575" i="9"/>
  <c r="G575" i="9"/>
  <c r="F575" i="9"/>
  <c r="I574" i="9"/>
  <c r="H574" i="9"/>
  <c r="G574" i="9"/>
  <c r="F574" i="9"/>
  <c r="I573" i="9"/>
  <c r="H573" i="9"/>
  <c r="G573" i="9"/>
  <c r="F573" i="9"/>
  <c r="I572" i="9"/>
  <c r="G572" i="9"/>
  <c r="I571" i="9"/>
  <c r="G571" i="9"/>
  <c r="F571" i="9"/>
  <c r="I570" i="9"/>
  <c r="H570" i="9"/>
  <c r="G570" i="9"/>
  <c r="F570" i="9"/>
  <c r="E568" i="9"/>
  <c r="E567" i="9"/>
  <c r="I566" i="9"/>
  <c r="H563" i="9"/>
  <c r="G563" i="9"/>
  <c r="F563" i="9"/>
  <c r="E562" i="9"/>
  <c r="E561" i="9"/>
  <c r="E560" i="9"/>
  <c r="G559" i="9"/>
  <c r="E559" i="9" s="1"/>
  <c r="I557" i="9"/>
  <c r="I556" i="9" s="1"/>
  <c r="I555" i="9" s="1"/>
  <c r="I554" i="9" s="1"/>
  <c r="I553" i="9" s="1"/>
  <c r="I552" i="9" s="1"/>
  <c r="I551" i="9" s="1"/>
  <c r="I550" i="9" s="1"/>
  <c r="I549" i="9" s="1"/>
  <c r="I548" i="9" s="1"/>
  <c r="I547" i="9" s="1"/>
  <c r="I546" i="9" s="1"/>
  <c r="I545" i="9" s="1"/>
  <c r="I544" i="9" s="1"/>
  <c r="I543" i="9" s="1"/>
  <c r="I542" i="9" s="1"/>
  <c r="I541" i="9" s="1"/>
  <c r="I540" i="9" s="1"/>
  <c r="I539" i="9" s="1"/>
  <c r="I538" i="9" s="1"/>
  <c r="I537" i="9" s="1"/>
  <c r="I536" i="9" s="1"/>
  <c r="I535" i="9" s="1"/>
  <c r="I534" i="9" s="1"/>
  <c r="I533" i="9" s="1"/>
  <c r="I532" i="9" s="1"/>
  <c r="I531" i="9" s="1"/>
  <c r="I530" i="9" s="1"/>
  <c r="I529" i="9" s="1"/>
  <c r="I528" i="9" s="1"/>
  <c r="I527" i="9" s="1"/>
  <c r="H557" i="9"/>
  <c r="F557" i="9"/>
  <c r="H551" i="9"/>
  <c r="F551" i="9"/>
  <c r="H545" i="9"/>
  <c r="F545" i="9"/>
  <c r="H539" i="9"/>
  <c r="F539" i="9"/>
  <c r="H533" i="9"/>
  <c r="F533" i="9"/>
  <c r="H527" i="9"/>
  <c r="F527" i="9"/>
  <c r="E526" i="9"/>
  <c r="E525" i="9"/>
  <c r="E524" i="9"/>
  <c r="E523" i="9"/>
  <c r="E522" i="9"/>
  <c r="I521" i="9"/>
  <c r="H521" i="9"/>
  <c r="G521" i="9"/>
  <c r="F521" i="9"/>
  <c r="E520" i="9"/>
  <c r="E519" i="9"/>
  <c r="E518" i="9"/>
  <c r="E517" i="9"/>
  <c r="E516" i="9"/>
  <c r="I515" i="9"/>
  <c r="H515" i="9"/>
  <c r="G515" i="9"/>
  <c r="F515" i="9"/>
  <c r="E514" i="9"/>
  <c r="E513" i="9"/>
  <c r="E512" i="9"/>
  <c r="E511" i="9"/>
  <c r="E510" i="9"/>
  <c r="I509" i="9"/>
  <c r="H509" i="9"/>
  <c r="G509" i="9"/>
  <c r="F509" i="9"/>
  <c r="E508" i="9"/>
  <c r="E507" i="9"/>
  <c r="E506" i="9"/>
  <c r="E505" i="9"/>
  <c r="E504" i="9"/>
  <c r="I503" i="9"/>
  <c r="H503" i="9"/>
  <c r="G503" i="9"/>
  <c r="F503" i="9"/>
  <c r="E502" i="9"/>
  <c r="E501" i="9"/>
  <c r="E500" i="9"/>
  <c r="E499" i="9"/>
  <c r="E498" i="9"/>
  <c r="I497" i="9"/>
  <c r="H497" i="9"/>
  <c r="G497" i="9"/>
  <c r="F497" i="9"/>
  <c r="E496" i="9"/>
  <c r="E495" i="9"/>
  <c r="E494" i="9"/>
  <c r="E493" i="9"/>
  <c r="H492" i="9"/>
  <c r="H491" i="9" s="1"/>
  <c r="G491" i="9"/>
  <c r="F491" i="9"/>
  <c r="E490" i="9"/>
  <c r="E489" i="9"/>
  <c r="E488" i="9"/>
  <c r="E487" i="9"/>
  <c r="H486" i="9"/>
  <c r="I485" i="9"/>
  <c r="G485" i="9"/>
  <c r="F485" i="9"/>
  <c r="E484" i="9"/>
  <c r="E483" i="9"/>
  <c r="E482" i="9"/>
  <c r="E481" i="9"/>
  <c r="E480" i="9"/>
  <c r="I479" i="9"/>
  <c r="H479" i="9"/>
  <c r="G479" i="9"/>
  <c r="F479" i="9"/>
  <c r="E472" i="9"/>
  <c r="E471" i="9"/>
  <c r="E470" i="9"/>
  <c r="E469" i="9"/>
  <c r="E468" i="9"/>
  <c r="I467" i="9"/>
  <c r="H467" i="9"/>
  <c r="G467" i="9"/>
  <c r="F467" i="9"/>
  <c r="H462" i="9"/>
  <c r="I461" i="9"/>
  <c r="G461" i="9"/>
  <c r="F461" i="9"/>
  <c r="H456" i="9"/>
  <c r="I455" i="9"/>
  <c r="G455" i="9"/>
  <c r="F455" i="9"/>
  <c r="H450" i="9"/>
  <c r="E450" i="9" s="1"/>
  <c r="I449" i="9"/>
  <c r="G449" i="9"/>
  <c r="F449" i="9"/>
  <c r="H444" i="9"/>
  <c r="I443" i="9"/>
  <c r="G443" i="9"/>
  <c r="F443" i="9"/>
  <c r="H438" i="9"/>
  <c r="H437" i="9" s="1"/>
  <c r="I437" i="9"/>
  <c r="G437" i="9"/>
  <c r="F437" i="9"/>
  <c r="H432" i="9"/>
  <c r="E432" i="9" s="1"/>
  <c r="I431" i="9"/>
  <c r="G431" i="9"/>
  <c r="F431" i="9"/>
  <c r="E426" i="9"/>
  <c r="I425" i="9"/>
  <c r="H425" i="9"/>
  <c r="G425" i="9"/>
  <c r="F425" i="9"/>
  <c r="E424" i="9"/>
  <c r="E423" i="9"/>
  <c r="E422" i="9"/>
  <c r="E421" i="9"/>
  <c r="F420" i="9"/>
  <c r="E420" i="9" s="1"/>
  <c r="I419" i="9"/>
  <c r="H419" i="9"/>
  <c r="G419" i="9"/>
  <c r="E418" i="9"/>
  <c r="E417" i="9"/>
  <c r="E416" i="9"/>
  <c r="E415" i="9"/>
  <c r="E414" i="9"/>
  <c r="I413" i="9"/>
  <c r="H413" i="9"/>
  <c r="G413" i="9"/>
  <c r="F413" i="9"/>
  <c r="E412" i="9"/>
  <c r="E411" i="9"/>
  <c r="E410" i="9"/>
  <c r="H409" i="9"/>
  <c r="E408" i="9"/>
  <c r="I407" i="9"/>
  <c r="G407" i="9"/>
  <c r="F407" i="9"/>
  <c r="I406" i="9"/>
  <c r="H406" i="9"/>
  <c r="G406" i="9"/>
  <c r="F406" i="9"/>
  <c r="I405" i="9"/>
  <c r="H405" i="9"/>
  <c r="G405" i="9"/>
  <c r="F405" i="9"/>
  <c r="I404" i="9"/>
  <c r="H404" i="9"/>
  <c r="G404" i="9"/>
  <c r="F404" i="9"/>
  <c r="I403" i="9"/>
  <c r="G403" i="9"/>
  <c r="F403" i="9"/>
  <c r="I402" i="9"/>
  <c r="G402" i="9"/>
  <c r="H395" i="9"/>
  <c r="F395" i="9"/>
  <c r="E394" i="9"/>
  <c r="E393" i="9"/>
  <c r="I389" i="9"/>
  <c r="I388" i="9" s="1"/>
  <c r="I387" i="9" s="1"/>
  <c r="I386" i="9" s="1"/>
  <c r="I385" i="9" s="1"/>
  <c r="I384" i="9" s="1"/>
  <c r="I383" i="9" s="1"/>
  <c r="H389" i="9"/>
  <c r="H388" i="9" s="1"/>
  <c r="F389" i="9"/>
  <c r="F383" i="9"/>
  <c r="E382" i="9"/>
  <c r="E381" i="9"/>
  <c r="E380" i="9"/>
  <c r="E379" i="9"/>
  <c r="E378" i="9"/>
  <c r="I377" i="9"/>
  <c r="H377" i="9"/>
  <c r="G377" i="9"/>
  <c r="F377" i="9"/>
  <c r="E376" i="9"/>
  <c r="E375" i="9"/>
  <c r="E374" i="9"/>
  <c r="E373" i="9"/>
  <c r="E372" i="9"/>
  <c r="I371" i="9"/>
  <c r="I370" i="9" s="1"/>
  <c r="H371" i="9"/>
  <c r="F371" i="9"/>
  <c r="H367" i="9"/>
  <c r="H365" i="9" s="1"/>
  <c r="F365" i="9"/>
  <c r="H359" i="9"/>
  <c r="G359" i="9"/>
  <c r="G358" i="9" s="1"/>
  <c r="G357" i="9" s="1"/>
  <c r="F359" i="9"/>
  <c r="H355" i="9"/>
  <c r="H353" i="9" s="1"/>
  <c r="F355" i="9"/>
  <c r="F353" i="9" s="1"/>
  <c r="E352" i="9"/>
  <c r="E351" i="9"/>
  <c r="E350" i="9"/>
  <c r="F349" i="9"/>
  <c r="E348" i="9"/>
  <c r="I347" i="9"/>
  <c r="G347" i="9"/>
  <c r="E346" i="9"/>
  <c r="E345" i="9"/>
  <c r="E344" i="9"/>
  <c r="E343" i="9"/>
  <c r="E342" i="9"/>
  <c r="I341" i="9"/>
  <c r="H341" i="9"/>
  <c r="G341" i="9"/>
  <c r="F341" i="9"/>
  <c r="E340" i="9"/>
  <c r="E339" i="9"/>
  <c r="E338" i="9"/>
  <c r="E337" i="9"/>
  <c r="E336" i="9"/>
  <c r="I335" i="9"/>
  <c r="H335" i="9"/>
  <c r="G335" i="9"/>
  <c r="F335" i="9"/>
  <c r="E334" i="9"/>
  <c r="E333" i="9"/>
  <c r="E332" i="9"/>
  <c r="E331" i="9"/>
  <c r="E330" i="9"/>
  <c r="I329" i="9"/>
  <c r="H329" i="9"/>
  <c r="G329" i="9"/>
  <c r="F329" i="9"/>
  <c r="E328" i="9"/>
  <c r="E327" i="9"/>
  <c r="E326" i="9"/>
  <c r="E325" i="9"/>
  <c r="E324" i="9"/>
  <c r="I323" i="9"/>
  <c r="H323" i="9"/>
  <c r="G323" i="9"/>
  <c r="F323" i="9"/>
  <c r="E322" i="9"/>
  <c r="E321" i="9"/>
  <c r="E320" i="9"/>
  <c r="H319" i="9"/>
  <c r="E319" i="9" s="1"/>
  <c r="E318" i="9"/>
  <c r="I317" i="9"/>
  <c r="G317" i="9"/>
  <c r="F317" i="9"/>
  <c r="E316" i="9"/>
  <c r="E315" i="9"/>
  <c r="E314" i="9"/>
  <c r="E313" i="9"/>
  <c r="E312" i="9"/>
  <c r="I311" i="9"/>
  <c r="H311" i="9"/>
  <c r="G311" i="9"/>
  <c r="F311" i="9"/>
  <c r="E310" i="9"/>
  <c r="E309" i="9"/>
  <c r="E308" i="9"/>
  <c r="E307" i="9"/>
  <c r="E306" i="9"/>
  <c r="I305" i="9"/>
  <c r="H305" i="9"/>
  <c r="G305" i="9"/>
  <c r="F305" i="9"/>
  <c r="E304" i="9"/>
  <c r="E303" i="9"/>
  <c r="E302" i="9"/>
  <c r="E301" i="9"/>
  <c r="F300" i="9"/>
  <c r="F299" i="9" s="1"/>
  <c r="I299" i="9"/>
  <c r="G299" i="9"/>
  <c r="E298" i="9"/>
  <c r="E297" i="9"/>
  <c r="E296" i="9"/>
  <c r="E295" i="9"/>
  <c r="H294" i="9"/>
  <c r="I293" i="9"/>
  <c r="G293" i="9"/>
  <c r="F293" i="9"/>
  <c r="I292" i="9"/>
  <c r="G292" i="9"/>
  <c r="G286" i="9" s="1"/>
  <c r="F292" i="9"/>
  <c r="F286" i="9" s="1"/>
  <c r="I291" i="9"/>
  <c r="G291" i="9"/>
  <c r="F291" i="9"/>
  <c r="I290" i="9"/>
  <c r="G290" i="9"/>
  <c r="F290" i="9"/>
  <c r="I289" i="9"/>
  <c r="G289" i="9"/>
  <c r="I288" i="9"/>
  <c r="G288" i="9"/>
  <c r="E280" i="9"/>
  <c r="E279" i="9"/>
  <c r="E278" i="9"/>
  <c r="E277" i="9"/>
  <c r="E276" i="9"/>
  <c r="I275" i="9"/>
  <c r="H275" i="9"/>
  <c r="G275" i="9"/>
  <c r="F275" i="9"/>
  <c r="E274" i="9"/>
  <c r="E273" i="9"/>
  <c r="E272" i="9"/>
  <c r="E271" i="9"/>
  <c r="E270" i="9"/>
  <c r="I269" i="9"/>
  <c r="H269" i="9"/>
  <c r="G269" i="9"/>
  <c r="F269" i="9"/>
  <c r="I268" i="9"/>
  <c r="H268" i="9"/>
  <c r="G268" i="9"/>
  <c r="F268" i="9"/>
  <c r="I267" i="9"/>
  <c r="H267" i="9"/>
  <c r="G267" i="9"/>
  <c r="F267" i="9"/>
  <c r="I266" i="9"/>
  <c r="H266" i="9"/>
  <c r="G266" i="9"/>
  <c r="F266" i="9"/>
  <c r="I265" i="9"/>
  <c r="H265" i="9"/>
  <c r="G265" i="9"/>
  <c r="F265" i="9"/>
  <c r="I264" i="9"/>
  <c r="I263" i="9" s="1"/>
  <c r="H264" i="9"/>
  <c r="H263" i="9" s="1"/>
  <c r="G264" i="9"/>
  <c r="F264" i="9"/>
  <c r="E262" i="9"/>
  <c r="E261" i="9"/>
  <c r="E260" i="9"/>
  <c r="E259" i="9"/>
  <c r="E258" i="9"/>
  <c r="I257" i="9"/>
  <c r="H257" i="9"/>
  <c r="G257" i="9"/>
  <c r="F257" i="9"/>
  <c r="E256" i="9"/>
  <c r="E255" i="9"/>
  <c r="E254" i="9"/>
  <c r="E253" i="9"/>
  <c r="E252" i="9"/>
  <c r="I251" i="9"/>
  <c r="H251" i="9"/>
  <c r="G251" i="9"/>
  <c r="F251" i="9"/>
  <c r="I250" i="9"/>
  <c r="H250" i="9"/>
  <c r="G250" i="9"/>
  <c r="F250" i="9"/>
  <c r="I249" i="9"/>
  <c r="H249" i="9"/>
  <c r="G249" i="9"/>
  <c r="F249" i="9"/>
  <c r="I248" i="9"/>
  <c r="H248" i="9"/>
  <c r="G248" i="9"/>
  <c r="F248" i="9"/>
  <c r="I247" i="9"/>
  <c r="H247" i="9"/>
  <c r="G247" i="9"/>
  <c r="F247" i="9"/>
  <c r="I246" i="9"/>
  <c r="H246" i="9"/>
  <c r="G246" i="9"/>
  <c r="F246" i="9"/>
  <c r="E244" i="9"/>
  <c r="E243" i="9"/>
  <c r="E242" i="9"/>
  <c r="E241" i="9"/>
  <c r="E240" i="9"/>
  <c r="I239" i="9"/>
  <c r="H239" i="9"/>
  <c r="G239" i="9"/>
  <c r="F239" i="9"/>
  <c r="E238" i="9"/>
  <c r="E237" i="9"/>
  <c r="E236" i="9"/>
  <c r="E235" i="9"/>
  <c r="E234" i="9"/>
  <c r="I233" i="9"/>
  <c r="H233" i="9"/>
  <c r="G233" i="9"/>
  <c r="F233" i="9"/>
  <c r="E232" i="9"/>
  <c r="E231" i="9"/>
  <c r="E230" i="9"/>
  <c r="E229" i="9"/>
  <c r="E228" i="9"/>
  <c r="I227" i="9"/>
  <c r="H227" i="9"/>
  <c r="G227" i="9"/>
  <c r="F227" i="9"/>
  <c r="E226" i="9"/>
  <c r="E225" i="9"/>
  <c r="E224" i="9"/>
  <c r="E223" i="9"/>
  <c r="E222" i="9"/>
  <c r="I221" i="9"/>
  <c r="H221" i="9"/>
  <c r="G221" i="9"/>
  <c r="F221" i="9"/>
  <c r="E220" i="9"/>
  <c r="E219" i="9"/>
  <c r="E218" i="9"/>
  <c r="E217" i="9"/>
  <c r="E216" i="9"/>
  <c r="I215" i="9"/>
  <c r="H215" i="9"/>
  <c r="G215" i="9"/>
  <c r="F215" i="9"/>
  <c r="E214" i="9"/>
  <c r="E213" i="9"/>
  <c r="E212" i="9"/>
  <c r="E211" i="9"/>
  <c r="E210" i="9"/>
  <c r="I209" i="9"/>
  <c r="H209" i="9"/>
  <c r="G209" i="9"/>
  <c r="F209" i="9"/>
  <c r="E208" i="9"/>
  <c r="E207" i="9"/>
  <c r="E206" i="9"/>
  <c r="E205" i="9"/>
  <c r="E204" i="9"/>
  <c r="I203" i="9"/>
  <c r="H203" i="9"/>
  <c r="G203" i="9"/>
  <c r="F203" i="9"/>
  <c r="E202" i="9"/>
  <c r="E201" i="9"/>
  <c r="E200" i="9"/>
  <c r="E199" i="9"/>
  <c r="E198" i="9"/>
  <c r="I197" i="9"/>
  <c r="H197" i="9"/>
  <c r="G197" i="9"/>
  <c r="F197" i="9"/>
  <c r="E196" i="9"/>
  <c r="E195" i="9"/>
  <c r="E194" i="9"/>
  <c r="E193" i="9"/>
  <c r="E192" i="9"/>
  <c r="I191" i="9"/>
  <c r="H191" i="9"/>
  <c r="G191" i="9"/>
  <c r="F191" i="9"/>
  <c r="E190" i="9"/>
  <c r="E189" i="9"/>
  <c r="E188" i="9"/>
  <c r="E187" i="9"/>
  <c r="E186" i="9"/>
  <c r="I185" i="9"/>
  <c r="H185" i="9"/>
  <c r="G185" i="9"/>
  <c r="F185" i="9"/>
  <c r="E184" i="9"/>
  <c r="E183" i="9"/>
  <c r="E182" i="9"/>
  <c r="E181" i="9"/>
  <c r="E180" i="9"/>
  <c r="I179" i="9"/>
  <c r="H179" i="9"/>
  <c r="G179" i="9"/>
  <c r="F179" i="9"/>
  <c r="E178" i="9"/>
  <c r="E177" i="9"/>
  <c r="E176" i="9"/>
  <c r="E175" i="9"/>
  <c r="E174" i="9"/>
  <c r="I173" i="9"/>
  <c r="H173" i="9"/>
  <c r="G173" i="9"/>
  <c r="F173" i="9"/>
  <c r="E172" i="9"/>
  <c r="E171" i="9"/>
  <c r="E170" i="9"/>
  <c r="E169" i="9"/>
  <c r="F168" i="9"/>
  <c r="I167" i="9"/>
  <c r="H167" i="9"/>
  <c r="G167" i="9"/>
  <c r="E166" i="9"/>
  <c r="E165" i="9"/>
  <c r="E164" i="9"/>
  <c r="E163" i="9"/>
  <c r="E162" i="9"/>
  <c r="I161" i="9"/>
  <c r="H161" i="9"/>
  <c r="G161" i="9"/>
  <c r="F161" i="9"/>
  <c r="G160" i="9"/>
  <c r="E159" i="9"/>
  <c r="E158" i="9"/>
  <c r="E157" i="9"/>
  <c r="F156" i="9"/>
  <c r="I155" i="9"/>
  <c r="H155" i="9"/>
  <c r="I154" i="9"/>
  <c r="H154" i="9"/>
  <c r="F154" i="9"/>
  <c r="I153" i="9"/>
  <c r="H153" i="9"/>
  <c r="G153" i="9"/>
  <c r="F153" i="9"/>
  <c r="I152" i="9"/>
  <c r="H152" i="9"/>
  <c r="G152" i="9"/>
  <c r="F152" i="9"/>
  <c r="I151" i="9"/>
  <c r="H151" i="9"/>
  <c r="G151" i="9"/>
  <c r="F151" i="9"/>
  <c r="I150" i="9"/>
  <c r="H150" i="9"/>
  <c r="G150" i="9"/>
  <c r="E142" i="9"/>
  <c r="E141" i="9"/>
  <c r="E140" i="9"/>
  <c r="E139" i="9"/>
  <c r="E138" i="9"/>
  <c r="I137" i="9"/>
  <c r="H137" i="9"/>
  <c r="G137" i="9"/>
  <c r="F137" i="9"/>
  <c r="E136" i="9"/>
  <c r="E135" i="9"/>
  <c r="E134" i="9"/>
  <c r="E133" i="9"/>
  <c r="E132" i="9"/>
  <c r="I131" i="9"/>
  <c r="H131" i="9"/>
  <c r="G131" i="9"/>
  <c r="F131" i="9"/>
  <c r="E130" i="9"/>
  <c r="E129" i="9"/>
  <c r="E128" i="9"/>
  <c r="E127" i="9"/>
  <c r="E126" i="9"/>
  <c r="I125" i="9"/>
  <c r="H125" i="9"/>
  <c r="G125" i="9"/>
  <c r="F125" i="9"/>
  <c r="E124" i="9"/>
  <c r="E123" i="9"/>
  <c r="E122" i="9"/>
  <c r="E121" i="9"/>
  <c r="E120" i="9"/>
  <c r="I119" i="9"/>
  <c r="H119" i="9"/>
  <c r="G119" i="9"/>
  <c r="F119" i="9"/>
  <c r="I118" i="9"/>
  <c r="H118" i="9"/>
  <c r="G118" i="9"/>
  <c r="F118" i="9"/>
  <c r="I117" i="9"/>
  <c r="H117" i="9"/>
  <c r="G117" i="9"/>
  <c r="F117" i="9"/>
  <c r="I116" i="9"/>
  <c r="H116" i="9"/>
  <c r="G116" i="9"/>
  <c r="F116" i="9"/>
  <c r="I115" i="9"/>
  <c r="H115" i="9"/>
  <c r="G115" i="9"/>
  <c r="F115" i="9"/>
  <c r="I114" i="9"/>
  <c r="I113" i="9" s="1"/>
  <c r="H114" i="9"/>
  <c r="G114" i="9"/>
  <c r="G113" i="9" s="1"/>
  <c r="F114" i="9"/>
  <c r="E112" i="9"/>
  <c r="E111" i="9"/>
  <c r="E110" i="9"/>
  <c r="E109" i="9"/>
  <c r="E108" i="9"/>
  <c r="I107" i="9"/>
  <c r="H107" i="9"/>
  <c r="G107" i="9"/>
  <c r="F107" i="9"/>
  <c r="E106" i="9"/>
  <c r="E105" i="9"/>
  <c r="E104" i="9"/>
  <c r="E103" i="9"/>
  <c r="E102" i="9"/>
  <c r="I101" i="9"/>
  <c r="H101" i="9"/>
  <c r="G101" i="9"/>
  <c r="F101" i="9"/>
  <c r="E99" i="9"/>
  <c r="E98" i="9"/>
  <c r="E97" i="9"/>
  <c r="E96" i="9"/>
  <c r="I95" i="9"/>
  <c r="H95" i="9"/>
  <c r="G95" i="9"/>
  <c r="F95" i="9"/>
  <c r="E94" i="9"/>
  <c r="E93" i="9"/>
  <c r="E92" i="9"/>
  <c r="E91" i="9"/>
  <c r="E90" i="9"/>
  <c r="I89" i="9"/>
  <c r="H89" i="9"/>
  <c r="G89" i="9"/>
  <c r="F89" i="9"/>
  <c r="E88" i="9"/>
  <c r="E87" i="9"/>
  <c r="E86" i="9"/>
  <c r="E85" i="9"/>
  <c r="E84" i="9"/>
  <c r="I83" i="9"/>
  <c r="H83" i="9"/>
  <c r="G83" i="9"/>
  <c r="F83" i="9"/>
  <c r="E82" i="9"/>
  <c r="E81" i="9"/>
  <c r="E80" i="9"/>
  <c r="E79" i="9"/>
  <c r="F78" i="9"/>
  <c r="F77" i="9" s="1"/>
  <c r="I77" i="9"/>
  <c r="H77" i="9"/>
  <c r="G77" i="9"/>
  <c r="E76" i="9"/>
  <c r="E75" i="9"/>
  <c r="E74" i="9"/>
  <c r="E73" i="9"/>
  <c r="E72" i="9"/>
  <c r="I71" i="9"/>
  <c r="H71" i="9"/>
  <c r="G71" i="9"/>
  <c r="F71" i="9"/>
  <c r="E70" i="9"/>
  <c r="E69" i="9"/>
  <c r="E68" i="9"/>
  <c r="E67" i="9"/>
  <c r="E66" i="9"/>
  <c r="I65" i="9"/>
  <c r="H65" i="9"/>
  <c r="G65" i="9"/>
  <c r="F65" i="9"/>
  <c r="E64" i="9"/>
  <c r="E63" i="9"/>
  <c r="E62" i="9"/>
  <c r="E61" i="9"/>
  <c r="E60" i="9"/>
  <c r="I59" i="9"/>
  <c r="H59" i="9"/>
  <c r="G59" i="9"/>
  <c r="F59" i="9"/>
  <c r="E58" i="9"/>
  <c r="E57" i="9"/>
  <c r="E56" i="9"/>
  <c r="E54" i="9"/>
  <c r="I53" i="9"/>
  <c r="H53" i="9"/>
  <c r="G53" i="9"/>
  <c r="F53" i="9"/>
  <c r="I52" i="9"/>
  <c r="H52" i="9"/>
  <c r="G52" i="9"/>
  <c r="F52" i="9"/>
  <c r="I51" i="9"/>
  <c r="H51" i="9"/>
  <c r="G51" i="9"/>
  <c r="F51" i="9"/>
  <c r="I50" i="9"/>
  <c r="H50" i="9"/>
  <c r="G50" i="9"/>
  <c r="F50" i="9"/>
  <c r="I49" i="9"/>
  <c r="H49" i="9"/>
  <c r="G49" i="9"/>
  <c r="F49" i="9"/>
  <c r="I48" i="9"/>
  <c r="I47" i="9" s="1"/>
  <c r="H48" i="9"/>
  <c r="G48" i="9"/>
  <c r="E46" i="9"/>
  <c r="E45" i="9"/>
  <c r="E44" i="9"/>
  <c r="E43" i="9"/>
  <c r="E42" i="9"/>
  <c r="I41" i="9"/>
  <c r="H41" i="9"/>
  <c r="G41" i="9"/>
  <c r="F41" i="9"/>
  <c r="E40" i="9"/>
  <c r="E39" i="9"/>
  <c r="E38" i="9"/>
  <c r="E37" i="9"/>
  <c r="E36" i="9"/>
  <c r="I35" i="9"/>
  <c r="H35" i="9"/>
  <c r="G35" i="9"/>
  <c r="F35" i="9"/>
  <c r="I34" i="9"/>
  <c r="H34" i="9"/>
  <c r="G34" i="9"/>
  <c r="F34" i="9"/>
  <c r="I33" i="9"/>
  <c r="H33" i="9"/>
  <c r="G33" i="9"/>
  <c r="F33" i="9"/>
  <c r="I32" i="9"/>
  <c r="H32" i="9"/>
  <c r="G32" i="9"/>
  <c r="F32" i="9"/>
  <c r="I31" i="9"/>
  <c r="H31" i="9"/>
  <c r="G31" i="9"/>
  <c r="F31" i="9"/>
  <c r="I30" i="9"/>
  <c r="H30" i="9"/>
  <c r="G30" i="9"/>
  <c r="F30" i="9"/>
  <c r="I22" i="9"/>
  <c r="H22" i="9"/>
  <c r="G22" i="9"/>
  <c r="F22" i="9"/>
  <c r="I21" i="9"/>
  <c r="H21" i="9"/>
  <c r="G21" i="9"/>
  <c r="F21" i="9"/>
  <c r="I20" i="9"/>
  <c r="F20" i="9"/>
  <c r="I19" i="9"/>
  <c r="I18" i="9"/>
  <c r="G18" i="9"/>
  <c r="F18" i="9"/>
  <c r="E616" i="8"/>
  <c r="E615" i="8"/>
  <c r="E614" i="8"/>
  <c r="E613" i="8"/>
  <c r="E612" i="8"/>
  <c r="I611" i="8"/>
  <c r="H611" i="8"/>
  <c r="G611" i="8"/>
  <c r="F611" i="8"/>
  <c r="I610" i="8"/>
  <c r="I604" i="8" s="1"/>
  <c r="H610" i="8"/>
  <c r="H604" i="8" s="1"/>
  <c r="G610" i="8"/>
  <c r="G604" i="8" s="1"/>
  <c r="F610" i="8"/>
  <c r="F604" i="8" s="1"/>
  <c r="I609" i="8"/>
  <c r="H609" i="8"/>
  <c r="H603" i="8" s="1"/>
  <c r="G609" i="8"/>
  <c r="G603" i="8" s="1"/>
  <c r="F609" i="8"/>
  <c r="F603" i="8" s="1"/>
  <c r="I608" i="8"/>
  <c r="H608" i="8"/>
  <c r="H602" i="8" s="1"/>
  <c r="G608" i="8"/>
  <c r="F608" i="8"/>
  <c r="F602" i="8" s="1"/>
  <c r="I607" i="8"/>
  <c r="H607" i="8"/>
  <c r="H601" i="8" s="1"/>
  <c r="G607" i="8"/>
  <c r="G601" i="8" s="1"/>
  <c r="F607" i="8"/>
  <c r="F601" i="8" s="1"/>
  <c r="I606" i="8"/>
  <c r="H606" i="8"/>
  <c r="G606" i="8"/>
  <c r="G600" i="8" s="1"/>
  <c r="F606" i="8"/>
  <c r="F600" i="8" s="1"/>
  <c r="I603" i="8"/>
  <c r="I602" i="8"/>
  <c r="I601" i="8"/>
  <c r="E598" i="8"/>
  <c r="E597" i="8"/>
  <c r="F596" i="8"/>
  <c r="H596" i="8" s="1"/>
  <c r="H572" i="8" s="1"/>
  <c r="E595" i="8"/>
  <c r="E594" i="8"/>
  <c r="I593" i="8"/>
  <c r="G593" i="8"/>
  <c r="E592" i="8"/>
  <c r="E591" i="8"/>
  <c r="E590" i="8"/>
  <c r="E589" i="8"/>
  <c r="E588" i="8"/>
  <c r="I587" i="8"/>
  <c r="H587" i="8"/>
  <c r="G587" i="8"/>
  <c r="F587" i="8"/>
  <c r="E586" i="8"/>
  <c r="E585" i="8"/>
  <c r="E584" i="8"/>
  <c r="H583" i="8"/>
  <c r="H581" i="8" s="1"/>
  <c r="E582" i="8"/>
  <c r="I581" i="8"/>
  <c r="G581" i="8"/>
  <c r="F581" i="8"/>
  <c r="E580" i="8"/>
  <c r="E579" i="8"/>
  <c r="E578" i="8"/>
  <c r="E577" i="8"/>
  <c r="E576" i="8"/>
  <c r="I575" i="8"/>
  <c r="H575" i="8"/>
  <c r="G575" i="8"/>
  <c r="F575" i="8"/>
  <c r="I574" i="8"/>
  <c r="H574" i="8"/>
  <c r="G574" i="8"/>
  <c r="F574" i="8"/>
  <c r="I573" i="8"/>
  <c r="H573" i="8"/>
  <c r="G573" i="8"/>
  <c r="F573" i="8"/>
  <c r="I572" i="8"/>
  <c r="G572" i="8"/>
  <c r="I571" i="8"/>
  <c r="G571" i="8"/>
  <c r="F571" i="8"/>
  <c r="I570" i="8"/>
  <c r="H570" i="8"/>
  <c r="G570" i="8"/>
  <c r="F570" i="8"/>
  <c r="E568" i="8"/>
  <c r="E567" i="8"/>
  <c r="I566" i="8"/>
  <c r="E566" i="8" s="1"/>
  <c r="H563" i="8"/>
  <c r="G563" i="8"/>
  <c r="G559" i="8" s="1"/>
  <c r="F563" i="8"/>
  <c r="E562" i="8"/>
  <c r="E561" i="8"/>
  <c r="E560" i="8"/>
  <c r="I557" i="8"/>
  <c r="I556" i="8" s="1"/>
  <c r="I555" i="8" s="1"/>
  <c r="I554" i="8" s="1"/>
  <c r="I553" i="8" s="1"/>
  <c r="I552" i="8" s="1"/>
  <c r="I551" i="8" s="1"/>
  <c r="I550" i="8" s="1"/>
  <c r="I549" i="8" s="1"/>
  <c r="I548" i="8" s="1"/>
  <c r="I547" i="8" s="1"/>
  <c r="I546" i="8" s="1"/>
  <c r="I545" i="8" s="1"/>
  <c r="I544" i="8" s="1"/>
  <c r="I543" i="8" s="1"/>
  <c r="I542" i="8" s="1"/>
  <c r="I541" i="8" s="1"/>
  <c r="I540" i="8" s="1"/>
  <c r="I539" i="8" s="1"/>
  <c r="I538" i="8" s="1"/>
  <c r="I537" i="8" s="1"/>
  <c r="I536" i="8" s="1"/>
  <c r="I535" i="8" s="1"/>
  <c r="I534" i="8" s="1"/>
  <c r="I533" i="8" s="1"/>
  <c r="I532" i="8" s="1"/>
  <c r="I531" i="8" s="1"/>
  <c r="I530" i="8" s="1"/>
  <c r="I529" i="8" s="1"/>
  <c r="I528" i="8" s="1"/>
  <c r="I527" i="8" s="1"/>
  <c r="H557" i="8"/>
  <c r="F557" i="8"/>
  <c r="H551" i="8"/>
  <c r="F551" i="8"/>
  <c r="H545" i="8"/>
  <c r="F545" i="8"/>
  <c r="H539" i="8"/>
  <c r="F539" i="8"/>
  <c r="H533" i="8"/>
  <c r="F533" i="8"/>
  <c r="H527" i="8"/>
  <c r="F527" i="8"/>
  <c r="E526" i="8"/>
  <c r="E525" i="8"/>
  <c r="E524" i="8"/>
  <c r="E523" i="8"/>
  <c r="E522" i="8"/>
  <c r="I521" i="8"/>
  <c r="H521" i="8"/>
  <c r="G521" i="8"/>
  <c r="F521" i="8"/>
  <c r="E520" i="8"/>
  <c r="E519" i="8"/>
  <c r="E518" i="8"/>
  <c r="E517" i="8"/>
  <c r="E516" i="8"/>
  <c r="I515" i="8"/>
  <c r="H515" i="8"/>
  <c r="G515" i="8"/>
  <c r="F515" i="8"/>
  <c r="E514" i="8"/>
  <c r="E513" i="8"/>
  <c r="E512" i="8"/>
  <c r="E511" i="8"/>
  <c r="E510" i="8"/>
  <c r="I509" i="8"/>
  <c r="H509" i="8"/>
  <c r="G509" i="8"/>
  <c r="F509" i="8"/>
  <c r="E508" i="8"/>
  <c r="E507" i="8"/>
  <c r="E506" i="8"/>
  <c r="E505" i="8"/>
  <c r="E504" i="8"/>
  <c r="I503" i="8"/>
  <c r="H503" i="8"/>
  <c r="G503" i="8"/>
  <c r="F503" i="8"/>
  <c r="E502" i="8"/>
  <c r="E501" i="8"/>
  <c r="E500" i="8"/>
  <c r="E499" i="8"/>
  <c r="E498" i="8"/>
  <c r="I497" i="8"/>
  <c r="H497" i="8"/>
  <c r="G497" i="8"/>
  <c r="F497" i="8"/>
  <c r="E496" i="8"/>
  <c r="E495" i="8"/>
  <c r="E494" i="8"/>
  <c r="E493" i="8"/>
  <c r="H492" i="8"/>
  <c r="H491" i="8" s="1"/>
  <c r="G491" i="8"/>
  <c r="F491" i="8"/>
  <c r="E490" i="8"/>
  <c r="E489" i="8"/>
  <c r="E488" i="8"/>
  <c r="E487" i="8"/>
  <c r="H486" i="8"/>
  <c r="I485" i="8"/>
  <c r="G485" i="8"/>
  <c r="F485" i="8"/>
  <c r="E484" i="8"/>
  <c r="E483" i="8"/>
  <c r="E482" i="8"/>
  <c r="E481" i="8"/>
  <c r="E480" i="8"/>
  <c r="I479" i="8"/>
  <c r="H479" i="8"/>
  <c r="G479" i="8"/>
  <c r="F479" i="8"/>
  <c r="E472" i="8"/>
  <c r="E471" i="8"/>
  <c r="E470" i="8"/>
  <c r="E469" i="8"/>
  <c r="E468" i="8"/>
  <c r="I467" i="8"/>
  <c r="H467" i="8"/>
  <c r="G467" i="8"/>
  <c r="F467" i="8"/>
  <c r="H462" i="8"/>
  <c r="H461" i="8" s="1"/>
  <c r="I461" i="8"/>
  <c r="G461" i="8"/>
  <c r="F461" i="8"/>
  <c r="H456" i="8"/>
  <c r="H455" i="8" s="1"/>
  <c r="I455" i="8"/>
  <c r="G455" i="8"/>
  <c r="F455" i="8"/>
  <c r="H450" i="8"/>
  <c r="E450" i="8" s="1"/>
  <c r="I449" i="8"/>
  <c r="G449" i="8"/>
  <c r="F449" i="8"/>
  <c r="H444" i="8"/>
  <c r="I443" i="8"/>
  <c r="G443" i="8"/>
  <c r="F443" i="8"/>
  <c r="H438" i="8"/>
  <c r="H437" i="8" s="1"/>
  <c r="I437" i="8"/>
  <c r="G437" i="8"/>
  <c r="F437" i="8"/>
  <c r="H432" i="8"/>
  <c r="E432" i="8" s="1"/>
  <c r="I431" i="8"/>
  <c r="G431" i="8"/>
  <c r="F431" i="8"/>
  <c r="E426" i="8"/>
  <c r="I425" i="8"/>
  <c r="H425" i="8"/>
  <c r="G425" i="8"/>
  <c r="F425" i="8"/>
  <c r="E424" i="8"/>
  <c r="E423" i="8"/>
  <c r="E422" i="8"/>
  <c r="E421" i="8"/>
  <c r="F420" i="8"/>
  <c r="E420" i="8" s="1"/>
  <c r="I419" i="8"/>
  <c r="H419" i="8"/>
  <c r="G419" i="8"/>
  <c r="E418" i="8"/>
  <c r="E417" i="8"/>
  <c r="E416" i="8"/>
  <c r="E415" i="8"/>
  <c r="E414" i="8"/>
  <c r="I413" i="8"/>
  <c r="H413" i="8"/>
  <c r="G413" i="8"/>
  <c r="F413" i="8"/>
  <c r="E412" i="8"/>
  <c r="E411" i="8"/>
  <c r="E410" i="8"/>
  <c r="H409" i="8"/>
  <c r="E408" i="8"/>
  <c r="I407" i="8"/>
  <c r="G407" i="8"/>
  <c r="F407" i="8"/>
  <c r="I406" i="8"/>
  <c r="H406" i="8"/>
  <c r="G406" i="8"/>
  <c r="F406" i="8"/>
  <c r="I405" i="8"/>
  <c r="H405" i="8"/>
  <c r="G405" i="8"/>
  <c r="F405" i="8"/>
  <c r="I404" i="8"/>
  <c r="H404" i="8"/>
  <c r="G404" i="8"/>
  <c r="F404" i="8"/>
  <c r="I403" i="8"/>
  <c r="G403" i="8"/>
  <c r="F403" i="8"/>
  <c r="I402" i="8"/>
  <c r="G402" i="8"/>
  <c r="H395" i="8"/>
  <c r="F395" i="8"/>
  <c r="E394" i="8"/>
  <c r="E393" i="8"/>
  <c r="I389" i="8"/>
  <c r="I388" i="8" s="1"/>
  <c r="I387" i="8" s="1"/>
  <c r="I386" i="8" s="1"/>
  <c r="I385" i="8" s="1"/>
  <c r="I384" i="8" s="1"/>
  <c r="I383" i="8" s="1"/>
  <c r="H389" i="8"/>
  <c r="H388" i="8" s="1"/>
  <c r="F389" i="8"/>
  <c r="F383" i="8"/>
  <c r="E382" i="8"/>
  <c r="E381" i="8"/>
  <c r="E380" i="8"/>
  <c r="E379" i="8"/>
  <c r="E378" i="8"/>
  <c r="I377" i="8"/>
  <c r="H377" i="8"/>
  <c r="G377" i="8"/>
  <c r="F377" i="8"/>
  <c r="E376" i="8"/>
  <c r="E375" i="8"/>
  <c r="E374" i="8"/>
  <c r="E373" i="8"/>
  <c r="E372" i="8"/>
  <c r="I371" i="8"/>
  <c r="I370" i="8" s="1"/>
  <c r="E370" i="8" s="1"/>
  <c r="H371" i="8"/>
  <c r="F371" i="8"/>
  <c r="H367" i="8"/>
  <c r="F365" i="8"/>
  <c r="H359" i="8"/>
  <c r="G359" i="8"/>
  <c r="G358" i="8" s="1"/>
  <c r="F359" i="8"/>
  <c r="H355" i="8"/>
  <c r="H353" i="8" s="1"/>
  <c r="F355" i="8"/>
  <c r="E352" i="8"/>
  <c r="E351" i="8"/>
  <c r="E350" i="8"/>
  <c r="F349" i="8"/>
  <c r="H349" i="8" s="1"/>
  <c r="E349" i="8" s="1"/>
  <c r="E348" i="8"/>
  <c r="I347" i="8"/>
  <c r="G347" i="8"/>
  <c r="F347" i="8"/>
  <c r="E346" i="8"/>
  <c r="E345" i="8"/>
  <c r="E344" i="8"/>
  <c r="E343" i="8"/>
  <c r="E342" i="8"/>
  <c r="I341" i="8"/>
  <c r="H341" i="8"/>
  <c r="G341" i="8"/>
  <c r="F341" i="8"/>
  <c r="E340" i="8"/>
  <c r="E339" i="8"/>
  <c r="E338" i="8"/>
  <c r="E337" i="8"/>
  <c r="E336" i="8"/>
  <c r="I335" i="8"/>
  <c r="H335" i="8"/>
  <c r="G335" i="8"/>
  <c r="F335" i="8"/>
  <c r="E334" i="8"/>
  <c r="E333" i="8"/>
  <c r="E332" i="8"/>
  <c r="E331" i="8"/>
  <c r="E330" i="8"/>
  <c r="I329" i="8"/>
  <c r="H329" i="8"/>
  <c r="G329" i="8"/>
  <c r="F329" i="8"/>
  <c r="E328" i="8"/>
  <c r="E327" i="8"/>
  <c r="E326" i="8"/>
  <c r="E325" i="8"/>
  <c r="E324" i="8"/>
  <c r="I323" i="8"/>
  <c r="H323" i="8"/>
  <c r="G323" i="8"/>
  <c r="F323" i="8"/>
  <c r="E322" i="8"/>
  <c r="E321" i="8"/>
  <c r="E320" i="8"/>
  <c r="H319" i="8"/>
  <c r="H317" i="8" s="1"/>
  <c r="E318" i="8"/>
  <c r="I317" i="8"/>
  <c r="G317" i="8"/>
  <c r="F317" i="8"/>
  <c r="E316" i="8"/>
  <c r="E315" i="8"/>
  <c r="E314" i="8"/>
  <c r="E313" i="8"/>
  <c r="E312" i="8"/>
  <c r="I311" i="8"/>
  <c r="H311" i="8"/>
  <c r="G311" i="8"/>
  <c r="F311" i="8"/>
  <c r="E310" i="8"/>
  <c r="E309" i="8"/>
  <c r="E308" i="8"/>
  <c r="E307" i="8"/>
  <c r="E306" i="8"/>
  <c r="I305" i="8"/>
  <c r="H305" i="8"/>
  <c r="G305" i="8"/>
  <c r="F305" i="8"/>
  <c r="E304" i="8"/>
  <c r="E303" i="8"/>
  <c r="E302" i="8"/>
  <c r="E301" i="8"/>
  <c r="F300" i="8"/>
  <c r="H300" i="8" s="1"/>
  <c r="H299" i="8" s="1"/>
  <c r="I299" i="8"/>
  <c r="G299" i="8"/>
  <c r="E298" i="8"/>
  <c r="E297" i="8"/>
  <c r="E296" i="8"/>
  <c r="E295" i="8"/>
  <c r="H294" i="8"/>
  <c r="E294" i="8" s="1"/>
  <c r="I293" i="8"/>
  <c r="G293" i="8"/>
  <c r="F293" i="8"/>
  <c r="I292" i="8"/>
  <c r="G292" i="8"/>
  <c r="F292" i="8"/>
  <c r="I291" i="8"/>
  <c r="G291" i="8"/>
  <c r="F291" i="8"/>
  <c r="I290" i="8"/>
  <c r="G290" i="8"/>
  <c r="F290" i="8"/>
  <c r="I289" i="8"/>
  <c r="G289" i="8"/>
  <c r="I288" i="8"/>
  <c r="G288" i="8"/>
  <c r="G282" i="8" s="1"/>
  <c r="F288" i="8"/>
  <c r="E280" i="8"/>
  <c r="E279" i="8"/>
  <c r="E278" i="8"/>
  <c r="E277" i="8"/>
  <c r="E276" i="8"/>
  <c r="I275" i="8"/>
  <c r="H275" i="8"/>
  <c r="G275" i="8"/>
  <c r="F275" i="8"/>
  <c r="E274" i="8"/>
  <c r="E273" i="8"/>
  <c r="E272" i="8"/>
  <c r="E271" i="8"/>
  <c r="E270" i="8"/>
  <c r="I269" i="8"/>
  <c r="H269" i="8"/>
  <c r="G269" i="8"/>
  <c r="F269" i="8"/>
  <c r="I268" i="8"/>
  <c r="H268" i="8"/>
  <c r="G268" i="8"/>
  <c r="F268" i="8"/>
  <c r="I267" i="8"/>
  <c r="H267" i="8"/>
  <c r="G267" i="8"/>
  <c r="F267" i="8"/>
  <c r="I266" i="8"/>
  <c r="H266" i="8"/>
  <c r="G266" i="8"/>
  <c r="F266" i="8"/>
  <c r="I265" i="8"/>
  <c r="H265" i="8"/>
  <c r="G265" i="8"/>
  <c r="F265" i="8"/>
  <c r="I264" i="8"/>
  <c r="H264" i="8"/>
  <c r="H263" i="8" s="1"/>
  <c r="G264" i="8"/>
  <c r="F264" i="8"/>
  <c r="F263" i="8" s="1"/>
  <c r="E262" i="8"/>
  <c r="E261" i="8"/>
  <c r="E260" i="8"/>
  <c r="E259" i="8"/>
  <c r="E258" i="8"/>
  <c r="I257" i="8"/>
  <c r="H257" i="8"/>
  <c r="G257" i="8"/>
  <c r="F257" i="8"/>
  <c r="E256" i="8"/>
  <c r="E255" i="8"/>
  <c r="E254" i="8"/>
  <c r="E253" i="8"/>
  <c r="E252" i="8"/>
  <c r="I251" i="8"/>
  <c r="H251" i="8"/>
  <c r="G251" i="8"/>
  <c r="F251" i="8"/>
  <c r="I250" i="8"/>
  <c r="H250" i="8"/>
  <c r="G250" i="8"/>
  <c r="F250" i="8"/>
  <c r="I249" i="8"/>
  <c r="H249" i="8"/>
  <c r="G249" i="8"/>
  <c r="F249" i="8"/>
  <c r="I248" i="8"/>
  <c r="H248" i="8"/>
  <c r="G248" i="8"/>
  <c r="F248" i="8"/>
  <c r="I247" i="8"/>
  <c r="H247" i="8"/>
  <c r="G247" i="8"/>
  <c r="F247" i="8"/>
  <c r="I246" i="8"/>
  <c r="H246" i="8"/>
  <c r="G246" i="8"/>
  <c r="F246" i="8"/>
  <c r="E244" i="8"/>
  <c r="E243" i="8"/>
  <c r="E242" i="8"/>
  <c r="E241" i="8"/>
  <c r="E240" i="8"/>
  <c r="I239" i="8"/>
  <c r="H239" i="8"/>
  <c r="G239" i="8"/>
  <c r="F239" i="8"/>
  <c r="E238" i="8"/>
  <c r="E237" i="8"/>
  <c r="E236" i="8"/>
  <c r="E235" i="8"/>
  <c r="E234" i="8"/>
  <c r="I233" i="8"/>
  <c r="H233" i="8"/>
  <c r="G233" i="8"/>
  <c r="F233" i="8"/>
  <c r="E232" i="8"/>
  <c r="E231" i="8"/>
  <c r="E230" i="8"/>
  <c r="E229" i="8"/>
  <c r="E228" i="8"/>
  <c r="I227" i="8"/>
  <c r="H227" i="8"/>
  <c r="G227" i="8"/>
  <c r="F227" i="8"/>
  <c r="E226" i="8"/>
  <c r="E225" i="8"/>
  <c r="E224" i="8"/>
  <c r="E223" i="8"/>
  <c r="E222" i="8"/>
  <c r="I221" i="8"/>
  <c r="H221" i="8"/>
  <c r="G221" i="8"/>
  <c r="F221" i="8"/>
  <c r="E220" i="8"/>
  <c r="E219" i="8"/>
  <c r="E218" i="8"/>
  <c r="E217" i="8"/>
  <c r="E216" i="8"/>
  <c r="I215" i="8"/>
  <c r="H215" i="8"/>
  <c r="G215" i="8"/>
  <c r="F215" i="8"/>
  <c r="E214" i="8"/>
  <c r="E213" i="8"/>
  <c r="E212" i="8"/>
  <c r="E211" i="8"/>
  <c r="E210" i="8"/>
  <c r="I209" i="8"/>
  <c r="H209" i="8"/>
  <c r="G209" i="8"/>
  <c r="F209" i="8"/>
  <c r="E208" i="8"/>
  <c r="E207" i="8"/>
  <c r="E206" i="8"/>
  <c r="E205" i="8"/>
  <c r="E204" i="8"/>
  <c r="I203" i="8"/>
  <c r="H203" i="8"/>
  <c r="G203" i="8"/>
  <c r="F203" i="8"/>
  <c r="E202" i="8"/>
  <c r="E201" i="8"/>
  <c r="E200" i="8"/>
  <c r="E199" i="8"/>
  <c r="E198" i="8"/>
  <c r="I197" i="8"/>
  <c r="H197" i="8"/>
  <c r="G197" i="8"/>
  <c r="F197" i="8"/>
  <c r="E196" i="8"/>
  <c r="E195" i="8"/>
  <c r="E194" i="8"/>
  <c r="E193" i="8"/>
  <c r="E192" i="8"/>
  <c r="I191" i="8"/>
  <c r="H191" i="8"/>
  <c r="G191" i="8"/>
  <c r="F191" i="8"/>
  <c r="E190" i="8"/>
  <c r="E189" i="8"/>
  <c r="E188" i="8"/>
  <c r="E187" i="8"/>
  <c r="E186" i="8"/>
  <c r="I185" i="8"/>
  <c r="H185" i="8"/>
  <c r="G185" i="8"/>
  <c r="F185" i="8"/>
  <c r="E184" i="8"/>
  <c r="E183" i="8"/>
  <c r="E182" i="8"/>
  <c r="E181" i="8"/>
  <c r="E180" i="8"/>
  <c r="I179" i="8"/>
  <c r="H179" i="8"/>
  <c r="G179" i="8"/>
  <c r="F179" i="8"/>
  <c r="E178" i="8"/>
  <c r="E177" i="8"/>
  <c r="E176" i="8"/>
  <c r="E175" i="8"/>
  <c r="F174" i="8"/>
  <c r="F173" i="8" s="1"/>
  <c r="I173" i="8"/>
  <c r="H173" i="8"/>
  <c r="G173" i="8"/>
  <c r="E172" i="8"/>
  <c r="E171" i="8"/>
  <c r="E170" i="8"/>
  <c r="E169" i="8"/>
  <c r="F168" i="8"/>
  <c r="E168" i="8" s="1"/>
  <c r="I167" i="8"/>
  <c r="H167" i="8"/>
  <c r="G167" i="8"/>
  <c r="E166" i="8"/>
  <c r="E165" i="8"/>
  <c r="E164" i="8"/>
  <c r="E163" i="8"/>
  <c r="E162" i="8"/>
  <c r="I161" i="8"/>
  <c r="H161" i="8"/>
  <c r="G161" i="8"/>
  <c r="F161" i="8"/>
  <c r="G160" i="8"/>
  <c r="G154" i="8" s="1"/>
  <c r="E159" i="8"/>
  <c r="E158" i="8"/>
  <c r="E157" i="8"/>
  <c r="F156" i="8"/>
  <c r="E156" i="8" s="1"/>
  <c r="I155" i="8"/>
  <c r="H155" i="8"/>
  <c r="I154" i="8"/>
  <c r="H154" i="8"/>
  <c r="F154" i="8"/>
  <c r="I153" i="8"/>
  <c r="H153" i="8"/>
  <c r="G153" i="8"/>
  <c r="F153" i="8"/>
  <c r="I152" i="8"/>
  <c r="H152" i="8"/>
  <c r="G152" i="8"/>
  <c r="F152" i="8"/>
  <c r="I151" i="8"/>
  <c r="H151" i="8"/>
  <c r="G151" i="8"/>
  <c r="F151" i="8"/>
  <c r="I150" i="8"/>
  <c r="H150" i="8"/>
  <c r="G150" i="8"/>
  <c r="E142" i="8"/>
  <c r="E141" i="8"/>
  <c r="E140" i="8"/>
  <c r="E139" i="8"/>
  <c r="E138" i="8"/>
  <c r="I137" i="8"/>
  <c r="H137" i="8"/>
  <c r="G137" i="8"/>
  <c r="F137" i="8"/>
  <c r="E136" i="8"/>
  <c r="E135" i="8"/>
  <c r="E134" i="8"/>
  <c r="E133" i="8"/>
  <c r="E132" i="8"/>
  <c r="I131" i="8"/>
  <c r="H131" i="8"/>
  <c r="G131" i="8"/>
  <c r="F131" i="8"/>
  <c r="E130" i="8"/>
  <c r="E129" i="8"/>
  <c r="E128" i="8"/>
  <c r="E127" i="8"/>
  <c r="E126" i="8"/>
  <c r="I125" i="8"/>
  <c r="H125" i="8"/>
  <c r="G125" i="8"/>
  <c r="F125" i="8"/>
  <c r="E124" i="8"/>
  <c r="E123" i="8"/>
  <c r="E122" i="8"/>
  <c r="E121" i="8"/>
  <c r="E120" i="8"/>
  <c r="I119" i="8"/>
  <c r="H119" i="8"/>
  <c r="G119" i="8"/>
  <c r="F119" i="8"/>
  <c r="I118" i="8"/>
  <c r="H118" i="8"/>
  <c r="G118" i="8"/>
  <c r="F118" i="8"/>
  <c r="I117" i="8"/>
  <c r="H117" i="8"/>
  <c r="G117" i="8"/>
  <c r="F117" i="8"/>
  <c r="I116" i="8"/>
  <c r="H116" i="8"/>
  <c r="G116" i="8"/>
  <c r="F116" i="8"/>
  <c r="I115" i="8"/>
  <c r="H115" i="8"/>
  <c r="G115" i="8"/>
  <c r="F115" i="8"/>
  <c r="I114" i="8"/>
  <c r="H114" i="8"/>
  <c r="G114" i="8"/>
  <c r="F114" i="8"/>
  <c r="E112" i="8"/>
  <c r="E111" i="8"/>
  <c r="E110" i="8"/>
  <c r="E109" i="8"/>
  <c r="E108" i="8"/>
  <c r="I107" i="8"/>
  <c r="H107" i="8"/>
  <c r="G107" i="8"/>
  <c r="F107" i="8"/>
  <c r="E106" i="8"/>
  <c r="E105" i="8"/>
  <c r="E104" i="8"/>
  <c r="E103" i="8"/>
  <c r="E102" i="8"/>
  <c r="I101" i="8"/>
  <c r="H101" i="8"/>
  <c r="G101" i="8"/>
  <c r="F101" i="8"/>
  <c r="E99" i="8"/>
  <c r="E98" i="8"/>
  <c r="E97" i="8"/>
  <c r="E96" i="8"/>
  <c r="I95" i="8"/>
  <c r="H95" i="8"/>
  <c r="G95" i="8"/>
  <c r="F95" i="8"/>
  <c r="E94" i="8"/>
  <c r="E93" i="8"/>
  <c r="E92" i="8"/>
  <c r="E91" i="8"/>
  <c r="E90" i="8"/>
  <c r="I89" i="8"/>
  <c r="H89" i="8"/>
  <c r="G89" i="8"/>
  <c r="F89" i="8"/>
  <c r="E88" i="8"/>
  <c r="E87" i="8"/>
  <c r="E86" i="8"/>
  <c r="E85" i="8"/>
  <c r="E84" i="8"/>
  <c r="I83" i="8"/>
  <c r="H83" i="8"/>
  <c r="G83" i="8"/>
  <c r="F83" i="8"/>
  <c r="E82" i="8"/>
  <c r="E81" i="8"/>
  <c r="E80" i="8"/>
  <c r="E79" i="8"/>
  <c r="F78" i="8"/>
  <c r="E78" i="8" s="1"/>
  <c r="I77" i="8"/>
  <c r="H77" i="8"/>
  <c r="G77" i="8"/>
  <c r="E76" i="8"/>
  <c r="E75" i="8"/>
  <c r="E74" i="8"/>
  <c r="E73" i="8"/>
  <c r="E72" i="8"/>
  <c r="I71" i="8"/>
  <c r="H71" i="8"/>
  <c r="G71" i="8"/>
  <c r="F71" i="8"/>
  <c r="E70" i="8"/>
  <c r="E69" i="8"/>
  <c r="E68" i="8"/>
  <c r="E67" i="8"/>
  <c r="E66" i="8"/>
  <c r="I65" i="8"/>
  <c r="H65" i="8"/>
  <c r="G65" i="8"/>
  <c r="F65" i="8"/>
  <c r="E64" i="8"/>
  <c r="E63" i="8"/>
  <c r="E62" i="8"/>
  <c r="E61" i="8"/>
  <c r="E60" i="8"/>
  <c r="I59" i="8"/>
  <c r="H59" i="8"/>
  <c r="G59" i="8"/>
  <c r="F59" i="8"/>
  <c r="E58" i="8"/>
  <c r="E57" i="8"/>
  <c r="E56" i="8"/>
  <c r="E54" i="8"/>
  <c r="I53" i="8"/>
  <c r="H53" i="8"/>
  <c r="G53" i="8"/>
  <c r="F53" i="8"/>
  <c r="I52" i="8"/>
  <c r="H52" i="8"/>
  <c r="G52" i="8"/>
  <c r="F52" i="8"/>
  <c r="I51" i="8"/>
  <c r="H51" i="8"/>
  <c r="G51" i="8"/>
  <c r="F51" i="8"/>
  <c r="I50" i="8"/>
  <c r="H50" i="8"/>
  <c r="G50" i="8"/>
  <c r="F50" i="8"/>
  <c r="I49" i="8"/>
  <c r="H49" i="8"/>
  <c r="G49" i="8"/>
  <c r="F49" i="8"/>
  <c r="I48" i="8"/>
  <c r="H48" i="8"/>
  <c r="G48" i="8"/>
  <c r="E46" i="8"/>
  <c r="E45" i="8"/>
  <c r="E44" i="8"/>
  <c r="E43" i="8"/>
  <c r="E42" i="8"/>
  <c r="I41" i="8"/>
  <c r="H41" i="8"/>
  <c r="G41" i="8"/>
  <c r="F41" i="8"/>
  <c r="E40" i="8"/>
  <c r="E39" i="8"/>
  <c r="E38" i="8"/>
  <c r="E37" i="8"/>
  <c r="E36" i="8"/>
  <c r="I35" i="8"/>
  <c r="H35" i="8"/>
  <c r="G35" i="8"/>
  <c r="F35" i="8"/>
  <c r="I34" i="8"/>
  <c r="H34" i="8"/>
  <c r="G34" i="8"/>
  <c r="F34" i="8"/>
  <c r="I33" i="8"/>
  <c r="H33" i="8"/>
  <c r="G33" i="8"/>
  <c r="F33" i="8"/>
  <c r="I32" i="8"/>
  <c r="H32" i="8"/>
  <c r="G32" i="8"/>
  <c r="F32" i="8"/>
  <c r="I31" i="8"/>
  <c r="H31" i="8"/>
  <c r="G31" i="8"/>
  <c r="F31" i="8"/>
  <c r="I30" i="8"/>
  <c r="H30" i="8"/>
  <c r="G30" i="8"/>
  <c r="F30" i="8"/>
  <c r="I22" i="8"/>
  <c r="H22" i="8"/>
  <c r="G22" i="8"/>
  <c r="F22" i="8"/>
  <c r="I21" i="8"/>
  <c r="H21" i="8"/>
  <c r="G21" i="8"/>
  <c r="F21" i="8"/>
  <c r="I20" i="8"/>
  <c r="I19" i="8"/>
  <c r="I18" i="8"/>
  <c r="G18" i="8"/>
  <c r="F18" i="8"/>
  <c r="E18" i="7"/>
  <c r="E17" i="7" s="1"/>
  <c r="D18" i="7"/>
  <c r="D17" i="7" s="1"/>
  <c r="E14" i="7"/>
  <c r="E13" i="7" s="1"/>
  <c r="D14" i="7"/>
  <c r="D13" i="7" s="1"/>
  <c r="E9" i="7"/>
  <c r="E8" i="7"/>
  <c r="D8" i="7"/>
  <c r="D7" i="7" s="1"/>
  <c r="L109" i="6"/>
  <c r="L108" i="6" s="1"/>
  <c r="L107" i="6" s="1"/>
  <c r="L106" i="6" s="1"/>
  <c r="L105" i="6" s="1"/>
  <c r="L104" i="6" s="1"/>
  <c r="J109" i="6"/>
  <c r="K104" i="6"/>
  <c r="I104" i="6"/>
  <c r="H103" i="6"/>
  <c r="H102" i="6"/>
  <c r="H101" i="6"/>
  <c r="H100" i="6"/>
  <c r="H99" i="6"/>
  <c r="L98" i="6"/>
  <c r="K98" i="6"/>
  <c r="J98" i="6"/>
  <c r="I98" i="6"/>
  <c r="H97" i="6"/>
  <c r="H96" i="6"/>
  <c r="H95" i="6"/>
  <c r="H94" i="6"/>
  <c r="H93" i="6"/>
  <c r="L92" i="6"/>
  <c r="L91" i="6" s="1"/>
  <c r="K92" i="6"/>
  <c r="I92" i="6"/>
  <c r="K88" i="6"/>
  <c r="K86" i="6" s="1"/>
  <c r="I86" i="6"/>
  <c r="K80" i="6"/>
  <c r="J80" i="6"/>
  <c r="J79" i="6" s="1"/>
  <c r="J78" i="6" s="1"/>
  <c r="I80" i="6"/>
  <c r="K76" i="6"/>
  <c r="K74" i="6" s="1"/>
  <c r="I76" i="6"/>
  <c r="I74" i="6" s="1"/>
  <c r="H73" i="6"/>
  <c r="H72" i="6"/>
  <c r="H71" i="6"/>
  <c r="I70" i="6"/>
  <c r="H69" i="6"/>
  <c r="L68" i="6"/>
  <c r="J68" i="6"/>
  <c r="H67" i="6"/>
  <c r="H66" i="6"/>
  <c r="H65" i="6"/>
  <c r="H64" i="6"/>
  <c r="H63" i="6"/>
  <c r="L62" i="6"/>
  <c r="K62" i="6"/>
  <c r="J62" i="6"/>
  <c r="I62" i="6"/>
  <c r="H61" i="6"/>
  <c r="H60" i="6"/>
  <c r="H59" i="6"/>
  <c r="H58" i="6"/>
  <c r="H57" i="6"/>
  <c r="L56" i="6"/>
  <c r="K56" i="6"/>
  <c r="J56" i="6"/>
  <c r="I56" i="6"/>
  <c r="H55" i="6"/>
  <c r="H54" i="6"/>
  <c r="H53" i="6"/>
  <c r="H52" i="6"/>
  <c r="H51" i="6"/>
  <c r="H50" i="6"/>
  <c r="H49" i="6"/>
  <c r="H48" i="6"/>
  <c r="L47" i="6"/>
  <c r="K47" i="6"/>
  <c r="J47" i="6"/>
  <c r="I47" i="6"/>
  <c r="I178" i="5"/>
  <c r="U171" i="5"/>
  <c r="T171" i="5"/>
  <c r="S171" i="5"/>
  <c r="R171" i="5"/>
  <c r="H171" i="5"/>
  <c r="G171" i="5"/>
  <c r="F171" i="5"/>
  <c r="E171" i="5"/>
  <c r="G169" i="5"/>
  <c r="F169" i="5"/>
  <c r="E169" i="5"/>
  <c r="U165" i="5"/>
  <c r="N165" i="5" s="1"/>
  <c r="T165" i="5"/>
  <c r="M165" i="5" s="1"/>
  <c r="S165" i="5"/>
  <c r="L165" i="5" s="1"/>
  <c r="R165" i="5"/>
  <c r="K165" i="5" s="1"/>
  <c r="Q165" i="5"/>
  <c r="J165" i="5" s="1"/>
  <c r="U164" i="5"/>
  <c r="N164" i="5" s="1"/>
  <c r="T164" i="5"/>
  <c r="S164" i="5"/>
  <c r="L164" i="5" s="1"/>
  <c r="R164" i="5"/>
  <c r="K164" i="5" s="1"/>
  <c r="Q164" i="5"/>
  <c r="J164" i="5" s="1"/>
  <c r="M164" i="5"/>
  <c r="U163" i="5"/>
  <c r="N163" i="5" s="1"/>
  <c r="T163" i="5"/>
  <c r="M163" i="5" s="1"/>
  <c r="S163" i="5"/>
  <c r="L163" i="5" s="1"/>
  <c r="R163" i="5"/>
  <c r="K163" i="5" s="1"/>
  <c r="Q163" i="5"/>
  <c r="J163" i="5" s="1"/>
  <c r="U162" i="5"/>
  <c r="N162" i="5" s="1"/>
  <c r="T162" i="5"/>
  <c r="M162" i="5" s="1"/>
  <c r="S162" i="5"/>
  <c r="L162" i="5" s="1"/>
  <c r="R162" i="5"/>
  <c r="K162" i="5" s="1"/>
  <c r="Q162" i="5"/>
  <c r="J162" i="5" s="1"/>
  <c r="N161" i="5"/>
  <c r="M161" i="5"/>
  <c r="L161" i="5"/>
  <c r="K161" i="5"/>
  <c r="J161" i="5"/>
  <c r="N160" i="5"/>
  <c r="M160" i="5"/>
  <c r="L160" i="5"/>
  <c r="K160" i="5"/>
  <c r="J160" i="5"/>
  <c r="U159" i="5"/>
  <c r="N159" i="5" s="1"/>
  <c r="T159" i="5"/>
  <c r="M159" i="5" s="1"/>
  <c r="S159" i="5"/>
  <c r="L159" i="5" s="1"/>
  <c r="R159" i="5"/>
  <c r="K159" i="5" s="1"/>
  <c r="Q159" i="5"/>
  <c r="J159" i="5" s="1"/>
  <c r="U158" i="5"/>
  <c r="N158" i="5" s="1"/>
  <c r="T158" i="5"/>
  <c r="M158" i="5" s="1"/>
  <c r="S158" i="5"/>
  <c r="L158" i="5" s="1"/>
  <c r="R158" i="5"/>
  <c r="K158" i="5" s="1"/>
  <c r="Q158" i="5"/>
  <c r="J158" i="5" s="1"/>
  <c r="U157" i="5"/>
  <c r="N157" i="5" s="1"/>
  <c r="T157" i="5"/>
  <c r="S157" i="5"/>
  <c r="L157" i="5" s="1"/>
  <c r="R157" i="5"/>
  <c r="K157" i="5" s="1"/>
  <c r="Q157" i="5"/>
  <c r="J157" i="5" s="1"/>
  <c r="M157" i="5"/>
  <c r="U156" i="5"/>
  <c r="N156" i="5" s="1"/>
  <c r="T156" i="5"/>
  <c r="M156" i="5" s="1"/>
  <c r="S156" i="5"/>
  <c r="L156" i="5" s="1"/>
  <c r="R156" i="5"/>
  <c r="K156" i="5" s="1"/>
  <c r="Q156" i="5"/>
  <c r="J156" i="5" s="1"/>
  <c r="U155" i="5"/>
  <c r="N155" i="5" s="1"/>
  <c r="T155" i="5"/>
  <c r="M155" i="5" s="1"/>
  <c r="S155" i="5"/>
  <c r="L155" i="5" s="1"/>
  <c r="R155" i="5"/>
  <c r="K155" i="5" s="1"/>
  <c r="Q155" i="5"/>
  <c r="J155" i="5" s="1"/>
  <c r="U154" i="5"/>
  <c r="N154" i="5" s="1"/>
  <c r="T154" i="5"/>
  <c r="M154" i="5" s="1"/>
  <c r="S154" i="5"/>
  <c r="L154" i="5" s="1"/>
  <c r="R154" i="5"/>
  <c r="K154" i="5" s="1"/>
  <c r="Q154" i="5"/>
  <c r="J154" i="5" s="1"/>
  <c r="U153" i="5"/>
  <c r="N153" i="5" s="1"/>
  <c r="T153" i="5"/>
  <c r="M153" i="5" s="1"/>
  <c r="S153" i="5"/>
  <c r="L153" i="5" s="1"/>
  <c r="R153" i="5"/>
  <c r="K153" i="5" s="1"/>
  <c r="Q153" i="5"/>
  <c r="J153" i="5" s="1"/>
  <c r="U152" i="5"/>
  <c r="N152" i="5" s="1"/>
  <c r="T152" i="5"/>
  <c r="S152" i="5"/>
  <c r="L152" i="5" s="1"/>
  <c r="R152" i="5"/>
  <c r="K152" i="5" s="1"/>
  <c r="Q152" i="5"/>
  <c r="J152" i="5" s="1"/>
  <c r="M152" i="5"/>
  <c r="U151" i="5"/>
  <c r="N151" i="5" s="1"/>
  <c r="T151" i="5"/>
  <c r="M151" i="5" s="1"/>
  <c r="S151" i="5"/>
  <c r="L151" i="5" s="1"/>
  <c r="R151" i="5"/>
  <c r="K151" i="5" s="1"/>
  <c r="Q151" i="5"/>
  <c r="J151" i="5" s="1"/>
  <c r="U150" i="5"/>
  <c r="N150" i="5" s="1"/>
  <c r="T150" i="5"/>
  <c r="M150" i="5" s="1"/>
  <c r="S150" i="5"/>
  <c r="L150" i="5" s="1"/>
  <c r="R150" i="5"/>
  <c r="K150" i="5" s="1"/>
  <c r="Q150" i="5"/>
  <c r="J150" i="5" s="1"/>
  <c r="U149" i="5"/>
  <c r="N149" i="5" s="1"/>
  <c r="T149" i="5"/>
  <c r="M149" i="5" s="1"/>
  <c r="S149" i="5"/>
  <c r="L149" i="5" s="1"/>
  <c r="R149" i="5"/>
  <c r="K149" i="5" s="1"/>
  <c r="Q149" i="5"/>
  <c r="J149" i="5" s="1"/>
  <c r="U148" i="5"/>
  <c r="N148" i="5" s="1"/>
  <c r="T148" i="5"/>
  <c r="M148" i="5" s="1"/>
  <c r="S148" i="5"/>
  <c r="L148" i="5" s="1"/>
  <c r="R148" i="5"/>
  <c r="K148" i="5" s="1"/>
  <c r="Q148" i="5"/>
  <c r="J148" i="5" s="1"/>
  <c r="U147" i="5"/>
  <c r="N147" i="5" s="1"/>
  <c r="T147" i="5"/>
  <c r="M147" i="5" s="1"/>
  <c r="S147" i="5"/>
  <c r="L147" i="5" s="1"/>
  <c r="R147" i="5"/>
  <c r="K147" i="5" s="1"/>
  <c r="Q147" i="5"/>
  <c r="J147" i="5" s="1"/>
  <c r="N146" i="5"/>
  <c r="M146" i="5"/>
  <c r="L146" i="5"/>
  <c r="K146" i="5"/>
  <c r="J146" i="5"/>
  <c r="N145" i="5"/>
  <c r="M145" i="5"/>
  <c r="L145" i="5"/>
  <c r="K145" i="5"/>
  <c r="J145" i="5"/>
  <c r="N144" i="5"/>
  <c r="M144" i="5"/>
  <c r="L144" i="5"/>
  <c r="K144" i="5"/>
  <c r="J144" i="5"/>
  <c r="N143" i="5"/>
  <c r="M143" i="5"/>
  <c r="L143" i="5"/>
  <c r="K143" i="5"/>
  <c r="J143" i="5"/>
  <c r="N142" i="5"/>
  <c r="M142" i="5"/>
  <c r="L142" i="5"/>
  <c r="K142" i="5"/>
  <c r="J142" i="5"/>
  <c r="N141" i="5"/>
  <c r="M141" i="5"/>
  <c r="L141" i="5"/>
  <c r="K141" i="5"/>
  <c r="J141" i="5"/>
  <c r="N140" i="5"/>
  <c r="M140" i="5"/>
  <c r="L140" i="5"/>
  <c r="K140" i="5"/>
  <c r="J140" i="5"/>
  <c r="N139" i="5"/>
  <c r="M139" i="5"/>
  <c r="L139" i="5"/>
  <c r="K139" i="5"/>
  <c r="J139" i="5"/>
  <c r="N138" i="5"/>
  <c r="M138" i="5"/>
  <c r="L138" i="5"/>
  <c r="K138" i="5"/>
  <c r="J138" i="5"/>
  <c r="N137" i="5"/>
  <c r="M137" i="5"/>
  <c r="L137" i="5"/>
  <c r="K137" i="5"/>
  <c r="J137" i="5"/>
  <c r="N136" i="5"/>
  <c r="M136" i="5"/>
  <c r="L136" i="5"/>
  <c r="K136" i="5"/>
  <c r="J136" i="5"/>
  <c r="N135" i="5"/>
  <c r="M135" i="5"/>
  <c r="L135" i="5"/>
  <c r="K135" i="5"/>
  <c r="J135" i="5"/>
  <c r="N134" i="5"/>
  <c r="M134" i="5"/>
  <c r="L134" i="5"/>
  <c r="K134" i="5"/>
  <c r="J134" i="5"/>
  <c r="N133" i="5"/>
  <c r="M133" i="5"/>
  <c r="L133" i="5"/>
  <c r="K133" i="5"/>
  <c r="J133" i="5"/>
  <c r="N132" i="5"/>
  <c r="M132" i="5"/>
  <c r="L132" i="5"/>
  <c r="K132" i="5"/>
  <c r="J132" i="5"/>
  <c r="N131" i="5"/>
  <c r="M131" i="5"/>
  <c r="L131" i="5"/>
  <c r="K131" i="5"/>
  <c r="J131" i="5"/>
  <c r="N130" i="5"/>
  <c r="M130" i="5"/>
  <c r="L130" i="5"/>
  <c r="K130" i="5"/>
  <c r="J130" i="5"/>
  <c r="N129" i="5"/>
  <c r="M129" i="5"/>
  <c r="L129" i="5"/>
  <c r="K129" i="5"/>
  <c r="J129" i="5"/>
  <c r="N128" i="5"/>
  <c r="M128" i="5"/>
  <c r="L128" i="5"/>
  <c r="K128" i="5"/>
  <c r="J128" i="5"/>
  <c r="N127" i="5"/>
  <c r="M127" i="5"/>
  <c r="L127" i="5"/>
  <c r="K127" i="5"/>
  <c r="J127" i="5"/>
  <c r="N126" i="5"/>
  <c r="M126" i="5"/>
  <c r="L126" i="5"/>
  <c r="K126" i="5"/>
  <c r="J126" i="5"/>
  <c r="N125" i="5"/>
  <c r="M125" i="5"/>
  <c r="L125" i="5"/>
  <c r="K125" i="5"/>
  <c r="J125" i="5"/>
  <c r="N124" i="5"/>
  <c r="M124" i="5"/>
  <c r="L124" i="5"/>
  <c r="K124" i="5"/>
  <c r="J124" i="5"/>
  <c r="N123" i="5"/>
  <c r="M123" i="5"/>
  <c r="L123" i="5"/>
  <c r="K123" i="5"/>
  <c r="J123" i="5"/>
  <c r="N122" i="5"/>
  <c r="M122" i="5"/>
  <c r="L122" i="5"/>
  <c r="K122" i="5"/>
  <c r="J122" i="5"/>
  <c r="N121" i="5"/>
  <c r="M121" i="5"/>
  <c r="L121" i="5"/>
  <c r="K121" i="5"/>
  <c r="J121" i="5"/>
  <c r="N120" i="5"/>
  <c r="M120" i="5"/>
  <c r="L120" i="5"/>
  <c r="K120" i="5"/>
  <c r="J120" i="5"/>
  <c r="U119" i="5"/>
  <c r="N119" i="5" s="1"/>
  <c r="T119" i="5"/>
  <c r="M119" i="5" s="1"/>
  <c r="S119" i="5"/>
  <c r="L119" i="5" s="1"/>
  <c r="R119" i="5"/>
  <c r="K119" i="5" s="1"/>
  <c r="Q119" i="5"/>
  <c r="J119" i="5" s="1"/>
  <c r="U118" i="5"/>
  <c r="N118" i="5" s="1"/>
  <c r="T118" i="5"/>
  <c r="M118" i="5" s="1"/>
  <c r="S118" i="5"/>
  <c r="L118" i="5" s="1"/>
  <c r="R118" i="5"/>
  <c r="K118" i="5" s="1"/>
  <c r="Q118" i="5"/>
  <c r="J118" i="5" s="1"/>
  <c r="U117" i="5"/>
  <c r="N117" i="5" s="1"/>
  <c r="T117" i="5"/>
  <c r="M117" i="5" s="1"/>
  <c r="S117" i="5"/>
  <c r="L117" i="5" s="1"/>
  <c r="R117" i="5"/>
  <c r="K117" i="5" s="1"/>
  <c r="Q117" i="5"/>
  <c r="J117" i="5" s="1"/>
  <c r="U116" i="5"/>
  <c r="N116" i="5" s="1"/>
  <c r="T116" i="5"/>
  <c r="M116" i="5" s="1"/>
  <c r="S116" i="5"/>
  <c r="L116" i="5" s="1"/>
  <c r="R116" i="5"/>
  <c r="K116" i="5" s="1"/>
  <c r="Q116" i="5"/>
  <c r="J116" i="5" s="1"/>
  <c r="U115" i="5"/>
  <c r="N115" i="5" s="1"/>
  <c r="T115" i="5"/>
  <c r="M115" i="5" s="1"/>
  <c r="S115" i="5"/>
  <c r="L115" i="5" s="1"/>
  <c r="R115" i="5"/>
  <c r="K115" i="5" s="1"/>
  <c r="Q115" i="5"/>
  <c r="J115" i="5" s="1"/>
  <c r="U114" i="5"/>
  <c r="N114" i="5" s="1"/>
  <c r="T114" i="5"/>
  <c r="M114" i="5" s="1"/>
  <c r="S114" i="5"/>
  <c r="L114" i="5" s="1"/>
  <c r="R114" i="5"/>
  <c r="K114" i="5" s="1"/>
  <c r="U113" i="5"/>
  <c r="N113" i="5" s="1"/>
  <c r="T113" i="5"/>
  <c r="M113" i="5" s="1"/>
  <c r="S113" i="5"/>
  <c r="L113" i="5" s="1"/>
  <c r="R113" i="5"/>
  <c r="K113" i="5" s="1"/>
  <c r="U112" i="5"/>
  <c r="T112" i="5"/>
  <c r="S112" i="5"/>
  <c r="L112" i="5" s="1"/>
  <c r="R112" i="5"/>
  <c r="K112" i="5" s="1"/>
  <c r="N112" i="5"/>
  <c r="M112" i="5"/>
  <c r="S111" i="5"/>
  <c r="L111" i="5" s="1"/>
  <c r="R111" i="5"/>
  <c r="K111" i="5" s="1"/>
  <c r="U109" i="5"/>
  <c r="N109" i="5" s="1"/>
  <c r="T109" i="5"/>
  <c r="M109" i="5" s="1"/>
  <c r="S109" i="5"/>
  <c r="L109" i="5" s="1"/>
  <c r="R109" i="5"/>
  <c r="K109" i="5" s="1"/>
  <c r="Q109" i="5"/>
  <c r="J109" i="5" s="1"/>
  <c r="U108" i="5"/>
  <c r="N108" i="5" s="1"/>
  <c r="T108" i="5"/>
  <c r="M108" i="5" s="1"/>
  <c r="S108" i="5"/>
  <c r="L108" i="5" s="1"/>
  <c r="R108" i="5"/>
  <c r="K108" i="5" s="1"/>
  <c r="Q108" i="5"/>
  <c r="J108" i="5" s="1"/>
  <c r="U107" i="5"/>
  <c r="N107" i="5" s="1"/>
  <c r="T107" i="5"/>
  <c r="M107" i="5" s="1"/>
  <c r="S107" i="5"/>
  <c r="L107" i="5" s="1"/>
  <c r="R107" i="5"/>
  <c r="K107" i="5" s="1"/>
  <c r="Q107" i="5"/>
  <c r="J107" i="5" s="1"/>
  <c r="U106" i="5"/>
  <c r="N106" i="5" s="1"/>
  <c r="T106" i="5"/>
  <c r="M106" i="5" s="1"/>
  <c r="S106" i="5"/>
  <c r="L106" i="5" s="1"/>
  <c r="R106" i="5"/>
  <c r="K106" i="5" s="1"/>
  <c r="Q106" i="5"/>
  <c r="J106" i="5" s="1"/>
  <c r="U101" i="5"/>
  <c r="N101" i="5" s="1"/>
  <c r="T101" i="5"/>
  <c r="M101" i="5" s="1"/>
  <c r="S101" i="5"/>
  <c r="L101" i="5" s="1"/>
  <c r="R101" i="5"/>
  <c r="K101" i="5" s="1"/>
  <c r="Q101" i="5"/>
  <c r="J101" i="5" s="1"/>
  <c r="U100" i="5"/>
  <c r="N100" i="5" s="1"/>
  <c r="T100" i="5"/>
  <c r="M100" i="5" s="1"/>
  <c r="S100" i="5"/>
  <c r="L100" i="5" s="1"/>
  <c r="R100" i="5"/>
  <c r="K100" i="5" s="1"/>
  <c r="Q100" i="5"/>
  <c r="J100" i="5" s="1"/>
  <c r="U99" i="5"/>
  <c r="N99" i="5" s="1"/>
  <c r="T99" i="5"/>
  <c r="M99" i="5" s="1"/>
  <c r="S99" i="5"/>
  <c r="L99" i="5" s="1"/>
  <c r="R99" i="5"/>
  <c r="K99" i="5" s="1"/>
  <c r="Q99" i="5"/>
  <c r="J99" i="5" s="1"/>
  <c r="U98" i="5"/>
  <c r="N98" i="5" s="1"/>
  <c r="T98" i="5"/>
  <c r="M98" i="5" s="1"/>
  <c r="S98" i="5"/>
  <c r="L98" i="5" s="1"/>
  <c r="R98" i="5"/>
  <c r="K98" i="5" s="1"/>
  <c r="Q98" i="5"/>
  <c r="J98" i="5" s="1"/>
  <c r="U97" i="5"/>
  <c r="N97" i="5" s="1"/>
  <c r="T97" i="5"/>
  <c r="M97" i="5" s="1"/>
  <c r="S97" i="5"/>
  <c r="L97" i="5" s="1"/>
  <c r="R97" i="5"/>
  <c r="K97" i="5" s="1"/>
  <c r="Q97" i="5"/>
  <c r="J97" i="5" s="1"/>
  <c r="U96" i="5"/>
  <c r="N96" i="5" s="1"/>
  <c r="T96" i="5"/>
  <c r="M96" i="5" s="1"/>
  <c r="S96" i="5"/>
  <c r="L96" i="5" s="1"/>
  <c r="R96" i="5"/>
  <c r="K96" i="5" s="1"/>
  <c r="Q96" i="5"/>
  <c r="J96" i="5" s="1"/>
  <c r="U95" i="5"/>
  <c r="N95" i="5" s="1"/>
  <c r="T95" i="5"/>
  <c r="M95" i="5" s="1"/>
  <c r="S95" i="5"/>
  <c r="L95" i="5" s="1"/>
  <c r="R95" i="5"/>
  <c r="K95" i="5" s="1"/>
  <c r="Q95" i="5"/>
  <c r="J95" i="5" s="1"/>
  <c r="U94" i="5"/>
  <c r="N94" i="5" s="1"/>
  <c r="T94" i="5"/>
  <c r="M94" i="5" s="1"/>
  <c r="S94" i="5"/>
  <c r="L94" i="5" s="1"/>
  <c r="R94" i="5"/>
  <c r="K94" i="5" s="1"/>
  <c r="Q94" i="5"/>
  <c r="J94" i="5" s="1"/>
  <c r="U93" i="5"/>
  <c r="N93" i="5" s="1"/>
  <c r="T93" i="5"/>
  <c r="M93" i="5" s="1"/>
  <c r="S93" i="5"/>
  <c r="L93" i="5" s="1"/>
  <c r="R93" i="5"/>
  <c r="K93" i="5" s="1"/>
  <c r="Q93" i="5"/>
  <c r="J93" i="5" s="1"/>
  <c r="U92" i="5"/>
  <c r="N92" i="5" s="1"/>
  <c r="T92" i="5"/>
  <c r="M92" i="5" s="1"/>
  <c r="S92" i="5"/>
  <c r="L92" i="5" s="1"/>
  <c r="R92" i="5"/>
  <c r="K92" i="5" s="1"/>
  <c r="Q92" i="5"/>
  <c r="J92" i="5" s="1"/>
  <c r="U91" i="5"/>
  <c r="N91" i="5" s="1"/>
  <c r="T91" i="5"/>
  <c r="M91" i="5" s="1"/>
  <c r="S91" i="5"/>
  <c r="L91" i="5" s="1"/>
  <c r="R91" i="5"/>
  <c r="K91" i="5" s="1"/>
  <c r="Q91" i="5"/>
  <c r="J91" i="5" s="1"/>
  <c r="U90" i="5"/>
  <c r="N90" i="5" s="1"/>
  <c r="T90" i="5"/>
  <c r="M90" i="5" s="1"/>
  <c r="S90" i="5"/>
  <c r="L90" i="5" s="1"/>
  <c r="R90" i="5"/>
  <c r="K90" i="5" s="1"/>
  <c r="Q90" i="5"/>
  <c r="J90" i="5" s="1"/>
  <c r="U89" i="5"/>
  <c r="N89" i="5" s="1"/>
  <c r="T89" i="5"/>
  <c r="M89" i="5" s="1"/>
  <c r="S89" i="5"/>
  <c r="L89" i="5" s="1"/>
  <c r="R89" i="5"/>
  <c r="K89" i="5" s="1"/>
  <c r="U88" i="5"/>
  <c r="N88" i="5" s="1"/>
  <c r="T88" i="5"/>
  <c r="M88" i="5" s="1"/>
  <c r="S88" i="5"/>
  <c r="L88" i="5" s="1"/>
  <c r="R88" i="5"/>
  <c r="K88" i="5" s="1"/>
  <c r="U87" i="5"/>
  <c r="T87" i="5"/>
  <c r="M87" i="5" s="1"/>
  <c r="S87" i="5"/>
  <c r="L87" i="5" s="1"/>
  <c r="R87" i="5"/>
  <c r="K87" i="5" s="1"/>
  <c r="N87" i="5"/>
  <c r="U86" i="5"/>
  <c r="N86" i="5" s="1"/>
  <c r="T86" i="5"/>
  <c r="M86" i="5" s="1"/>
  <c r="S86" i="5"/>
  <c r="L86" i="5" s="1"/>
  <c r="R86" i="5"/>
  <c r="K86" i="5" s="1"/>
  <c r="U84" i="5"/>
  <c r="T84" i="5"/>
  <c r="S84" i="5"/>
  <c r="R84" i="5"/>
  <c r="H84" i="5"/>
  <c r="G84" i="5"/>
  <c r="F84" i="5"/>
  <c r="E84" i="5"/>
  <c r="U82" i="5"/>
  <c r="T82" i="5"/>
  <c r="S82" i="5"/>
  <c r="R82" i="5"/>
  <c r="H82" i="5"/>
  <c r="G82" i="5"/>
  <c r="F82" i="5"/>
  <c r="L82" i="5" s="1"/>
  <c r="E82" i="5"/>
  <c r="U80" i="5"/>
  <c r="T80" i="5"/>
  <c r="S80" i="5"/>
  <c r="R80" i="5"/>
  <c r="H80" i="5"/>
  <c r="G80" i="5"/>
  <c r="F80" i="5"/>
  <c r="E80" i="5"/>
  <c r="U78" i="5"/>
  <c r="N78" i="5" s="1"/>
  <c r="T78" i="5"/>
  <c r="S78" i="5"/>
  <c r="R78" i="5"/>
  <c r="Q78" i="5"/>
  <c r="J78" i="5" s="1"/>
  <c r="M78" i="5"/>
  <c r="L78" i="5"/>
  <c r="K78" i="5"/>
  <c r="U77" i="5"/>
  <c r="N77" i="5" s="1"/>
  <c r="T77" i="5"/>
  <c r="M77" i="5" s="1"/>
  <c r="S77" i="5"/>
  <c r="L77" i="5" s="1"/>
  <c r="R77" i="5"/>
  <c r="K77" i="5" s="1"/>
  <c r="Q77" i="5"/>
  <c r="J77" i="5" s="1"/>
  <c r="U76" i="5"/>
  <c r="N76" i="5" s="1"/>
  <c r="T76" i="5"/>
  <c r="M76" i="5" s="1"/>
  <c r="S76" i="5"/>
  <c r="L76" i="5" s="1"/>
  <c r="R76" i="5"/>
  <c r="K76" i="5" s="1"/>
  <c r="Q76" i="5"/>
  <c r="J76" i="5" s="1"/>
  <c r="U75" i="5"/>
  <c r="N75" i="5" s="1"/>
  <c r="T75" i="5"/>
  <c r="M75" i="5" s="1"/>
  <c r="S75" i="5"/>
  <c r="L75" i="5" s="1"/>
  <c r="R75" i="5"/>
  <c r="K75" i="5" s="1"/>
  <c r="Q75" i="5"/>
  <c r="J75" i="5" s="1"/>
  <c r="U74" i="5"/>
  <c r="N74" i="5" s="1"/>
  <c r="T74" i="5"/>
  <c r="M74" i="5" s="1"/>
  <c r="S74" i="5"/>
  <c r="L74" i="5" s="1"/>
  <c r="R74" i="5"/>
  <c r="K74" i="5" s="1"/>
  <c r="Q74" i="5"/>
  <c r="J74" i="5" s="1"/>
  <c r="U73" i="5"/>
  <c r="N73" i="5" s="1"/>
  <c r="T73" i="5"/>
  <c r="M73" i="5" s="1"/>
  <c r="S73" i="5"/>
  <c r="L73" i="5" s="1"/>
  <c r="R73" i="5"/>
  <c r="K73" i="5" s="1"/>
  <c r="Q73" i="5"/>
  <c r="J73" i="5" s="1"/>
  <c r="Q72" i="5"/>
  <c r="J72" i="5" s="1"/>
  <c r="N72" i="5"/>
  <c r="M72" i="5"/>
  <c r="L72" i="5"/>
  <c r="K72" i="5"/>
  <c r="U71" i="5"/>
  <c r="N71" i="5" s="1"/>
  <c r="T71" i="5"/>
  <c r="M71" i="5" s="1"/>
  <c r="S71" i="5"/>
  <c r="L71" i="5" s="1"/>
  <c r="K71" i="5"/>
  <c r="J71" i="5"/>
  <c r="U70" i="5"/>
  <c r="T70" i="5"/>
  <c r="S70" i="5"/>
  <c r="R70" i="5"/>
  <c r="Q70" i="5"/>
  <c r="H70" i="5"/>
  <c r="G70" i="5"/>
  <c r="F70" i="5"/>
  <c r="E70" i="5"/>
  <c r="D70" i="5"/>
  <c r="U69" i="5"/>
  <c r="T69" i="5"/>
  <c r="S69" i="5"/>
  <c r="R69" i="5"/>
  <c r="Q69" i="5"/>
  <c r="H69" i="5"/>
  <c r="G69" i="5"/>
  <c r="F69" i="5"/>
  <c r="E69" i="5"/>
  <c r="D69" i="5"/>
  <c r="U68" i="5"/>
  <c r="T68" i="5"/>
  <c r="S68" i="5"/>
  <c r="R68" i="5"/>
  <c r="Q68" i="5"/>
  <c r="H68" i="5"/>
  <c r="G68" i="5"/>
  <c r="F68" i="5"/>
  <c r="E68" i="5"/>
  <c r="D68" i="5"/>
  <c r="U67" i="5"/>
  <c r="T67" i="5"/>
  <c r="S67" i="5"/>
  <c r="R67" i="5"/>
  <c r="Q67" i="5"/>
  <c r="H67" i="5"/>
  <c r="G67" i="5"/>
  <c r="F67" i="5"/>
  <c r="E67" i="5"/>
  <c r="D67" i="5"/>
  <c r="U66" i="5"/>
  <c r="N66" i="5" s="1"/>
  <c r="T66" i="5"/>
  <c r="M66" i="5" s="1"/>
  <c r="S66" i="5"/>
  <c r="L66" i="5" s="1"/>
  <c r="R66" i="5"/>
  <c r="K66" i="5" s="1"/>
  <c r="Q66" i="5"/>
  <c r="J66" i="5" s="1"/>
  <c r="U65" i="5"/>
  <c r="N65" i="5" s="1"/>
  <c r="T65" i="5"/>
  <c r="M65" i="5" s="1"/>
  <c r="S65" i="5"/>
  <c r="L65" i="5" s="1"/>
  <c r="R65" i="5"/>
  <c r="K65" i="5" s="1"/>
  <c r="Q65" i="5"/>
  <c r="J65" i="5" s="1"/>
  <c r="U64" i="5"/>
  <c r="T64" i="5"/>
  <c r="S64" i="5"/>
  <c r="R64" i="5"/>
  <c r="Q64" i="5"/>
  <c r="H64" i="5"/>
  <c r="G64" i="5"/>
  <c r="F64" i="5"/>
  <c r="E64" i="5"/>
  <c r="D64" i="5"/>
  <c r="U63" i="5"/>
  <c r="T63" i="5"/>
  <c r="S63" i="5"/>
  <c r="R63" i="5"/>
  <c r="Q63" i="5"/>
  <c r="H63" i="5"/>
  <c r="G63" i="5"/>
  <c r="F63" i="5"/>
  <c r="E63" i="5"/>
  <c r="D63" i="5"/>
  <c r="U62" i="5"/>
  <c r="N62" i="5" s="1"/>
  <c r="T62" i="5"/>
  <c r="S62" i="5"/>
  <c r="L62" i="5" s="1"/>
  <c r="R62" i="5"/>
  <c r="K62" i="5" s="1"/>
  <c r="Q62" i="5"/>
  <c r="J62" i="5" s="1"/>
  <c r="M62" i="5"/>
  <c r="U61" i="5"/>
  <c r="N61" i="5" s="1"/>
  <c r="T61" i="5"/>
  <c r="M61" i="5" s="1"/>
  <c r="S61" i="5"/>
  <c r="L61" i="5" s="1"/>
  <c r="R61" i="5"/>
  <c r="K61" i="5" s="1"/>
  <c r="Q61" i="5"/>
  <c r="J61" i="5" s="1"/>
  <c r="U60" i="5"/>
  <c r="N60" i="5" s="1"/>
  <c r="T60" i="5"/>
  <c r="M60" i="5" s="1"/>
  <c r="S60" i="5"/>
  <c r="L60" i="5" s="1"/>
  <c r="R60" i="5"/>
  <c r="K60" i="5" s="1"/>
  <c r="Q60" i="5"/>
  <c r="J60" i="5" s="1"/>
  <c r="U59" i="5"/>
  <c r="N59" i="5" s="1"/>
  <c r="T59" i="5"/>
  <c r="S59" i="5"/>
  <c r="L59" i="5" s="1"/>
  <c r="R59" i="5"/>
  <c r="K59" i="5" s="1"/>
  <c r="Q59" i="5"/>
  <c r="J59" i="5" s="1"/>
  <c r="M59" i="5"/>
  <c r="U58" i="5"/>
  <c r="T58" i="5"/>
  <c r="S58" i="5"/>
  <c r="R58" i="5"/>
  <c r="H58" i="5"/>
  <c r="G58" i="5"/>
  <c r="F58" i="5"/>
  <c r="U46" i="5"/>
  <c r="T46" i="5"/>
  <c r="S46" i="5"/>
  <c r="R46" i="5"/>
  <c r="H46" i="5"/>
  <c r="N46" i="5" s="1"/>
  <c r="G46" i="5"/>
  <c r="M46" i="5" s="1"/>
  <c r="F46" i="5"/>
  <c r="E46" i="5"/>
  <c r="K46" i="5" s="1"/>
  <c r="U45" i="5"/>
  <c r="T45" i="5"/>
  <c r="S45" i="5"/>
  <c r="R45" i="5"/>
  <c r="H45" i="5"/>
  <c r="G45" i="5"/>
  <c r="F45" i="5"/>
  <c r="E45" i="5"/>
  <c r="U44" i="5"/>
  <c r="T44" i="5"/>
  <c r="S44" i="5"/>
  <c r="R44" i="5"/>
  <c r="H44" i="5"/>
  <c r="G44" i="5"/>
  <c r="F44" i="5"/>
  <c r="E44" i="5"/>
  <c r="U43" i="5"/>
  <c r="T43" i="5"/>
  <c r="S43" i="5"/>
  <c r="R43" i="5"/>
  <c r="H43" i="5"/>
  <c r="G43" i="5"/>
  <c r="F43" i="5"/>
  <c r="E43" i="5"/>
  <c r="K43" i="5" s="1"/>
  <c r="N36" i="5"/>
  <c r="M36" i="5"/>
  <c r="L36" i="5"/>
  <c r="K36" i="5"/>
  <c r="J36" i="5"/>
  <c r="N35" i="5"/>
  <c r="M35" i="5"/>
  <c r="L35" i="5"/>
  <c r="K35" i="5"/>
  <c r="J35" i="5"/>
  <c r="N34" i="5"/>
  <c r="M34" i="5"/>
  <c r="L34" i="5"/>
  <c r="K34" i="5"/>
  <c r="J34" i="5"/>
  <c r="N33" i="5"/>
  <c r="M33" i="5"/>
  <c r="L33" i="5"/>
  <c r="K33" i="5"/>
  <c r="J33" i="5"/>
  <c r="N32" i="5"/>
  <c r="M32" i="5"/>
  <c r="L32" i="5"/>
  <c r="K32" i="5"/>
  <c r="J32" i="5"/>
  <c r="N31" i="5"/>
  <c r="M31" i="5"/>
  <c r="L31" i="5"/>
  <c r="K31" i="5"/>
  <c r="J31" i="5"/>
  <c r="N30" i="5"/>
  <c r="M30" i="5"/>
  <c r="L30" i="5"/>
  <c r="K30" i="5"/>
  <c r="J30" i="5"/>
  <c r="N29" i="5"/>
  <c r="M29" i="5"/>
  <c r="L29" i="5"/>
  <c r="K29" i="5"/>
  <c r="J29" i="5"/>
  <c r="N28" i="5"/>
  <c r="M28" i="5"/>
  <c r="L28" i="5"/>
  <c r="K28" i="5"/>
  <c r="J28" i="5"/>
  <c r="N27" i="5"/>
  <c r="M27" i="5"/>
  <c r="L27" i="5"/>
  <c r="K27" i="5"/>
  <c r="J27" i="5"/>
  <c r="N26" i="5"/>
  <c r="M26" i="5"/>
  <c r="L26" i="5"/>
  <c r="K26" i="5"/>
  <c r="J26" i="5"/>
  <c r="U25" i="5"/>
  <c r="T25" i="5"/>
  <c r="S25" i="5"/>
  <c r="R25" i="5"/>
  <c r="H25" i="5"/>
  <c r="G25" i="5"/>
  <c r="F25" i="5"/>
  <c r="N21" i="5"/>
  <c r="M21" i="5"/>
  <c r="L21" i="5"/>
  <c r="K21" i="5"/>
  <c r="J21" i="5"/>
  <c r="N20" i="5"/>
  <c r="M20" i="5"/>
  <c r="L20" i="5"/>
  <c r="K20" i="5"/>
  <c r="J20" i="5"/>
  <c r="N19" i="5"/>
  <c r="M19" i="5"/>
  <c r="L19" i="5"/>
  <c r="K19" i="5"/>
  <c r="J19" i="5"/>
  <c r="N18" i="5"/>
  <c r="M18" i="5"/>
  <c r="L18" i="5"/>
  <c r="K18" i="5"/>
  <c r="J18" i="5"/>
  <c r="E425" i="4"/>
  <c r="E424" i="4"/>
  <c r="E423" i="4"/>
  <c r="E422" i="4"/>
  <c r="E421" i="4"/>
  <c r="Q171" i="5" s="1"/>
  <c r="I420" i="4"/>
  <c r="U170" i="5" s="1"/>
  <c r="H420" i="4"/>
  <c r="T170" i="5" s="1"/>
  <c r="G420" i="4"/>
  <c r="S170" i="5" s="1"/>
  <c r="F420" i="4"/>
  <c r="R170" i="5" s="1"/>
  <c r="I419" i="4"/>
  <c r="I413" i="4" s="1"/>
  <c r="H419" i="4"/>
  <c r="G419" i="4"/>
  <c r="G413" i="4" s="1"/>
  <c r="F419" i="4"/>
  <c r="F413" i="4" s="1"/>
  <c r="I418" i="4"/>
  <c r="I412" i="4" s="1"/>
  <c r="H418" i="4"/>
  <c r="H412" i="4" s="1"/>
  <c r="G418" i="4"/>
  <c r="F418" i="4"/>
  <c r="F412" i="4" s="1"/>
  <c r="I417" i="4"/>
  <c r="I411" i="4" s="1"/>
  <c r="H417" i="4"/>
  <c r="H411" i="4" s="1"/>
  <c r="G417" i="4"/>
  <c r="G411" i="4" s="1"/>
  <c r="F417" i="4"/>
  <c r="I416" i="4"/>
  <c r="I410" i="4" s="1"/>
  <c r="H416" i="4"/>
  <c r="H410" i="4" s="1"/>
  <c r="G416" i="4"/>
  <c r="G410" i="4" s="1"/>
  <c r="F416" i="4"/>
  <c r="F410" i="4" s="1"/>
  <c r="I415" i="4"/>
  <c r="U169" i="5" s="1"/>
  <c r="H415" i="4"/>
  <c r="T169" i="5" s="1"/>
  <c r="G415" i="4"/>
  <c r="S169" i="5" s="1"/>
  <c r="F415" i="4"/>
  <c r="R169" i="5" s="1"/>
  <c r="I414" i="4"/>
  <c r="U168" i="5" s="1"/>
  <c r="E407" i="4"/>
  <c r="E406" i="4"/>
  <c r="H405" i="4"/>
  <c r="E404" i="4"/>
  <c r="E403" i="4"/>
  <c r="I402" i="4"/>
  <c r="G402" i="4"/>
  <c r="F402" i="4"/>
  <c r="E401" i="4"/>
  <c r="E400" i="4"/>
  <c r="E399" i="4"/>
  <c r="E398" i="4"/>
  <c r="E397" i="4"/>
  <c r="I396" i="4"/>
  <c r="H396" i="4"/>
  <c r="G396" i="4"/>
  <c r="F396" i="4"/>
  <c r="E395" i="4"/>
  <c r="E394" i="4"/>
  <c r="E393" i="4"/>
  <c r="E392" i="4"/>
  <c r="E391" i="4"/>
  <c r="I390" i="4"/>
  <c r="H390" i="4"/>
  <c r="G390" i="4"/>
  <c r="F390" i="4"/>
  <c r="E389" i="4"/>
  <c r="E388" i="4"/>
  <c r="E387" i="4"/>
  <c r="E386" i="4"/>
  <c r="E385" i="4"/>
  <c r="I384" i="4"/>
  <c r="H384" i="4"/>
  <c r="G384" i="4"/>
  <c r="F384" i="4"/>
  <c r="I383" i="4"/>
  <c r="H383" i="4"/>
  <c r="G383" i="4"/>
  <c r="F383" i="4"/>
  <c r="I382" i="4"/>
  <c r="H382" i="4"/>
  <c r="G382" i="4"/>
  <c r="F382" i="4"/>
  <c r="I381" i="4"/>
  <c r="G381" i="4"/>
  <c r="F381" i="4"/>
  <c r="I380" i="4"/>
  <c r="H380" i="4"/>
  <c r="G380" i="4"/>
  <c r="F380" i="4"/>
  <c r="I379" i="4"/>
  <c r="H379" i="4"/>
  <c r="G379" i="4"/>
  <c r="F379" i="4"/>
  <c r="E377" i="4"/>
  <c r="E376" i="4"/>
  <c r="Q114" i="5" s="1"/>
  <c r="J114" i="5" s="1"/>
  <c r="E375" i="4"/>
  <c r="Q113" i="5" s="1"/>
  <c r="J113" i="5" s="1"/>
  <c r="E374" i="4"/>
  <c r="Q112" i="5" s="1"/>
  <c r="J112" i="5" s="1"/>
  <c r="H373" i="4"/>
  <c r="T111" i="5" s="1"/>
  <c r="M111" i="5" s="1"/>
  <c r="G372" i="4"/>
  <c r="S110" i="5" s="1"/>
  <c r="L110" i="5" s="1"/>
  <c r="F372" i="4"/>
  <c r="R110" i="5" s="1"/>
  <c r="K110" i="5" s="1"/>
  <c r="E371" i="4"/>
  <c r="E370" i="4"/>
  <c r="E369" i="4"/>
  <c r="E368" i="4"/>
  <c r="H367" i="4"/>
  <c r="I366" i="4"/>
  <c r="G366" i="4"/>
  <c r="F366" i="4"/>
  <c r="E365" i="4"/>
  <c r="E364" i="4"/>
  <c r="E363" i="4"/>
  <c r="E362" i="4"/>
  <c r="E361" i="4"/>
  <c r="I360" i="4"/>
  <c r="H360" i="4"/>
  <c r="G360" i="4"/>
  <c r="F360" i="4"/>
  <c r="E353" i="4"/>
  <c r="E352" i="4"/>
  <c r="E351" i="4"/>
  <c r="E350" i="4"/>
  <c r="E349" i="4"/>
  <c r="I348" i="4"/>
  <c r="H348" i="4"/>
  <c r="G348" i="4"/>
  <c r="F348" i="4"/>
  <c r="H343" i="4"/>
  <c r="H342" i="4" s="1"/>
  <c r="I342" i="4"/>
  <c r="G342" i="4"/>
  <c r="F342" i="4"/>
  <c r="H337" i="4"/>
  <c r="I336" i="4"/>
  <c r="G336" i="4"/>
  <c r="F336" i="4"/>
  <c r="H331" i="4"/>
  <c r="H330" i="4" s="1"/>
  <c r="I330" i="4"/>
  <c r="G330" i="4"/>
  <c r="F330" i="4"/>
  <c r="H325" i="4"/>
  <c r="I324" i="4"/>
  <c r="G324" i="4"/>
  <c r="F324" i="4"/>
  <c r="H319" i="4"/>
  <c r="E319" i="4" s="1"/>
  <c r="I318" i="4"/>
  <c r="G318" i="4"/>
  <c r="F318" i="4"/>
  <c r="H313" i="4"/>
  <c r="E313" i="4" s="1"/>
  <c r="I312" i="4"/>
  <c r="G312" i="4"/>
  <c r="F312" i="4"/>
  <c r="E307" i="4"/>
  <c r="I306" i="4"/>
  <c r="H306" i="4"/>
  <c r="G306" i="4"/>
  <c r="F306" i="4"/>
  <c r="F301" i="4"/>
  <c r="I300" i="4"/>
  <c r="H300" i="4"/>
  <c r="G300" i="4"/>
  <c r="E299" i="4"/>
  <c r="E298" i="4"/>
  <c r="E297" i="4"/>
  <c r="E296" i="4"/>
  <c r="E295" i="4"/>
  <c r="I294" i="4"/>
  <c r="H294" i="4"/>
  <c r="G294" i="4"/>
  <c r="F294" i="4"/>
  <c r="E293" i="4"/>
  <c r="E292" i="4"/>
  <c r="E291" i="4"/>
  <c r="H290" i="4"/>
  <c r="E290" i="4" s="1"/>
  <c r="E289" i="4"/>
  <c r="I288" i="4"/>
  <c r="G288" i="4"/>
  <c r="F288" i="4"/>
  <c r="I287" i="4"/>
  <c r="H287" i="4"/>
  <c r="G287" i="4"/>
  <c r="F287" i="4"/>
  <c r="I286" i="4"/>
  <c r="H286" i="4"/>
  <c r="G286" i="4"/>
  <c r="F286" i="4"/>
  <c r="I285" i="4"/>
  <c r="H285" i="4"/>
  <c r="G285" i="4"/>
  <c r="F285" i="4"/>
  <c r="I284" i="4"/>
  <c r="G284" i="4"/>
  <c r="F284" i="4"/>
  <c r="I283" i="4"/>
  <c r="U105" i="5" s="1"/>
  <c r="G283" i="4"/>
  <c r="S105" i="5" s="1"/>
  <c r="E281" i="4"/>
  <c r="E280" i="4"/>
  <c r="E279" i="4"/>
  <c r="E278" i="4"/>
  <c r="E277" i="4"/>
  <c r="I276" i="4"/>
  <c r="H276" i="4"/>
  <c r="G276" i="4"/>
  <c r="F276" i="4"/>
  <c r="E275" i="4"/>
  <c r="E274" i="4"/>
  <c r="E273" i="4"/>
  <c r="E272" i="4"/>
  <c r="E271" i="4"/>
  <c r="I270" i="4"/>
  <c r="H270" i="4"/>
  <c r="G270" i="4"/>
  <c r="F270" i="4"/>
  <c r="E269" i="4"/>
  <c r="E268" i="4"/>
  <c r="E267" i="4"/>
  <c r="E266" i="4"/>
  <c r="E265" i="4"/>
  <c r="I264" i="4"/>
  <c r="H264" i="4"/>
  <c r="G264" i="4"/>
  <c r="F264" i="4"/>
  <c r="E263" i="4"/>
  <c r="E262" i="4"/>
  <c r="E261" i="4"/>
  <c r="E260" i="4"/>
  <c r="E259" i="4"/>
  <c r="I258" i="4"/>
  <c r="H258" i="4"/>
  <c r="G258" i="4"/>
  <c r="F258" i="4"/>
  <c r="E257" i="4"/>
  <c r="E256" i="4"/>
  <c r="E255" i="4"/>
  <c r="E254" i="4"/>
  <c r="H253" i="4"/>
  <c r="E253" i="4" s="1"/>
  <c r="I252" i="4"/>
  <c r="G252" i="4"/>
  <c r="F252" i="4"/>
  <c r="E251" i="4"/>
  <c r="E250" i="4"/>
  <c r="E249" i="4"/>
  <c r="E248" i="4"/>
  <c r="H247" i="4"/>
  <c r="H246" i="4" s="1"/>
  <c r="I246" i="4"/>
  <c r="G246" i="4"/>
  <c r="F246" i="4"/>
  <c r="I240" i="4"/>
  <c r="H240" i="4"/>
  <c r="G240" i="4"/>
  <c r="F240" i="4"/>
  <c r="I239" i="4"/>
  <c r="H239" i="4"/>
  <c r="G239" i="4"/>
  <c r="F239" i="4"/>
  <c r="I238" i="4"/>
  <c r="H238" i="4"/>
  <c r="G238" i="4"/>
  <c r="F238" i="4"/>
  <c r="I237" i="4"/>
  <c r="H237" i="4"/>
  <c r="G237" i="4"/>
  <c r="F237" i="4"/>
  <c r="I236" i="4"/>
  <c r="G236" i="4"/>
  <c r="F236" i="4"/>
  <c r="E228" i="4"/>
  <c r="E227" i="4"/>
  <c r="E226" i="4"/>
  <c r="E225" i="4"/>
  <c r="E224" i="4"/>
  <c r="I223" i="4"/>
  <c r="H223" i="4"/>
  <c r="G223" i="4"/>
  <c r="F223" i="4"/>
  <c r="E222" i="4"/>
  <c r="E221" i="4"/>
  <c r="E220" i="4"/>
  <c r="E219" i="4"/>
  <c r="E218" i="4"/>
  <c r="I217" i="4"/>
  <c r="H217" i="4"/>
  <c r="G217" i="4"/>
  <c r="F217" i="4"/>
  <c r="I216" i="4"/>
  <c r="H216" i="4"/>
  <c r="G216" i="4"/>
  <c r="F216" i="4"/>
  <c r="I215" i="4"/>
  <c r="H215" i="4"/>
  <c r="G215" i="4"/>
  <c r="F215" i="4"/>
  <c r="I214" i="4"/>
  <c r="H214" i="4"/>
  <c r="G214" i="4"/>
  <c r="F214" i="4"/>
  <c r="I213" i="4"/>
  <c r="H213" i="4"/>
  <c r="G213" i="4"/>
  <c r="F213" i="4"/>
  <c r="I212" i="4"/>
  <c r="I211" i="4" s="1"/>
  <c r="H212" i="4"/>
  <c r="G212" i="4"/>
  <c r="F212" i="4"/>
  <c r="E210" i="4"/>
  <c r="E209" i="4"/>
  <c r="E208" i="4"/>
  <c r="E207" i="4"/>
  <c r="E206" i="4"/>
  <c r="I205" i="4"/>
  <c r="H205" i="4"/>
  <c r="G205" i="4"/>
  <c r="F205" i="4"/>
  <c r="E204" i="4"/>
  <c r="E203" i="4"/>
  <c r="E202" i="4"/>
  <c r="E201" i="4"/>
  <c r="E200" i="4"/>
  <c r="I199" i="4"/>
  <c r="H199" i="4"/>
  <c r="G199" i="4"/>
  <c r="F199" i="4"/>
  <c r="I198" i="4"/>
  <c r="H198" i="4"/>
  <c r="G198" i="4"/>
  <c r="F198" i="4"/>
  <c r="I197" i="4"/>
  <c r="H197" i="4"/>
  <c r="G197" i="4"/>
  <c r="F197" i="4"/>
  <c r="I196" i="4"/>
  <c r="H196" i="4"/>
  <c r="G196" i="4"/>
  <c r="F196" i="4"/>
  <c r="I195" i="4"/>
  <c r="H195" i="4"/>
  <c r="G195" i="4"/>
  <c r="F195" i="4"/>
  <c r="I194" i="4"/>
  <c r="I193" i="4" s="1"/>
  <c r="H194" i="4"/>
  <c r="G194" i="4"/>
  <c r="F194" i="4"/>
  <c r="E192" i="4"/>
  <c r="E191" i="4"/>
  <c r="Q89" i="5" s="1"/>
  <c r="J89" i="5" s="1"/>
  <c r="E190" i="4"/>
  <c r="Q88" i="5" s="1"/>
  <c r="J88" i="5" s="1"/>
  <c r="E189" i="4"/>
  <c r="Q87" i="5" s="1"/>
  <c r="J87" i="5" s="1"/>
  <c r="E188" i="4"/>
  <c r="Q86" i="5" s="1"/>
  <c r="J86" i="5" s="1"/>
  <c r="I187" i="4"/>
  <c r="U85" i="5" s="1"/>
  <c r="N85" i="5" s="1"/>
  <c r="H187" i="4"/>
  <c r="T85" i="5" s="1"/>
  <c r="M85" i="5" s="1"/>
  <c r="G187" i="4"/>
  <c r="S85" i="5" s="1"/>
  <c r="L85" i="5" s="1"/>
  <c r="F187" i="4"/>
  <c r="R85" i="5" s="1"/>
  <c r="K85" i="5" s="1"/>
  <c r="E186" i="4"/>
  <c r="E185" i="4"/>
  <c r="E184" i="4"/>
  <c r="E183" i="4"/>
  <c r="E182" i="4"/>
  <c r="Q84" i="5" s="1"/>
  <c r="I181" i="4"/>
  <c r="U83" i="5" s="1"/>
  <c r="H181" i="4"/>
  <c r="T83" i="5" s="1"/>
  <c r="G181" i="4"/>
  <c r="S83" i="5" s="1"/>
  <c r="F181" i="4"/>
  <c r="R83" i="5" s="1"/>
  <c r="E180" i="4"/>
  <c r="E179" i="4"/>
  <c r="E178" i="4"/>
  <c r="E177" i="4"/>
  <c r="E176" i="4"/>
  <c r="I175" i="4"/>
  <c r="H175" i="4"/>
  <c r="G175" i="4"/>
  <c r="F175" i="4"/>
  <c r="E174" i="4"/>
  <c r="E173" i="4"/>
  <c r="E172" i="4"/>
  <c r="E171" i="4"/>
  <c r="E170" i="4"/>
  <c r="Q82" i="5" s="1"/>
  <c r="I169" i="4"/>
  <c r="U81" i="5" s="1"/>
  <c r="H169" i="4"/>
  <c r="T81" i="5" s="1"/>
  <c r="G169" i="4"/>
  <c r="S81" i="5" s="1"/>
  <c r="F169" i="4"/>
  <c r="R81" i="5" s="1"/>
  <c r="E168" i="4"/>
  <c r="E167" i="4"/>
  <c r="E166" i="4"/>
  <c r="E165" i="4"/>
  <c r="E164" i="4"/>
  <c r="Q80" i="5" s="1"/>
  <c r="I163" i="4"/>
  <c r="U79" i="5" s="1"/>
  <c r="H163" i="4"/>
  <c r="T79" i="5" s="1"/>
  <c r="G163" i="4"/>
  <c r="S79" i="5" s="1"/>
  <c r="F163" i="4"/>
  <c r="R79" i="5" s="1"/>
  <c r="E162" i="4"/>
  <c r="E161" i="4"/>
  <c r="E160" i="4"/>
  <c r="E159" i="4"/>
  <c r="E158" i="4"/>
  <c r="I157" i="4"/>
  <c r="H157" i="4"/>
  <c r="G157" i="4"/>
  <c r="F157" i="4"/>
  <c r="E156" i="4"/>
  <c r="E155" i="4"/>
  <c r="E154" i="4"/>
  <c r="E153" i="4"/>
  <c r="E152" i="4"/>
  <c r="Q58" i="5" s="1"/>
  <c r="I151" i="4"/>
  <c r="U57" i="5" s="1"/>
  <c r="H151" i="4"/>
  <c r="T57" i="5" s="1"/>
  <c r="G151" i="4"/>
  <c r="S57" i="5" s="1"/>
  <c r="F151" i="4"/>
  <c r="R57" i="5" s="1"/>
  <c r="E150" i="4"/>
  <c r="E149" i="4"/>
  <c r="E148" i="4"/>
  <c r="E147" i="4"/>
  <c r="F146" i="4"/>
  <c r="F145" i="4" s="1"/>
  <c r="I145" i="4"/>
  <c r="H145" i="4"/>
  <c r="G145" i="4"/>
  <c r="E144" i="4"/>
  <c r="E143" i="4"/>
  <c r="E142" i="4"/>
  <c r="E141" i="4"/>
  <c r="E140" i="4"/>
  <c r="I139" i="4"/>
  <c r="H139" i="4"/>
  <c r="G139" i="4"/>
  <c r="F139" i="4"/>
  <c r="G138" i="4"/>
  <c r="E137" i="4"/>
  <c r="E136" i="4"/>
  <c r="E135" i="4"/>
  <c r="F134" i="4"/>
  <c r="F133" i="4" s="1"/>
  <c r="I133" i="4"/>
  <c r="H133" i="4"/>
  <c r="I132" i="4"/>
  <c r="H132" i="4"/>
  <c r="F132" i="4"/>
  <c r="I131" i="4"/>
  <c r="U56" i="5" s="1"/>
  <c r="H131" i="4"/>
  <c r="T56" i="5" s="1"/>
  <c r="G131" i="4"/>
  <c r="S56" i="5" s="1"/>
  <c r="F131" i="4"/>
  <c r="I130" i="4"/>
  <c r="U55" i="5" s="1"/>
  <c r="H130" i="4"/>
  <c r="T55" i="5" s="1"/>
  <c r="G130" i="4"/>
  <c r="S55" i="5" s="1"/>
  <c r="F130" i="4"/>
  <c r="R55" i="5" s="1"/>
  <c r="I129" i="4"/>
  <c r="U54" i="5" s="1"/>
  <c r="H129" i="4"/>
  <c r="G129" i="4"/>
  <c r="S54" i="5" s="1"/>
  <c r="F129" i="4"/>
  <c r="I128" i="4"/>
  <c r="H128" i="4"/>
  <c r="G128" i="4"/>
  <c r="E120" i="4"/>
  <c r="E116" i="4"/>
  <c r="I115" i="4"/>
  <c r="H115" i="4"/>
  <c r="G115" i="4"/>
  <c r="F115" i="4"/>
  <c r="E114" i="4"/>
  <c r="E113" i="4"/>
  <c r="Q46" i="5" s="1"/>
  <c r="E112" i="4"/>
  <c r="Q45" i="5" s="1"/>
  <c r="E111" i="4"/>
  <c r="Q44" i="5" s="1"/>
  <c r="E110" i="4"/>
  <c r="Q43" i="5" s="1"/>
  <c r="I109" i="4"/>
  <c r="U42" i="5" s="1"/>
  <c r="H109" i="4"/>
  <c r="T42" i="5" s="1"/>
  <c r="G109" i="4"/>
  <c r="F109" i="4"/>
  <c r="R42" i="5" s="1"/>
  <c r="E108" i="4"/>
  <c r="E107" i="4"/>
  <c r="E106" i="4"/>
  <c r="E105" i="4"/>
  <c r="E104" i="4"/>
  <c r="I103" i="4"/>
  <c r="H103" i="4"/>
  <c r="G103" i="4"/>
  <c r="F103" i="4"/>
  <c r="E97" i="4"/>
  <c r="E96" i="4"/>
  <c r="E95" i="4"/>
  <c r="E94" i="4"/>
  <c r="E93" i="4"/>
  <c r="I92" i="4"/>
  <c r="H92" i="4"/>
  <c r="G92" i="4"/>
  <c r="F92" i="4"/>
  <c r="I91" i="4"/>
  <c r="H91" i="4"/>
  <c r="G91" i="4"/>
  <c r="F91" i="4"/>
  <c r="I90" i="4"/>
  <c r="U41" i="5" s="1"/>
  <c r="H90" i="4"/>
  <c r="T41" i="5" s="1"/>
  <c r="G90" i="4"/>
  <c r="F90" i="4"/>
  <c r="R41" i="5" s="1"/>
  <c r="I89" i="4"/>
  <c r="U40" i="5" s="1"/>
  <c r="H89" i="4"/>
  <c r="T40" i="5" s="1"/>
  <c r="G89" i="4"/>
  <c r="F89" i="4"/>
  <c r="R40" i="5" s="1"/>
  <c r="I88" i="4"/>
  <c r="U39" i="5" s="1"/>
  <c r="H88" i="4"/>
  <c r="T39" i="5" s="1"/>
  <c r="G88" i="4"/>
  <c r="S39" i="5" s="1"/>
  <c r="F88" i="4"/>
  <c r="R39" i="5" s="1"/>
  <c r="I87" i="4"/>
  <c r="U38" i="5" s="1"/>
  <c r="H87" i="4"/>
  <c r="T38" i="5" s="1"/>
  <c r="G87" i="4"/>
  <c r="F87" i="4"/>
  <c r="R38" i="5" s="1"/>
  <c r="E85" i="4"/>
  <c r="E84" i="4"/>
  <c r="E83" i="4"/>
  <c r="E82" i="4"/>
  <c r="F81" i="4"/>
  <c r="E81" i="4" s="1"/>
  <c r="I80" i="4"/>
  <c r="H80" i="4"/>
  <c r="G80" i="4"/>
  <c r="E79" i="4"/>
  <c r="E78" i="4"/>
  <c r="E77" i="4"/>
  <c r="E76" i="4"/>
  <c r="E75" i="4"/>
  <c r="I74" i="4"/>
  <c r="U24" i="5" s="1"/>
  <c r="H74" i="4"/>
  <c r="T24" i="5" s="1"/>
  <c r="G74" i="4"/>
  <c r="S24" i="5" s="1"/>
  <c r="F74" i="4"/>
  <c r="R24" i="5" s="1"/>
  <c r="E73" i="4"/>
  <c r="E72" i="4"/>
  <c r="E71" i="4"/>
  <c r="E69" i="4"/>
  <c r="I68" i="4"/>
  <c r="H68" i="4"/>
  <c r="G68" i="4"/>
  <c r="F68" i="4"/>
  <c r="E67" i="4"/>
  <c r="E66" i="4"/>
  <c r="E65" i="4"/>
  <c r="E64" i="4"/>
  <c r="E63" i="4"/>
  <c r="I62" i="4"/>
  <c r="H62" i="4"/>
  <c r="G62" i="4"/>
  <c r="F62" i="4"/>
  <c r="E61" i="4"/>
  <c r="E60" i="4"/>
  <c r="E59" i="4"/>
  <c r="E57" i="4"/>
  <c r="I56" i="4"/>
  <c r="H56" i="4"/>
  <c r="G56" i="4"/>
  <c r="F56" i="4"/>
  <c r="I55" i="4"/>
  <c r="H55" i="4"/>
  <c r="G55" i="4"/>
  <c r="F55" i="4"/>
  <c r="I54" i="4"/>
  <c r="H54" i="4"/>
  <c r="G54" i="4"/>
  <c r="F54" i="4"/>
  <c r="I53" i="4"/>
  <c r="H53" i="4"/>
  <c r="G53" i="4"/>
  <c r="F53" i="4"/>
  <c r="I52" i="4"/>
  <c r="H52" i="4"/>
  <c r="G52" i="4"/>
  <c r="F52" i="4"/>
  <c r="I51" i="4"/>
  <c r="H51" i="4"/>
  <c r="H50" i="4" s="1"/>
  <c r="T22" i="5" s="1"/>
  <c r="G51" i="4"/>
  <c r="S23" i="5" s="1"/>
  <c r="E42" i="4"/>
  <c r="E41" i="4" s="1"/>
  <c r="I41" i="4"/>
  <c r="H41" i="4"/>
  <c r="G41" i="4"/>
  <c r="F41" i="4"/>
  <c r="I34" i="4"/>
  <c r="H34" i="4"/>
  <c r="G34" i="4"/>
  <c r="F34" i="4"/>
  <c r="I33" i="4"/>
  <c r="H33" i="4"/>
  <c r="G33" i="4"/>
  <c r="F33" i="4"/>
  <c r="I32" i="4"/>
  <c r="H32" i="4"/>
  <c r="G32" i="4"/>
  <c r="F32" i="4"/>
  <c r="I31" i="4"/>
  <c r="H31" i="4"/>
  <c r="G31" i="4"/>
  <c r="F31" i="4"/>
  <c r="I30" i="4"/>
  <c r="I29" i="4" s="1"/>
  <c r="H30" i="4"/>
  <c r="H29" i="4" s="1"/>
  <c r="G30" i="4"/>
  <c r="F30" i="4"/>
  <c r="F29" i="4" s="1"/>
  <c r="I22" i="4"/>
  <c r="H22" i="4"/>
  <c r="G22" i="4"/>
  <c r="F22" i="4"/>
  <c r="I21" i="4"/>
  <c r="H21" i="4"/>
  <c r="G21" i="4"/>
  <c r="F21" i="4"/>
  <c r="I20" i="4"/>
  <c r="H20" i="4"/>
  <c r="G20" i="4"/>
  <c r="F20" i="4"/>
  <c r="I19" i="4"/>
  <c r="H19" i="4"/>
  <c r="G19" i="4"/>
  <c r="F19" i="4"/>
  <c r="I18" i="4"/>
  <c r="G18" i="4"/>
  <c r="S15" i="5" s="1"/>
  <c r="F18" i="4"/>
  <c r="L12" i="4"/>
  <c r="E413" i="3"/>
  <c r="E412" i="3"/>
  <c r="E411" i="3"/>
  <c r="E410" i="3"/>
  <c r="E409" i="3"/>
  <c r="I408" i="3"/>
  <c r="H408" i="3"/>
  <c r="G408" i="3"/>
  <c r="F408" i="3"/>
  <c r="E168" i="5" s="1"/>
  <c r="I407" i="3"/>
  <c r="H407" i="3"/>
  <c r="H401" i="3" s="1"/>
  <c r="G407" i="3"/>
  <c r="G401" i="3" s="1"/>
  <c r="F407" i="3"/>
  <c r="F401" i="3" s="1"/>
  <c r="I406" i="3"/>
  <c r="H406" i="3"/>
  <c r="H400" i="3" s="1"/>
  <c r="G406" i="3"/>
  <c r="G400" i="3" s="1"/>
  <c r="F406" i="3"/>
  <c r="I405" i="3"/>
  <c r="I399" i="3" s="1"/>
  <c r="H169" i="5" s="1"/>
  <c r="H405" i="3"/>
  <c r="H399" i="3" s="1"/>
  <c r="G405" i="3"/>
  <c r="G399" i="3" s="1"/>
  <c r="F405" i="3"/>
  <c r="F399" i="3" s="1"/>
  <c r="I404" i="3"/>
  <c r="I398" i="3" s="1"/>
  <c r="H404" i="3"/>
  <c r="G404" i="3"/>
  <c r="F404" i="3"/>
  <c r="F398" i="3" s="1"/>
  <c r="I403" i="3"/>
  <c r="I397" i="3" s="1"/>
  <c r="H403" i="3"/>
  <c r="H397" i="3" s="1"/>
  <c r="G167" i="5" s="1"/>
  <c r="G403" i="3"/>
  <c r="G397" i="3" s="1"/>
  <c r="F167" i="5" s="1"/>
  <c r="F403" i="3"/>
  <c r="I401" i="3"/>
  <c r="F397" i="3"/>
  <c r="E395" i="3"/>
  <c r="E394" i="3"/>
  <c r="H393" i="3"/>
  <c r="H20" i="3" s="1"/>
  <c r="E392" i="3"/>
  <c r="E391" i="3"/>
  <c r="I390" i="3"/>
  <c r="G390" i="3"/>
  <c r="F390" i="3"/>
  <c r="E389" i="3"/>
  <c r="E388" i="3"/>
  <c r="E387" i="3"/>
  <c r="E386" i="3"/>
  <c r="E385" i="3"/>
  <c r="I384" i="3"/>
  <c r="H384" i="3"/>
  <c r="G384" i="3"/>
  <c r="F384" i="3"/>
  <c r="E383" i="3"/>
  <c r="E382" i="3"/>
  <c r="E381" i="3"/>
  <c r="E380" i="3"/>
  <c r="E379" i="3"/>
  <c r="I378" i="3"/>
  <c r="H378" i="3"/>
  <c r="G378" i="3"/>
  <c r="F378" i="3"/>
  <c r="E377" i="3"/>
  <c r="E376" i="3"/>
  <c r="E375" i="3"/>
  <c r="E374" i="3"/>
  <c r="E373" i="3"/>
  <c r="I372" i="3"/>
  <c r="H372" i="3"/>
  <c r="G372" i="3"/>
  <c r="F372" i="3"/>
  <c r="I371" i="3"/>
  <c r="H371" i="3"/>
  <c r="G371" i="3"/>
  <c r="F371" i="3"/>
  <c r="I370" i="3"/>
  <c r="H370" i="3"/>
  <c r="G370" i="3"/>
  <c r="F370" i="3"/>
  <c r="I369" i="3"/>
  <c r="G369" i="3"/>
  <c r="F369" i="3"/>
  <c r="I368" i="3"/>
  <c r="H368" i="3"/>
  <c r="G368" i="3"/>
  <c r="F368" i="3"/>
  <c r="I367" i="3"/>
  <c r="H367" i="3"/>
  <c r="G367" i="3"/>
  <c r="F367" i="3"/>
  <c r="E365" i="3"/>
  <c r="E364" i="3"/>
  <c r="E363" i="3"/>
  <c r="E362" i="3"/>
  <c r="H361" i="3"/>
  <c r="H360" i="3" s="1"/>
  <c r="I360" i="3"/>
  <c r="G360" i="3"/>
  <c r="F360" i="3"/>
  <c r="E359" i="3"/>
  <c r="E358" i="3"/>
  <c r="E357" i="3"/>
  <c r="E356" i="3"/>
  <c r="E355" i="3"/>
  <c r="I354" i="3"/>
  <c r="H354" i="3"/>
  <c r="G354" i="3"/>
  <c r="F354" i="3"/>
  <c r="E347" i="3"/>
  <c r="E346" i="3"/>
  <c r="E345" i="3"/>
  <c r="E344" i="3"/>
  <c r="E343" i="3"/>
  <c r="I342" i="3"/>
  <c r="H342" i="3"/>
  <c r="G342" i="3"/>
  <c r="F342" i="3"/>
  <c r="H337" i="3"/>
  <c r="H336" i="3" s="1"/>
  <c r="I336" i="3"/>
  <c r="G336" i="3"/>
  <c r="F336" i="3"/>
  <c r="H331" i="3"/>
  <c r="E331" i="3" s="1"/>
  <c r="I330" i="3"/>
  <c r="G330" i="3"/>
  <c r="F330" i="3"/>
  <c r="H325" i="3"/>
  <c r="E325" i="3" s="1"/>
  <c r="I324" i="3"/>
  <c r="G324" i="3"/>
  <c r="F324" i="3"/>
  <c r="H319" i="3"/>
  <c r="H318" i="3" s="1"/>
  <c r="I318" i="3"/>
  <c r="G318" i="3"/>
  <c r="F318" i="3"/>
  <c r="H313" i="3"/>
  <c r="E313" i="3" s="1"/>
  <c r="I312" i="3"/>
  <c r="G312" i="3"/>
  <c r="F312" i="3"/>
  <c r="H307" i="3"/>
  <c r="I306" i="3"/>
  <c r="G306" i="3"/>
  <c r="F306" i="3"/>
  <c r="E301" i="3"/>
  <c r="I300" i="3"/>
  <c r="H300" i="3"/>
  <c r="G300" i="3"/>
  <c r="F300" i="3"/>
  <c r="F295" i="3"/>
  <c r="E295" i="3" s="1"/>
  <c r="I294" i="3"/>
  <c r="H294" i="3"/>
  <c r="G294" i="3"/>
  <c r="E293" i="3"/>
  <c r="E292" i="3"/>
  <c r="E291" i="3"/>
  <c r="E290" i="3"/>
  <c r="E289" i="3"/>
  <c r="I288" i="3"/>
  <c r="H288" i="3"/>
  <c r="G288" i="3"/>
  <c r="F288" i="3"/>
  <c r="E287" i="3"/>
  <c r="E286" i="3"/>
  <c r="E285" i="3"/>
  <c r="H284" i="3"/>
  <c r="H282" i="3" s="1"/>
  <c r="E283" i="3"/>
  <c r="I282" i="3"/>
  <c r="G282" i="3"/>
  <c r="F282" i="3"/>
  <c r="I281" i="3"/>
  <c r="H281" i="3"/>
  <c r="G281" i="3"/>
  <c r="F281" i="3"/>
  <c r="I280" i="3"/>
  <c r="H280" i="3"/>
  <c r="G280" i="3"/>
  <c r="F280" i="3"/>
  <c r="I279" i="3"/>
  <c r="H279" i="3"/>
  <c r="G279" i="3"/>
  <c r="F279" i="3"/>
  <c r="I278" i="3"/>
  <c r="G278" i="3"/>
  <c r="F278" i="3"/>
  <c r="I277" i="3"/>
  <c r="H105" i="5" s="1"/>
  <c r="G277" i="3"/>
  <c r="F105" i="5" s="1"/>
  <c r="E275" i="3"/>
  <c r="E274" i="3"/>
  <c r="E273" i="3"/>
  <c r="E272" i="3"/>
  <c r="E271" i="3"/>
  <c r="I270" i="3"/>
  <c r="H270" i="3"/>
  <c r="G270" i="3"/>
  <c r="F270" i="3"/>
  <c r="E269" i="3"/>
  <c r="E268" i="3"/>
  <c r="E267" i="3"/>
  <c r="E266" i="3"/>
  <c r="E265" i="3"/>
  <c r="I264" i="3"/>
  <c r="H264" i="3"/>
  <c r="G264" i="3"/>
  <c r="F264" i="3"/>
  <c r="E263" i="3"/>
  <c r="E262" i="3"/>
  <c r="E261" i="3"/>
  <c r="E260" i="3"/>
  <c r="E259" i="3"/>
  <c r="I258" i="3"/>
  <c r="H258" i="3"/>
  <c r="G258" i="3"/>
  <c r="F258" i="3"/>
  <c r="E257" i="3"/>
  <c r="E256" i="3"/>
  <c r="E255" i="3"/>
  <c r="E254" i="3"/>
  <c r="E253" i="3"/>
  <c r="I252" i="3"/>
  <c r="H252" i="3"/>
  <c r="G252" i="3"/>
  <c r="F252" i="3"/>
  <c r="E251" i="3"/>
  <c r="E250" i="3"/>
  <c r="E249" i="3"/>
  <c r="E248" i="3"/>
  <c r="H247" i="3"/>
  <c r="H246" i="3" s="1"/>
  <c r="I246" i="3"/>
  <c r="G246" i="3"/>
  <c r="F246" i="3"/>
  <c r="E245" i="3"/>
  <c r="E244" i="3"/>
  <c r="E243" i="3"/>
  <c r="E242" i="3"/>
  <c r="H241" i="3"/>
  <c r="I240" i="3"/>
  <c r="G240" i="3"/>
  <c r="F240" i="3"/>
  <c r="I234" i="3"/>
  <c r="H234" i="3"/>
  <c r="H228" i="3" s="1"/>
  <c r="G234" i="3"/>
  <c r="F234" i="3"/>
  <c r="I233" i="3"/>
  <c r="H233" i="3"/>
  <c r="G233" i="3"/>
  <c r="F233" i="3"/>
  <c r="I232" i="3"/>
  <c r="H232" i="3"/>
  <c r="G232" i="3"/>
  <c r="F232" i="3"/>
  <c r="I231" i="3"/>
  <c r="H231" i="3"/>
  <c r="G231" i="3"/>
  <c r="F231" i="3"/>
  <c r="I230" i="3"/>
  <c r="G230" i="3"/>
  <c r="F230" i="3"/>
  <c r="E222" i="3"/>
  <c r="E221" i="3"/>
  <c r="E220" i="3"/>
  <c r="E219" i="3"/>
  <c r="E218" i="3"/>
  <c r="I217" i="3"/>
  <c r="H217" i="3"/>
  <c r="G217" i="3"/>
  <c r="F217" i="3"/>
  <c r="E216" i="3"/>
  <c r="E215" i="3"/>
  <c r="E214" i="3"/>
  <c r="E213" i="3"/>
  <c r="E212" i="3"/>
  <c r="I211" i="3"/>
  <c r="H211" i="3"/>
  <c r="G211" i="3"/>
  <c r="F211" i="3"/>
  <c r="I210" i="3"/>
  <c r="H210" i="3"/>
  <c r="G210" i="3"/>
  <c r="F210" i="3"/>
  <c r="I209" i="3"/>
  <c r="H209" i="3"/>
  <c r="G209" i="3"/>
  <c r="F209" i="3"/>
  <c r="I208" i="3"/>
  <c r="H208" i="3"/>
  <c r="G208" i="3"/>
  <c r="F208" i="3"/>
  <c r="I207" i="3"/>
  <c r="H207" i="3"/>
  <c r="G207" i="3"/>
  <c r="F207" i="3"/>
  <c r="I206" i="3"/>
  <c r="I205" i="3" s="1"/>
  <c r="H206" i="3"/>
  <c r="G206" i="3"/>
  <c r="F206" i="3"/>
  <c r="E204" i="3"/>
  <c r="E203" i="3"/>
  <c r="E202" i="3"/>
  <c r="E201" i="3"/>
  <c r="E200" i="3"/>
  <c r="I199" i="3"/>
  <c r="H199" i="3"/>
  <c r="G199" i="3"/>
  <c r="F199" i="3"/>
  <c r="E198" i="3"/>
  <c r="E197" i="3"/>
  <c r="E196" i="3"/>
  <c r="E195" i="3"/>
  <c r="E194" i="3"/>
  <c r="I193" i="3"/>
  <c r="H193" i="3"/>
  <c r="G193" i="3"/>
  <c r="F193" i="3"/>
  <c r="I192" i="3"/>
  <c r="H192" i="3"/>
  <c r="G192" i="3"/>
  <c r="F192" i="3"/>
  <c r="I191" i="3"/>
  <c r="H191" i="3"/>
  <c r="G191" i="3"/>
  <c r="F191" i="3"/>
  <c r="I190" i="3"/>
  <c r="H190" i="3"/>
  <c r="G190" i="3"/>
  <c r="F190" i="3"/>
  <c r="I189" i="3"/>
  <c r="H189" i="3"/>
  <c r="G189" i="3"/>
  <c r="F189" i="3"/>
  <c r="I188" i="3"/>
  <c r="I187" i="3" s="1"/>
  <c r="H188" i="3"/>
  <c r="G188" i="3"/>
  <c r="F188" i="3"/>
  <c r="E186" i="3"/>
  <c r="E185" i="3"/>
  <c r="E184" i="3"/>
  <c r="E183" i="3"/>
  <c r="E182" i="3"/>
  <c r="D84" i="5" s="1"/>
  <c r="I181" i="3"/>
  <c r="H83" i="5" s="1"/>
  <c r="H181" i="3"/>
  <c r="G83" i="5" s="1"/>
  <c r="G181" i="3"/>
  <c r="F181" i="3"/>
  <c r="E83" i="5" s="1"/>
  <c r="E180" i="3"/>
  <c r="E179" i="3"/>
  <c r="E178" i="3"/>
  <c r="E177" i="3"/>
  <c r="E176" i="3"/>
  <c r="I175" i="3"/>
  <c r="H175" i="3"/>
  <c r="G175" i="3"/>
  <c r="F175" i="3"/>
  <c r="E174" i="3"/>
  <c r="E173" i="3"/>
  <c r="E172" i="3"/>
  <c r="E171" i="3"/>
  <c r="E170" i="3"/>
  <c r="D82" i="5" s="1"/>
  <c r="I169" i="3"/>
  <c r="H81" i="5" s="1"/>
  <c r="H169" i="3"/>
  <c r="G81" i="5" s="1"/>
  <c r="G169" i="3"/>
  <c r="F81" i="5" s="1"/>
  <c r="F169" i="3"/>
  <c r="E81" i="5" s="1"/>
  <c r="E168" i="3"/>
  <c r="E167" i="3"/>
  <c r="E166" i="3"/>
  <c r="E165" i="3"/>
  <c r="E164" i="3"/>
  <c r="D80" i="5" s="1"/>
  <c r="I163" i="3"/>
  <c r="H79" i="5" s="1"/>
  <c r="H163" i="3"/>
  <c r="G79" i="5" s="1"/>
  <c r="G163" i="3"/>
  <c r="F79" i="5" s="1"/>
  <c r="F163" i="3"/>
  <c r="E79" i="5" s="1"/>
  <c r="E162" i="3"/>
  <c r="E161" i="3"/>
  <c r="E160" i="3"/>
  <c r="E159" i="3"/>
  <c r="E158" i="3"/>
  <c r="I157" i="3"/>
  <c r="H157" i="3"/>
  <c r="G157" i="3"/>
  <c r="F157" i="3"/>
  <c r="E156" i="3"/>
  <c r="E155" i="3"/>
  <c r="E154" i="3"/>
  <c r="E153" i="3"/>
  <c r="F152" i="3"/>
  <c r="E58" i="5" s="1"/>
  <c r="K58" i="5" s="1"/>
  <c r="I151" i="3"/>
  <c r="H57" i="5" s="1"/>
  <c r="H151" i="3"/>
  <c r="G57" i="5" s="1"/>
  <c r="G151" i="3"/>
  <c r="F57" i="5" s="1"/>
  <c r="E150" i="3"/>
  <c r="E149" i="3"/>
  <c r="E148" i="3"/>
  <c r="E147" i="3"/>
  <c r="F146" i="3"/>
  <c r="I145" i="3"/>
  <c r="H145" i="3"/>
  <c r="G145" i="3"/>
  <c r="E144" i="3"/>
  <c r="E143" i="3"/>
  <c r="E142" i="3"/>
  <c r="E141" i="3"/>
  <c r="E140" i="3"/>
  <c r="I139" i="3"/>
  <c r="H139" i="3"/>
  <c r="G139" i="3"/>
  <c r="F139" i="3"/>
  <c r="G138" i="3"/>
  <c r="E138" i="3" s="1"/>
  <c r="E137" i="3"/>
  <c r="E136" i="3"/>
  <c r="E135" i="3"/>
  <c r="F134" i="3"/>
  <c r="F133" i="3" s="1"/>
  <c r="I133" i="3"/>
  <c r="H133" i="3"/>
  <c r="I132" i="3"/>
  <c r="H132" i="3"/>
  <c r="F132" i="3"/>
  <c r="F126" i="3" s="1"/>
  <c r="I131" i="3"/>
  <c r="H131" i="3"/>
  <c r="G56" i="5" s="1"/>
  <c r="G131" i="3"/>
  <c r="F131" i="3"/>
  <c r="E56" i="5" s="1"/>
  <c r="I130" i="3"/>
  <c r="H55" i="5" s="1"/>
  <c r="H130" i="3"/>
  <c r="G55" i="5" s="1"/>
  <c r="G130" i="3"/>
  <c r="F130" i="3"/>
  <c r="E55" i="5" s="1"/>
  <c r="I129" i="3"/>
  <c r="H54" i="5" s="1"/>
  <c r="H129" i="3"/>
  <c r="G54" i="5" s="1"/>
  <c r="G129" i="3"/>
  <c r="F129" i="3"/>
  <c r="E54" i="5" s="1"/>
  <c r="I128" i="3"/>
  <c r="H128" i="3"/>
  <c r="G128" i="3"/>
  <c r="F53" i="5" s="1"/>
  <c r="E120" i="3"/>
  <c r="E116" i="3"/>
  <c r="I115" i="3"/>
  <c r="H115" i="3"/>
  <c r="G115" i="3"/>
  <c r="F115" i="3"/>
  <c r="E114" i="3"/>
  <c r="E113" i="3"/>
  <c r="D46" i="5" s="1"/>
  <c r="E112" i="3"/>
  <c r="D45" i="5" s="1"/>
  <c r="E111" i="3"/>
  <c r="D44" i="5" s="1"/>
  <c r="E110" i="3"/>
  <c r="D43" i="5" s="1"/>
  <c r="I109" i="3"/>
  <c r="H42" i="5" s="1"/>
  <c r="H109" i="3"/>
  <c r="G42" i="5" s="1"/>
  <c r="G109" i="3"/>
  <c r="F42" i="5" s="1"/>
  <c r="F109" i="3"/>
  <c r="E42" i="5" s="1"/>
  <c r="E108" i="3"/>
  <c r="E107" i="3"/>
  <c r="E106" i="3"/>
  <c r="E105" i="3"/>
  <c r="E104" i="3"/>
  <c r="I103" i="3"/>
  <c r="H103" i="3"/>
  <c r="G103" i="3"/>
  <c r="F103" i="3"/>
  <c r="E97" i="3"/>
  <c r="E96" i="3"/>
  <c r="E95" i="3"/>
  <c r="E94" i="3"/>
  <c r="E93" i="3"/>
  <c r="I92" i="3"/>
  <c r="H92" i="3"/>
  <c r="G92" i="3"/>
  <c r="F92" i="3"/>
  <c r="I91" i="3"/>
  <c r="H91" i="3"/>
  <c r="G91" i="3"/>
  <c r="F91" i="3"/>
  <c r="I90" i="3"/>
  <c r="H41" i="5" s="1"/>
  <c r="H90" i="3"/>
  <c r="G41" i="5" s="1"/>
  <c r="G90" i="3"/>
  <c r="F41" i="5" s="1"/>
  <c r="F90" i="3"/>
  <c r="I89" i="3"/>
  <c r="H40" i="5" s="1"/>
  <c r="H89" i="3"/>
  <c r="G40" i="5" s="1"/>
  <c r="G89" i="3"/>
  <c r="F89" i="3"/>
  <c r="E40" i="5" s="1"/>
  <c r="I88" i="3"/>
  <c r="H39" i="5" s="1"/>
  <c r="H88" i="3"/>
  <c r="G88" i="3"/>
  <c r="F39" i="5" s="1"/>
  <c r="F88" i="3"/>
  <c r="E39" i="5" s="1"/>
  <c r="I87" i="3"/>
  <c r="H87" i="3"/>
  <c r="G38" i="5" s="1"/>
  <c r="G87" i="3"/>
  <c r="F38" i="5" s="1"/>
  <c r="F87" i="3"/>
  <c r="E85" i="3"/>
  <c r="E84" i="3"/>
  <c r="E83" i="3"/>
  <c r="E82" i="3"/>
  <c r="F81" i="3"/>
  <c r="E81" i="3" s="1"/>
  <c r="I80" i="3"/>
  <c r="H80" i="3"/>
  <c r="G80" i="3"/>
  <c r="E79" i="3"/>
  <c r="E78" i="3"/>
  <c r="E77" i="3"/>
  <c r="E76" i="3"/>
  <c r="F75" i="3"/>
  <c r="E75" i="3" s="1"/>
  <c r="I74" i="3"/>
  <c r="H24" i="5" s="1"/>
  <c r="H74" i="3"/>
  <c r="G24" i="5" s="1"/>
  <c r="G74" i="3"/>
  <c r="F24" i="5" s="1"/>
  <c r="E73" i="3"/>
  <c r="E72" i="3"/>
  <c r="E71" i="3"/>
  <c r="E69" i="3"/>
  <c r="I68" i="3"/>
  <c r="H68" i="3"/>
  <c r="G68" i="3"/>
  <c r="F68" i="3"/>
  <c r="E67" i="3"/>
  <c r="E66" i="3"/>
  <c r="E65" i="3"/>
  <c r="E64" i="3"/>
  <c r="E63" i="3"/>
  <c r="I62" i="3"/>
  <c r="H62" i="3"/>
  <c r="G62" i="3"/>
  <c r="F62" i="3"/>
  <c r="E61" i="3"/>
  <c r="E60" i="3"/>
  <c r="E59" i="3"/>
  <c r="E57" i="3"/>
  <c r="I56" i="3"/>
  <c r="H56" i="3"/>
  <c r="G56" i="3"/>
  <c r="F56" i="3"/>
  <c r="I55" i="3"/>
  <c r="H55" i="3"/>
  <c r="G55" i="3"/>
  <c r="F55" i="3"/>
  <c r="I54" i="3"/>
  <c r="H54" i="3"/>
  <c r="G54" i="3"/>
  <c r="F54" i="3"/>
  <c r="I53" i="3"/>
  <c r="H53" i="3"/>
  <c r="G53" i="3"/>
  <c r="F53" i="3"/>
  <c r="I52" i="3"/>
  <c r="H52" i="3"/>
  <c r="G52" i="3"/>
  <c r="F52" i="3"/>
  <c r="I51" i="3"/>
  <c r="H51" i="3"/>
  <c r="G51" i="3"/>
  <c r="E42" i="3"/>
  <c r="E41" i="3" s="1"/>
  <c r="I41" i="3"/>
  <c r="H41" i="3"/>
  <c r="G41" i="3"/>
  <c r="F41" i="3"/>
  <c r="I34" i="3"/>
  <c r="H34" i="3"/>
  <c r="G34" i="3"/>
  <c r="F34" i="3"/>
  <c r="I33" i="3"/>
  <c r="H33" i="3"/>
  <c r="G33" i="3"/>
  <c r="F33" i="3"/>
  <c r="I32" i="3"/>
  <c r="H32" i="3"/>
  <c r="G32" i="3"/>
  <c r="F32" i="3"/>
  <c r="I31" i="3"/>
  <c r="H31" i="3"/>
  <c r="G31" i="3"/>
  <c r="F31" i="3"/>
  <c r="I30" i="3"/>
  <c r="H30" i="3"/>
  <c r="H29" i="3" s="1"/>
  <c r="G30" i="3"/>
  <c r="F23" i="5" s="1"/>
  <c r="F30" i="3"/>
  <c r="I22" i="3"/>
  <c r="H22" i="3"/>
  <c r="G22" i="3"/>
  <c r="F22" i="3"/>
  <c r="I21" i="3"/>
  <c r="H21" i="3"/>
  <c r="G21" i="3"/>
  <c r="F21" i="3"/>
  <c r="I20" i="3"/>
  <c r="H17" i="5" s="1"/>
  <c r="G20" i="3"/>
  <c r="F20" i="3"/>
  <c r="I19" i="3"/>
  <c r="H19" i="3"/>
  <c r="G19" i="3"/>
  <c r="F19" i="3"/>
  <c r="I18" i="3"/>
  <c r="G18" i="3"/>
  <c r="F15" i="5" s="1"/>
  <c r="F18" i="3"/>
  <c r="L12" i="3"/>
  <c r="X105" i="2"/>
  <c r="Y105" i="2" s="1"/>
  <c r="W105" i="2"/>
  <c r="T105" i="2"/>
  <c r="U105" i="2" s="1"/>
  <c r="S105" i="2"/>
  <c r="O105" i="2"/>
  <c r="P105" i="2" s="1"/>
  <c r="Q105" i="2" s="1"/>
  <c r="X104" i="2"/>
  <c r="Y104" i="2" s="1"/>
  <c r="O104" i="2"/>
  <c r="P104" i="2" s="1"/>
  <c r="X103" i="2"/>
  <c r="Y103" i="2" s="1"/>
  <c r="T103" i="2"/>
  <c r="U103" i="2" s="1"/>
  <c r="S103" i="2"/>
  <c r="O103" i="2"/>
  <c r="P102" i="2"/>
  <c r="P101" i="2"/>
  <c r="Q101" i="2" s="1"/>
  <c r="P100" i="2"/>
  <c r="A100" i="2" s="1"/>
  <c r="P99" i="2"/>
  <c r="A99" i="2" s="1"/>
  <c r="P98" i="2"/>
  <c r="A98" i="2" s="1"/>
  <c r="M97" i="2"/>
  <c r="N97" i="2" s="1"/>
  <c r="P97" i="2" s="1"/>
  <c r="M96" i="2"/>
  <c r="N96" i="2" s="1"/>
  <c r="P96" i="2" s="1"/>
  <c r="Y95" i="2"/>
  <c r="P95" i="2"/>
  <c r="Y94" i="2"/>
  <c r="P94" i="2"/>
  <c r="Q94" i="2" s="1"/>
  <c r="N93" i="2"/>
  <c r="P93" i="2" s="1"/>
  <c r="P92" i="2"/>
  <c r="Q92" i="2" s="1"/>
  <c r="P91" i="2"/>
  <c r="Q91" i="2" s="1"/>
  <c r="P90" i="2"/>
  <c r="Q90" i="2" s="1"/>
  <c r="N89" i="2"/>
  <c r="P89" i="2" s="1"/>
  <c r="Q89" i="2" s="1"/>
  <c r="M88" i="2"/>
  <c r="N88" i="2" s="1"/>
  <c r="P88" i="2" s="1"/>
  <c r="N87" i="2"/>
  <c r="O87" i="2" s="1"/>
  <c r="P87" i="2" s="1"/>
  <c r="N86" i="2"/>
  <c r="X85" i="2"/>
  <c r="T85" i="2"/>
  <c r="N85" i="2"/>
  <c r="P85" i="2" s="1"/>
  <c r="Q85" i="2" s="1"/>
  <c r="N84" i="2"/>
  <c r="P84" i="2" s="1"/>
  <c r="N83" i="2"/>
  <c r="P83" i="2" s="1"/>
  <c r="A83" i="2" s="1"/>
  <c r="N82" i="2"/>
  <c r="P82" i="2" s="1"/>
  <c r="Q82" i="2" s="1"/>
  <c r="N81" i="2"/>
  <c r="P81" i="2" s="1"/>
  <c r="A81" i="2" s="1"/>
  <c r="N80" i="2"/>
  <c r="P80" i="2" s="1"/>
  <c r="A80" i="2" s="1"/>
  <c r="X79" i="2"/>
  <c r="T79" i="2"/>
  <c r="P79" i="2"/>
  <c r="A79" i="2" s="1"/>
  <c r="P78" i="2"/>
  <c r="Q78" i="2" s="1"/>
  <c r="P77" i="2"/>
  <c r="A77" i="2" s="1"/>
  <c r="P76" i="2"/>
  <c r="A76" i="2" s="1"/>
  <c r="N75" i="2"/>
  <c r="P75" i="2" s="1"/>
  <c r="M74" i="2"/>
  <c r="N74" i="2" s="1"/>
  <c r="P74" i="2" s="1"/>
  <c r="N73" i="2"/>
  <c r="P73" i="2" s="1"/>
  <c r="N72" i="2"/>
  <c r="P72" i="2" s="1"/>
  <c r="Q71" i="2"/>
  <c r="N71" i="2"/>
  <c r="P71" i="2" s="1"/>
  <c r="A71" i="2" s="1"/>
  <c r="N70" i="2"/>
  <c r="P70" i="2" s="1"/>
  <c r="N69" i="2"/>
  <c r="P69" i="2" s="1"/>
  <c r="N68" i="2"/>
  <c r="P68" i="2" s="1"/>
  <c r="N67" i="2"/>
  <c r="P67" i="2" s="1"/>
  <c r="N66" i="2"/>
  <c r="P66" i="2" s="1"/>
  <c r="N65" i="2"/>
  <c r="O65" i="2" s="1"/>
  <c r="P65" i="2" s="1"/>
  <c r="N64" i="2"/>
  <c r="O64" i="2" s="1"/>
  <c r="P64" i="2" s="1"/>
  <c r="Q64" i="2" s="1"/>
  <c r="N63" i="2"/>
  <c r="N62" i="2"/>
  <c r="P62" i="2" s="1"/>
  <c r="N61" i="2"/>
  <c r="O61" i="2" s="1"/>
  <c r="N60" i="2"/>
  <c r="O60" i="2" s="1"/>
  <c r="N59" i="2"/>
  <c r="O59" i="2" s="1"/>
  <c r="P59" i="2" s="1"/>
  <c r="Q59" i="2" s="1"/>
  <c r="N58" i="2"/>
  <c r="N57" i="2"/>
  <c r="M56" i="2"/>
  <c r="N56" i="2" s="1"/>
  <c r="P56" i="2" s="1"/>
  <c r="N55" i="2"/>
  <c r="P55" i="2" s="1"/>
  <c r="A55" i="2" s="1"/>
  <c r="M54" i="2"/>
  <c r="N54" i="2" s="1"/>
  <c r="P54" i="2" s="1"/>
  <c r="Q54" i="2" s="1"/>
  <c r="M53" i="2"/>
  <c r="N53" i="2" s="1"/>
  <c r="P53" i="2" s="1"/>
  <c r="M52" i="2"/>
  <c r="N52" i="2" s="1"/>
  <c r="P52" i="2" s="1"/>
  <c r="N51" i="2"/>
  <c r="P51" i="2" s="1"/>
  <c r="X50" i="2"/>
  <c r="T50" i="2"/>
  <c r="P50" i="2"/>
  <c r="M50" i="2"/>
  <c r="N49" i="2"/>
  <c r="P49" i="2" s="1"/>
  <c r="Q49" i="2" s="1"/>
  <c r="P48" i="2"/>
  <c r="Q48" i="2" s="1"/>
  <c r="P47" i="2"/>
  <c r="A47" i="2" s="1"/>
  <c r="X46" i="2"/>
  <c r="T46" i="2"/>
  <c r="P46" i="2"/>
  <c r="A46" i="2" s="1"/>
  <c r="M46" i="2"/>
  <c r="X45" i="2"/>
  <c r="T45" i="2"/>
  <c r="P45" i="2"/>
  <c r="P44" i="2"/>
  <c r="Q44" i="2" s="1"/>
  <c r="X43" i="2"/>
  <c r="Y43" i="2" s="1"/>
  <c r="T43" i="2"/>
  <c r="U43" i="2" s="1"/>
  <c r="P43" i="2"/>
  <c r="A43" i="2" s="1"/>
  <c r="P42" i="2"/>
  <c r="N41" i="2"/>
  <c r="P41" i="2" s="1"/>
  <c r="N40" i="2"/>
  <c r="P40" i="2" s="1"/>
  <c r="X39" i="2"/>
  <c r="T39" i="2"/>
  <c r="M39" i="2"/>
  <c r="N39" i="2" s="1"/>
  <c r="P39" i="2" s="1"/>
  <c r="A39" i="2" s="1"/>
  <c r="X38" i="2"/>
  <c r="T38" i="2"/>
  <c r="M38" i="2"/>
  <c r="N38" i="2" s="1"/>
  <c r="P38" i="2" s="1"/>
  <c r="X37" i="2"/>
  <c r="T37" i="2"/>
  <c r="N37" i="2"/>
  <c r="P37" i="2" s="1"/>
  <c r="X36" i="2"/>
  <c r="T36" i="2"/>
  <c r="P36" i="2"/>
  <c r="A36" i="2" s="1"/>
  <c r="X35" i="2"/>
  <c r="T35" i="2"/>
  <c r="U35" i="2" s="1"/>
  <c r="P35" i="2"/>
  <c r="Q35" i="2" s="1"/>
  <c r="U34" i="2"/>
  <c r="P34" i="2"/>
  <c r="Q34" i="2" s="1"/>
  <c r="X33" i="2"/>
  <c r="T33" i="2"/>
  <c r="U33" i="2" s="1"/>
  <c r="P33" i="2"/>
  <c r="A33" i="2" s="1"/>
  <c r="M33" i="2"/>
  <c r="N32" i="2"/>
  <c r="P32" i="2" s="1"/>
  <c r="O31" i="2"/>
  <c r="P31" i="2" s="1"/>
  <c r="P30" i="2"/>
  <c r="A30" i="2" s="1"/>
  <c r="M29" i="2"/>
  <c r="N29" i="2" s="1"/>
  <c r="P29" i="2" s="1"/>
  <c r="N28" i="2"/>
  <c r="P28" i="2" s="1"/>
  <c r="N27" i="2"/>
  <c r="P27" i="2" s="1"/>
  <c r="Q27" i="2" s="1"/>
  <c r="N26" i="2"/>
  <c r="P26" i="2" s="1"/>
  <c r="Q26" i="2" s="1"/>
  <c r="N25" i="2"/>
  <c r="P25" i="2" s="1"/>
  <c r="X24" i="2"/>
  <c r="T24" i="2"/>
  <c r="U24" i="2" s="1"/>
  <c r="N24" i="2"/>
  <c r="P24" i="2" s="1"/>
  <c r="X23" i="2"/>
  <c r="T23" i="2"/>
  <c r="U23" i="2" s="1"/>
  <c r="N23" i="2"/>
  <c r="T22" i="2"/>
  <c r="U22" i="2" s="1"/>
  <c r="N22" i="2"/>
  <c r="P22" i="2" s="1"/>
  <c r="Q22" i="2" s="1"/>
  <c r="X21" i="2"/>
  <c r="T21" i="2"/>
  <c r="U21" i="2" s="1"/>
  <c r="N21" i="2"/>
  <c r="P21" i="2" s="1"/>
  <c r="Q21" i="2" s="1"/>
  <c r="T20" i="2"/>
  <c r="U20" i="2" s="1"/>
  <c r="N20" i="2"/>
  <c r="P20" i="2" s="1"/>
  <c r="Q20" i="2" s="1"/>
  <c r="X19" i="2"/>
  <c r="T19" i="2"/>
  <c r="U19" i="2" s="1"/>
  <c r="N19" i="2"/>
  <c r="P19" i="2" s="1"/>
  <c r="Q19" i="2" s="1"/>
  <c r="N18" i="2"/>
  <c r="P18" i="2" s="1"/>
  <c r="Q18" i="2" s="1"/>
  <c r="U17" i="2"/>
  <c r="N17" i="2"/>
  <c r="P17" i="2" s="1"/>
  <c r="Q17" i="2" s="1"/>
  <c r="U16" i="2"/>
  <c r="N16" i="2"/>
  <c r="P16" i="2" s="1"/>
  <c r="Q16" i="2" s="1"/>
  <c r="X15" i="2"/>
  <c r="T15" i="2"/>
  <c r="U15" i="2" s="1"/>
  <c r="N15" i="2"/>
  <c r="P15" i="2" s="1"/>
  <c r="Q15" i="2" s="1"/>
  <c r="P14" i="2"/>
  <c r="A14" i="2" s="1"/>
  <c r="P13" i="2"/>
  <c r="A13" i="2" s="1"/>
  <c r="X12" i="2"/>
  <c r="T12" i="2"/>
  <c r="U12" i="2" s="1"/>
  <c r="N12" i="2"/>
  <c r="P12" i="2" s="1"/>
  <c r="A12" i="2" s="1"/>
  <c r="X11" i="2"/>
  <c r="T11" i="2"/>
  <c r="U11" i="2" s="1"/>
  <c r="N11" i="2"/>
  <c r="AB9" i="2"/>
  <c r="M9" i="2"/>
  <c r="E238" i="1"/>
  <c r="E237" i="1"/>
  <c r="E236" i="1"/>
  <c r="E235" i="1"/>
  <c r="E234" i="1"/>
  <c r="I233" i="1"/>
  <c r="H233" i="1"/>
  <c r="G233" i="1"/>
  <c r="F233" i="1"/>
  <c r="I232" i="1"/>
  <c r="I226" i="1" s="1"/>
  <c r="H232" i="1"/>
  <c r="H226" i="1" s="1"/>
  <c r="G232" i="1"/>
  <c r="F232" i="1"/>
  <c r="F226" i="1" s="1"/>
  <c r="I231" i="1"/>
  <c r="H231" i="1"/>
  <c r="H225" i="1" s="1"/>
  <c r="G231" i="1"/>
  <c r="F231" i="1"/>
  <c r="F225" i="1" s="1"/>
  <c r="I230" i="1"/>
  <c r="I224" i="1" s="1"/>
  <c r="H230" i="1"/>
  <c r="G230" i="1"/>
  <c r="G224" i="1" s="1"/>
  <c r="F230" i="1"/>
  <c r="I229" i="1"/>
  <c r="I223" i="1" s="1"/>
  <c r="H229" i="1"/>
  <c r="G229" i="1"/>
  <c r="G223" i="1" s="1"/>
  <c r="F229" i="1"/>
  <c r="F223" i="1" s="1"/>
  <c r="I228" i="1"/>
  <c r="I222" i="1" s="1"/>
  <c r="H228" i="1"/>
  <c r="H222" i="1" s="1"/>
  <c r="G228" i="1"/>
  <c r="F228" i="1"/>
  <c r="I225" i="1"/>
  <c r="H224" i="1"/>
  <c r="E220" i="1"/>
  <c r="E219" i="1"/>
  <c r="E218" i="1"/>
  <c r="E217" i="1"/>
  <c r="E216" i="1"/>
  <c r="I215" i="1"/>
  <c r="H215" i="1"/>
  <c r="G215" i="1"/>
  <c r="F215" i="1"/>
  <c r="E214" i="1"/>
  <c r="E213" i="1"/>
  <c r="E212" i="1"/>
  <c r="E211" i="1"/>
  <c r="E210" i="1"/>
  <c r="I209" i="1"/>
  <c r="H209" i="1"/>
  <c r="G209" i="1"/>
  <c r="F209" i="1"/>
  <c r="E208" i="1"/>
  <c r="E207" i="1"/>
  <c r="E206" i="1"/>
  <c r="E205" i="1"/>
  <c r="E204" i="1"/>
  <c r="I203" i="1"/>
  <c r="H203" i="1"/>
  <c r="G203" i="1"/>
  <c r="F203" i="1"/>
  <c r="E202" i="1"/>
  <c r="E201" i="1"/>
  <c r="E200" i="1"/>
  <c r="E199" i="1"/>
  <c r="E198" i="1"/>
  <c r="I197" i="1"/>
  <c r="H197" i="1"/>
  <c r="G197" i="1"/>
  <c r="F197" i="1"/>
  <c r="I196" i="1"/>
  <c r="H196" i="1"/>
  <c r="G196" i="1"/>
  <c r="F196" i="1"/>
  <c r="I195" i="1"/>
  <c r="H195" i="1"/>
  <c r="G195" i="1"/>
  <c r="F195" i="1"/>
  <c r="I194" i="1"/>
  <c r="H194" i="1"/>
  <c r="G194" i="1"/>
  <c r="F194" i="1"/>
  <c r="I193" i="1"/>
  <c r="H193" i="1"/>
  <c r="G193" i="1"/>
  <c r="F193" i="1"/>
  <c r="I192" i="1"/>
  <c r="I191" i="1" s="1"/>
  <c r="H192" i="1"/>
  <c r="H191" i="1" s="1"/>
  <c r="G192" i="1"/>
  <c r="F192" i="1"/>
  <c r="F191" i="1" s="1"/>
  <c r="E190" i="1"/>
  <c r="E189" i="1"/>
  <c r="E188" i="1"/>
  <c r="E187" i="1"/>
  <c r="E186" i="1"/>
  <c r="I185" i="1"/>
  <c r="H185" i="1"/>
  <c r="G185" i="1"/>
  <c r="F185" i="1"/>
  <c r="E184" i="1"/>
  <c r="E183" i="1"/>
  <c r="E182" i="1"/>
  <c r="H181" i="1"/>
  <c r="E181" i="1" s="1"/>
  <c r="E180" i="1"/>
  <c r="I179" i="1"/>
  <c r="G179" i="1"/>
  <c r="F179" i="1"/>
  <c r="I178" i="1"/>
  <c r="H178" i="1"/>
  <c r="G178" i="1"/>
  <c r="F178" i="1"/>
  <c r="I177" i="1"/>
  <c r="H177" i="1"/>
  <c r="G177" i="1"/>
  <c r="F177" i="1"/>
  <c r="I176" i="1"/>
  <c r="H176" i="1"/>
  <c r="G176" i="1"/>
  <c r="F176" i="1"/>
  <c r="I175" i="1"/>
  <c r="G175" i="1"/>
  <c r="F175" i="1"/>
  <c r="I174" i="1"/>
  <c r="H174" i="1"/>
  <c r="G174" i="1"/>
  <c r="F174" i="1"/>
  <c r="E172" i="1"/>
  <c r="E171" i="1"/>
  <c r="E170" i="1"/>
  <c r="E169" i="1"/>
  <c r="E168" i="1"/>
  <c r="I167" i="1"/>
  <c r="H167" i="1"/>
  <c r="G167" i="1"/>
  <c r="F167" i="1"/>
  <c r="I166" i="1"/>
  <c r="H166" i="1"/>
  <c r="G166" i="1"/>
  <c r="F166" i="1"/>
  <c r="I165" i="1"/>
  <c r="H165" i="1"/>
  <c r="G165" i="1"/>
  <c r="F165" i="1"/>
  <c r="I164" i="1"/>
  <c r="H164" i="1"/>
  <c r="G164" i="1"/>
  <c r="F164" i="1"/>
  <c r="I163" i="1"/>
  <c r="H163" i="1"/>
  <c r="G163" i="1"/>
  <c r="F163" i="1"/>
  <c r="I162" i="1"/>
  <c r="H162" i="1"/>
  <c r="G162" i="1"/>
  <c r="F162" i="1"/>
  <c r="E154" i="1"/>
  <c r="E153" i="1"/>
  <c r="E152" i="1"/>
  <c r="E151" i="1"/>
  <c r="E150" i="1"/>
  <c r="I149" i="1"/>
  <c r="H149" i="1"/>
  <c r="G149" i="1"/>
  <c r="F149" i="1"/>
  <c r="E148" i="1"/>
  <c r="E147" i="1"/>
  <c r="E146" i="1"/>
  <c r="E145" i="1"/>
  <c r="E144" i="1"/>
  <c r="I143" i="1"/>
  <c r="H143" i="1"/>
  <c r="G143" i="1"/>
  <c r="F143" i="1"/>
  <c r="I142" i="1"/>
  <c r="H142" i="1"/>
  <c r="G142" i="1"/>
  <c r="F142" i="1"/>
  <c r="I141" i="1"/>
  <c r="H141" i="1"/>
  <c r="G141" i="1"/>
  <c r="F141" i="1"/>
  <c r="I140" i="1"/>
  <c r="H140" i="1"/>
  <c r="G140" i="1"/>
  <c r="F140" i="1"/>
  <c r="I139" i="1"/>
  <c r="H139" i="1"/>
  <c r="G139" i="1"/>
  <c r="F139" i="1"/>
  <c r="I138" i="1"/>
  <c r="I137" i="1" s="1"/>
  <c r="H138" i="1"/>
  <c r="G138" i="1"/>
  <c r="F138" i="1"/>
  <c r="F137" i="1" s="1"/>
  <c r="E136" i="1"/>
  <c r="E135" i="1"/>
  <c r="E134" i="1"/>
  <c r="E133" i="1"/>
  <c r="E132" i="1"/>
  <c r="I131" i="1"/>
  <c r="H131" i="1"/>
  <c r="G131" i="1"/>
  <c r="F131" i="1"/>
  <c r="I130" i="1"/>
  <c r="H130" i="1"/>
  <c r="G130" i="1"/>
  <c r="F130" i="1"/>
  <c r="I129" i="1"/>
  <c r="H129" i="1"/>
  <c r="G129" i="1"/>
  <c r="F129" i="1"/>
  <c r="I128" i="1"/>
  <c r="H128" i="1"/>
  <c r="G128" i="1"/>
  <c r="F128" i="1"/>
  <c r="I127" i="1"/>
  <c r="H127" i="1"/>
  <c r="G127" i="1"/>
  <c r="F127" i="1"/>
  <c r="I126" i="1"/>
  <c r="H126" i="1"/>
  <c r="G126" i="1"/>
  <c r="G125" i="1" s="1"/>
  <c r="F126" i="1"/>
  <c r="E124" i="1"/>
  <c r="E123" i="1"/>
  <c r="E122" i="1"/>
  <c r="E121" i="1"/>
  <c r="E120" i="1"/>
  <c r="I119" i="1"/>
  <c r="H119" i="1"/>
  <c r="G119" i="1"/>
  <c r="F119" i="1"/>
  <c r="E118" i="1"/>
  <c r="E117" i="1"/>
  <c r="E116" i="1"/>
  <c r="E115" i="1"/>
  <c r="F114" i="1"/>
  <c r="E114" i="1" s="1"/>
  <c r="I113" i="1"/>
  <c r="H113" i="1"/>
  <c r="G113" i="1"/>
  <c r="E112" i="1"/>
  <c r="E111" i="1"/>
  <c r="E110" i="1"/>
  <c r="E109" i="1"/>
  <c r="E108" i="1"/>
  <c r="I107" i="1"/>
  <c r="H107" i="1"/>
  <c r="G107" i="1"/>
  <c r="F107" i="1"/>
  <c r="E106" i="1"/>
  <c r="E105" i="1"/>
  <c r="E104" i="1"/>
  <c r="E103" i="1"/>
  <c r="E102" i="1"/>
  <c r="I101" i="1"/>
  <c r="H101" i="1"/>
  <c r="G101" i="1"/>
  <c r="F101" i="1"/>
  <c r="G100" i="1"/>
  <c r="G95" i="1" s="1"/>
  <c r="E99" i="1"/>
  <c r="E98" i="1"/>
  <c r="E97" i="1"/>
  <c r="E96" i="1"/>
  <c r="I95" i="1"/>
  <c r="H95" i="1"/>
  <c r="F95" i="1"/>
  <c r="I94" i="1"/>
  <c r="H94" i="1"/>
  <c r="F94" i="1"/>
  <c r="I93" i="1"/>
  <c r="H93" i="1"/>
  <c r="G93" i="1"/>
  <c r="F93" i="1"/>
  <c r="I92" i="1"/>
  <c r="H92" i="1"/>
  <c r="G92" i="1"/>
  <c r="F92" i="1"/>
  <c r="I91" i="1"/>
  <c r="H91" i="1"/>
  <c r="G91" i="1"/>
  <c r="F91" i="1"/>
  <c r="I90" i="1"/>
  <c r="H90" i="1"/>
  <c r="G90" i="1"/>
  <c r="E82" i="1"/>
  <c r="E81" i="1"/>
  <c r="E80" i="1"/>
  <c r="E79" i="1"/>
  <c r="E78" i="1"/>
  <c r="I77" i="1"/>
  <c r="H77" i="1"/>
  <c r="G77" i="1"/>
  <c r="F77" i="1"/>
  <c r="E76" i="1"/>
  <c r="E75" i="1"/>
  <c r="E74" i="1"/>
  <c r="E73" i="1"/>
  <c r="E72" i="1"/>
  <c r="I71" i="1"/>
  <c r="H71" i="1"/>
  <c r="G71" i="1"/>
  <c r="F71" i="1"/>
  <c r="E70" i="1"/>
  <c r="E69" i="1"/>
  <c r="E68" i="1"/>
  <c r="E67" i="1"/>
  <c r="E66" i="1"/>
  <c r="I65" i="1"/>
  <c r="H65" i="1"/>
  <c r="G65" i="1"/>
  <c r="F65" i="1"/>
  <c r="I64" i="1"/>
  <c r="H64" i="1"/>
  <c r="G64" i="1"/>
  <c r="F64" i="1"/>
  <c r="I63" i="1"/>
  <c r="H63" i="1"/>
  <c r="G63" i="1"/>
  <c r="F63" i="1"/>
  <c r="I62" i="1"/>
  <c r="H62" i="1"/>
  <c r="G62" i="1"/>
  <c r="F62" i="1"/>
  <c r="I61" i="1"/>
  <c r="H61" i="1"/>
  <c r="G61" i="1"/>
  <c r="F61" i="1"/>
  <c r="I60" i="1"/>
  <c r="H60" i="1"/>
  <c r="G60" i="1"/>
  <c r="G59" i="1" s="1"/>
  <c r="F60" i="1"/>
  <c r="E58" i="1"/>
  <c r="E57" i="1"/>
  <c r="E56" i="1"/>
  <c r="E55" i="1"/>
  <c r="E54" i="1"/>
  <c r="I53" i="1"/>
  <c r="H53" i="1"/>
  <c r="G53" i="1"/>
  <c r="F53" i="1"/>
  <c r="E52" i="1"/>
  <c r="E51" i="1"/>
  <c r="E50" i="1"/>
  <c r="E49" i="1"/>
  <c r="E48" i="1"/>
  <c r="I47" i="1"/>
  <c r="H47" i="1"/>
  <c r="G47" i="1"/>
  <c r="F47" i="1"/>
  <c r="I46" i="1"/>
  <c r="H46" i="1"/>
  <c r="G46" i="1"/>
  <c r="F46" i="1"/>
  <c r="I45" i="1"/>
  <c r="H45" i="1"/>
  <c r="G45" i="1"/>
  <c r="F45" i="1"/>
  <c r="I44" i="1"/>
  <c r="H44" i="1"/>
  <c r="G44" i="1"/>
  <c r="F44" i="1"/>
  <c r="I43" i="1"/>
  <c r="H43" i="1"/>
  <c r="G43" i="1"/>
  <c r="F43" i="1"/>
  <c r="I42" i="1"/>
  <c r="H42" i="1"/>
  <c r="G42" i="1"/>
  <c r="G41" i="1" s="1"/>
  <c r="F42" i="1"/>
  <c r="E36" i="1"/>
  <c r="E35" i="1" s="1"/>
  <c r="I35" i="1"/>
  <c r="H35" i="1"/>
  <c r="G35" i="1"/>
  <c r="F35" i="1"/>
  <c r="I34" i="1"/>
  <c r="H34" i="1"/>
  <c r="G34" i="1"/>
  <c r="F34" i="1"/>
  <c r="I33" i="1"/>
  <c r="H33" i="1"/>
  <c r="G33" i="1"/>
  <c r="F33" i="1"/>
  <c r="I32" i="1"/>
  <c r="H32" i="1"/>
  <c r="G32" i="1"/>
  <c r="F32" i="1"/>
  <c r="I31" i="1"/>
  <c r="H31" i="1"/>
  <c r="G31" i="1"/>
  <c r="F31" i="1"/>
  <c r="I30" i="1"/>
  <c r="I29" i="1" s="1"/>
  <c r="H30" i="1"/>
  <c r="G30" i="1"/>
  <c r="F30" i="1"/>
  <c r="I22" i="1"/>
  <c r="H22" i="1"/>
  <c r="G22" i="1"/>
  <c r="F22" i="1"/>
  <c r="I21" i="1"/>
  <c r="H21" i="1"/>
  <c r="G21" i="1"/>
  <c r="F21" i="1"/>
  <c r="I20" i="1"/>
  <c r="H20" i="1"/>
  <c r="G20" i="1"/>
  <c r="F20" i="1"/>
  <c r="I19" i="1"/>
  <c r="H19" i="1"/>
  <c r="G19" i="1"/>
  <c r="F19" i="1"/>
  <c r="I18" i="1"/>
  <c r="H18" i="1"/>
  <c r="G18" i="1"/>
  <c r="F18" i="1"/>
  <c r="I161" i="1" l="1"/>
  <c r="G29" i="1"/>
  <c r="I17" i="1"/>
  <c r="F19" i="8"/>
  <c r="I69" i="10"/>
  <c r="I147" i="9"/>
  <c r="M44" i="5"/>
  <c r="Z9" i="10"/>
  <c r="I17" i="8"/>
  <c r="I26" i="8"/>
  <c r="Z69" i="10"/>
  <c r="O69" i="10" s="1"/>
  <c r="G199" i="16"/>
  <c r="I27" i="3"/>
  <c r="I25" i="3"/>
  <c r="I26" i="3"/>
  <c r="I28" i="3"/>
  <c r="H233" i="4"/>
  <c r="H234" i="4"/>
  <c r="G409" i="4"/>
  <c r="S167" i="5" s="1"/>
  <c r="L167" i="5" s="1"/>
  <c r="K169" i="5"/>
  <c r="M63" i="5"/>
  <c r="M70" i="5"/>
  <c r="H109" i="6"/>
  <c r="H571" i="8"/>
  <c r="F419" i="8"/>
  <c r="E419" i="8" s="1"/>
  <c r="G84" i="1"/>
  <c r="G86" i="1"/>
  <c r="F277" i="3"/>
  <c r="E105" i="5" s="1"/>
  <c r="F25" i="4"/>
  <c r="F26" i="4"/>
  <c r="F27" i="4"/>
  <c r="I120" i="13"/>
  <c r="G219" i="13"/>
  <c r="H28" i="16"/>
  <c r="I220" i="16"/>
  <c r="I221" i="16"/>
  <c r="F354" i="16"/>
  <c r="N29" i="21"/>
  <c r="I25" i="8"/>
  <c r="H390" i="3"/>
  <c r="E390" i="3" s="1"/>
  <c r="F77" i="8"/>
  <c r="E77" i="8" s="1"/>
  <c r="F402" i="8"/>
  <c r="F282" i="8" s="1"/>
  <c r="H221" i="16"/>
  <c r="G42" i="23"/>
  <c r="G18" i="23" s="1"/>
  <c r="V19" i="23" s="1"/>
  <c r="H154" i="23"/>
  <c r="I286" i="9"/>
  <c r="H184" i="24"/>
  <c r="G157" i="1"/>
  <c r="F147" i="8"/>
  <c r="E163" i="11"/>
  <c r="F602" i="23"/>
  <c r="S602" i="23" s="1"/>
  <c r="F700" i="23"/>
  <c r="F64" i="24"/>
  <c r="E64" i="24" s="1"/>
  <c r="F190" i="24"/>
  <c r="H551" i="24"/>
  <c r="H550" i="24" s="1"/>
  <c r="G600" i="24"/>
  <c r="T600" i="24" s="1"/>
  <c r="E654" i="24"/>
  <c r="E652" i="24" s="1"/>
  <c r="E20" i="1"/>
  <c r="G24" i="1"/>
  <c r="I25" i="1"/>
  <c r="I26" i="1"/>
  <c r="I173" i="1"/>
  <c r="F294" i="3"/>
  <c r="E294" i="3" s="1"/>
  <c r="I366" i="3"/>
  <c r="F17" i="4"/>
  <c r="R14" i="5" s="1"/>
  <c r="I282" i="8"/>
  <c r="H581" i="9"/>
  <c r="I63" i="10"/>
  <c r="O63" i="10" s="1"/>
  <c r="P81" i="10"/>
  <c r="H161" i="11"/>
  <c r="F32" i="21"/>
  <c r="F20" i="8"/>
  <c r="F17" i="8" s="1"/>
  <c r="H571" i="9"/>
  <c r="E571" i="9" s="1"/>
  <c r="H87" i="11"/>
  <c r="I88" i="11"/>
  <c r="H266" i="16"/>
  <c r="H219" i="16" s="1"/>
  <c r="G26" i="22"/>
  <c r="F185" i="23"/>
  <c r="E185" i="23" s="1"/>
  <c r="G538" i="24"/>
  <c r="F226" i="3"/>
  <c r="G28" i="1"/>
  <c r="F28" i="3"/>
  <c r="I127" i="3"/>
  <c r="H52" i="5" s="1"/>
  <c r="F151" i="3"/>
  <c r="E57" i="5" s="1"/>
  <c r="K57" i="5" s="1"/>
  <c r="E152" i="3"/>
  <c r="D58" i="5" s="1"/>
  <c r="F48" i="8"/>
  <c r="E48" i="8" s="1"/>
  <c r="F145" i="8"/>
  <c r="F146" i="8"/>
  <c r="F572" i="8"/>
  <c r="F284" i="8" s="1"/>
  <c r="F26" i="9"/>
  <c r="F27" i="9"/>
  <c r="P99" i="10"/>
  <c r="K105" i="10"/>
  <c r="Q105" i="10" s="1"/>
  <c r="G28" i="11"/>
  <c r="H175" i="11"/>
  <c r="H157" i="11" s="1"/>
  <c r="F45" i="13"/>
  <c r="F44" i="13" s="1"/>
  <c r="E465" i="23"/>
  <c r="I595" i="23"/>
  <c r="O25" i="23" s="1"/>
  <c r="E541" i="24"/>
  <c r="I233" i="4"/>
  <c r="E390" i="4"/>
  <c r="F29" i="9"/>
  <c r="I17" i="9"/>
  <c r="I593" i="23"/>
  <c r="O23" i="23" s="1"/>
  <c r="I88" i="1"/>
  <c r="F173" i="1"/>
  <c r="F366" i="3"/>
  <c r="F274" i="24"/>
  <c r="F349" i="24"/>
  <c r="E42" i="1"/>
  <c r="E45" i="1"/>
  <c r="I126" i="3"/>
  <c r="E367" i="3"/>
  <c r="E247" i="8"/>
  <c r="H148" i="8"/>
  <c r="F289" i="8"/>
  <c r="F283" i="8" s="1"/>
  <c r="G87" i="11"/>
  <c r="I24" i="13"/>
  <c r="F43" i="24"/>
  <c r="S43" i="24" s="1"/>
  <c r="F76" i="24"/>
  <c r="E76" i="24" s="1"/>
  <c r="G604" i="24"/>
  <c r="E604" i="24" s="1"/>
  <c r="H726" i="24"/>
  <c r="H720" i="24" s="1"/>
  <c r="U18" i="21" s="1"/>
  <c r="H721" i="24"/>
  <c r="H22" i="22" s="1"/>
  <c r="E347" i="40"/>
  <c r="I166" i="23"/>
  <c r="F27" i="1"/>
  <c r="H25" i="1"/>
  <c r="H27" i="1"/>
  <c r="H28" i="1"/>
  <c r="F85" i="1"/>
  <c r="E91" i="3"/>
  <c r="H369" i="3"/>
  <c r="H366" i="3" s="1"/>
  <c r="E157" i="4"/>
  <c r="E95" i="8"/>
  <c r="E185" i="8"/>
  <c r="E209" i="8"/>
  <c r="F286" i="8"/>
  <c r="F353" i="8"/>
  <c r="I401" i="8"/>
  <c r="I400" i="8" s="1"/>
  <c r="I399" i="8" s="1"/>
  <c r="I398" i="8" s="1"/>
  <c r="I397" i="8" s="1"/>
  <c r="I396" i="8" s="1"/>
  <c r="I395" i="8" s="1"/>
  <c r="G145" i="9"/>
  <c r="E185" i="9"/>
  <c r="G285" i="9"/>
  <c r="K9" i="10"/>
  <c r="L11" i="10"/>
  <c r="P57" i="10"/>
  <c r="K81" i="10"/>
  <c r="I84" i="11"/>
  <c r="I86" i="11"/>
  <c r="I87" i="11"/>
  <c r="E31" i="13"/>
  <c r="E86" i="13"/>
  <c r="E97" i="13"/>
  <c r="E86" i="16"/>
  <c r="H222" i="16"/>
  <c r="E100" i="23"/>
  <c r="E826" i="23"/>
  <c r="E400" i="24"/>
  <c r="F552" i="24"/>
  <c r="E841" i="24"/>
  <c r="H175" i="1"/>
  <c r="E175" i="1" s="1"/>
  <c r="I227" i="3"/>
  <c r="I26" i="4"/>
  <c r="I27" i="4"/>
  <c r="I28" i="4"/>
  <c r="G122" i="4"/>
  <c r="S48" i="5" s="1"/>
  <c r="F24" i="8"/>
  <c r="E35" i="8"/>
  <c r="H449" i="8"/>
  <c r="E449" i="8" s="1"/>
  <c r="H24" i="9"/>
  <c r="E59" i="9"/>
  <c r="E65" i="9"/>
  <c r="E125" i="9"/>
  <c r="G284" i="9"/>
  <c r="I285" i="9"/>
  <c r="E515" i="9"/>
  <c r="K29" i="10"/>
  <c r="R29" i="10"/>
  <c r="K93" i="10"/>
  <c r="Q93" i="10" s="1"/>
  <c r="R98" i="10"/>
  <c r="I25" i="13"/>
  <c r="I26" i="13"/>
  <c r="I28" i="13"/>
  <c r="G220" i="13"/>
  <c r="E22" i="16"/>
  <c r="F31" i="21"/>
  <c r="F658" i="23"/>
  <c r="E729" i="23"/>
  <c r="E850" i="23"/>
  <c r="E49" i="24"/>
  <c r="F298" i="24"/>
  <c r="I328" i="24"/>
  <c r="F158" i="1"/>
  <c r="E166" i="1"/>
  <c r="E230" i="1"/>
  <c r="E231" i="3"/>
  <c r="I231" i="4"/>
  <c r="I232" i="4"/>
  <c r="I234" i="4"/>
  <c r="E252" i="4"/>
  <c r="L70" i="5"/>
  <c r="I24" i="9"/>
  <c r="I26" i="9"/>
  <c r="I27" i="9"/>
  <c r="I145" i="9"/>
  <c r="G283" i="9"/>
  <c r="I284" i="9"/>
  <c r="E413" i="9"/>
  <c r="E608" i="9"/>
  <c r="E609" i="9"/>
  <c r="K13" i="10"/>
  <c r="Q13" i="10" s="1"/>
  <c r="E45" i="11"/>
  <c r="G84" i="11"/>
  <c r="T25" i="21"/>
  <c r="N25" i="21" s="1"/>
  <c r="F28" i="23"/>
  <c r="E28" i="23" s="1"/>
  <c r="I226" i="23"/>
  <c r="E320" i="23"/>
  <c r="E850" i="24"/>
  <c r="F875" i="24"/>
  <c r="F874" i="24" s="1"/>
  <c r="K44" i="5"/>
  <c r="G24" i="9"/>
  <c r="E175" i="4"/>
  <c r="M64" i="5"/>
  <c r="I223" i="16"/>
  <c r="I18" i="23"/>
  <c r="X19" i="23" s="1"/>
  <c r="F306" i="23"/>
  <c r="E306" i="23" s="1"/>
  <c r="G316" i="23"/>
  <c r="I448" i="23"/>
  <c r="I350" i="24"/>
  <c r="F593" i="24"/>
  <c r="S593" i="24" s="1"/>
  <c r="F161" i="1"/>
  <c r="G264" i="13"/>
  <c r="E168" i="23"/>
  <c r="G538" i="23"/>
  <c r="E939" i="23"/>
  <c r="E120" i="24"/>
  <c r="G928" i="24"/>
  <c r="G161" i="1"/>
  <c r="L67" i="5"/>
  <c r="E377" i="8"/>
  <c r="H179" i="11"/>
  <c r="E179" i="11" s="1"/>
  <c r="G80" i="16"/>
  <c r="G205" i="16"/>
  <c r="H270" i="16"/>
  <c r="P30" i="21"/>
  <c r="F838" i="23"/>
  <c r="E838" i="23" s="1"/>
  <c r="I245" i="9"/>
  <c r="I87" i="10"/>
  <c r="O87" i="10" s="1"/>
  <c r="I121" i="13"/>
  <c r="E350" i="16"/>
  <c r="O29" i="21"/>
  <c r="I19" i="23"/>
  <c r="E124" i="23"/>
  <c r="G227" i="23"/>
  <c r="E227" i="23" s="1"/>
  <c r="E321" i="23"/>
  <c r="E329" i="23"/>
  <c r="H376" i="23"/>
  <c r="F394" i="23"/>
  <c r="E461" i="23"/>
  <c r="E898" i="23"/>
  <c r="E47" i="24"/>
  <c r="H351" i="24"/>
  <c r="E466" i="24"/>
  <c r="G874" i="24"/>
  <c r="I17" i="4"/>
  <c r="U14" i="5" s="1"/>
  <c r="I124" i="4"/>
  <c r="U50" i="5" s="1"/>
  <c r="H312" i="4"/>
  <c r="E312" i="4" s="1"/>
  <c r="E396" i="4"/>
  <c r="J64" i="5"/>
  <c r="P6" i="10"/>
  <c r="Z75" i="10"/>
  <c r="I219" i="16"/>
  <c r="E539" i="23"/>
  <c r="H874" i="24"/>
  <c r="G211" i="4"/>
  <c r="O32" i="21"/>
  <c r="E51" i="23"/>
  <c r="E160" i="23"/>
  <c r="F875" i="23"/>
  <c r="F874" i="23" s="1"/>
  <c r="H274" i="24"/>
  <c r="F724" i="24"/>
  <c r="E838" i="24"/>
  <c r="F80" i="3"/>
  <c r="E209" i="9"/>
  <c r="E375" i="13"/>
  <c r="H328" i="23"/>
  <c r="I394" i="23"/>
  <c r="E234" i="3"/>
  <c r="H149" i="9"/>
  <c r="H86" i="11"/>
  <c r="G384" i="13"/>
  <c r="E312" i="23"/>
  <c r="E310" i="23" s="1"/>
  <c r="I352" i="23"/>
  <c r="H154" i="24"/>
  <c r="F186" i="24"/>
  <c r="F184" i="24" s="1"/>
  <c r="E893" i="24"/>
  <c r="E103" i="3"/>
  <c r="E393" i="3"/>
  <c r="E213" i="4"/>
  <c r="G287" i="8"/>
  <c r="E319" i="8"/>
  <c r="H80" i="13"/>
  <c r="F145" i="13"/>
  <c r="E330" i="13"/>
  <c r="H121" i="16"/>
  <c r="F58" i="23"/>
  <c r="E58" i="23" s="1"/>
  <c r="G328" i="24"/>
  <c r="E583" i="8"/>
  <c r="E151" i="16"/>
  <c r="F43" i="23"/>
  <c r="S43" i="23" s="1"/>
  <c r="E172" i="23"/>
  <c r="G232" i="23"/>
  <c r="E280" i="23"/>
  <c r="F113" i="1"/>
  <c r="E113" i="1" s="1"/>
  <c r="E211" i="3"/>
  <c r="G720" i="24"/>
  <c r="G21" i="22" s="1"/>
  <c r="E880" i="24"/>
  <c r="E904" i="24"/>
  <c r="P31" i="21"/>
  <c r="H24" i="4"/>
  <c r="T17" i="5" s="1"/>
  <c r="E89" i="8"/>
  <c r="E114" i="8"/>
  <c r="E160" i="8"/>
  <c r="E174" i="8"/>
  <c r="R41" i="10"/>
  <c r="F59" i="11"/>
  <c r="E227" i="11"/>
  <c r="E22" i="13"/>
  <c r="E290" i="23"/>
  <c r="E502" i="23"/>
  <c r="E893" i="23"/>
  <c r="F142" i="24"/>
  <c r="H394" i="24"/>
  <c r="I598" i="24"/>
  <c r="F25" i="1"/>
  <c r="I124" i="3"/>
  <c r="H50" i="5" s="1"/>
  <c r="F126" i="4"/>
  <c r="E410" i="4"/>
  <c r="I27" i="8"/>
  <c r="E405" i="9"/>
  <c r="Q31" i="10"/>
  <c r="G27" i="11"/>
  <c r="H156" i="11"/>
  <c r="I159" i="11"/>
  <c r="F25" i="13"/>
  <c r="I219" i="13"/>
  <c r="E288" i="13"/>
  <c r="F82" i="23"/>
  <c r="E82" i="23" s="1"/>
  <c r="E322" i="23"/>
  <c r="H350" i="24"/>
  <c r="I550" i="24"/>
  <c r="F28" i="1"/>
  <c r="H85" i="1"/>
  <c r="J80" i="5"/>
  <c r="H318" i="4"/>
  <c r="E318" i="4" s="1"/>
  <c r="H596" i="9"/>
  <c r="E596" i="9" s="1"/>
  <c r="I29" i="11"/>
  <c r="G86" i="11"/>
  <c r="I28" i="16"/>
  <c r="E232" i="23"/>
  <c r="G232" i="24"/>
  <c r="E396" i="24"/>
  <c r="E399" i="24"/>
  <c r="E418" i="24"/>
  <c r="F125" i="1"/>
  <c r="E129" i="1"/>
  <c r="G24" i="3"/>
  <c r="F17" i="5" s="1"/>
  <c r="G187" i="3"/>
  <c r="I235" i="4"/>
  <c r="F232" i="4"/>
  <c r="I147" i="8"/>
  <c r="H317" i="9"/>
  <c r="E317" i="9" s="1"/>
  <c r="F86" i="11"/>
  <c r="H324" i="13"/>
  <c r="H116" i="16"/>
  <c r="E187" i="16"/>
  <c r="E354" i="16"/>
  <c r="E618" i="23"/>
  <c r="E616" i="23" s="1"/>
  <c r="E856" i="23"/>
  <c r="F930" i="23"/>
  <c r="E930" i="23" s="1"/>
  <c r="E229" i="24"/>
  <c r="I24" i="1"/>
  <c r="Q55" i="2"/>
  <c r="A94" i="2"/>
  <c r="H50" i="3"/>
  <c r="G22" i="5" s="1"/>
  <c r="M22" i="5" s="1"/>
  <c r="F205" i="3"/>
  <c r="G282" i="9"/>
  <c r="N53" i="10"/>
  <c r="E219" i="11"/>
  <c r="H199" i="16"/>
  <c r="E706" i="24"/>
  <c r="E826" i="24"/>
  <c r="F26" i="1"/>
  <c r="I28" i="1"/>
  <c r="A34" i="2"/>
  <c r="F17" i="3"/>
  <c r="E14" i="5" s="1"/>
  <c r="I50" i="3"/>
  <c r="H22" i="5" s="1"/>
  <c r="G205" i="3"/>
  <c r="E342" i="3"/>
  <c r="F124" i="4"/>
  <c r="R50" i="5" s="1"/>
  <c r="N45" i="5"/>
  <c r="J108" i="6"/>
  <c r="H108" i="6" s="1"/>
  <c r="G155" i="8"/>
  <c r="E438" i="8"/>
  <c r="R6" i="10"/>
  <c r="I28" i="11"/>
  <c r="E71" i="11"/>
  <c r="I160" i="11"/>
  <c r="H25" i="13"/>
  <c r="F222" i="13"/>
  <c r="G219" i="16"/>
  <c r="E625" i="24"/>
  <c r="H86" i="1"/>
  <c r="Q76" i="2"/>
  <c r="F25" i="3"/>
  <c r="H145" i="8"/>
  <c r="H25" i="8" s="1"/>
  <c r="H13" i="8" s="1"/>
  <c r="E335" i="8"/>
  <c r="G27" i="9"/>
  <c r="AB71" i="10"/>
  <c r="Y71" i="10" s="1"/>
  <c r="N71" i="10" s="1"/>
  <c r="H221" i="11"/>
  <c r="E385" i="13"/>
  <c r="E388" i="13"/>
  <c r="E178" i="23"/>
  <c r="H593" i="23"/>
  <c r="U593" i="23" s="1"/>
  <c r="E241" i="24"/>
  <c r="H316" i="24"/>
  <c r="E320" i="24"/>
  <c r="E322" i="24"/>
  <c r="I351" i="24"/>
  <c r="E397" i="24"/>
  <c r="E21" i="1"/>
  <c r="E130" i="1"/>
  <c r="I86" i="1"/>
  <c r="A44" i="2"/>
  <c r="F80" i="4"/>
  <c r="H125" i="11"/>
  <c r="F139" i="13"/>
  <c r="E139" i="13" s="1"/>
  <c r="H227" i="3"/>
  <c r="E343" i="4"/>
  <c r="H26" i="8"/>
  <c r="E21" i="13"/>
  <c r="E360" i="13"/>
  <c r="E276" i="16"/>
  <c r="G227" i="24"/>
  <c r="G17" i="24" s="1"/>
  <c r="V18" i="24" s="1"/>
  <c r="I910" i="24"/>
  <c r="G26" i="1"/>
  <c r="I123" i="3"/>
  <c r="H49" i="5" s="1"/>
  <c r="G228" i="3"/>
  <c r="G28" i="4"/>
  <c r="G29" i="8"/>
  <c r="Q6" i="10"/>
  <c r="H143" i="11"/>
  <c r="G173" i="11"/>
  <c r="E181" i="11"/>
  <c r="E79" i="23"/>
  <c r="G376" i="24"/>
  <c r="E526" i="24"/>
  <c r="E539" i="24"/>
  <c r="H84" i="1"/>
  <c r="H87" i="1"/>
  <c r="G122" i="3"/>
  <c r="F48" i="5" s="1"/>
  <c r="N69" i="5"/>
  <c r="K70" i="5"/>
  <c r="G147" i="8"/>
  <c r="G25" i="9"/>
  <c r="E133" i="13"/>
  <c r="I27" i="16"/>
  <c r="E892" i="23"/>
  <c r="H41" i="1"/>
  <c r="A15" i="2"/>
  <c r="G47" i="8"/>
  <c r="F167" i="8"/>
  <c r="E167" i="8" s="1"/>
  <c r="E462" i="8"/>
  <c r="E319" i="13"/>
  <c r="E193" i="16"/>
  <c r="N82" i="5"/>
  <c r="L169" i="5"/>
  <c r="P32" i="21"/>
  <c r="P25" i="21"/>
  <c r="J84" i="5"/>
  <c r="N43" i="5"/>
  <c r="K171" i="5"/>
  <c r="N28" i="21"/>
  <c r="O31" i="21"/>
  <c r="M82" i="5"/>
  <c r="N31" i="21"/>
  <c r="L29" i="21"/>
  <c r="P28" i="21"/>
  <c r="E937" i="24"/>
  <c r="F931" i="24"/>
  <c r="E931" i="24" s="1"/>
  <c r="E165" i="1"/>
  <c r="F159" i="1"/>
  <c r="M8" i="2"/>
  <c r="M7" i="2" s="1"/>
  <c r="Q25" i="2"/>
  <c r="A25" i="2"/>
  <c r="S42" i="5"/>
  <c r="L42" i="5" s="1"/>
  <c r="E109" i="4"/>
  <c r="Q42" i="5" s="1"/>
  <c r="E217" i="4"/>
  <c r="H324" i="4"/>
  <c r="E324" i="4" s="1"/>
  <c r="E325" i="4"/>
  <c r="G378" i="4"/>
  <c r="H147" i="8"/>
  <c r="E413" i="8"/>
  <c r="E521" i="8"/>
  <c r="E100" i="11"/>
  <c r="G95" i="11"/>
  <c r="E95" i="11" s="1"/>
  <c r="I29" i="22"/>
  <c r="V26" i="21"/>
  <c r="P26" i="21" s="1"/>
  <c r="I30" i="22"/>
  <c r="V27" i="21"/>
  <c r="P27" i="21" s="1"/>
  <c r="E22" i="1"/>
  <c r="E71" i="1"/>
  <c r="G160" i="1"/>
  <c r="F224" i="1"/>
  <c r="E224" i="1" s="1"/>
  <c r="P103" i="2"/>
  <c r="Q103" i="2" s="1"/>
  <c r="O9" i="2"/>
  <c r="G123" i="3"/>
  <c r="F49" i="5" s="1"/>
  <c r="F55" i="5"/>
  <c r="L55" i="5" s="1"/>
  <c r="G124" i="3"/>
  <c r="F50" i="5" s="1"/>
  <c r="F56" i="5"/>
  <c r="L56" i="5" s="1"/>
  <c r="G125" i="3"/>
  <c r="F51" i="5" s="1"/>
  <c r="E175" i="3"/>
  <c r="H126" i="3"/>
  <c r="E337" i="3"/>
  <c r="I126" i="4"/>
  <c r="E301" i="4"/>
  <c r="F300" i="4"/>
  <c r="E300" i="4" s="1"/>
  <c r="F283" i="4"/>
  <c r="R105" i="5" s="1"/>
  <c r="L46" i="5"/>
  <c r="J63" i="5"/>
  <c r="N63" i="5"/>
  <c r="J67" i="5"/>
  <c r="N67" i="5"/>
  <c r="L68" i="5"/>
  <c r="G25" i="8"/>
  <c r="G28" i="8"/>
  <c r="E71" i="8"/>
  <c r="H149" i="8"/>
  <c r="I148" i="8"/>
  <c r="E215" i="8"/>
  <c r="F285" i="8"/>
  <c r="G286" i="8"/>
  <c r="E606" i="8"/>
  <c r="I17" i="13"/>
  <c r="I26" i="22"/>
  <c r="V23" i="21"/>
  <c r="P23" i="21" s="1"/>
  <c r="F227" i="1"/>
  <c r="F222" i="1"/>
  <c r="Q31" i="2"/>
  <c r="A31" i="2"/>
  <c r="A97" i="2"/>
  <c r="Q97" i="2"/>
  <c r="F74" i="3"/>
  <c r="E24" i="5" s="1"/>
  <c r="K24" i="5" s="1"/>
  <c r="H366" i="4"/>
  <c r="E366" i="4" s="1"/>
  <c r="E367" i="4"/>
  <c r="E156" i="9"/>
  <c r="F155" i="9"/>
  <c r="E812" i="24"/>
  <c r="R32" i="21" s="1"/>
  <c r="L32" i="21" s="1"/>
  <c r="S32" i="21"/>
  <c r="F808" i="24"/>
  <c r="S28" i="21" s="1"/>
  <c r="F806" i="24"/>
  <c r="F802" i="24" s="1"/>
  <c r="E918" i="24"/>
  <c r="F916" i="24"/>
  <c r="E916" i="24" s="1"/>
  <c r="F912" i="24"/>
  <c r="E912" i="24" s="1"/>
  <c r="E231" i="1"/>
  <c r="E232" i="1"/>
  <c r="Q50" i="2"/>
  <c r="A50" i="2"/>
  <c r="H126" i="4"/>
  <c r="G132" i="4"/>
  <c r="G126" i="4" s="1"/>
  <c r="G133" i="4"/>
  <c r="E133" i="4" s="1"/>
  <c r="H245" i="8"/>
  <c r="I284" i="8"/>
  <c r="E409" i="8"/>
  <c r="H403" i="8"/>
  <c r="E437" i="8"/>
  <c r="E497" i="8"/>
  <c r="E30" i="9"/>
  <c r="E71" i="9"/>
  <c r="I85" i="1"/>
  <c r="I87" i="1"/>
  <c r="H156" i="1"/>
  <c r="G25" i="3"/>
  <c r="G27" i="3"/>
  <c r="G28" i="3"/>
  <c r="F51" i="3"/>
  <c r="E146" i="3"/>
  <c r="F145" i="3"/>
  <c r="E145" i="3" s="1"/>
  <c r="E241" i="3"/>
  <c r="E240" i="3" s="1"/>
  <c r="H230" i="3"/>
  <c r="E247" i="3"/>
  <c r="E246" i="3" s="1"/>
  <c r="E264" i="3"/>
  <c r="G124" i="4"/>
  <c r="S50" i="5" s="1"/>
  <c r="G230" i="4"/>
  <c r="S103" i="5" s="1"/>
  <c r="E270" i="4"/>
  <c r="E383" i="4"/>
  <c r="E405" i="4"/>
  <c r="H381" i="4"/>
  <c r="H378" i="4" s="1"/>
  <c r="I409" i="4"/>
  <c r="U167" i="5" s="1"/>
  <c r="M169" i="5"/>
  <c r="M45" i="5"/>
  <c r="L84" i="5"/>
  <c r="H24" i="8"/>
  <c r="I144" i="8"/>
  <c r="E305" i="8"/>
  <c r="H593" i="8"/>
  <c r="E131" i="9"/>
  <c r="E43" i="11"/>
  <c r="F25" i="11"/>
  <c r="H551" i="23"/>
  <c r="H556" i="23"/>
  <c r="E556" i="23" s="1"/>
  <c r="H678" i="23"/>
  <c r="G678" i="23" s="1"/>
  <c r="I672" i="23"/>
  <c r="E462" i="9"/>
  <c r="H461" i="9"/>
  <c r="E461" i="9" s="1"/>
  <c r="P21" i="10"/>
  <c r="J8" i="10"/>
  <c r="Q41" i="10"/>
  <c r="K12" i="10"/>
  <c r="Q12" i="10" s="1"/>
  <c r="Q68" i="10"/>
  <c r="K63" i="10"/>
  <c r="E124" i="13"/>
  <c r="F118" i="13"/>
  <c r="H294" i="16"/>
  <c r="E294" i="16" s="1"/>
  <c r="E295" i="16"/>
  <c r="E379" i="16"/>
  <c r="E811" i="24"/>
  <c r="R31" i="21" s="1"/>
  <c r="S31" i="21"/>
  <c r="E922" i="24"/>
  <c r="E938" i="24"/>
  <c r="F932" i="24"/>
  <c r="E932" i="24" s="1"/>
  <c r="E33" i="1"/>
  <c r="I59" i="1"/>
  <c r="E91" i="1"/>
  <c r="E93" i="1"/>
  <c r="H88" i="1"/>
  <c r="E139" i="1"/>
  <c r="I158" i="1"/>
  <c r="I159" i="1"/>
  <c r="E229" i="1"/>
  <c r="H26" i="3"/>
  <c r="H27" i="3"/>
  <c r="H28" i="3"/>
  <c r="E56" i="3"/>
  <c r="E191" i="3"/>
  <c r="H123" i="3"/>
  <c r="G49" i="5" s="1"/>
  <c r="H124" i="3"/>
  <c r="G50" i="5" s="1"/>
  <c r="G224" i="3"/>
  <c r="F103" i="5" s="1"/>
  <c r="E270" i="3"/>
  <c r="G225" i="3"/>
  <c r="I226" i="3"/>
  <c r="I228" i="3"/>
  <c r="I10" i="3" s="1"/>
  <c r="I16" i="3" s="1"/>
  <c r="G24" i="4"/>
  <c r="E31" i="4"/>
  <c r="N54" i="5"/>
  <c r="E145" i="4"/>
  <c r="N57" i="5"/>
  <c r="E237" i="4"/>
  <c r="E238" i="4"/>
  <c r="F234" i="4"/>
  <c r="G231" i="4"/>
  <c r="E416" i="4"/>
  <c r="N44" i="5"/>
  <c r="H98" i="6"/>
  <c r="E7" i="7"/>
  <c r="I28" i="8"/>
  <c r="E52" i="8"/>
  <c r="E59" i="8"/>
  <c r="I145" i="8"/>
  <c r="E264" i="8"/>
  <c r="E267" i="8"/>
  <c r="E268" i="8"/>
  <c r="E269" i="8"/>
  <c r="G285" i="8"/>
  <c r="E311" i="8"/>
  <c r="E107" i="9"/>
  <c r="E152" i="9"/>
  <c r="F147" i="9"/>
  <c r="F148" i="9"/>
  <c r="Q21" i="10"/>
  <c r="K18" i="10"/>
  <c r="Q18" i="10" s="1"/>
  <c r="Q34" i="10"/>
  <c r="K11" i="10"/>
  <c r="Q11" i="10" s="1"/>
  <c r="N56" i="10"/>
  <c r="O62" i="10"/>
  <c r="H62" i="10"/>
  <c r="N62" i="10" s="1"/>
  <c r="I57" i="10"/>
  <c r="O57" i="10" s="1"/>
  <c r="F84" i="11"/>
  <c r="G119" i="13"/>
  <c r="E272" i="13"/>
  <c r="H266" i="13"/>
  <c r="E266" i="13" s="1"/>
  <c r="G25" i="16"/>
  <c r="G7" i="16" s="1"/>
  <c r="G13" i="16" s="1"/>
  <c r="G26" i="16"/>
  <c r="G27" i="16"/>
  <c r="G28" i="16"/>
  <c r="E123" i="16"/>
  <c r="I181" i="16"/>
  <c r="S27" i="21"/>
  <c r="M27" i="21" s="1"/>
  <c r="L30" i="21"/>
  <c r="E26" i="23"/>
  <c r="F21" i="23"/>
  <c r="F42" i="23"/>
  <c r="S42" i="23" s="1"/>
  <c r="I674" i="23"/>
  <c r="H680" i="23"/>
  <c r="E364" i="24"/>
  <c r="I394" i="24"/>
  <c r="I149" i="9"/>
  <c r="P34" i="10"/>
  <c r="J11" i="10"/>
  <c r="P39" i="10"/>
  <c r="J10" i="10"/>
  <c r="O86" i="10"/>
  <c r="I81" i="10"/>
  <c r="E19" i="13"/>
  <c r="F119" i="13"/>
  <c r="E307" i="16"/>
  <c r="H306" i="16"/>
  <c r="H352" i="23"/>
  <c r="E353" i="23"/>
  <c r="E534" i="23"/>
  <c r="E532" i="23" s="1"/>
  <c r="F522" i="23"/>
  <c r="F28" i="22"/>
  <c r="S25" i="21"/>
  <c r="E820" i="24"/>
  <c r="G25" i="1"/>
  <c r="G27" i="1"/>
  <c r="E60" i="1"/>
  <c r="E65" i="1"/>
  <c r="E119" i="1"/>
  <c r="H157" i="1"/>
  <c r="H159" i="1"/>
  <c r="H179" i="1"/>
  <c r="E179" i="1" s="1"/>
  <c r="Q46" i="2"/>
  <c r="Q47" i="2"/>
  <c r="Q77" i="2"/>
  <c r="F26" i="3"/>
  <c r="F27" i="3"/>
  <c r="I125" i="3"/>
  <c r="H51" i="5" s="1"/>
  <c r="E157" i="3"/>
  <c r="E199" i="3"/>
  <c r="E300" i="3"/>
  <c r="E19" i="4"/>
  <c r="H25" i="4"/>
  <c r="H26" i="4"/>
  <c r="H27" i="4"/>
  <c r="H28" i="4"/>
  <c r="E80" i="4"/>
  <c r="F123" i="4"/>
  <c r="R49" i="5" s="1"/>
  <c r="E197" i="4"/>
  <c r="E198" i="4"/>
  <c r="E205" i="4"/>
  <c r="F231" i="4"/>
  <c r="G232" i="4"/>
  <c r="G234" i="4"/>
  <c r="E264" i="4"/>
  <c r="E276" i="4"/>
  <c r="H284" i="4"/>
  <c r="H231" i="4" s="1"/>
  <c r="H288" i="4"/>
  <c r="E288" i="4" s="1"/>
  <c r="F409" i="4"/>
  <c r="R167" i="5" s="1"/>
  <c r="E418" i="4"/>
  <c r="L25" i="5"/>
  <c r="L43" i="5"/>
  <c r="L63" i="5"/>
  <c r="K64" i="5"/>
  <c r="K68" i="5"/>
  <c r="L69" i="5"/>
  <c r="K82" i="5"/>
  <c r="H62" i="6"/>
  <c r="E32" i="8"/>
  <c r="E33" i="8"/>
  <c r="F28" i="8"/>
  <c r="G26" i="8"/>
  <c r="G27" i="8"/>
  <c r="E65" i="8"/>
  <c r="E83" i="8"/>
  <c r="E116" i="8"/>
  <c r="E119" i="8"/>
  <c r="G145" i="8"/>
  <c r="G146" i="8"/>
  <c r="E179" i="8"/>
  <c r="E227" i="8"/>
  <c r="E248" i="8"/>
  <c r="G284" i="8"/>
  <c r="F299" i="8"/>
  <c r="E323" i="8"/>
  <c r="G401" i="8"/>
  <c r="G400" i="8" s="1"/>
  <c r="E461" i="8"/>
  <c r="I283" i="8"/>
  <c r="E22" i="9"/>
  <c r="G26" i="9"/>
  <c r="E89" i="9"/>
  <c r="I144" i="9"/>
  <c r="F419" i="9"/>
  <c r="E419" i="9" s="1"/>
  <c r="F402" i="9"/>
  <c r="F401" i="9" s="1"/>
  <c r="H449" i="9"/>
  <c r="E449" i="9" s="1"/>
  <c r="E479" i="9"/>
  <c r="E486" i="9"/>
  <c r="H485" i="9"/>
  <c r="E485" i="9" s="1"/>
  <c r="E497" i="9"/>
  <c r="I9" i="10"/>
  <c r="E113" i="11"/>
  <c r="G157" i="11"/>
  <c r="G26" i="13"/>
  <c r="G28" i="13"/>
  <c r="E62" i="13"/>
  <c r="F220" i="13"/>
  <c r="F221" i="13"/>
  <c r="E75" i="16"/>
  <c r="E74" i="16" s="1"/>
  <c r="F74" i="16"/>
  <c r="I9" i="16"/>
  <c r="I15" i="16" s="1"/>
  <c r="E938" i="23"/>
  <c r="F932" i="23"/>
  <c r="E932" i="23" s="1"/>
  <c r="F232" i="24"/>
  <c r="F228" i="24"/>
  <c r="F226" i="24" s="1"/>
  <c r="E234" i="24"/>
  <c r="E330" i="24"/>
  <c r="E496" i="24"/>
  <c r="G550" i="24"/>
  <c r="H598" i="24"/>
  <c r="U598" i="24" s="1"/>
  <c r="R7" i="10"/>
  <c r="J13" i="10"/>
  <c r="P13" i="10" s="1"/>
  <c r="N50" i="10"/>
  <c r="N52" i="10"/>
  <c r="K75" i="10"/>
  <c r="E31" i="11"/>
  <c r="E33" i="11"/>
  <c r="E53" i="11"/>
  <c r="H25" i="11"/>
  <c r="H26" i="11"/>
  <c r="E93" i="11"/>
  <c r="E167" i="11"/>
  <c r="H158" i="11"/>
  <c r="H160" i="11"/>
  <c r="I191" i="11"/>
  <c r="E194" i="11"/>
  <c r="F159" i="11"/>
  <c r="G117" i="13"/>
  <c r="G118" i="13"/>
  <c r="H116" i="13"/>
  <c r="E211" i="13"/>
  <c r="E228" i="13"/>
  <c r="H312" i="13"/>
  <c r="E312" i="13" s="1"/>
  <c r="E313" i="13"/>
  <c r="I17" i="16"/>
  <c r="E83" i="16"/>
  <c r="E84" i="16"/>
  <c r="E109" i="16"/>
  <c r="E186" i="16"/>
  <c r="I118" i="16"/>
  <c r="F219" i="16"/>
  <c r="E228" i="16"/>
  <c r="E234" i="16"/>
  <c r="E240" i="16"/>
  <c r="E258" i="16"/>
  <c r="E144" i="23"/>
  <c r="E142" i="23" s="1"/>
  <c r="F142" i="23"/>
  <c r="G286" i="23"/>
  <c r="I348" i="23"/>
  <c r="H348" i="23"/>
  <c r="E449" i="23"/>
  <c r="H520" i="23"/>
  <c r="I596" i="23"/>
  <c r="O26" i="23" s="1"/>
  <c r="E886" i="23"/>
  <c r="E50" i="24"/>
  <c r="F44" i="24"/>
  <c r="E44" i="24" s="1"/>
  <c r="R44" i="24" s="1"/>
  <c r="W44" i="24" s="1"/>
  <c r="E185" i="24"/>
  <c r="H226" i="24"/>
  <c r="E291" i="24"/>
  <c r="E298" i="24"/>
  <c r="F544" i="24"/>
  <c r="F540" i="24"/>
  <c r="E540" i="24" s="1"/>
  <c r="E666" i="24"/>
  <c r="E664" i="24" s="1"/>
  <c r="F664" i="24"/>
  <c r="H679" i="24"/>
  <c r="G679" i="24" s="1"/>
  <c r="I673" i="24"/>
  <c r="E935" i="24"/>
  <c r="F929" i="24"/>
  <c r="E929" i="24" s="1"/>
  <c r="I283" i="9"/>
  <c r="L12" i="10"/>
  <c r="K36" i="10"/>
  <c r="H48" i="10"/>
  <c r="R62" i="10"/>
  <c r="Y99" i="10"/>
  <c r="R108" i="10"/>
  <c r="E21" i="11"/>
  <c r="G25" i="11"/>
  <c r="G26" i="11"/>
  <c r="I24" i="11"/>
  <c r="I26" i="11"/>
  <c r="F87" i="11"/>
  <c r="F88" i="11"/>
  <c r="E131" i="11"/>
  <c r="I156" i="11"/>
  <c r="I158" i="11"/>
  <c r="G159" i="11"/>
  <c r="G160" i="11"/>
  <c r="E203" i="11"/>
  <c r="H29" i="13"/>
  <c r="E109" i="13"/>
  <c r="E151" i="13"/>
  <c r="E175" i="13"/>
  <c r="I116" i="13"/>
  <c r="I119" i="13"/>
  <c r="I218" i="13"/>
  <c r="H220" i="13"/>
  <c r="E50" i="16"/>
  <c r="E203" i="16"/>
  <c r="V41" i="23"/>
  <c r="I40" i="23"/>
  <c r="V40" i="23" s="1"/>
  <c r="I17" i="23"/>
  <c r="X18" i="23" s="1"/>
  <c r="F262" i="23"/>
  <c r="E268" i="23"/>
  <c r="E292" i="23"/>
  <c r="E606" i="23"/>
  <c r="G600" i="23"/>
  <c r="T600" i="23" s="1"/>
  <c r="E715" i="23"/>
  <c r="E712" i="23" s="1"/>
  <c r="F712" i="23"/>
  <c r="E730" i="23"/>
  <c r="E736" i="23"/>
  <c r="E754" i="23"/>
  <c r="E772" i="23"/>
  <c r="M23" i="21"/>
  <c r="E239" i="24"/>
  <c r="E268" i="24"/>
  <c r="E868" i="24"/>
  <c r="H910" i="24"/>
  <c r="H24" i="16"/>
  <c r="H120" i="16"/>
  <c r="E127" i="16"/>
  <c r="G218" i="16"/>
  <c r="G348" i="16"/>
  <c r="F220" i="16"/>
  <c r="O25" i="21"/>
  <c r="M30" i="21"/>
  <c r="P33" i="21"/>
  <c r="E31" i="23"/>
  <c r="E70" i="23"/>
  <c r="F88" i="23"/>
  <c r="E156" i="23"/>
  <c r="G184" i="23"/>
  <c r="E189" i="23"/>
  <c r="H286" i="23"/>
  <c r="E406" i="23"/>
  <c r="I550" i="23"/>
  <c r="E625" i="23"/>
  <c r="E727" i="23"/>
  <c r="I723" i="23"/>
  <c r="I21" i="21" s="1"/>
  <c r="E796" i="23"/>
  <c r="E868" i="23"/>
  <c r="H721" i="23"/>
  <c r="H19" i="21" s="1"/>
  <c r="I910" i="23"/>
  <c r="E922" i="23"/>
  <c r="E94" i="24"/>
  <c r="E157" i="24"/>
  <c r="E208" i="24"/>
  <c r="E452" i="24"/>
  <c r="I349" i="24"/>
  <c r="I593" i="24"/>
  <c r="O23" i="24" s="1"/>
  <c r="I721" i="24"/>
  <c r="I722" i="24"/>
  <c r="E778" i="24"/>
  <c r="G722" i="24"/>
  <c r="T20" i="21" s="1"/>
  <c r="E915" i="24"/>
  <c r="E350" i="13"/>
  <c r="I25" i="16"/>
  <c r="I26" i="16"/>
  <c r="E342" i="16"/>
  <c r="I348" i="16"/>
  <c r="O24" i="21"/>
  <c r="N26" i="21"/>
  <c r="M29" i="21"/>
  <c r="N30" i="21"/>
  <c r="N33" i="21"/>
  <c r="I184" i="23"/>
  <c r="E250" i="23"/>
  <c r="F274" i="23"/>
  <c r="H274" i="23"/>
  <c r="E289" i="23"/>
  <c r="E525" i="23"/>
  <c r="E526" i="23"/>
  <c r="E682" i="23"/>
  <c r="E914" i="23"/>
  <c r="E280" i="24"/>
  <c r="E381" i="24"/>
  <c r="E388" i="24"/>
  <c r="E424" i="24"/>
  <c r="E430" i="24"/>
  <c r="E436" i="24"/>
  <c r="E464" i="24"/>
  <c r="E646" i="24"/>
  <c r="E730" i="24"/>
  <c r="E766" i="24"/>
  <c r="E856" i="24"/>
  <c r="E862" i="24"/>
  <c r="P29" i="10"/>
  <c r="H35" i="10"/>
  <c r="N35" i="10" s="1"/>
  <c r="P63" i="10"/>
  <c r="H26" i="10"/>
  <c r="N26" i="10" s="1"/>
  <c r="I13" i="10"/>
  <c r="I23" i="10"/>
  <c r="O23" i="10" s="1"/>
  <c r="A24" i="2"/>
  <c r="Q24" i="2"/>
  <c r="Q28" i="2"/>
  <c r="A28" i="2"/>
  <c r="Q87" i="2"/>
  <c r="A87" i="2"/>
  <c r="H86" i="3"/>
  <c r="G37" i="5" s="1"/>
  <c r="G276" i="3"/>
  <c r="F104" i="5" s="1"/>
  <c r="E409" i="9"/>
  <c r="H403" i="9"/>
  <c r="E456" i="9"/>
  <c r="H455" i="9"/>
  <c r="E455" i="9" s="1"/>
  <c r="Y110" i="10"/>
  <c r="AA109" i="10"/>
  <c r="P109" i="10" s="1"/>
  <c r="E301" i="13"/>
  <c r="H300" i="13"/>
  <c r="E300" i="13" s="1"/>
  <c r="E18" i="1"/>
  <c r="E30" i="1"/>
  <c r="I27" i="1"/>
  <c r="I9" i="1" s="1"/>
  <c r="I15" i="1" s="1"/>
  <c r="E43" i="1"/>
  <c r="E62" i="1"/>
  <c r="E77" i="1"/>
  <c r="F87" i="1"/>
  <c r="F9" i="1" s="1"/>
  <c r="H89" i="1"/>
  <c r="E127" i="1"/>
  <c r="I156" i="1"/>
  <c r="E163" i="1"/>
  <c r="I160" i="1"/>
  <c r="E193" i="1"/>
  <c r="E195" i="1"/>
  <c r="E196" i="1"/>
  <c r="E197" i="1"/>
  <c r="E209" i="1"/>
  <c r="E215" i="1"/>
  <c r="H227" i="1"/>
  <c r="N8" i="2"/>
  <c r="Q13" i="2"/>
  <c r="A27" i="2"/>
  <c r="A49" i="2"/>
  <c r="A78" i="2"/>
  <c r="Q79" i="2"/>
  <c r="Q83" i="2"/>
  <c r="A91" i="2"/>
  <c r="H24" i="3"/>
  <c r="G17" i="5" s="1"/>
  <c r="H25" i="3"/>
  <c r="E51" i="3"/>
  <c r="D23" i="5" s="1"/>
  <c r="E92" i="3"/>
  <c r="F123" i="3"/>
  <c r="H125" i="3"/>
  <c r="G51" i="5" s="1"/>
  <c r="E163" i="3"/>
  <c r="D79" i="5" s="1"/>
  <c r="E188" i="3"/>
  <c r="E189" i="3"/>
  <c r="E207" i="3"/>
  <c r="E217" i="3"/>
  <c r="H278" i="3"/>
  <c r="H225" i="3" s="1"/>
  <c r="E288" i="3"/>
  <c r="F227" i="3"/>
  <c r="E371" i="3"/>
  <c r="E372" i="3"/>
  <c r="E384" i="3"/>
  <c r="E88" i="4"/>
  <c r="Q39" i="5" s="1"/>
  <c r="N41" i="5"/>
  <c r="K42" i="5"/>
  <c r="I123" i="4"/>
  <c r="U49" i="5" s="1"/>
  <c r="F128" i="4"/>
  <c r="F122" i="4" s="1"/>
  <c r="E138" i="4"/>
  <c r="E139" i="4"/>
  <c r="E169" i="4"/>
  <c r="Q81" i="5" s="1"/>
  <c r="E223" i="4"/>
  <c r="H252" i="4"/>
  <c r="E258" i="4"/>
  <c r="H232" i="4"/>
  <c r="E294" i="4"/>
  <c r="E360" i="4"/>
  <c r="E23" i="5"/>
  <c r="M25" i="5"/>
  <c r="N58" i="5"/>
  <c r="N64" i="5"/>
  <c r="K67" i="5"/>
  <c r="M68" i="5"/>
  <c r="M69" i="5"/>
  <c r="M80" i="5"/>
  <c r="M84" i="5"/>
  <c r="L171" i="5"/>
  <c r="E22" i="8"/>
  <c r="G24" i="8"/>
  <c r="H47" i="8"/>
  <c r="E101" i="8"/>
  <c r="E118" i="8"/>
  <c r="E125" i="8"/>
  <c r="E191" i="8"/>
  <c r="F245" i="8"/>
  <c r="I263" i="8"/>
  <c r="E275" i="8"/>
  <c r="E341" i="8"/>
  <c r="I369" i="8"/>
  <c r="I368" i="8" s="1"/>
  <c r="E34" i="9"/>
  <c r="E35" i="9"/>
  <c r="F146" i="9"/>
  <c r="E160" i="9"/>
  <c r="G155" i="9"/>
  <c r="G154" i="9"/>
  <c r="G148" i="9" s="1"/>
  <c r="H144" i="9"/>
  <c r="H145" i="9"/>
  <c r="H146" i="9"/>
  <c r="H245" i="9"/>
  <c r="H147" i="9"/>
  <c r="H148" i="9"/>
  <c r="F347" i="9"/>
  <c r="F19" i="9"/>
  <c r="F17" i="9" s="1"/>
  <c r="H407" i="9"/>
  <c r="E407" i="9" s="1"/>
  <c r="E587" i="9"/>
  <c r="AA12" i="10"/>
  <c r="R17" i="10"/>
  <c r="L13" i="10"/>
  <c r="R13" i="10" s="1"/>
  <c r="L9" i="10"/>
  <c r="Y29" i="10"/>
  <c r="N31" i="10"/>
  <c r="N51" i="10"/>
  <c r="N55" i="10"/>
  <c r="Y7" i="10"/>
  <c r="P69" i="10"/>
  <c r="O104" i="10"/>
  <c r="I99" i="10"/>
  <c r="O99" i="10" s="1"/>
  <c r="F27" i="11"/>
  <c r="G24" i="11"/>
  <c r="I41" i="11"/>
  <c r="H27" i="11"/>
  <c r="E77" i="11"/>
  <c r="E126" i="11"/>
  <c r="E128" i="11"/>
  <c r="E148" i="11"/>
  <c r="H88" i="11"/>
  <c r="E192" i="11"/>
  <c r="E387" i="16"/>
  <c r="H381" i="16"/>
  <c r="H378" i="16" s="1"/>
  <c r="E202" i="23"/>
  <c r="F628" i="23"/>
  <c r="E630" i="23"/>
  <c r="E628" i="23" s="1"/>
  <c r="E702" i="24"/>
  <c r="E700" i="24" s="1"/>
  <c r="F700" i="24"/>
  <c r="E61" i="1"/>
  <c r="G17" i="3"/>
  <c r="F14" i="5" s="1"/>
  <c r="H205" i="3"/>
  <c r="H402" i="3"/>
  <c r="G558" i="8"/>
  <c r="G557" i="8" s="1"/>
  <c r="G556" i="8" s="1"/>
  <c r="E559" i="8"/>
  <c r="Y48" i="10"/>
  <c r="O48" i="10"/>
  <c r="G23" i="22"/>
  <c r="G17" i="1"/>
  <c r="E19" i="1"/>
  <c r="E44" i="1"/>
  <c r="E46" i="1"/>
  <c r="E47" i="1"/>
  <c r="E53" i="1"/>
  <c r="H59" i="1"/>
  <c r="E63" i="1"/>
  <c r="E95" i="1"/>
  <c r="E128" i="1"/>
  <c r="E142" i="1"/>
  <c r="H158" i="1"/>
  <c r="H160" i="1"/>
  <c r="F157" i="1"/>
  <c r="E178" i="1"/>
  <c r="E185" i="1"/>
  <c r="G156" i="1"/>
  <c r="E194" i="1"/>
  <c r="E203" i="1"/>
  <c r="H223" i="1"/>
  <c r="E223" i="1" s="1"/>
  <c r="N9" i="2"/>
  <c r="A20" i="2"/>
  <c r="E30" i="3"/>
  <c r="E52" i="3"/>
  <c r="E54" i="3"/>
  <c r="E55" i="3"/>
  <c r="E62" i="3"/>
  <c r="E87" i="3"/>
  <c r="D38" i="5" s="1"/>
  <c r="E115" i="3"/>
  <c r="E208" i="3"/>
  <c r="E209" i="3"/>
  <c r="E210" i="3"/>
  <c r="F225" i="3"/>
  <c r="E258" i="3"/>
  <c r="I276" i="3"/>
  <c r="H104" i="5" s="1"/>
  <c r="E368" i="3"/>
  <c r="E378" i="3"/>
  <c r="H398" i="3"/>
  <c r="H396" i="3" s="1"/>
  <c r="G166" i="5" s="1"/>
  <c r="E399" i="3"/>
  <c r="E406" i="3"/>
  <c r="G25" i="4"/>
  <c r="E30" i="4"/>
  <c r="F51" i="4"/>
  <c r="F50" i="4" s="1"/>
  <c r="E54" i="4"/>
  <c r="E55" i="4"/>
  <c r="E56" i="4"/>
  <c r="E62" i="4"/>
  <c r="N24" i="5"/>
  <c r="E87" i="4"/>
  <c r="Q38" i="5" s="1"/>
  <c r="K40" i="5"/>
  <c r="E91" i="4"/>
  <c r="E92" i="4"/>
  <c r="J44" i="5"/>
  <c r="L57" i="5"/>
  <c r="M79" i="5"/>
  <c r="K81" i="5"/>
  <c r="M83" i="5"/>
  <c r="F193" i="4"/>
  <c r="I125" i="4"/>
  <c r="E215" i="4"/>
  <c r="I282" i="4"/>
  <c r="U104" i="5" s="1"/>
  <c r="E342" i="4"/>
  <c r="E380" i="4"/>
  <c r="G412" i="4"/>
  <c r="G408" i="4" s="1"/>
  <c r="S166" i="5" s="1"/>
  <c r="T23" i="5"/>
  <c r="N25" i="5"/>
  <c r="G39" i="5"/>
  <c r="M39" i="5" s="1"/>
  <c r="L44" i="5"/>
  <c r="K45" i="5"/>
  <c r="K63" i="5"/>
  <c r="J69" i="5"/>
  <c r="N80" i="5"/>
  <c r="N84" i="5"/>
  <c r="M171" i="5"/>
  <c r="H18" i="8"/>
  <c r="E18" i="8" s="1"/>
  <c r="I29" i="8"/>
  <c r="H28" i="8"/>
  <c r="E107" i="8"/>
  <c r="I113" i="8"/>
  <c r="H113" i="8"/>
  <c r="E131" i="8"/>
  <c r="H144" i="8"/>
  <c r="H146" i="8"/>
  <c r="E161" i="8"/>
  <c r="E197" i="8"/>
  <c r="E239" i="8"/>
  <c r="E249" i="8"/>
  <c r="E251" i="8"/>
  <c r="E293" i="8"/>
  <c r="E607" i="8"/>
  <c r="E41" i="9"/>
  <c r="E50" i="9"/>
  <c r="E119" i="9"/>
  <c r="E264" i="9"/>
  <c r="E294" i="9"/>
  <c r="E293" i="9" s="1"/>
  <c r="H293" i="9"/>
  <c r="H443" i="9"/>
  <c r="E443" i="9" s="1"/>
  <c r="E444" i="9"/>
  <c r="H402" i="9"/>
  <c r="O35" i="10"/>
  <c r="O39" i="10"/>
  <c r="I10" i="10"/>
  <c r="O10" i="10" s="1"/>
  <c r="P44" i="10"/>
  <c r="H44" i="10"/>
  <c r="N44" i="10" s="1"/>
  <c r="O80" i="10"/>
  <c r="Q92" i="10"/>
  <c r="K87" i="10"/>
  <c r="E63" i="11"/>
  <c r="E65" i="11"/>
  <c r="H85" i="11"/>
  <c r="E177" i="11"/>
  <c r="G191" i="11"/>
  <c r="G156" i="11"/>
  <c r="F216" i="11"/>
  <c r="F215" i="11" s="1"/>
  <c r="E222" i="11"/>
  <c r="I221" i="13"/>
  <c r="I222" i="13"/>
  <c r="G44" i="16"/>
  <c r="G24" i="16"/>
  <c r="E353" i="16"/>
  <c r="F222" i="16"/>
  <c r="H348" i="24"/>
  <c r="E354" i="24"/>
  <c r="M58" i="5"/>
  <c r="H46" i="10"/>
  <c r="N46" i="10" s="1"/>
  <c r="I42" i="10"/>
  <c r="O42" i="10" s="1"/>
  <c r="Y92" i="10"/>
  <c r="AC91" i="10"/>
  <c r="AC90" i="10" s="1"/>
  <c r="R89" i="10" s="1"/>
  <c r="E936" i="24"/>
  <c r="F930" i="24"/>
  <c r="E930" i="24" s="1"/>
  <c r="H17" i="1"/>
  <c r="H29" i="1"/>
  <c r="E32" i="1"/>
  <c r="E34" i="1"/>
  <c r="I41" i="1"/>
  <c r="H26" i="1"/>
  <c r="E64" i="1"/>
  <c r="I84" i="1"/>
  <c r="F86" i="1"/>
  <c r="F88" i="1"/>
  <c r="E101" i="1"/>
  <c r="E107" i="1"/>
  <c r="I125" i="1"/>
  <c r="E131" i="1"/>
  <c r="E138" i="1"/>
  <c r="E140" i="1"/>
  <c r="E141" i="1"/>
  <c r="E143" i="1"/>
  <c r="E149" i="1"/>
  <c r="I157" i="1"/>
  <c r="E167" i="1"/>
  <c r="E174" i="1"/>
  <c r="G158" i="1"/>
  <c r="E177" i="1"/>
  <c r="G225" i="1"/>
  <c r="E225" i="1" s="1"/>
  <c r="G227" i="1"/>
  <c r="E233" i="1"/>
  <c r="Q30" i="2"/>
  <c r="Q33" i="2"/>
  <c r="Q36" i="2"/>
  <c r="A48" i="2"/>
  <c r="P60" i="2"/>
  <c r="Q60" i="2" s="1"/>
  <c r="A92" i="2"/>
  <c r="Q100" i="2"/>
  <c r="E19" i="3"/>
  <c r="E21" i="3"/>
  <c r="E31" i="3"/>
  <c r="G50" i="3"/>
  <c r="F22" i="5" s="1"/>
  <c r="E68" i="3"/>
  <c r="E80" i="3"/>
  <c r="E89" i="3"/>
  <c r="D40" i="5" s="1"/>
  <c r="F125" i="3"/>
  <c r="E51" i="5" s="1"/>
  <c r="E131" i="3"/>
  <c r="D56" i="5" s="1"/>
  <c r="G133" i="3"/>
  <c r="E133" i="3" s="1"/>
  <c r="E139" i="3"/>
  <c r="H187" i="3"/>
  <c r="E193" i="3"/>
  <c r="I229" i="3"/>
  <c r="E279" i="3"/>
  <c r="E281" i="3"/>
  <c r="E284" i="3"/>
  <c r="H312" i="3"/>
  <c r="E312" i="3" s="1"/>
  <c r="E336" i="3"/>
  <c r="E354" i="3"/>
  <c r="E403" i="3"/>
  <c r="E21" i="4"/>
  <c r="E52" i="4"/>
  <c r="E68" i="4"/>
  <c r="E74" i="4"/>
  <c r="Q24" i="5" s="1"/>
  <c r="E89" i="4"/>
  <c r="Q40" i="5" s="1"/>
  <c r="E103" i="4"/>
  <c r="E115" i="4"/>
  <c r="H127" i="4"/>
  <c r="T52" i="5" s="1"/>
  <c r="H123" i="4"/>
  <c r="T49" i="5" s="1"/>
  <c r="M49" i="5" s="1"/>
  <c r="M55" i="5"/>
  <c r="E146" i="4"/>
  <c r="L81" i="5"/>
  <c r="N83" i="5"/>
  <c r="G193" i="4"/>
  <c r="G123" i="4"/>
  <c r="E196" i="4"/>
  <c r="E199" i="4"/>
  <c r="G125" i="4"/>
  <c r="S51" i="5" s="1"/>
  <c r="E216" i="4"/>
  <c r="H236" i="4"/>
  <c r="H235" i="4" s="1"/>
  <c r="G282" i="4"/>
  <c r="S104" i="5" s="1"/>
  <c r="E285" i="4"/>
  <c r="E286" i="4"/>
  <c r="E287" i="4"/>
  <c r="E331" i="4"/>
  <c r="E348" i="4"/>
  <c r="E381" i="4"/>
  <c r="S40" i="5"/>
  <c r="L45" i="5"/>
  <c r="L64" i="5"/>
  <c r="K69" i="5"/>
  <c r="J70" i="5"/>
  <c r="N70" i="5"/>
  <c r="K80" i="5"/>
  <c r="K84" i="5"/>
  <c r="N171" i="5"/>
  <c r="E30" i="8"/>
  <c r="F26" i="8"/>
  <c r="E137" i="8"/>
  <c r="F148" i="8"/>
  <c r="F150" i="8"/>
  <c r="F149" i="8" s="1"/>
  <c r="E151" i="8"/>
  <c r="E152" i="8"/>
  <c r="E153" i="8"/>
  <c r="E154" i="8"/>
  <c r="F155" i="8"/>
  <c r="E203" i="8"/>
  <c r="E221" i="8"/>
  <c r="E233" i="8"/>
  <c r="I245" i="8"/>
  <c r="G148" i="8"/>
  <c r="E257" i="8"/>
  <c r="G263" i="8"/>
  <c r="E265" i="8"/>
  <c r="E266" i="8"/>
  <c r="E300" i="8"/>
  <c r="E299" i="8" s="1"/>
  <c r="E329" i="8"/>
  <c r="E371" i="8"/>
  <c r="H407" i="8"/>
  <c r="E407" i="8" s="1"/>
  <c r="H26" i="9"/>
  <c r="H28" i="9"/>
  <c r="E151" i="9"/>
  <c r="F145" i="9"/>
  <c r="E566" i="9"/>
  <c r="I565" i="9"/>
  <c r="E565" i="9" s="1"/>
  <c r="F605" i="9"/>
  <c r="F600" i="9"/>
  <c r="Q16" i="10"/>
  <c r="K8" i="10"/>
  <c r="O21" i="10"/>
  <c r="I8" i="10"/>
  <c r="I18" i="10"/>
  <c r="O18" i="10" s="1"/>
  <c r="Q74" i="10"/>
  <c r="K69" i="10"/>
  <c r="I89" i="11"/>
  <c r="I85" i="11"/>
  <c r="E30" i="13"/>
  <c r="F120" i="13"/>
  <c r="E241" i="13"/>
  <c r="E240" i="13" s="1"/>
  <c r="H240" i="13"/>
  <c r="H18" i="13"/>
  <c r="H224" i="13"/>
  <c r="H223" i="13" s="1"/>
  <c r="E503" i="8"/>
  <c r="E570" i="8"/>
  <c r="E574" i="8"/>
  <c r="E596" i="8"/>
  <c r="E604" i="8"/>
  <c r="E32" i="9"/>
  <c r="E33" i="9"/>
  <c r="I28" i="9"/>
  <c r="E95" i="9"/>
  <c r="E101" i="9"/>
  <c r="E117" i="9"/>
  <c r="E191" i="9"/>
  <c r="E215" i="9"/>
  <c r="E239" i="9"/>
  <c r="I146" i="9"/>
  <c r="I148" i="9"/>
  <c r="E311" i="9"/>
  <c r="E323" i="9"/>
  <c r="E404" i="9"/>
  <c r="I401" i="9"/>
  <c r="I400" i="9" s="1"/>
  <c r="I399" i="9" s="1"/>
  <c r="I398" i="9" s="1"/>
  <c r="I397" i="9" s="1"/>
  <c r="I396" i="9" s="1"/>
  <c r="I395" i="9" s="1"/>
  <c r="E503" i="9"/>
  <c r="G569" i="9"/>
  <c r="I569" i="9"/>
  <c r="E581" i="9"/>
  <c r="E602" i="9"/>
  <c r="F603" i="9"/>
  <c r="E603" i="9" s="1"/>
  <c r="E601" i="9"/>
  <c r="Q7" i="10"/>
  <c r="L10" i="10"/>
  <c r="AB29" i="10"/>
  <c r="N32" i="10"/>
  <c r="H45" i="10"/>
  <c r="N45" i="10" s="1"/>
  <c r="P48" i="10"/>
  <c r="N49" i="10"/>
  <c r="N54" i="10"/>
  <c r="K57" i="10"/>
  <c r="Q57" i="10" s="1"/>
  <c r="Q63" i="10"/>
  <c r="R68" i="10"/>
  <c r="H80" i="10"/>
  <c r="H75" i="10" s="1"/>
  <c r="R92" i="10"/>
  <c r="E47" i="11"/>
  <c r="F89" i="11"/>
  <c r="E92" i="11"/>
  <c r="E119" i="11"/>
  <c r="E137" i="11"/>
  <c r="E147" i="11"/>
  <c r="E185" i="11"/>
  <c r="H159" i="11"/>
  <c r="E209" i="11"/>
  <c r="G24" i="13"/>
  <c r="E32" i="13"/>
  <c r="F26" i="13"/>
  <c r="F27" i="13"/>
  <c r="F28" i="13"/>
  <c r="H44" i="13"/>
  <c r="H24" i="13"/>
  <c r="H23" i="13" s="1"/>
  <c r="G126" i="13"/>
  <c r="G120" i="13" s="1"/>
  <c r="I264" i="13"/>
  <c r="E283" i="13"/>
  <c r="F282" i="13"/>
  <c r="E282" i="13" s="1"/>
  <c r="F265" i="13"/>
  <c r="F264" i="13" s="1"/>
  <c r="F379" i="13"/>
  <c r="I378" i="13"/>
  <c r="E69" i="16"/>
  <c r="E68" i="16" s="1"/>
  <c r="F68" i="16"/>
  <c r="F45" i="16"/>
  <c r="F44" i="16" s="1"/>
  <c r="E183" i="16"/>
  <c r="F117" i="16"/>
  <c r="G222" i="16"/>
  <c r="G384" i="16"/>
  <c r="I384" i="16"/>
  <c r="I380" i="16"/>
  <c r="I378" i="16" s="1"/>
  <c r="I350" i="23"/>
  <c r="I351" i="23"/>
  <c r="E364" i="23"/>
  <c r="H349" i="23"/>
  <c r="E805" i="23"/>
  <c r="E25" i="21" s="1"/>
  <c r="F25" i="21"/>
  <c r="G723" i="23"/>
  <c r="G21" i="21" s="1"/>
  <c r="G27" i="21"/>
  <c r="N27" i="21" s="1"/>
  <c r="E60" i="24"/>
  <c r="F58" i="24"/>
  <c r="E58" i="24" s="1"/>
  <c r="H19" i="24"/>
  <c r="W20" i="24" s="1"/>
  <c r="H166" i="24"/>
  <c r="I18" i="24"/>
  <c r="X19" i="24" s="1"/>
  <c r="F694" i="24"/>
  <c r="E694" i="24" s="1"/>
  <c r="E696" i="24"/>
  <c r="H28" i="22"/>
  <c r="E805" i="24"/>
  <c r="H29" i="22"/>
  <c r="U26" i="21"/>
  <c r="O26" i="21" s="1"/>
  <c r="H30" i="22"/>
  <c r="U27" i="21"/>
  <c r="O27" i="21" s="1"/>
  <c r="E403" i="8"/>
  <c r="E404" i="8"/>
  <c r="E405" i="8"/>
  <c r="E467" i="8"/>
  <c r="E479" i="8"/>
  <c r="E509" i="8"/>
  <c r="E575" i="8"/>
  <c r="E603" i="8"/>
  <c r="E611" i="8"/>
  <c r="G29" i="9"/>
  <c r="E52" i="9"/>
  <c r="E77" i="9"/>
  <c r="E137" i="9"/>
  <c r="E173" i="9"/>
  <c r="E221" i="9"/>
  <c r="F245" i="9"/>
  <c r="E249" i="9"/>
  <c r="E250" i="9"/>
  <c r="E251" i="9"/>
  <c r="F263" i="9"/>
  <c r="E269" i="9"/>
  <c r="G287" i="9"/>
  <c r="E329" i="9"/>
  <c r="G401" i="9"/>
  <c r="G400" i="9" s="1"/>
  <c r="G399" i="9" s="1"/>
  <c r="E406" i="9"/>
  <c r="E425" i="9"/>
  <c r="E438" i="9"/>
  <c r="F572" i="9"/>
  <c r="E573" i="9"/>
  <c r="E574" i="9"/>
  <c r="E575" i="9"/>
  <c r="E610" i="9"/>
  <c r="O7" i="10"/>
  <c r="L8" i="10"/>
  <c r="L5" i="10" s="1"/>
  <c r="O9" i="10"/>
  <c r="Q26" i="10"/>
  <c r="P36" i="10"/>
  <c r="H37" i="10"/>
  <c r="H36" i="10" s="1"/>
  <c r="F36" i="10" s="1"/>
  <c r="H40" i="10"/>
  <c r="H47" i="10"/>
  <c r="N47" i="10" s="1"/>
  <c r="R106" i="10"/>
  <c r="G17" i="11"/>
  <c r="E19" i="11"/>
  <c r="H28" i="11"/>
  <c r="E62" i="11"/>
  <c r="E90" i="11"/>
  <c r="G85" i="11"/>
  <c r="E144" i="11"/>
  <c r="E149" i="11"/>
  <c r="E81" i="13"/>
  <c r="E83" i="13"/>
  <c r="E85" i="13"/>
  <c r="H117" i="13"/>
  <c r="E145" i="13"/>
  <c r="E157" i="13"/>
  <c r="H118" i="13"/>
  <c r="H181" i="13"/>
  <c r="E193" i="13"/>
  <c r="F200" i="13"/>
  <c r="F199" i="13" s="1"/>
  <c r="H221" i="13"/>
  <c r="H372" i="13"/>
  <c r="E372" i="13" s="1"/>
  <c r="H20" i="13"/>
  <c r="E20" i="13" s="1"/>
  <c r="I384" i="13"/>
  <c r="E31" i="16"/>
  <c r="E32" i="16"/>
  <c r="E34" i="16"/>
  <c r="G181" i="16"/>
  <c r="G116" i="16"/>
  <c r="E225" i="16"/>
  <c r="E388" i="16"/>
  <c r="P29" i="21"/>
  <c r="E658" i="23"/>
  <c r="G802" i="23"/>
  <c r="G22" i="21" s="1"/>
  <c r="G23" i="21"/>
  <c r="N23" i="21" s="1"/>
  <c r="E23" i="24"/>
  <c r="F17" i="24"/>
  <c r="U18" i="24" s="1"/>
  <c r="H680" i="24"/>
  <c r="G680" i="24" s="1"/>
  <c r="I674" i="24"/>
  <c r="I596" i="24" s="1"/>
  <c r="O26" i="24" s="1"/>
  <c r="H719" i="24"/>
  <c r="E725" i="24"/>
  <c r="H722" i="24"/>
  <c r="H723" i="24"/>
  <c r="H802" i="24"/>
  <c r="I27" i="22"/>
  <c r="V24" i="21"/>
  <c r="P24" i="21" s="1"/>
  <c r="E425" i="8"/>
  <c r="E455" i="8"/>
  <c r="E515" i="8"/>
  <c r="H569" i="8"/>
  <c r="E581" i="8"/>
  <c r="E587" i="8"/>
  <c r="H605" i="8"/>
  <c r="E21" i="9"/>
  <c r="G28" i="9"/>
  <c r="E53" i="9"/>
  <c r="E83" i="9"/>
  <c r="E116" i="9"/>
  <c r="E179" i="9"/>
  <c r="E203" i="9"/>
  <c r="E227" i="9"/>
  <c r="E248" i="9"/>
  <c r="E257" i="9"/>
  <c r="E265" i="9"/>
  <c r="E268" i="9"/>
  <c r="E275" i="9"/>
  <c r="E335" i="9"/>
  <c r="E371" i="9"/>
  <c r="E437" i="9"/>
  <c r="E467" i="9"/>
  <c r="E611" i="9"/>
  <c r="J5" i="10"/>
  <c r="O105" i="10"/>
  <c r="R107" i="10"/>
  <c r="H110" i="10"/>
  <c r="H105" i="10" s="1"/>
  <c r="E22" i="11"/>
  <c r="G29" i="11"/>
  <c r="I27" i="11"/>
  <c r="H59" i="11"/>
  <c r="E101" i="11"/>
  <c r="E107" i="11"/>
  <c r="E130" i="11"/>
  <c r="E145" i="11"/>
  <c r="E195" i="11"/>
  <c r="E196" i="11"/>
  <c r="E197" i="11"/>
  <c r="E46" i="13"/>
  <c r="E47" i="13"/>
  <c r="E49" i="13"/>
  <c r="E50" i="13"/>
  <c r="E128" i="13"/>
  <c r="F122" i="13"/>
  <c r="H199" i="13"/>
  <c r="E349" i="13"/>
  <c r="I348" i="13"/>
  <c r="E383" i="13"/>
  <c r="E49" i="16"/>
  <c r="F28" i="16"/>
  <c r="E206" i="16"/>
  <c r="F205" i="16"/>
  <c r="F200" i="16"/>
  <c r="E200" i="16" s="1"/>
  <c r="F544" i="23"/>
  <c r="F540" i="23"/>
  <c r="E546" i="23"/>
  <c r="E544" i="23" s="1"/>
  <c r="E666" i="23"/>
  <c r="E664" i="23" s="1"/>
  <c r="F664" i="23"/>
  <c r="E786" i="23"/>
  <c r="H726" i="23"/>
  <c r="H724" i="23" s="1"/>
  <c r="H784" i="23"/>
  <c r="E784" i="23" s="1"/>
  <c r="E911" i="23"/>
  <c r="G910" i="23"/>
  <c r="F622" i="24"/>
  <c r="E643" i="24"/>
  <c r="E640" i="24" s="1"/>
  <c r="G640" i="24"/>
  <c r="H44" i="16"/>
  <c r="E56" i="16"/>
  <c r="E85" i="16"/>
  <c r="I120" i="16"/>
  <c r="E169" i="16"/>
  <c r="E185" i="16"/>
  <c r="E349" i="16"/>
  <c r="E386" i="16"/>
  <c r="L33" i="21"/>
  <c r="E112" i="23"/>
  <c r="E148" i="23"/>
  <c r="F232" i="23"/>
  <c r="F228" i="23"/>
  <c r="E228" i="23" s="1"/>
  <c r="F351" i="23"/>
  <c r="E370" i="23"/>
  <c r="E442" i="23"/>
  <c r="H448" i="23"/>
  <c r="F460" i="23"/>
  <c r="E462" i="23"/>
  <c r="E508" i="23"/>
  <c r="E634" i="23"/>
  <c r="E696" i="23"/>
  <c r="F694" i="23"/>
  <c r="E694" i="23" s="1"/>
  <c r="E706" i="23"/>
  <c r="E790" i="23"/>
  <c r="G928" i="23"/>
  <c r="U41" i="24"/>
  <c r="H17" i="24"/>
  <c r="W18" i="24" s="1"/>
  <c r="E51" i="24"/>
  <c r="F45" i="24"/>
  <c r="E45" i="24" s="1"/>
  <c r="R45" i="24" s="1"/>
  <c r="W45" i="24" s="1"/>
  <c r="E90" i="24"/>
  <c r="F88" i="24"/>
  <c r="E88" i="24" s="1"/>
  <c r="E197" i="24"/>
  <c r="E196" i="24" s="1"/>
  <c r="F196" i="24"/>
  <c r="H286" i="24"/>
  <c r="I316" i="24"/>
  <c r="E358" i="24"/>
  <c r="E453" i="24"/>
  <c r="H520" i="24"/>
  <c r="H681" i="24"/>
  <c r="G681" i="24" s="1"/>
  <c r="I675" i="24"/>
  <c r="I597" i="24" s="1"/>
  <c r="O27" i="24" s="1"/>
  <c r="E688" i="24"/>
  <c r="I719" i="24"/>
  <c r="F26" i="22"/>
  <c r="E804" i="24"/>
  <c r="F27" i="22"/>
  <c r="I802" i="24"/>
  <c r="I28" i="22"/>
  <c r="E940" i="24"/>
  <c r="H215" i="11"/>
  <c r="G17" i="13"/>
  <c r="H10" i="13"/>
  <c r="H16" i="13" s="1"/>
  <c r="E56" i="13"/>
  <c r="E68" i="13"/>
  <c r="E75" i="13"/>
  <c r="E74" i="13" s="1"/>
  <c r="E169" i="13"/>
  <c r="F181" i="13"/>
  <c r="E187" i="13"/>
  <c r="E204" i="13"/>
  <c r="E206" i="13"/>
  <c r="E268" i="13"/>
  <c r="E269" i="13"/>
  <c r="E276" i="13"/>
  <c r="E318" i="13"/>
  <c r="E342" i="13"/>
  <c r="H348" i="13"/>
  <c r="E351" i="13"/>
  <c r="E352" i="13"/>
  <c r="E353" i="13"/>
  <c r="F354" i="13"/>
  <c r="E354" i="13" s="1"/>
  <c r="E389" i="13"/>
  <c r="E19" i="16"/>
  <c r="E30" i="16"/>
  <c r="I44" i="16"/>
  <c r="E62" i="16"/>
  <c r="I80" i="16"/>
  <c r="H26" i="16"/>
  <c r="E97" i="16"/>
  <c r="I117" i="16"/>
  <c r="F145" i="16"/>
  <c r="E145" i="16" s="1"/>
  <c r="H117" i="16"/>
  <c r="H118" i="16"/>
  <c r="E118" i="16" s="1"/>
  <c r="E201" i="16"/>
  <c r="E202" i="16"/>
  <c r="E226" i="16"/>
  <c r="I222" i="16"/>
  <c r="E282" i="16"/>
  <c r="E306" i="16"/>
  <c r="E360" i="16"/>
  <c r="F382" i="16"/>
  <c r="E382" i="16" s="1"/>
  <c r="M24" i="21"/>
  <c r="O30" i="21"/>
  <c r="N32" i="21"/>
  <c r="M33" i="21"/>
  <c r="G40" i="23"/>
  <c r="T40" i="23" s="1"/>
  <c r="E47" i="23"/>
  <c r="F41" i="23"/>
  <c r="S41" i="23" s="1"/>
  <c r="E49" i="23"/>
  <c r="E76" i="23"/>
  <c r="E120" i="23"/>
  <c r="F118" i="23"/>
  <c r="E118" i="23" s="1"/>
  <c r="F124" i="23"/>
  <c r="I154" i="23"/>
  <c r="E196" i="23"/>
  <c r="E231" i="23"/>
  <c r="E240" i="23"/>
  <c r="E264" i="23"/>
  <c r="E262" i="23" s="1"/>
  <c r="E291" i="23"/>
  <c r="F292" i="23"/>
  <c r="F288" i="23"/>
  <c r="E288" i="23" s="1"/>
  <c r="E319" i="23"/>
  <c r="E332" i="23"/>
  <c r="E381" i="23"/>
  <c r="E382" i="23"/>
  <c r="H394" i="23"/>
  <c r="E412" i="23"/>
  <c r="H347" i="23"/>
  <c r="H550" i="23"/>
  <c r="E654" i="23"/>
  <c r="E652" i="23" s="1"/>
  <c r="F652" i="23"/>
  <c r="E725" i="23"/>
  <c r="G721" i="23"/>
  <c r="G19" i="21" s="1"/>
  <c r="F723" i="23"/>
  <c r="E742" i="23"/>
  <c r="E766" i="23"/>
  <c r="E778" i="23"/>
  <c r="F808" i="23"/>
  <c r="E811" i="23"/>
  <c r="E31" i="21" s="1"/>
  <c r="E820" i="23"/>
  <c r="E832" i="23"/>
  <c r="I874" i="23"/>
  <c r="I721" i="23"/>
  <c r="I19" i="21" s="1"/>
  <c r="I928" i="23"/>
  <c r="I19" i="24"/>
  <c r="I21" i="24"/>
  <c r="E34" i="24"/>
  <c r="E112" i="24"/>
  <c r="G154" i="24"/>
  <c r="E155" i="24"/>
  <c r="E220" i="24"/>
  <c r="E250" i="24"/>
  <c r="E290" i="24"/>
  <c r="E294" i="24"/>
  <c r="E292" i="24" s="1"/>
  <c r="F288" i="24"/>
  <c r="F286" i="24" s="1"/>
  <c r="E312" i="24"/>
  <c r="E310" i="24" s="1"/>
  <c r="F310" i="24"/>
  <c r="F306" i="24"/>
  <c r="E306" i="24" s="1"/>
  <c r="E317" i="24"/>
  <c r="F316" i="24"/>
  <c r="E340" i="24"/>
  <c r="E406" i="24"/>
  <c r="G494" i="24"/>
  <c r="G464" i="24" s="1"/>
  <c r="G350" i="24" s="1"/>
  <c r="G465" i="24"/>
  <c r="G351" i="24" s="1"/>
  <c r="I520" i="24"/>
  <c r="E524" i="24"/>
  <c r="E525" i="24"/>
  <c r="E630" i="24"/>
  <c r="E628" i="24" s="1"/>
  <c r="F628" i="24"/>
  <c r="I676" i="24"/>
  <c r="G719" i="24"/>
  <c r="F719" i="24"/>
  <c r="E790" i="24"/>
  <c r="E223" i="11"/>
  <c r="I44" i="13"/>
  <c r="E103" i="13"/>
  <c r="E163" i="13"/>
  <c r="E186" i="13"/>
  <c r="E201" i="13"/>
  <c r="E202" i="13"/>
  <c r="E203" i="13"/>
  <c r="F219" i="13"/>
  <c r="E234" i="13"/>
  <c r="E252" i="13"/>
  <c r="E258" i="13"/>
  <c r="G221" i="13"/>
  <c r="E324" i="13"/>
  <c r="E366" i="13"/>
  <c r="H384" i="13"/>
  <c r="E390" i="13"/>
  <c r="H25" i="16"/>
  <c r="E46" i="16"/>
  <c r="E47" i="16"/>
  <c r="E81" i="16"/>
  <c r="E103" i="16"/>
  <c r="E124" i="16"/>
  <c r="F119" i="16"/>
  <c r="F120" i="16"/>
  <c r="E157" i="16"/>
  <c r="E204" i="16"/>
  <c r="E211" i="16"/>
  <c r="G223" i="16"/>
  <c r="G221" i="16"/>
  <c r="E252" i="16"/>
  <c r="F221" i="16"/>
  <c r="E270" i="16"/>
  <c r="E288" i="16"/>
  <c r="E330" i="16"/>
  <c r="E352" i="16"/>
  <c r="E366" i="16"/>
  <c r="F380" i="16"/>
  <c r="H384" i="16"/>
  <c r="E389" i="16"/>
  <c r="E390" i="16"/>
  <c r="N24" i="21"/>
  <c r="O33" i="21"/>
  <c r="I20" i="23"/>
  <c r="E64" i="23"/>
  <c r="E171" i="23"/>
  <c r="G159" i="23"/>
  <c r="G154" i="23" s="1"/>
  <c r="E242" i="23"/>
  <c r="E388" i="23"/>
  <c r="F520" i="23"/>
  <c r="E522" i="23"/>
  <c r="G604" i="23"/>
  <c r="E604" i="23" s="1"/>
  <c r="I675" i="23"/>
  <c r="I597" i="23" s="1"/>
  <c r="O27" i="23" s="1"/>
  <c r="H681" i="23"/>
  <c r="G681" i="23" s="1"/>
  <c r="E803" i="23"/>
  <c r="E23" i="21" s="1"/>
  <c r="E807" i="23"/>
  <c r="E27" i="21" s="1"/>
  <c r="E879" i="23"/>
  <c r="E913" i="23"/>
  <c r="E916" i="23"/>
  <c r="F934" i="23"/>
  <c r="E935" i="23"/>
  <c r="F929" i="23"/>
  <c r="E929" i="23" s="1"/>
  <c r="I22" i="24"/>
  <c r="H46" i="24"/>
  <c r="H42" i="24"/>
  <c r="H40" i="24" s="1"/>
  <c r="U40" i="24" s="1"/>
  <c r="E70" i="24"/>
  <c r="E126" i="24"/>
  <c r="E124" i="24" s="1"/>
  <c r="F124" i="24"/>
  <c r="H238" i="24"/>
  <c r="E380" i="24"/>
  <c r="F350" i="24"/>
  <c r="E450" i="24"/>
  <c r="E454" i="24"/>
  <c r="E462" i="24"/>
  <c r="F508" i="24"/>
  <c r="F532" i="24"/>
  <c r="F522" i="24"/>
  <c r="F520" i="24" s="1"/>
  <c r="E544" i="24"/>
  <c r="E557" i="24"/>
  <c r="E551" i="24" s="1"/>
  <c r="F551" i="24"/>
  <c r="F550" i="24" s="1"/>
  <c r="E660" i="24"/>
  <c r="E658" i="24" s="1"/>
  <c r="F658" i="24"/>
  <c r="I672" i="24"/>
  <c r="I594" i="24" s="1"/>
  <c r="O24" i="24" s="1"/>
  <c r="E715" i="24"/>
  <c r="E712" i="24" s="1"/>
  <c r="F712" i="24"/>
  <c r="E729" i="24"/>
  <c r="E736" i="24"/>
  <c r="E748" i="24"/>
  <c r="E760" i="24"/>
  <c r="G910" i="24"/>
  <c r="E911" i="24"/>
  <c r="G20" i="23"/>
  <c r="V21" i="23" s="1"/>
  <c r="E34" i="23"/>
  <c r="E130" i="23"/>
  <c r="G148" i="23"/>
  <c r="E155" i="23"/>
  <c r="E187" i="23"/>
  <c r="F196" i="23"/>
  <c r="I286" i="23"/>
  <c r="F304" i="23"/>
  <c r="I316" i="23"/>
  <c r="E330" i="23"/>
  <c r="E334" i="23"/>
  <c r="G352" i="23"/>
  <c r="E358" i="23"/>
  <c r="H351" i="23"/>
  <c r="E395" i="23"/>
  <c r="E418" i="23"/>
  <c r="E450" i="23"/>
  <c r="E453" i="23"/>
  <c r="E454" i="23"/>
  <c r="E464" i="23"/>
  <c r="E484" i="23"/>
  <c r="E490" i="23"/>
  <c r="E514" i="23"/>
  <c r="E524" i="23"/>
  <c r="I347" i="23"/>
  <c r="E552" i="23"/>
  <c r="E582" i="23"/>
  <c r="H598" i="23"/>
  <c r="U598" i="23" s="1"/>
  <c r="E602" i="23"/>
  <c r="R602" i="23" s="1"/>
  <c r="E702" i="23"/>
  <c r="E700" i="23" s="1"/>
  <c r="E760" i="23"/>
  <c r="H719" i="23"/>
  <c r="H17" i="21" s="1"/>
  <c r="H722" i="23"/>
  <c r="H20" i="21" s="1"/>
  <c r="E862" i="23"/>
  <c r="E904" i="23"/>
  <c r="E915" i="23"/>
  <c r="E940" i="23"/>
  <c r="G20" i="24"/>
  <c r="V21" i="24" s="1"/>
  <c r="E31" i="24"/>
  <c r="E52" i="24"/>
  <c r="F42" i="24"/>
  <c r="S42" i="24" s="1"/>
  <c r="E100" i="24"/>
  <c r="E118" i="24"/>
  <c r="E130" i="24"/>
  <c r="E142" i="24"/>
  <c r="I154" i="24"/>
  <c r="E159" i="24"/>
  <c r="E170" i="24"/>
  <c r="E172" i="24"/>
  <c r="E187" i="24"/>
  <c r="E190" i="24"/>
  <c r="I286" i="24"/>
  <c r="E318" i="24"/>
  <c r="E329" i="24"/>
  <c r="I20" i="24"/>
  <c r="E357" i="24"/>
  <c r="E382" i="24"/>
  <c r="E472" i="24"/>
  <c r="E502" i="24"/>
  <c r="E508" i="24"/>
  <c r="E521" i="24"/>
  <c r="E523" i="24"/>
  <c r="F574" i="24"/>
  <c r="E610" i="24"/>
  <c r="E682" i="24"/>
  <c r="F721" i="24"/>
  <c r="E728" i="24"/>
  <c r="I724" i="24"/>
  <c r="E742" i="24"/>
  <c r="E754" i="24"/>
  <c r="E772" i="24"/>
  <c r="E796" i="24"/>
  <c r="E886" i="24"/>
  <c r="E892" i="24"/>
  <c r="H928" i="24"/>
  <c r="E94" i="23"/>
  <c r="E188" i="23"/>
  <c r="E208" i="23"/>
  <c r="E214" i="23"/>
  <c r="E220" i="23"/>
  <c r="H226" i="23"/>
  <c r="E230" i="23"/>
  <c r="G238" i="23"/>
  <c r="E244" i="23"/>
  <c r="E318" i="23"/>
  <c r="E356" i="23"/>
  <c r="E378" i="23"/>
  <c r="F349" i="23"/>
  <c r="E380" i="23"/>
  <c r="E396" i="23"/>
  <c r="E398" i="23"/>
  <c r="E400" i="23"/>
  <c r="E424" i="23"/>
  <c r="E430" i="23"/>
  <c r="E463" i="23"/>
  <c r="E472" i="23"/>
  <c r="E478" i="23"/>
  <c r="F508" i="23"/>
  <c r="I520" i="23"/>
  <c r="E541" i="23"/>
  <c r="F350" i="23"/>
  <c r="E580" i="23"/>
  <c r="E610" i="23"/>
  <c r="E688" i="23"/>
  <c r="I724" i="23"/>
  <c r="I720" i="23"/>
  <c r="I18" i="21" s="1"/>
  <c r="I722" i="23"/>
  <c r="I20" i="21" s="1"/>
  <c r="H723" i="23"/>
  <c r="H21" i="21" s="1"/>
  <c r="E748" i="23"/>
  <c r="I802" i="23"/>
  <c r="I22" i="21" s="1"/>
  <c r="E877" i="23"/>
  <c r="E878" i="23"/>
  <c r="E880" i="23"/>
  <c r="H22" i="24"/>
  <c r="H21" i="24"/>
  <c r="E136" i="24"/>
  <c r="E156" i="24"/>
  <c r="E171" i="24"/>
  <c r="E214" i="24"/>
  <c r="E242" i="24"/>
  <c r="E244" i="24"/>
  <c r="E276" i="24"/>
  <c r="E274" i="24" s="1"/>
  <c r="E321" i="24"/>
  <c r="E377" i="24"/>
  <c r="E378" i="24"/>
  <c r="E379" i="24"/>
  <c r="I376" i="24"/>
  <c r="E412" i="24"/>
  <c r="G448" i="24"/>
  <c r="E451" i="24"/>
  <c r="E478" i="24"/>
  <c r="E490" i="24"/>
  <c r="F538" i="24"/>
  <c r="E586" i="24"/>
  <c r="I595" i="24"/>
  <c r="O25" i="24" s="1"/>
  <c r="G724" i="24"/>
  <c r="E814" i="24"/>
  <c r="E832" i="24"/>
  <c r="E876" i="24"/>
  <c r="E877" i="24"/>
  <c r="E878" i="24"/>
  <c r="E898" i="24"/>
  <c r="I723" i="24"/>
  <c r="I928" i="24"/>
  <c r="E660" i="36"/>
  <c r="G659" i="36"/>
  <c r="Q38" i="2"/>
  <c r="A38" i="2"/>
  <c r="I221" i="1"/>
  <c r="I8" i="1"/>
  <c r="I14" i="1" s="1"/>
  <c r="I127" i="4"/>
  <c r="U52" i="5" s="1"/>
  <c r="I122" i="4"/>
  <c r="U53" i="5"/>
  <c r="H125" i="1"/>
  <c r="H161" i="1"/>
  <c r="E164" i="1"/>
  <c r="I227" i="1"/>
  <c r="Q12" i="2"/>
  <c r="P23" i="2"/>
  <c r="Q23" i="2" s="1"/>
  <c r="Q37" i="2"/>
  <c r="A37" i="2"/>
  <c r="Q41" i="2"/>
  <c r="A41" i="2"/>
  <c r="Q62" i="2"/>
  <c r="A62" i="2"/>
  <c r="Q69" i="2"/>
  <c r="A69" i="2"/>
  <c r="Q80" i="2"/>
  <c r="O86" i="2"/>
  <c r="P86" i="2" s="1"/>
  <c r="A104" i="2"/>
  <c r="Q104" i="2"/>
  <c r="E230" i="3"/>
  <c r="F229" i="3"/>
  <c r="F224" i="3"/>
  <c r="G366" i="3"/>
  <c r="G226" i="3"/>
  <c r="E167" i="5"/>
  <c r="E397" i="3"/>
  <c r="D167" i="5" s="1"/>
  <c r="E34" i="4"/>
  <c r="L23" i="5"/>
  <c r="J45" i="5"/>
  <c r="E239" i="4"/>
  <c r="G233" i="4"/>
  <c r="G235" i="4"/>
  <c r="E306" i="4"/>
  <c r="G147" i="9"/>
  <c r="E31" i="1"/>
  <c r="G159" i="1"/>
  <c r="E228" i="1"/>
  <c r="A42" i="2"/>
  <c r="Q42" i="2"/>
  <c r="O63" i="2"/>
  <c r="P63" i="2" s="1"/>
  <c r="Q70" i="2"/>
  <c r="A70" i="2"/>
  <c r="E90" i="3"/>
  <c r="D41" i="5" s="1"/>
  <c r="E41" i="5"/>
  <c r="K41" i="5" s="1"/>
  <c r="F86" i="3"/>
  <c r="E190" i="3"/>
  <c r="F187" i="3"/>
  <c r="F124" i="3"/>
  <c r="E282" i="3"/>
  <c r="M40" i="5"/>
  <c r="J46" i="5"/>
  <c r="I378" i="4"/>
  <c r="I373" i="4" s="1"/>
  <c r="I230" i="4"/>
  <c r="Q29" i="2"/>
  <c r="A29" i="2"/>
  <c r="I9" i="20"/>
  <c r="E92" i="1"/>
  <c r="G94" i="1"/>
  <c r="G88" i="1" s="1"/>
  <c r="E100" i="1"/>
  <c r="E126" i="1"/>
  <c r="E162" i="1"/>
  <c r="Q56" i="2"/>
  <c r="A56" i="2"/>
  <c r="A64" i="2"/>
  <c r="Q81" i="2"/>
  <c r="Q93" i="2"/>
  <c r="A93" i="2"/>
  <c r="E20" i="3"/>
  <c r="H229" i="3"/>
  <c r="G227" i="3"/>
  <c r="L15" i="5"/>
  <c r="I50" i="4"/>
  <c r="U22" i="5" s="1"/>
  <c r="N40" i="5"/>
  <c r="F24" i="1"/>
  <c r="G173" i="1"/>
  <c r="E32" i="3"/>
  <c r="G29" i="3"/>
  <c r="G26" i="3"/>
  <c r="E194" i="4"/>
  <c r="H193" i="4"/>
  <c r="H122" i="4"/>
  <c r="E214" i="4"/>
  <c r="H211" i="4"/>
  <c r="H124" i="4"/>
  <c r="G87" i="1"/>
  <c r="F17" i="1"/>
  <c r="F29" i="1"/>
  <c r="F41" i="1"/>
  <c r="H137" i="1"/>
  <c r="E176" i="1"/>
  <c r="P11" i="2"/>
  <c r="A17" i="2"/>
  <c r="O58" i="2"/>
  <c r="P58" i="2" s="1"/>
  <c r="H38" i="5"/>
  <c r="N38" i="5" s="1"/>
  <c r="I86" i="3"/>
  <c r="H37" i="5" s="1"/>
  <c r="E252" i="3"/>
  <c r="E318" i="3"/>
  <c r="H167" i="5"/>
  <c r="I400" i="3"/>
  <c r="I396" i="3" s="1"/>
  <c r="H166" i="5" s="1"/>
  <c r="I402" i="3"/>
  <c r="E22" i="4"/>
  <c r="M38" i="5"/>
  <c r="G27" i="4"/>
  <c r="E90" i="4"/>
  <c r="Q41" i="5" s="1"/>
  <c r="G86" i="4"/>
  <c r="S37" i="5" s="1"/>
  <c r="S41" i="5"/>
  <c r="L41" i="5" s="1"/>
  <c r="K55" i="5"/>
  <c r="E212" i="4"/>
  <c r="F211" i="4"/>
  <c r="E337" i="4"/>
  <c r="H336" i="4"/>
  <c r="E336" i="4" s="1"/>
  <c r="H283" i="4"/>
  <c r="H18" i="4"/>
  <c r="I89" i="1"/>
  <c r="H24" i="1"/>
  <c r="G85" i="1"/>
  <c r="F90" i="1"/>
  <c r="F160" i="1"/>
  <c r="G226" i="1"/>
  <c r="E226" i="1" s="1"/>
  <c r="A21" i="2"/>
  <c r="Q51" i="2"/>
  <c r="A51" i="2"/>
  <c r="A59" i="2"/>
  <c r="A65" i="2"/>
  <c r="Q65" i="2"/>
  <c r="E53" i="3"/>
  <c r="E280" i="3"/>
  <c r="E360" i="3"/>
  <c r="E401" i="3"/>
  <c r="E32" i="4"/>
  <c r="G29" i="4"/>
  <c r="E29" i="4" s="1"/>
  <c r="G26" i="4"/>
  <c r="M41" i="5"/>
  <c r="F59" i="1"/>
  <c r="G191" i="1"/>
  <c r="E191" i="1" s="1"/>
  <c r="Q32" i="2"/>
  <c r="A32" i="2"/>
  <c r="Q52" i="2"/>
  <c r="A52" i="2"/>
  <c r="Q72" i="2"/>
  <c r="A72" i="2"/>
  <c r="A88" i="2"/>
  <c r="Q88" i="2"/>
  <c r="A102" i="2"/>
  <c r="Q102" i="2"/>
  <c r="E404" i="3"/>
  <c r="G398" i="3"/>
  <c r="M43" i="5"/>
  <c r="G137" i="1"/>
  <c r="A53" i="2"/>
  <c r="Q53" i="2"/>
  <c r="Q66" i="2"/>
  <c r="A66" i="2"/>
  <c r="Q73" i="2"/>
  <c r="A73" i="2"/>
  <c r="Q84" i="2"/>
  <c r="A84" i="2"/>
  <c r="A95" i="2"/>
  <c r="Q95" i="2"/>
  <c r="F83" i="5"/>
  <c r="L83" i="5" s="1"/>
  <c r="E181" i="3"/>
  <c r="D83" i="5" s="1"/>
  <c r="K39" i="5"/>
  <c r="N55" i="5"/>
  <c r="Q39" i="2"/>
  <c r="A45" i="2"/>
  <c r="Q45" i="2"/>
  <c r="A54" i="2"/>
  <c r="Q67" i="2"/>
  <c r="A67" i="2"/>
  <c r="E53" i="4"/>
  <c r="G50" i="4"/>
  <c r="S22" i="5" s="1"/>
  <c r="L39" i="5"/>
  <c r="M42" i="5"/>
  <c r="R56" i="5"/>
  <c r="K56" i="5" s="1"/>
  <c r="E131" i="4"/>
  <c r="Q56" i="5" s="1"/>
  <c r="F125" i="4"/>
  <c r="E330" i="4"/>
  <c r="E384" i="4"/>
  <c r="F156" i="1"/>
  <c r="E192" i="1"/>
  <c r="G222" i="1"/>
  <c r="A74" i="2"/>
  <c r="Q74" i="2"/>
  <c r="Q96" i="2"/>
  <c r="A96" i="2"/>
  <c r="I17" i="3"/>
  <c r="H14" i="5" s="1"/>
  <c r="I29" i="3"/>
  <c r="H127" i="3"/>
  <c r="G52" i="5" s="1"/>
  <c r="G53" i="5"/>
  <c r="H122" i="3"/>
  <c r="E20" i="4"/>
  <c r="G17" i="4"/>
  <c r="S14" i="5" s="1"/>
  <c r="S17" i="5"/>
  <c r="L24" i="5"/>
  <c r="N42" i="5"/>
  <c r="E419" i="4"/>
  <c r="H413" i="4"/>
  <c r="E413" i="4" s="1"/>
  <c r="J77" i="6"/>
  <c r="Q40" i="2"/>
  <c r="A40" i="2"/>
  <c r="P61" i="2"/>
  <c r="A68" i="2"/>
  <c r="Q68" i="2"/>
  <c r="Q75" i="2"/>
  <c r="A75" i="2"/>
  <c r="E22" i="3"/>
  <c r="E34" i="3"/>
  <c r="D25" i="5"/>
  <c r="E74" i="3"/>
  <c r="D24" i="5" s="1"/>
  <c r="E192" i="3"/>
  <c r="E232" i="3"/>
  <c r="E307" i="3"/>
  <c r="H277" i="3"/>
  <c r="H306" i="3"/>
  <c r="E306" i="3" s="1"/>
  <c r="H18" i="3"/>
  <c r="M24" i="5"/>
  <c r="N39" i="5"/>
  <c r="J43" i="5"/>
  <c r="M56" i="5"/>
  <c r="E379" i="4"/>
  <c r="E382" i="4"/>
  <c r="F233" i="4"/>
  <c r="F378" i="4"/>
  <c r="E417" i="4"/>
  <c r="F414" i="4"/>
  <c r="F411" i="4"/>
  <c r="E88" i="3"/>
  <c r="D39" i="5" s="1"/>
  <c r="E319" i="3"/>
  <c r="H330" i="3"/>
  <c r="E330" i="3" s="1"/>
  <c r="E361" i="3"/>
  <c r="F402" i="3"/>
  <c r="E407" i="3"/>
  <c r="E129" i="4"/>
  <c r="Q54" i="5" s="1"/>
  <c r="E247" i="4"/>
  <c r="E246" i="4" s="1"/>
  <c r="E415" i="4"/>
  <c r="Q169" i="5" s="1"/>
  <c r="U23" i="5"/>
  <c r="L80" i="5"/>
  <c r="H27" i="8"/>
  <c r="H29" i="8"/>
  <c r="A89" i="2"/>
  <c r="E129" i="3"/>
  <c r="D54" i="5" s="1"/>
  <c r="E169" i="3"/>
  <c r="D81" i="5" s="1"/>
  <c r="J81" i="5" s="1"/>
  <c r="I225" i="3"/>
  <c r="F228" i="3"/>
  <c r="E233" i="3"/>
  <c r="G402" i="3"/>
  <c r="E134" i="4"/>
  <c r="E163" i="4"/>
  <c r="Q79" i="5" s="1"/>
  <c r="E195" i="4"/>
  <c r="E420" i="4"/>
  <c r="Q170" i="5" s="1"/>
  <c r="R15" i="5"/>
  <c r="G23" i="5"/>
  <c r="F40" i="5"/>
  <c r="H56" i="5"/>
  <c r="N56" i="5" s="1"/>
  <c r="E21" i="8"/>
  <c r="E31" i="8"/>
  <c r="F25" i="8"/>
  <c r="E51" i="8"/>
  <c r="F27" i="8"/>
  <c r="E33" i="3"/>
  <c r="E134" i="3"/>
  <c r="E206" i="3"/>
  <c r="H240" i="3"/>
  <c r="F276" i="3"/>
  <c r="E370" i="3"/>
  <c r="F400" i="3"/>
  <c r="E405" i="3"/>
  <c r="I25" i="4"/>
  <c r="F28" i="4"/>
  <c r="E33" i="4"/>
  <c r="F86" i="4"/>
  <c r="K79" i="5"/>
  <c r="M81" i="5"/>
  <c r="F235" i="4"/>
  <c r="E240" i="4"/>
  <c r="H23" i="5"/>
  <c r="Q25" i="5"/>
  <c r="S53" i="5"/>
  <c r="L53" i="5" s="1"/>
  <c r="J68" i="5"/>
  <c r="I68" i="6"/>
  <c r="K70" i="6"/>
  <c r="K68" i="6" s="1"/>
  <c r="L79" i="5"/>
  <c r="N81" i="5"/>
  <c r="E15" i="5"/>
  <c r="T53" i="5"/>
  <c r="A18" i="2"/>
  <c r="A22" i="2"/>
  <c r="A26" i="2"/>
  <c r="A82" i="2"/>
  <c r="A85" i="2"/>
  <c r="A105" i="2"/>
  <c r="G86" i="3"/>
  <c r="F37" i="5" s="1"/>
  <c r="E109" i="3"/>
  <c r="D42" i="5" s="1"/>
  <c r="H86" i="4"/>
  <c r="T37" i="5" s="1"/>
  <c r="J82" i="5"/>
  <c r="L105" i="5"/>
  <c r="N169" i="5"/>
  <c r="U15" i="5"/>
  <c r="R54" i="5"/>
  <c r="K54" i="5" s="1"/>
  <c r="E170" i="5"/>
  <c r="K170" i="5" s="1"/>
  <c r="H47" i="6"/>
  <c r="H56" i="6"/>
  <c r="I47" i="8"/>
  <c r="I24" i="8"/>
  <c r="A90" i="2"/>
  <c r="H324" i="3"/>
  <c r="E324" i="3" s="1"/>
  <c r="E408" i="3"/>
  <c r="I86" i="4"/>
  <c r="U37" i="5" s="1"/>
  <c r="E130" i="4"/>
  <c r="Q55" i="5" s="1"/>
  <c r="E151" i="4"/>
  <c r="Q57" i="5" s="1"/>
  <c r="N79" i="5"/>
  <c r="E187" i="4"/>
  <c r="Q85" i="5" s="1"/>
  <c r="J85" i="5" s="1"/>
  <c r="H372" i="4"/>
  <c r="T110" i="5" s="1"/>
  <c r="M110" i="5" s="1"/>
  <c r="M105" i="5" s="1"/>
  <c r="H402" i="4"/>
  <c r="E402" i="4" s="1"/>
  <c r="E25" i="5"/>
  <c r="K25" i="5" s="1"/>
  <c r="S38" i="5"/>
  <c r="L38" i="5" s="1"/>
  <c r="A16" i="2"/>
  <c r="I122" i="3"/>
  <c r="E130" i="3"/>
  <c r="D55" i="5" s="1"/>
  <c r="G132" i="3"/>
  <c r="G126" i="3" s="1"/>
  <c r="N105" i="5"/>
  <c r="H15" i="5"/>
  <c r="E38" i="5"/>
  <c r="K38" i="5" s="1"/>
  <c r="H53" i="5"/>
  <c r="T54" i="5"/>
  <c r="M54" i="5" s="1"/>
  <c r="N68" i="5"/>
  <c r="A35" i="2"/>
  <c r="O57" i="2"/>
  <c r="A101" i="2"/>
  <c r="F29" i="3"/>
  <c r="G229" i="3"/>
  <c r="F168" i="5"/>
  <c r="F170" i="5"/>
  <c r="L170" i="5" s="1"/>
  <c r="H125" i="4"/>
  <c r="T51" i="5" s="1"/>
  <c r="E181" i="4"/>
  <c r="Q83" i="5" s="1"/>
  <c r="E373" i="4"/>
  <c r="Q111" i="5" s="1"/>
  <c r="J111" i="5" s="1"/>
  <c r="F54" i="5"/>
  <c r="L54" i="5" s="1"/>
  <c r="L58" i="5"/>
  <c r="M67" i="5"/>
  <c r="H92" i="6"/>
  <c r="A19" i="2"/>
  <c r="I224" i="3"/>
  <c r="G168" i="5"/>
  <c r="G170" i="5"/>
  <c r="M170" i="5" s="1"/>
  <c r="M57" i="5"/>
  <c r="K83" i="5"/>
  <c r="E41" i="8"/>
  <c r="I24" i="3"/>
  <c r="F128" i="3"/>
  <c r="H168" i="5"/>
  <c r="N168" i="5" s="1"/>
  <c r="H170" i="5"/>
  <c r="N170" i="5" s="1"/>
  <c r="I24" i="4"/>
  <c r="H409" i="4"/>
  <c r="G414" i="4"/>
  <c r="S168" i="5" s="1"/>
  <c r="H91" i="6"/>
  <c r="L90" i="6"/>
  <c r="D169" i="5"/>
  <c r="D171" i="5"/>
  <c r="J171" i="5" s="1"/>
  <c r="J58" i="5"/>
  <c r="H414" i="4"/>
  <c r="T168" i="5" s="1"/>
  <c r="E53" i="8"/>
  <c r="E49" i="8"/>
  <c r="G149" i="8"/>
  <c r="G144" i="8"/>
  <c r="E173" i="8"/>
  <c r="G356" i="9"/>
  <c r="E370" i="9"/>
  <c r="I369" i="9"/>
  <c r="Q77" i="10"/>
  <c r="AB75" i="10"/>
  <c r="F29" i="8"/>
  <c r="E34" i="8"/>
  <c r="E369" i="8"/>
  <c r="G263" i="9"/>
  <c r="H7" i="10"/>
  <c r="N15" i="10"/>
  <c r="H41" i="10"/>
  <c r="N41" i="10" s="1"/>
  <c r="I36" i="10"/>
  <c r="I12" i="10"/>
  <c r="O12" i="10" s="1"/>
  <c r="O41" i="10"/>
  <c r="E601" i="8"/>
  <c r="F599" i="8"/>
  <c r="E608" i="8"/>
  <c r="G605" i="8"/>
  <c r="G602" i="8"/>
  <c r="E118" i="9"/>
  <c r="F28" i="9"/>
  <c r="E233" i="9"/>
  <c r="E509" i="9"/>
  <c r="H292" i="8"/>
  <c r="H286" i="8" s="1"/>
  <c r="H387" i="8"/>
  <c r="E168" i="9"/>
  <c r="F150" i="9"/>
  <c r="F167" i="9"/>
  <c r="E167" i="9" s="1"/>
  <c r="I287" i="9"/>
  <c r="I282" i="9"/>
  <c r="E20" i="11"/>
  <c r="F17" i="11"/>
  <c r="I287" i="8"/>
  <c r="I286" i="8"/>
  <c r="E406" i="8"/>
  <c r="E573" i="8"/>
  <c r="H29" i="9"/>
  <c r="E161" i="9"/>
  <c r="E341" i="9"/>
  <c r="E50" i="8"/>
  <c r="G245" i="8"/>
  <c r="E115" i="9"/>
  <c r="I25" i="9"/>
  <c r="E317" i="8"/>
  <c r="E117" i="8"/>
  <c r="E444" i="8"/>
  <c r="H443" i="8"/>
  <c r="E443" i="8" s="1"/>
  <c r="H402" i="8"/>
  <c r="I569" i="8"/>
  <c r="I285" i="8"/>
  <c r="I605" i="8"/>
  <c r="E51" i="9"/>
  <c r="E377" i="9"/>
  <c r="H292" i="9"/>
  <c r="H387" i="9"/>
  <c r="E31" i="9"/>
  <c r="H25" i="9"/>
  <c r="E197" i="9"/>
  <c r="E486" i="8"/>
  <c r="H485" i="8"/>
  <c r="E485" i="8" s="1"/>
  <c r="E571" i="8"/>
  <c r="G569" i="8"/>
  <c r="G283" i="8"/>
  <c r="H47" i="9"/>
  <c r="H27" i="9"/>
  <c r="E246" i="9"/>
  <c r="G245" i="9"/>
  <c r="G144" i="9"/>
  <c r="E266" i="9"/>
  <c r="G146" i="9"/>
  <c r="F285" i="9"/>
  <c r="E305" i="9"/>
  <c r="E115" i="8"/>
  <c r="F113" i="8"/>
  <c r="I149" i="8"/>
  <c r="I146" i="8"/>
  <c r="E250" i="8"/>
  <c r="E610" i="8"/>
  <c r="E49" i="9"/>
  <c r="F25" i="9"/>
  <c r="F113" i="9"/>
  <c r="E153" i="9"/>
  <c r="E456" i="8"/>
  <c r="F569" i="8"/>
  <c r="H113" i="9"/>
  <c r="F284" i="9"/>
  <c r="R35" i="10"/>
  <c r="E246" i="8"/>
  <c r="H347" i="8"/>
  <c r="E347" i="8" s="1"/>
  <c r="H365" i="8"/>
  <c r="F593" i="8"/>
  <c r="F289" i="9"/>
  <c r="E403" i="9"/>
  <c r="J9" i="10"/>
  <c r="P22" i="10"/>
  <c r="J18" i="10"/>
  <c r="P18" i="10" s="1"/>
  <c r="E46" i="11"/>
  <c r="E387" i="13"/>
  <c r="F381" i="13"/>
  <c r="E381" i="13" s="1"/>
  <c r="G113" i="8"/>
  <c r="H288" i="8"/>
  <c r="E609" i="8"/>
  <c r="I29" i="9"/>
  <c r="G47" i="9"/>
  <c r="E78" i="9"/>
  <c r="E114" i="9"/>
  <c r="E247" i="9"/>
  <c r="E267" i="9"/>
  <c r="H300" i="9"/>
  <c r="H349" i="9"/>
  <c r="H431" i="9"/>
  <c r="E431" i="9" s="1"/>
  <c r="G599" i="9"/>
  <c r="Q45" i="10"/>
  <c r="K10" i="10"/>
  <c r="Q10" i="10" s="1"/>
  <c r="O75" i="10"/>
  <c r="H293" i="8"/>
  <c r="G357" i="8"/>
  <c r="R105" i="10"/>
  <c r="AC105" i="10"/>
  <c r="R104" i="10" s="1"/>
  <c r="E44" i="11"/>
  <c r="F41" i="11"/>
  <c r="F161" i="11"/>
  <c r="E161" i="11" s="1"/>
  <c r="F156" i="11"/>
  <c r="E162" i="11"/>
  <c r="E178" i="11"/>
  <c r="F160" i="11"/>
  <c r="E521" i="9"/>
  <c r="E604" i="9"/>
  <c r="O6" i="10"/>
  <c r="N25" i="10"/>
  <c r="J12" i="10"/>
  <c r="P35" i="10"/>
  <c r="I599" i="9"/>
  <c r="Z36" i="10"/>
  <c r="O37" i="10"/>
  <c r="Z8" i="10"/>
  <c r="AB37" i="10"/>
  <c r="Y37" i="10" s="1"/>
  <c r="H17" i="11"/>
  <c r="E64" i="11"/>
  <c r="F28" i="11"/>
  <c r="H431" i="8"/>
  <c r="E431" i="8" s="1"/>
  <c r="I565" i="8"/>
  <c r="F48" i="9"/>
  <c r="N21" i="10"/>
  <c r="E127" i="11"/>
  <c r="F85" i="11"/>
  <c r="F125" i="11"/>
  <c r="F605" i="8"/>
  <c r="E61" i="11"/>
  <c r="I25" i="11"/>
  <c r="I59" i="11"/>
  <c r="H89" i="11"/>
  <c r="H84" i="11"/>
  <c r="H600" i="8"/>
  <c r="H599" i="8" s="1"/>
  <c r="F288" i="9"/>
  <c r="H6" i="10"/>
  <c r="N6" i="10" s="1"/>
  <c r="N19" i="10"/>
  <c r="O81" i="10"/>
  <c r="E34" i="11"/>
  <c r="H41" i="11"/>
  <c r="I600" i="8"/>
  <c r="I599" i="8" s="1"/>
  <c r="Y42" i="10"/>
  <c r="E82" i="13"/>
  <c r="G25" i="13"/>
  <c r="E606" i="9"/>
  <c r="H605" i="9"/>
  <c r="H600" i="9"/>
  <c r="H34" i="10"/>
  <c r="O34" i="10"/>
  <c r="I29" i="10"/>
  <c r="O29" i="10" s="1"/>
  <c r="I11" i="10"/>
  <c r="O11" i="10" s="1"/>
  <c r="N40" i="10"/>
  <c r="Q81" i="10"/>
  <c r="E32" i="11"/>
  <c r="F29" i="11"/>
  <c r="F26" i="11"/>
  <c r="E33" i="13"/>
  <c r="G27" i="13"/>
  <c r="G29" i="13"/>
  <c r="H39" i="10"/>
  <c r="N39" i="10" s="1"/>
  <c r="K42" i="10"/>
  <c r="Q42" i="10" s="1"/>
  <c r="H43" i="10"/>
  <c r="O47" i="10"/>
  <c r="Y63" i="10"/>
  <c r="H104" i="10"/>
  <c r="H99" i="10" s="1"/>
  <c r="N99" i="10" s="1"/>
  <c r="O110" i="10"/>
  <c r="E18" i="11"/>
  <c r="E30" i="11"/>
  <c r="E42" i="11"/>
  <c r="I143" i="11"/>
  <c r="E226" i="11"/>
  <c r="I220" i="11"/>
  <c r="I181" i="13"/>
  <c r="E184" i="13"/>
  <c r="I118" i="13"/>
  <c r="E267" i="13"/>
  <c r="E182" i="16"/>
  <c r="F181" i="16"/>
  <c r="F223" i="16"/>
  <c r="G264" i="16"/>
  <c r="G558" i="9"/>
  <c r="E570" i="9"/>
  <c r="E607" i="9"/>
  <c r="O13" i="10"/>
  <c r="H33" i="10"/>
  <c r="H38" i="10"/>
  <c r="N38" i="10" s="1"/>
  <c r="O46" i="10"/>
  <c r="H68" i="10"/>
  <c r="H63" i="10" s="1"/>
  <c r="H74" i="10"/>
  <c r="H69" i="10" s="1"/>
  <c r="H86" i="10"/>
  <c r="H81" i="10" s="1"/>
  <c r="AB87" i="10"/>
  <c r="R91" i="10"/>
  <c r="P110" i="10"/>
  <c r="E91" i="11"/>
  <c r="I157" i="11"/>
  <c r="I173" i="11"/>
  <c r="E182" i="13"/>
  <c r="I264" i="16"/>
  <c r="P23" i="10"/>
  <c r="O45" i="10"/>
  <c r="Y57" i="10"/>
  <c r="Y93" i="10"/>
  <c r="H98" i="10"/>
  <c r="H93" i="10" s="1"/>
  <c r="E60" i="11"/>
  <c r="E217" i="11"/>
  <c r="E224" i="11"/>
  <c r="G221" i="11"/>
  <c r="G218" i="11"/>
  <c r="G215" i="11" s="1"/>
  <c r="E48" i="13"/>
  <c r="G44" i="13"/>
  <c r="G181" i="13"/>
  <c r="E175" i="16"/>
  <c r="H181" i="16"/>
  <c r="E269" i="16"/>
  <c r="E312" i="16"/>
  <c r="G378" i="16"/>
  <c r="E127" i="13"/>
  <c r="P42" i="10"/>
  <c r="P80" i="10"/>
  <c r="H92" i="10"/>
  <c r="H87" i="10" s="1"/>
  <c r="K99" i="10"/>
  <c r="Q99" i="10" s="1"/>
  <c r="E193" i="11"/>
  <c r="F157" i="11"/>
  <c r="F191" i="11"/>
  <c r="I223" i="13"/>
  <c r="E226" i="13"/>
  <c r="I220" i="13"/>
  <c r="E163" i="16"/>
  <c r="E375" i="16"/>
  <c r="H351" i="16"/>
  <c r="H348" i="16" s="1"/>
  <c r="H20" i="16"/>
  <c r="E20" i="16" s="1"/>
  <c r="H372" i="16"/>
  <c r="E372" i="16" s="1"/>
  <c r="G605" i="9"/>
  <c r="L18" i="10"/>
  <c r="R18" i="10" s="1"/>
  <c r="Q89" i="10"/>
  <c r="I93" i="10"/>
  <c r="O93" i="10" s="1"/>
  <c r="G94" i="11"/>
  <c r="G88" i="11" s="1"/>
  <c r="F173" i="11"/>
  <c r="G223" i="13"/>
  <c r="G218" i="13"/>
  <c r="E33" i="16"/>
  <c r="F27" i="16"/>
  <c r="F29" i="16"/>
  <c r="I605" i="9"/>
  <c r="AA79" i="10"/>
  <c r="F24" i="11"/>
  <c r="G80" i="13"/>
  <c r="E84" i="13"/>
  <c r="E125" i="13"/>
  <c r="F384" i="13"/>
  <c r="H27" i="16"/>
  <c r="H80" i="16"/>
  <c r="E267" i="16"/>
  <c r="G220" i="16"/>
  <c r="P7" i="10"/>
  <c r="E129" i="11"/>
  <c r="I221" i="11"/>
  <c r="E382" i="13"/>
  <c r="G378" i="13"/>
  <c r="E21" i="16"/>
  <c r="F17" i="16"/>
  <c r="E48" i="16"/>
  <c r="E82" i="16"/>
  <c r="F25" i="16"/>
  <c r="E301" i="16"/>
  <c r="H18" i="16"/>
  <c r="H300" i="16"/>
  <c r="E300" i="16" s="1"/>
  <c r="H265" i="16"/>
  <c r="H264" i="16" s="1"/>
  <c r="H24" i="11"/>
  <c r="E146" i="11"/>
  <c r="F143" i="11"/>
  <c r="I27" i="13"/>
  <c r="I80" i="13"/>
  <c r="H119" i="13"/>
  <c r="H121" i="13"/>
  <c r="I29" i="16"/>
  <c r="I24" i="16"/>
  <c r="E125" i="16"/>
  <c r="G119" i="16"/>
  <c r="E184" i="16"/>
  <c r="F383" i="16"/>
  <c r="H191" i="11"/>
  <c r="E123" i="13"/>
  <c r="F117" i="13"/>
  <c r="G348" i="13"/>
  <c r="E133" i="16"/>
  <c r="E140" i="16"/>
  <c r="F122" i="16"/>
  <c r="F139" i="16"/>
  <c r="E139" i="16" s="1"/>
  <c r="E176" i="11"/>
  <c r="F80" i="13"/>
  <c r="E185" i="13"/>
  <c r="E227" i="13"/>
  <c r="H294" i="13"/>
  <c r="E294" i="13" s="1"/>
  <c r="F348" i="13"/>
  <c r="F380" i="13"/>
  <c r="E380" i="13" s="1"/>
  <c r="F26" i="16"/>
  <c r="E128" i="16"/>
  <c r="H240" i="16"/>
  <c r="F265" i="16"/>
  <c r="E313" i="16"/>
  <c r="H324" i="16"/>
  <c r="E324" i="16" s="1"/>
  <c r="F36" i="20"/>
  <c r="G200" i="13"/>
  <c r="G116" i="13" s="1"/>
  <c r="G222" i="13"/>
  <c r="E222" i="13" s="1"/>
  <c r="H265" i="13"/>
  <c r="F80" i="16"/>
  <c r="H224" i="16"/>
  <c r="E224" i="16" s="1"/>
  <c r="E227" i="16"/>
  <c r="F348" i="16"/>
  <c r="H28" i="20"/>
  <c r="E174" i="11"/>
  <c r="E225" i="11"/>
  <c r="F17" i="13"/>
  <c r="F29" i="13"/>
  <c r="E34" i="13"/>
  <c r="F68" i="13"/>
  <c r="E183" i="13"/>
  <c r="G205" i="13"/>
  <c r="E205" i="13" s="1"/>
  <c r="E225" i="13"/>
  <c r="H270" i="13"/>
  <c r="E270" i="13" s="1"/>
  <c r="H306" i="13"/>
  <c r="E306" i="13" s="1"/>
  <c r="E268" i="16"/>
  <c r="E283" i="16"/>
  <c r="I22" i="20"/>
  <c r="I23" i="20"/>
  <c r="E132" i="13"/>
  <c r="G17" i="16"/>
  <c r="G29" i="16"/>
  <c r="G126" i="16"/>
  <c r="G120" i="16" s="1"/>
  <c r="G23" i="20"/>
  <c r="I29" i="13"/>
  <c r="F223" i="13"/>
  <c r="E386" i="13"/>
  <c r="H29" i="16"/>
  <c r="I121" i="16"/>
  <c r="E132" i="16"/>
  <c r="H318" i="16"/>
  <c r="E318" i="16" s="1"/>
  <c r="F384" i="16"/>
  <c r="E385" i="16"/>
  <c r="I20" i="20"/>
  <c r="I25" i="20"/>
  <c r="E26" i="20"/>
  <c r="E42" i="20"/>
  <c r="F221" i="11"/>
  <c r="I36" i="20"/>
  <c r="I218" i="16"/>
  <c r="H39" i="20"/>
  <c r="I216" i="11"/>
  <c r="H379" i="13"/>
  <c r="G20" i="20"/>
  <c r="I28" i="20"/>
  <c r="G32" i="20"/>
  <c r="G36" i="20"/>
  <c r="H20" i="20"/>
  <c r="F26" i="20"/>
  <c r="I32" i="20"/>
  <c r="G42" i="20"/>
  <c r="G26" i="20"/>
  <c r="H42" i="20"/>
  <c r="E24" i="20"/>
  <c r="I29" i="20"/>
  <c r="G29" i="20"/>
  <c r="G33" i="20"/>
  <c r="G21" i="20"/>
  <c r="F24" i="20"/>
  <c r="I26" i="20"/>
  <c r="F30" i="20"/>
  <c r="I33" i="20"/>
  <c r="I37" i="20"/>
  <c r="H40" i="20"/>
  <c r="H21" i="20"/>
  <c r="G24" i="20"/>
  <c r="H30" i="20"/>
  <c r="G30" i="20"/>
  <c r="F38" i="20"/>
  <c r="I21" i="20"/>
  <c r="H24" i="20"/>
  <c r="G27" i="20"/>
  <c r="G34" i="20"/>
  <c r="E41" i="20"/>
  <c r="I24" i="20"/>
  <c r="I34" i="20"/>
  <c r="H38" i="20"/>
  <c r="F41" i="20"/>
  <c r="I27" i="20"/>
  <c r="F35" i="20"/>
  <c r="I38" i="20"/>
  <c r="G35" i="20"/>
  <c r="H41" i="20"/>
  <c r="I35" i="20"/>
  <c r="H26" i="20"/>
  <c r="G40" i="20"/>
  <c r="I42" i="20"/>
  <c r="G38" i="20"/>
  <c r="I40" i="20"/>
  <c r="H27" i="20"/>
  <c r="G41" i="20"/>
  <c r="I41" i="20"/>
  <c r="I30" i="20"/>
  <c r="I39" i="20"/>
  <c r="F42" i="20"/>
  <c r="H22" i="23"/>
  <c r="H17" i="23"/>
  <c r="X20" i="23"/>
  <c r="O23" i="21"/>
  <c r="I21" i="23"/>
  <c r="E169" i="23"/>
  <c r="H166" i="23"/>
  <c r="H19" i="23"/>
  <c r="E377" i="23"/>
  <c r="G376" i="23"/>
  <c r="E397" i="23"/>
  <c r="G394" i="23"/>
  <c r="G724" i="23"/>
  <c r="G720" i="23"/>
  <c r="G18" i="21" s="1"/>
  <c r="I22" i="23"/>
  <c r="H238" i="23"/>
  <c r="G274" i="23"/>
  <c r="E276" i="23"/>
  <c r="E274" i="23" s="1"/>
  <c r="E340" i="23"/>
  <c r="E586" i="23"/>
  <c r="E643" i="23"/>
  <c r="E640" i="23" s="1"/>
  <c r="G640" i="23"/>
  <c r="E931" i="23"/>
  <c r="E167" i="23"/>
  <c r="F166" i="23"/>
  <c r="E331" i="23"/>
  <c r="G19" i="23"/>
  <c r="E466" i="23"/>
  <c r="E52" i="23"/>
  <c r="G166" i="23"/>
  <c r="E170" i="23"/>
  <c r="G226" i="23"/>
  <c r="E523" i="23"/>
  <c r="F20" i="23"/>
  <c r="E243" i="23"/>
  <c r="E354" i="23"/>
  <c r="F352" i="23"/>
  <c r="I594" i="23"/>
  <c r="I598" i="23"/>
  <c r="E48" i="23"/>
  <c r="E496" i="23"/>
  <c r="G495" i="23"/>
  <c r="S603" i="23"/>
  <c r="E603" i="23"/>
  <c r="R603" i="23" s="1"/>
  <c r="H910" i="23"/>
  <c r="H42" i="23"/>
  <c r="H46" i="23"/>
  <c r="E256" i="23"/>
  <c r="E399" i="23"/>
  <c r="E436" i="23"/>
  <c r="E451" i="23"/>
  <c r="G448" i="23"/>
  <c r="H460" i="23"/>
  <c r="G550" i="23"/>
  <c r="E624" i="23"/>
  <c r="F600" i="23"/>
  <c r="F622" i="23"/>
  <c r="E30" i="23"/>
  <c r="F24" i="23"/>
  <c r="F22" i="23" s="1"/>
  <c r="E157" i="23"/>
  <c r="F154" i="23"/>
  <c r="H184" i="23"/>
  <c r="E241" i="23"/>
  <c r="F238" i="23"/>
  <c r="I328" i="23"/>
  <c r="I460" i="23"/>
  <c r="E521" i="23"/>
  <c r="G520" i="23"/>
  <c r="H928" i="23"/>
  <c r="G22" i="23"/>
  <c r="H350" i="23"/>
  <c r="E355" i="23"/>
  <c r="E646" i="23"/>
  <c r="F681" i="23"/>
  <c r="G675" i="23"/>
  <c r="G597" i="23" s="1"/>
  <c r="E23" i="23"/>
  <c r="E25" i="23"/>
  <c r="F19" i="23"/>
  <c r="E88" i="23"/>
  <c r="E317" i="23"/>
  <c r="G328" i="23"/>
  <c r="E333" i="23"/>
  <c r="I376" i="23"/>
  <c r="I349" i="23"/>
  <c r="F448" i="23"/>
  <c r="E452" i="23"/>
  <c r="S599" i="23"/>
  <c r="F598" i="23"/>
  <c r="S598" i="23" s="1"/>
  <c r="E599" i="23"/>
  <c r="F593" i="23"/>
  <c r="E814" i="23"/>
  <c r="H44" i="23"/>
  <c r="E50" i="23"/>
  <c r="E229" i="23"/>
  <c r="H874" i="23"/>
  <c r="E876" i="23"/>
  <c r="G19" i="24"/>
  <c r="V41" i="24"/>
  <c r="I40" i="24"/>
  <c r="V40" i="24" s="1"/>
  <c r="G42" i="24"/>
  <c r="G148" i="24"/>
  <c r="E150" i="24"/>
  <c r="E148" i="24" s="1"/>
  <c r="T42" i="23"/>
  <c r="F186" i="23"/>
  <c r="E239" i="23"/>
  <c r="U599" i="23"/>
  <c r="G601" i="23"/>
  <c r="E601" i="23" s="1"/>
  <c r="R601" i="23" s="1"/>
  <c r="F806" i="23"/>
  <c r="F722" i="23" s="1"/>
  <c r="F912" i="23"/>
  <c r="G22" i="24"/>
  <c r="F46" i="24"/>
  <c r="E48" i="24"/>
  <c r="E160" i="24"/>
  <c r="E178" i="24"/>
  <c r="E189" i="24"/>
  <c r="E202" i="24"/>
  <c r="E289" i="24"/>
  <c r="E319" i="24"/>
  <c r="E332" i="24"/>
  <c r="E334" i="24"/>
  <c r="H352" i="24"/>
  <c r="H349" i="24"/>
  <c r="F460" i="24"/>
  <c r="E461" i="24"/>
  <c r="E465" i="24"/>
  <c r="F351" i="24"/>
  <c r="I538" i="24"/>
  <c r="I347" i="24"/>
  <c r="H21" i="23"/>
  <c r="E60" i="23"/>
  <c r="E66" i="23"/>
  <c r="E138" i="23"/>
  <c r="E136" i="23" s="1"/>
  <c r="E192" i="23"/>
  <c r="E190" i="23" s="1"/>
  <c r="E300" i="23"/>
  <c r="E298" i="23" s="1"/>
  <c r="E307" i="23"/>
  <c r="E304" i="23" s="1"/>
  <c r="E357" i="23"/>
  <c r="E379" i="23"/>
  <c r="F552" i="23"/>
  <c r="E557" i="23"/>
  <c r="E551" i="23" s="1"/>
  <c r="I676" i="23"/>
  <c r="H679" i="23"/>
  <c r="E728" i="23"/>
  <c r="E804" i="23"/>
  <c r="E24" i="21" s="1"/>
  <c r="E918" i="23"/>
  <c r="E937" i="23"/>
  <c r="E353" i="24"/>
  <c r="F352" i="24"/>
  <c r="E603" i="24"/>
  <c r="R603" i="24" s="1"/>
  <c r="T603" i="24"/>
  <c r="U41" i="23"/>
  <c r="E45" i="23"/>
  <c r="R45" i="23" s="1"/>
  <c r="W45" i="23" s="1"/>
  <c r="F46" i="23"/>
  <c r="E26" i="24"/>
  <c r="F20" i="24"/>
  <c r="F82" i="24"/>
  <c r="E82" i="24" s="1"/>
  <c r="E84" i="24"/>
  <c r="E169" i="24"/>
  <c r="E618" i="24"/>
  <c r="E616" i="24" s="1"/>
  <c r="F600" i="24"/>
  <c r="F616" i="24"/>
  <c r="F721" i="23"/>
  <c r="I17" i="24"/>
  <c r="G286" i="24"/>
  <c r="G352" i="24"/>
  <c r="E356" i="24"/>
  <c r="H376" i="24"/>
  <c r="E556" i="24"/>
  <c r="F316" i="23"/>
  <c r="H538" i="23"/>
  <c r="S601" i="23"/>
  <c r="H20" i="24"/>
  <c r="E43" i="24"/>
  <c r="R43" i="24" s="1"/>
  <c r="W43" i="24" s="1"/>
  <c r="F154" i="24"/>
  <c r="E158" i="24"/>
  <c r="E167" i="24"/>
  <c r="G166" i="24"/>
  <c r="E262" i="24"/>
  <c r="E449" i="24"/>
  <c r="F448" i="24"/>
  <c r="E582" i="24"/>
  <c r="F580" i="24"/>
  <c r="E580" i="24" s="1"/>
  <c r="H675" i="24"/>
  <c r="H597" i="24" s="1"/>
  <c r="N27" i="24" s="1"/>
  <c r="E230" i="24"/>
  <c r="E232" i="24"/>
  <c r="E240" i="24"/>
  <c r="F238" i="24"/>
  <c r="G316" i="24"/>
  <c r="I460" i="24"/>
  <c r="I348" i="24"/>
  <c r="G520" i="24"/>
  <c r="G802" i="24"/>
  <c r="F574" i="23"/>
  <c r="G719" i="23"/>
  <c r="F724" i="23"/>
  <c r="H802" i="23"/>
  <c r="H22" i="21" s="1"/>
  <c r="G874" i="23"/>
  <c r="I166" i="24"/>
  <c r="E333" i="24"/>
  <c r="H328" i="24"/>
  <c r="E395" i="24"/>
  <c r="F394" i="24"/>
  <c r="H448" i="24"/>
  <c r="E463" i="24"/>
  <c r="E879" i="24"/>
  <c r="F723" i="24"/>
  <c r="H675" i="23"/>
  <c r="H597" i="23" s="1"/>
  <c r="N27" i="23" s="1"/>
  <c r="E41" i="24"/>
  <c r="R41" i="24" s="1"/>
  <c r="W41" i="24" s="1"/>
  <c r="F166" i="24"/>
  <c r="E168" i="24"/>
  <c r="E188" i="24"/>
  <c r="G21" i="24"/>
  <c r="G238" i="24"/>
  <c r="E243" i="24"/>
  <c r="E370" i="24"/>
  <c r="H460" i="24"/>
  <c r="E599" i="24"/>
  <c r="T599" i="24"/>
  <c r="E634" i="24"/>
  <c r="F551" i="23"/>
  <c r="I719" i="23"/>
  <c r="G184" i="24"/>
  <c r="I226" i="24"/>
  <c r="E256" i="24"/>
  <c r="F328" i="24"/>
  <c r="E331" i="24"/>
  <c r="G394" i="24"/>
  <c r="E398" i="24"/>
  <c r="G722" i="23"/>
  <c r="G20" i="21" s="1"/>
  <c r="E552" i="24"/>
  <c r="I720" i="24"/>
  <c r="I874" i="24"/>
  <c r="E913" i="24"/>
  <c r="G721" i="24"/>
  <c r="E25" i="24"/>
  <c r="I184" i="24"/>
  <c r="E231" i="24"/>
  <c r="E355" i="24"/>
  <c r="E442" i="24"/>
  <c r="E484" i="24"/>
  <c r="G493" i="24"/>
  <c r="E514" i="24"/>
  <c r="U602" i="24"/>
  <c r="E807" i="24"/>
  <c r="G723" i="24"/>
  <c r="F136" i="24"/>
  <c r="F262" i="24"/>
  <c r="E534" i="24"/>
  <c r="E532" i="24" s="1"/>
  <c r="F602" i="24"/>
  <c r="H678" i="24"/>
  <c r="E727" i="24"/>
  <c r="E803" i="24"/>
  <c r="F934" i="24"/>
  <c r="U600" i="24"/>
  <c r="E607" i="24"/>
  <c r="E626" i="24"/>
  <c r="E622" i="24" s="1"/>
  <c r="E914" i="24"/>
  <c r="F28" i="24"/>
  <c r="E28" i="24" s="1"/>
  <c r="I238" i="24"/>
  <c r="F376" i="24"/>
  <c r="H671" i="24"/>
  <c r="H784" i="24"/>
  <c r="E784" i="24" s="1"/>
  <c r="F24" i="24"/>
  <c r="G601" i="24"/>
  <c r="E308" i="24"/>
  <c r="F933" i="24"/>
  <c r="E933" i="24" s="1"/>
  <c r="J79" i="5" l="1"/>
  <c r="E29" i="1"/>
  <c r="E934" i="24"/>
  <c r="I7" i="8"/>
  <c r="I13" i="8" s="1"/>
  <c r="E263" i="9"/>
  <c r="G23" i="8"/>
  <c r="E522" i="24"/>
  <c r="E42" i="24"/>
  <c r="R42" i="24" s="1"/>
  <c r="W42" i="24" s="1"/>
  <c r="H173" i="11"/>
  <c r="E173" i="11" s="1"/>
  <c r="F199" i="16"/>
  <c r="E175" i="11"/>
  <c r="E412" i="4"/>
  <c r="N52" i="5"/>
  <c r="U19" i="21"/>
  <c r="H14" i="8"/>
  <c r="I9" i="4"/>
  <c r="I15" i="4" s="1"/>
  <c r="E538" i="24"/>
  <c r="M32" i="21"/>
  <c r="E304" i="24"/>
  <c r="E27" i="9"/>
  <c r="E400" i="8"/>
  <c r="G7" i="9"/>
  <c r="F7" i="4"/>
  <c r="E245" i="8"/>
  <c r="F19" i="24"/>
  <c r="E19" i="24" s="1"/>
  <c r="T20" i="24" s="1"/>
  <c r="H347" i="24"/>
  <c r="F348" i="23"/>
  <c r="E45" i="16"/>
  <c r="H9" i="16"/>
  <c r="H15" i="16" s="1"/>
  <c r="E398" i="3"/>
  <c r="E221" i="16"/>
  <c r="I9" i="11"/>
  <c r="I15" i="11" s="1"/>
  <c r="G8" i="1"/>
  <c r="G14" i="1" s="1"/>
  <c r="E43" i="23"/>
  <c r="R43" i="23" s="1"/>
  <c r="W43" i="23" s="1"/>
  <c r="H401" i="8"/>
  <c r="G17" i="23"/>
  <c r="V18" i="23" s="1"/>
  <c r="H219" i="13"/>
  <c r="H7" i="13" s="1"/>
  <c r="H13" i="13" s="1"/>
  <c r="N50" i="5"/>
  <c r="N23" i="23"/>
  <c r="G12" i="4"/>
  <c r="F24" i="16"/>
  <c r="F23" i="16" s="1"/>
  <c r="E125" i="11"/>
  <c r="E26" i="13"/>
  <c r="E572" i="8"/>
  <c r="E384" i="16"/>
  <c r="E622" i="23"/>
  <c r="I408" i="4"/>
  <c r="U166" i="5" s="1"/>
  <c r="M31" i="21"/>
  <c r="L48" i="5"/>
  <c r="E28" i="13"/>
  <c r="I8" i="4"/>
  <c r="U9" i="5" s="1"/>
  <c r="E28" i="3"/>
  <c r="O8" i="10"/>
  <c r="F47" i="8"/>
  <c r="E186" i="24"/>
  <c r="H10" i="16"/>
  <c r="H16" i="16" s="1"/>
  <c r="G8" i="13"/>
  <c r="G14" i="13" s="1"/>
  <c r="E26" i="9"/>
  <c r="G23" i="1"/>
  <c r="E46" i="24"/>
  <c r="E245" i="9"/>
  <c r="F401" i="8"/>
  <c r="E29" i="8"/>
  <c r="E808" i="24"/>
  <c r="R28" i="21" s="1"/>
  <c r="E726" i="24"/>
  <c r="F910" i="24"/>
  <c r="H21" i="22"/>
  <c r="H724" i="24"/>
  <c r="E724" i="24" s="1"/>
  <c r="L51" i="5"/>
  <c r="G12" i="3"/>
  <c r="F11" i="5" s="1"/>
  <c r="E123" i="3"/>
  <c r="D49" i="5" s="1"/>
  <c r="H674" i="24"/>
  <c r="H596" i="24" s="1"/>
  <c r="U596" i="24" s="1"/>
  <c r="E875" i="24"/>
  <c r="F40" i="24"/>
  <c r="E874" i="24"/>
  <c r="E934" i="23"/>
  <c r="E381" i="16"/>
  <c r="F8" i="4"/>
  <c r="F720" i="24"/>
  <c r="F348" i="24"/>
  <c r="I8" i="9"/>
  <c r="I14" i="9" s="1"/>
  <c r="E86" i="1"/>
  <c r="I8" i="16"/>
  <c r="I14" i="16" s="1"/>
  <c r="E155" i="9"/>
  <c r="AB69" i="10"/>
  <c r="Q69" i="10" s="1"/>
  <c r="U51" i="5"/>
  <c r="E45" i="13"/>
  <c r="F24" i="13"/>
  <c r="F23" i="13" s="1"/>
  <c r="I8" i="3"/>
  <c r="H9" i="5" s="1"/>
  <c r="N9" i="5" s="1"/>
  <c r="H10" i="3"/>
  <c r="H16" i="3" s="1"/>
  <c r="F287" i="8"/>
  <c r="E550" i="24"/>
  <c r="I217" i="16"/>
  <c r="Q71" i="10"/>
  <c r="AC89" i="10"/>
  <c r="Y89" i="10" s="1"/>
  <c r="N89" i="10" s="1"/>
  <c r="G8" i="9"/>
  <c r="AB9" i="10"/>
  <c r="Q9" i="10" s="1"/>
  <c r="E151" i="3"/>
  <c r="D57" i="5" s="1"/>
  <c r="I7" i="3"/>
  <c r="E277" i="3"/>
  <c r="E366" i="3"/>
  <c r="E228" i="24"/>
  <c r="E266" i="16"/>
  <c r="E155" i="8"/>
  <c r="I8" i="8"/>
  <c r="I14" i="8" s="1"/>
  <c r="E49" i="5"/>
  <c r="E369" i="3"/>
  <c r="I83" i="11"/>
  <c r="E263" i="8"/>
  <c r="G121" i="4"/>
  <c r="S47" i="5" s="1"/>
  <c r="I10" i="13"/>
  <c r="I16" i="13" s="1"/>
  <c r="F7" i="3"/>
  <c r="E8" i="5" s="1"/>
  <c r="L50" i="5"/>
  <c r="K105" i="5"/>
  <c r="G9" i="8"/>
  <c r="G15" i="8" s="1"/>
  <c r="H8" i="1"/>
  <c r="H14" i="1" s="1"/>
  <c r="G281" i="9"/>
  <c r="E380" i="16"/>
  <c r="G10" i="4"/>
  <c r="G16" i="4" s="1"/>
  <c r="N49" i="5"/>
  <c r="E723" i="23"/>
  <c r="E21" i="21" s="1"/>
  <c r="E219" i="16"/>
  <c r="H13" i="10"/>
  <c r="N13" i="10" s="1"/>
  <c r="E26" i="1"/>
  <c r="G9" i="11"/>
  <c r="G15" i="11" s="1"/>
  <c r="I15" i="23"/>
  <c r="I14" i="4"/>
  <c r="U13" i="5" s="1"/>
  <c r="H10" i="11"/>
  <c r="H16" i="11" s="1"/>
  <c r="E87" i="11"/>
  <c r="E28" i="1"/>
  <c r="I9" i="9"/>
  <c r="I15" i="9" s="1"/>
  <c r="E721" i="24"/>
  <c r="R19" i="21" s="1"/>
  <c r="H401" i="9"/>
  <c r="E401" i="9" s="1"/>
  <c r="E158" i="11"/>
  <c r="I7" i="13"/>
  <c r="I13" i="13" s="1"/>
  <c r="I10" i="4"/>
  <c r="I16" i="4" s="1"/>
  <c r="E205" i="3"/>
  <c r="H115" i="16"/>
  <c r="E25" i="1"/>
  <c r="M17" i="5"/>
  <c r="E145" i="8"/>
  <c r="E910" i="24"/>
  <c r="E232" i="4"/>
  <c r="E199" i="16"/>
  <c r="E181" i="13"/>
  <c r="P12" i="10"/>
  <c r="G6" i="9"/>
  <c r="N7" i="10"/>
  <c r="E228" i="3"/>
  <c r="N14" i="5"/>
  <c r="H14" i="9"/>
  <c r="I83" i="1"/>
  <c r="G23" i="16"/>
  <c r="F7" i="1"/>
  <c r="H226" i="3"/>
  <c r="E226" i="3" s="1"/>
  <c r="E874" i="23"/>
  <c r="H676" i="24"/>
  <c r="G226" i="24"/>
  <c r="H672" i="23"/>
  <c r="H594" i="23" s="1"/>
  <c r="U594" i="23" s="1"/>
  <c r="F21" i="21"/>
  <c r="E84" i="11"/>
  <c r="F282" i="4"/>
  <c r="R104" i="5" s="1"/>
  <c r="M51" i="5"/>
  <c r="L17" i="5"/>
  <c r="A60" i="2"/>
  <c r="G23" i="4"/>
  <c r="S16" i="5" s="1"/>
  <c r="H173" i="1"/>
  <c r="E173" i="1" s="1"/>
  <c r="E125" i="1"/>
  <c r="E227" i="24"/>
  <c r="E226" i="24" s="1"/>
  <c r="E221" i="13"/>
  <c r="T18" i="21"/>
  <c r="Q29" i="10"/>
  <c r="E145" i="9"/>
  <c r="J107" i="6"/>
  <c r="E123" i="4"/>
  <c r="Q49" i="5" s="1"/>
  <c r="I10" i="1"/>
  <c r="I16" i="1" s="1"/>
  <c r="H12" i="16"/>
  <c r="H6" i="16" s="1"/>
  <c r="F8" i="13"/>
  <c r="F14" i="13" s="1"/>
  <c r="E147" i="8"/>
  <c r="E86" i="11"/>
  <c r="E348" i="16"/>
  <c r="G217" i="16"/>
  <c r="I217" i="13"/>
  <c r="I9" i="8"/>
  <c r="I15" i="8" s="1"/>
  <c r="E29" i="3"/>
  <c r="I7" i="4"/>
  <c r="I13" i="4" s="1"/>
  <c r="U12" i="5" s="1"/>
  <c r="F230" i="4"/>
  <c r="E85" i="1"/>
  <c r="E283" i="4"/>
  <c r="E87" i="1"/>
  <c r="E26" i="8"/>
  <c r="E284" i="4"/>
  <c r="H9" i="1"/>
  <c r="H15" i="1" s="1"/>
  <c r="I10" i="11"/>
  <c r="I16" i="11" s="1"/>
  <c r="E593" i="8"/>
  <c r="H143" i="8"/>
  <c r="E126" i="4"/>
  <c r="H23" i="4"/>
  <c r="T16" i="5" s="1"/>
  <c r="E875" i="23"/>
  <c r="E41" i="23"/>
  <c r="R41" i="23" s="1"/>
  <c r="W41" i="23" s="1"/>
  <c r="G6" i="4"/>
  <c r="F221" i="1"/>
  <c r="K167" i="5"/>
  <c r="E161" i="1"/>
  <c r="E726" i="23"/>
  <c r="E44" i="13"/>
  <c r="G8" i="8"/>
  <c r="E400" i="3"/>
  <c r="E224" i="13"/>
  <c r="E286" i="24"/>
  <c r="H7" i="16"/>
  <c r="H13" i="16" s="1"/>
  <c r="E205" i="16"/>
  <c r="G10" i="9"/>
  <c r="G16" i="9" s="1"/>
  <c r="F719" i="23"/>
  <c r="F17" i="21" s="1"/>
  <c r="F10" i="8"/>
  <c r="F16" i="8" s="1"/>
  <c r="I155" i="11"/>
  <c r="E409" i="4"/>
  <c r="Q167" i="5" s="1"/>
  <c r="J167" i="5" s="1"/>
  <c r="H8" i="11"/>
  <c r="H14" i="11" s="1"/>
  <c r="E160" i="11"/>
  <c r="J40" i="5"/>
  <c r="N22" i="5"/>
  <c r="N167" i="5"/>
  <c r="M23" i="5"/>
  <c r="L104" i="5"/>
  <c r="L103" i="5"/>
  <c r="E378" i="4"/>
  <c r="G6" i="11"/>
  <c r="G12" i="11" s="1"/>
  <c r="I115" i="13"/>
  <c r="E27" i="1"/>
  <c r="E27" i="3"/>
  <c r="H10" i="10"/>
  <c r="E460" i="23"/>
  <c r="E193" i="4"/>
  <c r="H7" i="3"/>
  <c r="G89" i="11"/>
  <c r="E89" i="11" s="1"/>
  <c r="J57" i="5"/>
  <c r="J38" i="5"/>
  <c r="F8" i="9"/>
  <c r="F14" i="9" s="1"/>
  <c r="E316" i="24"/>
  <c r="G7" i="11"/>
  <c r="G13" i="11" s="1"/>
  <c r="J41" i="5"/>
  <c r="H12" i="13"/>
  <c r="H6" i="13" s="1"/>
  <c r="I7" i="1"/>
  <c r="I13" i="1" s="1"/>
  <c r="E118" i="13"/>
  <c r="E222" i="16"/>
  <c r="H15" i="24"/>
  <c r="W15" i="24" s="1"/>
  <c r="G155" i="11"/>
  <c r="G23" i="9"/>
  <c r="I670" i="23"/>
  <c r="I8" i="11"/>
  <c r="I14" i="11" s="1"/>
  <c r="G229" i="4"/>
  <c r="S102" i="5" s="1"/>
  <c r="H155" i="1"/>
  <c r="H593" i="9"/>
  <c r="E593" i="9" s="1"/>
  <c r="H572" i="9"/>
  <c r="H569" i="9" s="1"/>
  <c r="I9" i="3"/>
  <c r="I15" i="3" s="1"/>
  <c r="E234" i="4"/>
  <c r="H10" i="1"/>
  <c r="H16" i="1" s="1"/>
  <c r="N18" i="21"/>
  <c r="J42" i="5"/>
  <c r="J24" i="5"/>
  <c r="M37" i="5"/>
  <c r="L22" i="5"/>
  <c r="N104" i="5"/>
  <c r="L168" i="5"/>
  <c r="H7" i="4"/>
  <c r="H13" i="4" s="1"/>
  <c r="T12" i="5" s="1"/>
  <c r="E231" i="4"/>
  <c r="F10" i="13"/>
  <c r="H143" i="9"/>
  <c r="E352" i="23"/>
  <c r="E125" i="3"/>
  <c r="D51" i="5" s="1"/>
  <c r="G399" i="8"/>
  <c r="E399" i="8" s="1"/>
  <c r="A103" i="2"/>
  <c r="G9" i="4"/>
  <c r="G15" i="4" s="1"/>
  <c r="I6" i="1"/>
  <c r="H23" i="3"/>
  <c r="G16" i="5" s="1"/>
  <c r="M16" i="5" s="1"/>
  <c r="P9" i="2"/>
  <c r="E117" i="16"/>
  <c r="F9" i="13"/>
  <c r="F15" i="13" s="1"/>
  <c r="H17" i="13"/>
  <c r="E17" i="13" s="1"/>
  <c r="F9" i="11"/>
  <c r="F15" i="11" s="1"/>
  <c r="G6" i="3"/>
  <c r="F7" i="5" s="1"/>
  <c r="F29" i="22"/>
  <c r="S26" i="21"/>
  <c r="H673" i="24"/>
  <c r="H595" i="24" s="1"/>
  <c r="H13" i="24" s="1"/>
  <c r="E238" i="23"/>
  <c r="G718" i="24"/>
  <c r="F226" i="23"/>
  <c r="I215" i="11"/>
  <c r="E215" i="11" s="1"/>
  <c r="G12" i="16"/>
  <c r="F218" i="13"/>
  <c r="E29" i="11"/>
  <c r="F83" i="11"/>
  <c r="H12" i="10"/>
  <c r="E558" i="8"/>
  <c r="I281" i="8"/>
  <c r="E292" i="8"/>
  <c r="Q75" i="10"/>
  <c r="G10" i="3"/>
  <c r="G16" i="3" s="1"/>
  <c r="N37" i="5"/>
  <c r="L40" i="5"/>
  <c r="E233" i="4"/>
  <c r="E27" i="4"/>
  <c r="S49" i="5"/>
  <c r="L49" i="5" s="1"/>
  <c r="E25" i="3"/>
  <c r="G9" i="3"/>
  <c r="G15" i="3" s="1"/>
  <c r="E159" i="1"/>
  <c r="G149" i="9"/>
  <c r="E227" i="1"/>
  <c r="H83" i="1"/>
  <c r="F928" i="23"/>
  <c r="E928" i="23" s="1"/>
  <c r="F722" i="24"/>
  <c r="F718" i="24" s="1"/>
  <c r="S16" i="21" s="1"/>
  <c r="L31" i="21"/>
  <c r="I10" i="16"/>
  <c r="I16" i="16" s="1"/>
  <c r="E159" i="11"/>
  <c r="E148" i="8"/>
  <c r="E28" i="8"/>
  <c r="H7" i="1"/>
  <c r="H13" i="1" s="1"/>
  <c r="N48" i="10"/>
  <c r="I23" i="22"/>
  <c r="V20" i="21"/>
  <c r="P20" i="21" s="1"/>
  <c r="G680" i="23"/>
  <c r="H674" i="23"/>
  <c r="H596" i="23" s="1"/>
  <c r="U596" i="23" s="1"/>
  <c r="I6" i="13"/>
  <c r="I12" i="13" s="1"/>
  <c r="E157" i="1"/>
  <c r="H40" i="23"/>
  <c r="U40" i="23" s="1"/>
  <c r="G10" i="16"/>
  <c r="G16" i="16" s="1"/>
  <c r="H264" i="13"/>
  <c r="E384" i="13"/>
  <c r="G23" i="11"/>
  <c r="G23" i="3"/>
  <c r="F16" i="5" s="1"/>
  <c r="I23" i="1"/>
  <c r="E28" i="16"/>
  <c r="G121" i="13"/>
  <c r="E148" i="9"/>
  <c r="S44" i="24"/>
  <c r="E44" i="23"/>
  <c r="R44" i="23" s="1"/>
  <c r="W44" i="23" s="1"/>
  <c r="E46" i="23"/>
  <c r="E352" i="24"/>
  <c r="E184" i="24"/>
  <c r="E226" i="23"/>
  <c r="I346" i="23"/>
  <c r="G6" i="16"/>
  <c r="H7" i="11"/>
  <c r="H13" i="11" s="1"/>
  <c r="H57" i="10"/>
  <c r="N57" i="10" s="1"/>
  <c r="E181" i="16"/>
  <c r="E27" i="11"/>
  <c r="E154" i="9"/>
  <c r="G7" i="8"/>
  <c r="E29" i="9"/>
  <c r="M168" i="5"/>
  <c r="F23" i="8"/>
  <c r="J56" i="5"/>
  <c r="E137" i="1"/>
  <c r="G7" i="4"/>
  <c r="E59" i="1"/>
  <c r="E17" i="1"/>
  <c r="E187" i="3"/>
  <c r="G89" i="1"/>
  <c r="E158" i="1"/>
  <c r="E806" i="24"/>
  <c r="E29" i="22" s="1"/>
  <c r="E328" i="23"/>
  <c r="F304" i="24"/>
  <c r="O19" i="21"/>
  <c r="M25" i="21"/>
  <c r="M52" i="5"/>
  <c r="G127" i="4"/>
  <c r="S52" i="5" s="1"/>
  <c r="E132" i="4"/>
  <c r="I22" i="22"/>
  <c r="V19" i="21"/>
  <c r="P19" i="21" s="1"/>
  <c r="F50" i="3"/>
  <c r="F24" i="3"/>
  <c r="N33" i="10"/>
  <c r="H23" i="10"/>
  <c r="N23" i="10" s="1"/>
  <c r="O8" i="2"/>
  <c r="O7" i="2" s="1"/>
  <c r="E166" i="23"/>
  <c r="I24" i="22"/>
  <c r="V21" i="21"/>
  <c r="P21" i="21" s="1"/>
  <c r="X21" i="23"/>
  <c r="I14" i="23"/>
  <c r="S17" i="21"/>
  <c r="F20" i="22"/>
  <c r="X20" i="24"/>
  <c r="I13" i="24"/>
  <c r="H718" i="24"/>
  <c r="H20" i="22"/>
  <c r="U17" i="21"/>
  <c r="O17" i="21" s="1"/>
  <c r="E18" i="13"/>
  <c r="E448" i="24"/>
  <c r="H720" i="23"/>
  <c r="E719" i="24"/>
  <c r="R17" i="21" s="1"/>
  <c r="E316" i="23"/>
  <c r="E394" i="23"/>
  <c r="H220" i="16"/>
  <c r="H8" i="16" s="1"/>
  <c r="H14" i="16" s="1"/>
  <c r="N93" i="10"/>
  <c r="E59" i="11"/>
  <c r="E149" i="8"/>
  <c r="F281" i="8"/>
  <c r="N104" i="10"/>
  <c r="N23" i="5"/>
  <c r="J54" i="5"/>
  <c r="L14" i="5"/>
  <c r="E160" i="1"/>
  <c r="F10" i="1"/>
  <c r="F16" i="1" s="1"/>
  <c r="F396" i="3"/>
  <c r="E166" i="5" s="1"/>
  <c r="F8" i="1"/>
  <c r="F14" i="1" s="1"/>
  <c r="I670" i="24"/>
  <c r="E376" i="24"/>
  <c r="S20" i="21"/>
  <c r="G20" i="22"/>
  <c r="T17" i="21"/>
  <c r="I7" i="16"/>
  <c r="I13" i="16" s="1"/>
  <c r="F538" i="23"/>
  <c r="E540" i="23"/>
  <c r="E538" i="23" s="1"/>
  <c r="I143" i="9"/>
  <c r="H24" i="22"/>
  <c r="U21" i="21"/>
  <c r="O21" i="21" s="1"/>
  <c r="E28" i="22"/>
  <c r="R25" i="21"/>
  <c r="L25" i="21" s="1"/>
  <c r="E126" i="13"/>
  <c r="E150" i="8"/>
  <c r="F144" i="8"/>
  <c r="E144" i="8" s="1"/>
  <c r="R23" i="5"/>
  <c r="K23" i="5" s="1"/>
  <c r="F24" i="4"/>
  <c r="R17" i="5" s="1"/>
  <c r="E51" i="4"/>
  <c r="Q23" i="5" s="1"/>
  <c r="J23" i="5" s="1"/>
  <c r="AA108" i="10"/>
  <c r="Y109" i="10"/>
  <c r="N109" i="10" s="1"/>
  <c r="E278" i="3"/>
  <c r="E27" i="22"/>
  <c r="R24" i="21"/>
  <c r="L24" i="21" s="1"/>
  <c r="I115" i="16"/>
  <c r="L23" i="24"/>
  <c r="G40" i="24"/>
  <c r="T40" i="24" s="1"/>
  <c r="I718" i="24"/>
  <c r="I19" i="22" s="1"/>
  <c r="N20" i="21"/>
  <c r="E328" i="24"/>
  <c r="E154" i="24"/>
  <c r="F802" i="23"/>
  <c r="E802" i="23" s="1"/>
  <c r="E22" i="21" s="1"/>
  <c r="F347" i="24"/>
  <c r="E221" i="11"/>
  <c r="E143" i="11"/>
  <c r="E88" i="11"/>
  <c r="R90" i="10"/>
  <c r="Y91" i="10"/>
  <c r="N91" i="10" s="1"/>
  <c r="E120" i="13"/>
  <c r="N68" i="10"/>
  <c r="E605" i="8"/>
  <c r="K5" i="10"/>
  <c r="Y90" i="10"/>
  <c r="N90" i="10" s="1"/>
  <c r="E402" i="9"/>
  <c r="H10" i="8"/>
  <c r="H16" i="8" s="1"/>
  <c r="M53" i="5"/>
  <c r="J25" i="5"/>
  <c r="E235" i="4"/>
  <c r="R53" i="5"/>
  <c r="H23" i="8"/>
  <c r="N166" i="5"/>
  <c r="E227" i="3"/>
  <c r="F22" i="22"/>
  <c r="S19" i="21"/>
  <c r="F21" i="24"/>
  <c r="E21" i="24" s="1"/>
  <c r="I15" i="24"/>
  <c r="V22" i="21"/>
  <c r="P22" i="21" s="1"/>
  <c r="I25" i="22"/>
  <c r="F25" i="22"/>
  <c r="S22" i="21"/>
  <c r="H8" i="13"/>
  <c r="H14" i="13" s="1"/>
  <c r="H23" i="22"/>
  <c r="U20" i="21"/>
  <c r="O20" i="21" s="1"/>
  <c r="F599" i="9"/>
  <c r="E236" i="4"/>
  <c r="H9" i="11"/>
  <c r="G10" i="8"/>
  <c r="G16" i="8" s="1"/>
  <c r="N110" i="10"/>
  <c r="H9" i="3"/>
  <c r="H15" i="3" s="1"/>
  <c r="H221" i="1"/>
  <c r="S18" i="21"/>
  <c r="F21" i="22"/>
  <c r="U42" i="24"/>
  <c r="H18" i="24"/>
  <c r="W19" i="24" s="1"/>
  <c r="F121" i="13"/>
  <c r="F116" i="13"/>
  <c r="E116" i="13" s="1"/>
  <c r="E122" i="13"/>
  <c r="H25" i="22"/>
  <c r="U22" i="21"/>
  <c r="O22" i="21" s="1"/>
  <c r="I10" i="9"/>
  <c r="I16" i="9" s="1"/>
  <c r="S45" i="24"/>
  <c r="E520" i="24"/>
  <c r="E724" i="23"/>
  <c r="E802" i="24"/>
  <c r="E25" i="22" s="1"/>
  <c r="E238" i="24"/>
  <c r="E550" i="23"/>
  <c r="F286" i="23"/>
  <c r="E286" i="23" s="1"/>
  <c r="E448" i="23"/>
  <c r="H346" i="23"/>
  <c r="E80" i="16"/>
  <c r="E348" i="13"/>
  <c r="G9" i="16"/>
  <c r="G15" i="16" s="1"/>
  <c r="E44" i="16"/>
  <c r="G8" i="16"/>
  <c r="G14" i="16" s="1"/>
  <c r="I564" i="9"/>
  <c r="E564" i="9" s="1"/>
  <c r="N63" i="10"/>
  <c r="H83" i="11"/>
  <c r="E41" i="11"/>
  <c r="E400" i="9"/>
  <c r="G223" i="3"/>
  <c r="F102" i="5" s="1"/>
  <c r="E402" i="3"/>
  <c r="J39" i="5"/>
  <c r="F127" i="4"/>
  <c r="R52" i="5" s="1"/>
  <c r="E128" i="4"/>
  <c r="Q53" i="5" s="1"/>
  <c r="E41" i="1"/>
  <c r="X21" i="24"/>
  <c r="I14" i="24"/>
  <c r="G21" i="23"/>
  <c r="E808" i="23"/>
  <c r="E28" i="21" s="1"/>
  <c r="F28" i="21"/>
  <c r="M28" i="21" s="1"/>
  <c r="E159" i="23"/>
  <c r="E154" i="23" s="1"/>
  <c r="F40" i="23"/>
  <c r="S40" i="23" s="1"/>
  <c r="F17" i="23"/>
  <c r="I20" i="22"/>
  <c r="V17" i="21"/>
  <c r="E288" i="24"/>
  <c r="F569" i="9"/>
  <c r="E569" i="9" s="1"/>
  <c r="N7" i="2"/>
  <c r="I155" i="1"/>
  <c r="E659" i="36"/>
  <c r="G658" i="36"/>
  <c r="G115" i="13"/>
  <c r="G6" i="13"/>
  <c r="G12" i="13"/>
  <c r="E722" i="23"/>
  <c r="E20" i="21" s="1"/>
  <c r="F20" i="21"/>
  <c r="R9" i="5"/>
  <c r="F14" i="4"/>
  <c r="A63" i="2"/>
  <c r="Q63" i="2"/>
  <c r="E35" i="20"/>
  <c r="A86" i="2"/>
  <c r="Q86" i="2"/>
  <c r="Q106" i="2" s="1"/>
  <c r="Y36" i="10"/>
  <c r="N37" i="10"/>
  <c r="H8" i="5"/>
  <c r="I13" i="3"/>
  <c r="H12" i="5" s="1"/>
  <c r="I12" i="20"/>
  <c r="F37" i="20"/>
  <c r="H37" i="20"/>
  <c r="E25" i="9"/>
  <c r="G678" i="24"/>
  <c r="H672" i="24"/>
  <c r="H594" i="24" s="1"/>
  <c r="T19" i="21"/>
  <c r="N19" i="21" s="1"/>
  <c r="G22" i="22"/>
  <c r="R599" i="24"/>
  <c r="W21" i="24"/>
  <c r="S600" i="24"/>
  <c r="E600" i="24"/>
  <c r="R600" i="24" s="1"/>
  <c r="F184" i="23"/>
  <c r="E186" i="23"/>
  <c r="E184" i="23" s="1"/>
  <c r="H25" i="20"/>
  <c r="G28" i="20"/>
  <c r="H33" i="20"/>
  <c r="F27" i="20"/>
  <c r="E220" i="13"/>
  <c r="H9" i="10"/>
  <c r="H347" i="9"/>
  <c r="E347" i="9" s="1"/>
  <c r="F283" i="9"/>
  <c r="E349" i="9"/>
  <c r="F9" i="9"/>
  <c r="I143" i="8"/>
  <c r="I10" i="8"/>
  <c r="I16" i="8" s="1"/>
  <c r="H68" i="6"/>
  <c r="H224" i="3"/>
  <c r="H276" i="3"/>
  <c r="E276" i="3" s="1"/>
  <c r="E156" i="1"/>
  <c r="F155" i="1"/>
  <c r="N51" i="5"/>
  <c r="U111" i="5"/>
  <c r="N111" i="5" s="1"/>
  <c r="I372" i="4"/>
  <c r="U110" i="5" s="1"/>
  <c r="N110" i="5" s="1"/>
  <c r="G8" i="5"/>
  <c r="H13" i="3"/>
  <c r="G12" i="5" s="1"/>
  <c r="N53" i="5"/>
  <c r="E460" i="24"/>
  <c r="E22" i="23"/>
  <c r="O24" i="23"/>
  <c r="I12" i="23"/>
  <c r="W20" i="23"/>
  <c r="G25" i="20"/>
  <c r="G31" i="20"/>
  <c r="E29" i="16"/>
  <c r="E220" i="16"/>
  <c r="Q87" i="10"/>
  <c r="H599" i="9"/>
  <c r="H12" i="9"/>
  <c r="F24" i="9"/>
  <c r="E48" i="9"/>
  <c r="F47" i="9"/>
  <c r="E47" i="9" s="1"/>
  <c r="H299" i="9"/>
  <c r="H288" i="9"/>
  <c r="H18" i="9"/>
  <c r="E300" i="9"/>
  <c r="E299" i="9" s="1"/>
  <c r="I23" i="9"/>
  <c r="I7" i="9"/>
  <c r="I13" i="9" s="1"/>
  <c r="E600" i="8"/>
  <c r="I23" i="8"/>
  <c r="I6" i="8"/>
  <c r="H70" i="6"/>
  <c r="Q61" i="2"/>
  <c r="A61" i="2"/>
  <c r="G121" i="3"/>
  <c r="F47" i="5" s="1"/>
  <c r="L47" i="5" s="1"/>
  <c r="H12" i="1"/>
  <c r="H23" i="1"/>
  <c r="L37" i="5"/>
  <c r="U48" i="5"/>
  <c r="I121" i="4"/>
  <c r="U47" i="5" s="1"/>
  <c r="U103" i="5"/>
  <c r="I229" i="4"/>
  <c r="U102" i="5" s="1"/>
  <c r="T601" i="24"/>
  <c r="E601" i="24"/>
  <c r="R601" i="24" s="1"/>
  <c r="E602" i="24"/>
  <c r="R602" i="24" s="1"/>
  <c r="S602" i="24"/>
  <c r="N26" i="24"/>
  <c r="U20" i="24"/>
  <c r="E394" i="24"/>
  <c r="I16" i="24"/>
  <c r="X17" i="24" s="1"/>
  <c r="I11" i="24"/>
  <c r="X18" i="24"/>
  <c r="H20" i="23"/>
  <c r="E20" i="23" s="1"/>
  <c r="T21" i="23" s="1"/>
  <c r="U44" i="23"/>
  <c r="E520" i="23"/>
  <c r="E30" i="20"/>
  <c r="F8" i="16"/>
  <c r="E26" i="16"/>
  <c r="E383" i="16"/>
  <c r="F378" i="16"/>
  <c r="E378" i="16" s="1"/>
  <c r="H115" i="13"/>
  <c r="H9" i="13"/>
  <c r="H15" i="13" s="1"/>
  <c r="H17" i="16"/>
  <c r="E17" i="16" s="1"/>
  <c r="F9" i="16"/>
  <c r="E27" i="16"/>
  <c r="G115" i="16"/>
  <c r="G557" i="9"/>
  <c r="E558" i="9"/>
  <c r="F287" i="9"/>
  <c r="F282" i="9"/>
  <c r="E565" i="8"/>
  <c r="I564" i="8"/>
  <c r="Z5" i="10"/>
  <c r="O36" i="10"/>
  <c r="I5" i="10"/>
  <c r="H5" i="10" s="1"/>
  <c r="I6" i="9"/>
  <c r="I281" i="9"/>
  <c r="T167" i="5"/>
  <c r="M167" i="5" s="1"/>
  <c r="H408" i="4"/>
  <c r="T166" i="5" s="1"/>
  <c r="M166" i="5" s="1"/>
  <c r="E411" i="4"/>
  <c r="F408" i="4"/>
  <c r="S11" i="5"/>
  <c r="L11" i="5" s="1"/>
  <c r="E37" i="5"/>
  <c r="E86" i="3"/>
  <c r="D37" i="5" s="1"/>
  <c r="G83" i="1"/>
  <c r="F13" i="1"/>
  <c r="E90" i="1"/>
  <c r="F84" i="1"/>
  <c r="F12" i="1" s="1"/>
  <c r="F89" i="1"/>
  <c r="E89" i="1" s="1"/>
  <c r="I12" i="1"/>
  <c r="E721" i="23"/>
  <c r="E19" i="21" s="1"/>
  <c r="F19" i="21"/>
  <c r="G19" i="22"/>
  <c r="T16" i="21"/>
  <c r="F12" i="20"/>
  <c r="H223" i="16"/>
  <c r="E223" i="16" s="1"/>
  <c r="H218" i="16"/>
  <c r="H23" i="16"/>
  <c r="F10" i="16"/>
  <c r="H42" i="10"/>
  <c r="N42" i="10" s="1"/>
  <c r="N43" i="10"/>
  <c r="E18" i="16"/>
  <c r="R37" i="5"/>
  <c r="E86" i="4"/>
  <c r="Q37" i="5" s="1"/>
  <c r="R168" i="5"/>
  <c r="K168" i="5" s="1"/>
  <c r="E414" i="4"/>
  <c r="Q168" i="5" s="1"/>
  <c r="F9" i="4"/>
  <c r="A58" i="2"/>
  <c r="Q58" i="2"/>
  <c r="H8" i="4"/>
  <c r="T50" i="5"/>
  <c r="M50" i="5" s="1"/>
  <c r="E124" i="4"/>
  <c r="Q50" i="5" s="1"/>
  <c r="E225" i="3"/>
  <c r="A23" i="2"/>
  <c r="G718" i="23"/>
  <c r="G16" i="21" s="1"/>
  <c r="G17" i="21"/>
  <c r="G463" i="24"/>
  <c r="G492" i="24"/>
  <c r="H673" i="23"/>
  <c r="G679" i="23"/>
  <c r="E20" i="22"/>
  <c r="E681" i="23"/>
  <c r="F675" i="23"/>
  <c r="S600" i="23"/>
  <c r="E600" i="23"/>
  <c r="R600" i="23" s="1"/>
  <c r="G465" i="23"/>
  <c r="G494" i="23"/>
  <c r="U21" i="23"/>
  <c r="I13" i="23"/>
  <c r="H29" i="20"/>
  <c r="E379" i="13"/>
  <c r="H378" i="13"/>
  <c r="E29" i="13"/>
  <c r="E119" i="16"/>
  <c r="H155" i="11"/>
  <c r="E191" i="11"/>
  <c r="E120" i="16"/>
  <c r="E220" i="11"/>
  <c r="E119" i="13"/>
  <c r="N98" i="10"/>
  <c r="E569" i="8"/>
  <c r="G143" i="9"/>
  <c r="G12" i="9"/>
  <c r="H386" i="9"/>
  <c r="H291" i="9"/>
  <c r="E556" i="8"/>
  <c r="G555" i="8"/>
  <c r="E146" i="9"/>
  <c r="E557" i="8"/>
  <c r="E286" i="8"/>
  <c r="J83" i="5"/>
  <c r="J55" i="5"/>
  <c r="K15" i="5"/>
  <c r="J76" i="6"/>
  <c r="S7" i="5"/>
  <c r="F10" i="3"/>
  <c r="H17" i="4"/>
  <c r="T14" i="5" s="1"/>
  <c r="T15" i="5"/>
  <c r="E18" i="4"/>
  <c r="Q15" i="5" s="1"/>
  <c r="G8" i="3"/>
  <c r="E26" i="3"/>
  <c r="F679" i="24"/>
  <c r="G673" i="24"/>
  <c r="G595" i="24" s="1"/>
  <c r="T595" i="24" s="1"/>
  <c r="H593" i="24"/>
  <c r="H15" i="23"/>
  <c r="E17" i="24"/>
  <c r="H32" i="20"/>
  <c r="E223" i="13"/>
  <c r="E122" i="16"/>
  <c r="F121" i="16"/>
  <c r="F116" i="16"/>
  <c r="F12" i="16" s="1"/>
  <c r="G121" i="16"/>
  <c r="F7" i="16"/>
  <c r="E25" i="16"/>
  <c r="H218" i="13"/>
  <c r="H217" i="13" s="1"/>
  <c r="E157" i="11"/>
  <c r="E216" i="11"/>
  <c r="G7" i="13"/>
  <c r="G13" i="13" s="1"/>
  <c r="G23" i="13"/>
  <c r="E25" i="13"/>
  <c r="E85" i="11"/>
  <c r="F7" i="11"/>
  <c r="E292" i="9"/>
  <c r="H286" i="9"/>
  <c r="E150" i="9"/>
  <c r="F149" i="9"/>
  <c r="F144" i="9"/>
  <c r="E28" i="9"/>
  <c r="F10" i="9"/>
  <c r="E401" i="8"/>
  <c r="E369" i="9"/>
  <c r="I368" i="9"/>
  <c r="U17" i="5"/>
  <c r="N17" i="5" s="1"/>
  <c r="I23" i="4"/>
  <c r="U16" i="5" s="1"/>
  <c r="I6" i="4"/>
  <c r="H48" i="5"/>
  <c r="I121" i="3"/>
  <c r="H47" i="5" s="1"/>
  <c r="J110" i="5"/>
  <c r="F10" i="4"/>
  <c r="E28" i="4"/>
  <c r="J169" i="5"/>
  <c r="E126" i="3"/>
  <c r="H230" i="4"/>
  <c r="H229" i="4" s="1"/>
  <c r="H282" i="4"/>
  <c r="Q11" i="2"/>
  <c r="A11" i="2"/>
  <c r="K49" i="5"/>
  <c r="E103" i="5"/>
  <c r="F223" i="3"/>
  <c r="E351" i="24"/>
  <c r="AB36" i="10"/>
  <c r="Q37" i="10"/>
  <c r="AB8" i="10"/>
  <c r="Q8" i="10" s="1"/>
  <c r="F23" i="1"/>
  <c r="E24" i="1"/>
  <c r="S40" i="24"/>
  <c r="I718" i="23"/>
  <c r="I16" i="21" s="1"/>
  <c r="I17" i="21"/>
  <c r="I11" i="23"/>
  <c r="F928" i="24"/>
  <c r="E928" i="24" s="1"/>
  <c r="F910" i="23"/>
  <c r="E910" i="23" s="1"/>
  <c r="E912" i="23"/>
  <c r="G37" i="20"/>
  <c r="H35" i="20"/>
  <c r="I19" i="20"/>
  <c r="E126" i="16"/>
  <c r="I9" i="13"/>
  <c r="I15" i="13" s="1"/>
  <c r="I23" i="13"/>
  <c r="G217" i="13"/>
  <c r="I8" i="13"/>
  <c r="I6" i="11"/>
  <c r="E402" i="8"/>
  <c r="E113" i="8"/>
  <c r="E368" i="8"/>
  <c r="I367" i="8"/>
  <c r="G143" i="8"/>
  <c r="G6" i="8"/>
  <c r="G12" i="8"/>
  <c r="H103" i="5"/>
  <c r="I223" i="3"/>
  <c r="H102" i="5" s="1"/>
  <c r="R22" i="5"/>
  <c r="E50" i="4"/>
  <c r="Q22" i="5" s="1"/>
  <c r="J105" i="5"/>
  <c r="U8" i="5"/>
  <c r="F9" i="8"/>
  <c r="E27" i="8"/>
  <c r="R103" i="5"/>
  <c r="F229" i="4"/>
  <c r="R51" i="5"/>
  <c r="K51" i="5" s="1"/>
  <c r="E125" i="4"/>
  <c r="Q51" i="5" s="1"/>
  <c r="J51" i="5" s="1"/>
  <c r="H10" i="4"/>
  <c r="H16" i="4" s="1"/>
  <c r="F9" i="3"/>
  <c r="G8" i="4"/>
  <c r="E26" i="4"/>
  <c r="H12" i="4"/>
  <c r="T48" i="5"/>
  <c r="H121" i="4"/>
  <c r="T47" i="5" s="1"/>
  <c r="E24" i="8"/>
  <c r="J49" i="5"/>
  <c r="E229" i="3"/>
  <c r="G7" i="1"/>
  <c r="G13" i="1" s="1"/>
  <c r="G9" i="1"/>
  <c r="G15" i="1" s="1"/>
  <c r="H90" i="6"/>
  <c r="L89" i="6"/>
  <c r="F15" i="1"/>
  <c r="F18" i="24"/>
  <c r="E24" i="24"/>
  <c r="F22" i="24"/>
  <c r="E22" i="24" s="1"/>
  <c r="V18" i="21"/>
  <c r="P18" i="21" s="1"/>
  <c r="I21" i="22"/>
  <c r="E350" i="24"/>
  <c r="F550" i="23"/>
  <c r="F347" i="23"/>
  <c r="L23" i="23"/>
  <c r="E723" i="24"/>
  <c r="F24" i="22"/>
  <c r="S21" i="21"/>
  <c r="G25" i="22"/>
  <c r="T22" i="21"/>
  <c r="N22" i="21" s="1"/>
  <c r="F681" i="24"/>
  <c r="G675" i="24"/>
  <c r="G597" i="24" s="1"/>
  <c r="M27" i="24" s="1"/>
  <c r="E720" i="24"/>
  <c r="U21" i="24"/>
  <c r="E20" i="24"/>
  <c r="T21" i="24" s="1"/>
  <c r="E806" i="23"/>
  <c r="E26" i="21" s="1"/>
  <c r="F26" i="21"/>
  <c r="T42" i="24"/>
  <c r="G18" i="24"/>
  <c r="U42" i="23"/>
  <c r="N24" i="23"/>
  <c r="E42" i="23"/>
  <c r="R42" i="23" s="1"/>
  <c r="W42" i="23" s="1"/>
  <c r="H18" i="23"/>
  <c r="H16" i="23" s="1"/>
  <c r="W17" i="23" s="1"/>
  <c r="F720" i="23"/>
  <c r="V20" i="23"/>
  <c r="H19" i="20"/>
  <c r="H36" i="20"/>
  <c r="I31" i="20"/>
  <c r="G199" i="13"/>
  <c r="E199" i="13" s="1"/>
  <c r="E200" i="13"/>
  <c r="F16" i="13"/>
  <c r="G9" i="13"/>
  <c r="E27" i="13"/>
  <c r="I7" i="11"/>
  <c r="I13" i="11" s="1"/>
  <c r="I23" i="11"/>
  <c r="F10" i="11"/>
  <c r="E28" i="11"/>
  <c r="R88" i="10"/>
  <c r="AC88" i="10"/>
  <c r="E25" i="11"/>
  <c r="G355" i="9"/>
  <c r="D170" i="5"/>
  <c r="J170" i="5" s="1"/>
  <c r="D168" i="5"/>
  <c r="E47" i="8"/>
  <c r="H12" i="3"/>
  <c r="G48" i="5"/>
  <c r="H121" i="3"/>
  <c r="G47" i="5" s="1"/>
  <c r="H12" i="8"/>
  <c r="G9" i="9"/>
  <c r="G15" i="9" s="1"/>
  <c r="E147" i="9"/>
  <c r="F678" i="23"/>
  <c r="G672" i="23"/>
  <c r="G594" i="23" s="1"/>
  <c r="T594" i="23" s="1"/>
  <c r="F40" i="20"/>
  <c r="G24" i="22"/>
  <c r="T21" i="21"/>
  <c r="N21" i="21" s="1"/>
  <c r="E166" i="24"/>
  <c r="H346" i="24"/>
  <c r="E376" i="23"/>
  <c r="I16" i="23"/>
  <c r="X17" i="23" s="1"/>
  <c r="H22" i="20"/>
  <c r="I6" i="16"/>
  <c r="I23" i="16"/>
  <c r="E351" i="16"/>
  <c r="F217" i="13"/>
  <c r="H29" i="10"/>
  <c r="N29" i="10" s="1"/>
  <c r="H291" i="8"/>
  <c r="H386" i="8"/>
  <c r="E602" i="8"/>
  <c r="G599" i="8"/>
  <c r="E599" i="8" s="1"/>
  <c r="E146" i="8"/>
  <c r="F8" i="8"/>
  <c r="E128" i="3"/>
  <c r="D53" i="5" s="1"/>
  <c r="J53" i="5" s="1"/>
  <c r="F127" i="3"/>
  <c r="E53" i="5"/>
  <c r="F122" i="3"/>
  <c r="N15" i="5"/>
  <c r="R8" i="5"/>
  <c r="F13" i="4"/>
  <c r="R48" i="5"/>
  <c r="F121" i="4"/>
  <c r="E122" i="4"/>
  <c r="Q48" i="5" s="1"/>
  <c r="P57" i="2"/>
  <c r="P8" i="2" s="1"/>
  <c r="K14" i="5"/>
  <c r="E132" i="3"/>
  <c r="E605" i="9"/>
  <c r="F8" i="3"/>
  <c r="E50" i="5"/>
  <c r="K50" i="5" s="1"/>
  <c r="E124" i="3"/>
  <c r="D50" i="5" s="1"/>
  <c r="E30" i="22"/>
  <c r="R27" i="21"/>
  <c r="L27" i="21" s="1"/>
  <c r="G598" i="24"/>
  <c r="T598" i="24" s="1"/>
  <c r="F680" i="24"/>
  <c r="G674" i="24"/>
  <c r="G596" i="24" s="1"/>
  <c r="I346" i="24"/>
  <c r="G598" i="23"/>
  <c r="T598" i="23" s="1"/>
  <c r="T601" i="23"/>
  <c r="S593" i="23"/>
  <c r="E19" i="23"/>
  <c r="T20" i="23" s="1"/>
  <c r="U20" i="23"/>
  <c r="H676" i="23"/>
  <c r="E719" i="23"/>
  <c r="E17" i="21" s="1"/>
  <c r="X15" i="23"/>
  <c r="I15" i="21"/>
  <c r="E38" i="20"/>
  <c r="H23" i="20"/>
  <c r="F20" i="20"/>
  <c r="E80" i="13"/>
  <c r="H23" i="11"/>
  <c r="H6" i="11"/>
  <c r="E24" i="11"/>
  <c r="F23" i="11"/>
  <c r="F6" i="11"/>
  <c r="E264" i="13"/>
  <c r="E218" i="11"/>
  <c r="G8" i="11"/>
  <c r="H18" i="10"/>
  <c r="N18" i="10" s="1"/>
  <c r="G10" i="13"/>
  <c r="G16" i="13" s="1"/>
  <c r="E94" i="11"/>
  <c r="N34" i="10"/>
  <c r="H11" i="10"/>
  <c r="N74" i="10"/>
  <c r="H8" i="10"/>
  <c r="G356" i="8"/>
  <c r="I23" i="3"/>
  <c r="H16" i="5" s="1"/>
  <c r="I6" i="3"/>
  <c r="G396" i="3"/>
  <c r="F166" i="5" s="1"/>
  <c r="L166" i="5" s="1"/>
  <c r="G127" i="3"/>
  <c r="F52" i="5" s="1"/>
  <c r="L52" i="5" s="1"/>
  <c r="G398" i="8"/>
  <c r="E25" i="8"/>
  <c r="F7" i="8"/>
  <c r="E25" i="4"/>
  <c r="S8" i="5"/>
  <c r="G13" i="4"/>
  <c r="S12" i="5" s="1"/>
  <c r="E211" i="4"/>
  <c r="G10" i="1"/>
  <c r="G16" i="1" s="1"/>
  <c r="G7" i="3"/>
  <c r="G155" i="1"/>
  <c r="R23" i="21"/>
  <c r="L23" i="21" s="1"/>
  <c r="E26" i="22"/>
  <c r="F19" i="22"/>
  <c r="F598" i="24"/>
  <c r="S598" i="24" s="1"/>
  <c r="I12" i="24"/>
  <c r="V20" i="24"/>
  <c r="R599" i="23"/>
  <c r="E24" i="23"/>
  <c r="F18" i="23"/>
  <c r="W18" i="23"/>
  <c r="H11" i="23"/>
  <c r="F32" i="20"/>
  <c r="F21" i="20"/>
  <c r="H34" i="20"/>
  <c r="F39" i="20"/>
  <c r="F264" i="16"/>
  <c r="E264" i="16" s="1"/>
  <c r="E265" i="16"/>
  <c r="F7" i="13"/>
  <c r="E117" i="13"/>
  <c r="F378" i="13"/>
  <c r="AA78" i="10"/>
  <c r="P79" i="10"/>
  <c r="AA11" i="10"/>
  <c r="P11" i="10" s="1"/>
  <c r="G10" i="11"/>
  <c r="G16" i="11" s="1"/>
  <c r="G83" i="11"/>
  <c r="E265" i="13"/>
  <c r="E600" i="9"/>
  <c r="F218" i="16"/>
  <c r="E26" i="11"/>
  <c r="F8" i="11"/>
  <c r="N92" i="10"/>
  <c r="E156" i="11"/>
  <c r="F155" i="11"/>
  <c r="H282" i="8"/>
  <c r="E288" i="8"/>
  <c r="E113" i="9"/>
  <c r="E399" i="9"/>
  <c r="G398" i="9"/>
  <c r="H23" i="9"/>
  <c r="H13" i="9"/>
  <c r="E17" i="11"/>
  <c r="G281" i="8"/>
  <c r="E104" i="5"/>
  <c r="H17" i="3"/>
  <c r="G15" i="5"/>
  <c r="E18" i="3"/>
  <c r="D15" i="5" s="1"/>
  <c r="E222" i="1"/>
  <c r="G221" i="1"/>
  <c r="G12" i="1"/>
  <c r="H9" i="4"/>
  <c r="H15" i="4" s="1"/>
  <c r="E94" i="1"/>
  <c r="E88" i="1"/>
  <c r="G6" i="1"/>
  <c r="F22" i="21" l="1"/>
  <c r="M22" i="21" s="1"/>
  <c r="H217" i="16"/>
  <c r="E40" i="24"/>
  <c r="R40" i="24" s="1"/>
  <c r="W40" i="24" s="1"/>
  <c r="E24" i="16"/>
  <c r="Y69" i="10"/>
  <c r="N69" i="10" s="1"/>
  <c r="G16" i="23"/>
  <c r="V17" i="23" s="1"/>
  <c r="I14" i="3"/>
  <c r="H13" i="5" s="1"/>
  <c r="N13" i="5" s="1"/>
  <c r="E219" i="13"/>
  <c r="H11" i="13"/>
  <c r="F12" i="4"/>
  <c r="U15" i="21"/>
  <c r="E8" i="4"/>
  <c r="Q9" i="5" s="1"/>
  <c r="H14" i="24"/>
  <c r="L28" i="21"/>
  <c r="E722" i="24"/>
  <c r="R20" i="21" s="1"/>
  <c r="L20" i="21" s="1"/>
  <c r="F23" i="22"/>
  <c r="H12" i="22"/>
  <c r="F346" i="24"/>
  <c r="E378" i="13"/>
  <c r="E7" i="3"/>
  <c r="D8" i="5" s="1"/>
  <c r="E8" i="1"/>
  <c r="I11" i="1"/>
  <c r="E14" i="1"/>
  <c r="E24" i="13"/>
  <c r="M21" i="21"/>
  <c r="E22" i="22"/>
  <c r="I5" i="1"/>
  <c r="F13" i="3"/>
  <c r="E12" i="5" s="1"/>
  <c r="F6" i="1"/>
  <c r="G11" i="16"/>
  <c r="H16" i="24"/>
  <c r="W17" i="24" s="1"/>
  <c r="N12" i="5"/>
  <c r="L16" i="5"/>
  <c r="H107" i="6"/>
  <c r="J106" i="6"/>
  <c r="E598" i="23"/>
  <c r="R598" i="23" s="1"/>
  <c r="R22" i="21"/>
  <c r="L22" i="21" s="1"/>
  <c r="H8" i="3"/>
  <c r="G9" i="5" s="1"/>
  <c r="K53" i="5"/>
  <c r="H223" i="3"/>
  <c r="E223" i="3" s="1"/>
  <c r="E372" i="4"/>
  <c r="Q110" i="5" s="1"/>
  <c r="E8" i="13"/>
  <c r="E282" i="4"/>
  <c r="G5" i="16"/>
  <c r="R26" i="21"/>
  <c r="L26" i="21" s="1"/>
  <c r="L7" i="5"/>
  <c r="H11" i="16"/>
  <c r="M17" i="21"/>
  <c r="H5" i="16"/>
  <c r="E83" i="11"/>
  <c r="L102" i="5"/>
  <c r="E121" i="13"/>
  <c r="E599" i="9"/>
  <c r="N8" i="5"/>
  <c r="J37" i="5"/>
  <c r="U13" i="21"/>
  <c r="H10" i="22"/>
  <c r="E7" i="4"/>
  <c r="Q8" i="5" s="1"/>
  <c r="N26" i="23"/>
  <c r="E572" i="9"/>
  <c r="M20" i="21"/>
  <c r="H14" i="3"/>
  <c r="G13" i="5" s="1"/>
  <c r="U595" i="24"/>
  <c r="N25" i="24"/>
  <c r="E149" i="9"/>
  <c r="V16" i="21"/>
  <c r="P16" i="21" s="1"/>
  <c r="E21" i="23"/>
  <c r="E221" i="1"/>
  <c r="E718" i="24"/>
  <c r="E217" i="13"/>
  <c r="E230" i="4"/>
  <c r="E127" i="4"/>
  <c r="Q52" i="5" s="1"/>
  <c r="N17" i="21"/>
  <c r="T8" i="5"/>
  <c r="M8" i="5" s="1"/>
  <c r="E23" i="8"/>
  <c r="E16" i="8"/>
  <c r="E17" i="5"/>
  <c r="K17" i="5" s="1"/>
  <c r="F23" i="3"/>
  <c r="E16" i="5" s="1"/>
  <c r="F6" i="16"/>
  <c r="E6" i="16" s="1"/>
  <c r="E17" i="4"/>
  <c r="Q14" i="5" s="1"/>
  <c r="K37" i="5"/>
  <c r="W13" i="24"/>
  <c r="E218" i="13"/>
  <c r="M26" i="21"/>
  <c r="E23" i="1"/>
  <c r="I563" i="9"/>
  <c r="I492" i="9" s="1"/>
  <c r="E50" i="3"/>
  <c r="D22" i="5" s="1"/>
  <c r="J22" i="5" s="1"/>
  <c r="E22" i="5"/>
  <c r="K22" i="5" s="1"/>
  <c r="G674" i="23"/>
  <c r="G596" i="23" s="1"/>
  <c r="T596" i="23" s="1"/>
  <c r="F680" i="23"/>
  <c r="E24" i="3"/>
  <c r="D17" i="5" s="1"/>
  <c r="X14" i="24"/>
  <c r="I11" i="22"/>
  <c r="V14" i="21"/>
  <c r="E23" i="22"/>
  <c r="F11" i="24"/>
  <c r="S11" i="21" s="1"/>
  <c r="F6" i="4"/>
  <c r="F5" i="4" s="1"/>
  <c r="E24" i="4"/>
  <c r="Q17" i="5" s="1"/>
  <c r="P17" i="21"/>
  <c r="E23" i="13"/>
  <c r="E13" i="1"/>
  <c r="F12" i="13"/>
  <c r="M12" i="13" s="1"/>
  <c r="N12" i="13" s="1"/>
  <c r="N102" i="5"/>
  <c r="F115" i="13"/>
  <c r="E115" i="13" s="1"/>
  <c r="K8" i="5"/>
  <c r="F6" i="13"/>
  <c r="E6" i="13" s="1"/>
  <c r="F23" i="4"/>
  <c r="R16" i="5" s="1"/>
  <c r="E121" i="16"/>
  <c r="H670" i="24"/>
  <c r="L19" i="21"/>
  <c r="M19" i="21"/>
  <c r="O5" i="10"/>
  <c r="E40" i="23"/>
  <c r="R40" i="23" s="1"/>
  <c r="W40" i="23" s="1"/>
  <c r="U18" i="23"/>
  <c r="E17" i="23"/>
  <c r="T18" i="23" s="1"/>
  <c r="X15" i="24"/>
  <c r="I12" i="22"/>
  <c r="V15" i="21"/>
  <c r="P15" i="21" s="1"/>
  <c r="V46" i="21" s="1"/>
  <c r="P108" i="10"/>
  <c r="Y108" i="10"/>
  <c r="N108" i="10" s="1"/>
  <c r="AA107" i="10"/>
  <c r="F143" i="8"/>
  <c r="E143" i="8" s="1"/>
  <c r="F6" i="8"/>
  <c r="F5" i="8" s="1"/>
  <c r="F12" i="8"/>
  <c r="U16" i="21"/>
  <c r="H19" i="22"/>
  <c r="G5" i="1"/>
  <c r="K103" i="5"/>
  <c r="J103" i="5" s="1"/>
  <c r="H15" i="11"/>
  <c r="E15" i="11" s="1"/>
  <c r="E9" i="11"/>
  <c r="H18" i="21"/>
  <c r="O18" i="21" s="1"/>
  <c r="H718" i="23"/>
  <c r="H16" i="21" s="1"/>
  <c r="V13" i="21"/>
  <c r="I10" i="22"/>
  <c r="X13" i="24"/>
  <c r="X14" i="23"/>
  <c r="I14" i="21"/>
  <c r="G657" i="36"/>
  <c r="E658" i="36"/>
  <c r="H12" i="20"/>
  <c r="H9" i="20"/>
  <c r="AB8" i="2"/>
  <c r="P7" i="2"/>
  <c r="G673" i="23"/>
  <c r="G595" i="23" s="1"/>
  <c r="T595" i="23" s="1"/>
  <c r="F679" i="23"/>
  <c r="F676" i="23" s="1"/>
  <c r="G14" i="5"/>
  <c r="M14" i="5" s="1"/>
  <c r="E17" i="3"/>
  <c r="D14" i="5" s="1"/>
  <c r="J14" i="5" s="1"/>
  <c r="E398" i="9"/>
  <c r="G397" i="9"/>
  <c r="X12" i="24"/>
  <c r="I9" i="22"/>
  <c r="V12" i="21"/>
  <c r="E398" i="8"/>
  <c r="G397" i="8"/>
  <c r="H385" i="8"/>
  <c r="H290" i="8"/>
  <c r="H20" i="8"/>
  <c r="G11" i="5"/>
  <c r="H6" i="3"/>
  <c r="W19" i="23"/>
  <c r="H12" i="23"/>
  <c r="R18" i="21"/>
  <c r="E21" i="22"/>
  <c r="S9" i="5"/>
  <c r="G14" i="4"/>
  <c r="H290" i="9"/>
  <c r="H385" i="9"/>
  <c r="H20" i="9"/>
  <c r="H595" i="23"/>
  <c r="H670" i="23"/>
  <c r="N16" i="21"/>
  <c r="W21" i="23"/>
  <c r="H14" i="23"/>
  <c r="F34" i="20"/>
  <c r="I11" i="20"/>
  <c r="E7" i="13"/>
  <c r="F13" i="13"/>
  <c r="E32" i="20"/>
  <c r="F8" i="5"/>
  <c r="L8" i="5" s="1"/>
  <c r="G13" i="3"/>
  <c r="G5" i="3"/>
  <c r="F6" i="5" s="1"/>
  <c r="H285" i="8"/>
  <c r="E291" i="8"/>
  <c r="F15" i="3"/>
  <c r="E15" i="3" s="1"/>
  <c r="E9" i="3"/>
  <c r="E10" i="4"/>
  <c r="F16" i="4"/>
  <c r="E16" i="4" s="1"/>
  <c r="F143" i="9"/>
  <c r="E143" i="9" s="1"/>
  <c r="E144" i="9"/>
  <c r="E564" i="8"/>
  <c r="I563" i="8"/>
  <c r="E9" i="16"/>
  <c r="F15" i="16"/>
  <c r="E15" i="16" s="1"/>
  <c r="W14" i="24"/>
  <c r="U14" i="21"/>
  <c r="H11" i="22"/>
  <c r="F16" i="9"/>
  <c r="N36" i="10"/>
  <c r="H11" i="20"/>
  <c r="T596" i="24"/>
  <c r="M26" i="24"/>
  <c r="E10" i="11"/>
  <c r="F16" i="11"/>
  <c r="E16" i="11" s="1"/>
  <c r="M12" i="16"/>
  <c r="N12" i="16" s="1"/>
  <c r="F675" i="24"/>
  <c r="E681" i="24"/>
  <c r="AB5" i="10"/>
  <c r="Q5" i="10" s="1"/>
  <c r="Q36" i="10"/>
  <c r="G493" i="23"/>
  <c r="G464" i="23"/>
  <c r="J50" i="5"/>
  <c r="E7" i="1"/>
  <c r="R166" i="5"/>
  <c r="K166" i="5" s="1"/>
  <c r="E408" i="4"/>
  <c r="Q166" i="5" s="1"/>
  <c r="I10" i="24"/>
  <c r="X11" i="24"/>
  <c r="I8" i="22"/>
  <c r="V11" i="21"/>
  <c r="E18" i="9"/>
  <c r="G14" i="24"/>
  <c r="F346" i="23"/>
  <c r="F11" i="23"/>
  <c r="E7" i="16"/>
  <c r="F13" i="16"/>
  <c r="E13" i="16" s="1"/>
  <c r="G351" i="23"/>
  <c r="M27" i="23"/>
  <c r="G462" i="24"/>
  <c r="G491" i="24"/>
  <c r="H282" i="9"/>
  <c r="E282" i="9" s="1"/>
  <c r="E598" i="24"/>
  <c r="R598" i="24" s="1"/>
  <c r="G5" i="9"/>
  <c r="E10" i="8"/>
  <c r="E720" i="23"/>
  <c r="E18" i="21" s="1"/>
  <c r="F18" i="21"/>
  <c r="M18" i="21" s="1"/>
  <c r="F718" i="23"/>
  <c r="J75" i="6"/>
  <c r="E282" i="8"/>
  <c r="E36" i="20"/>
  <c r="U19" i="23"/>
  <c r="E18" i="23"/>
  <c r="F16" i="23"/>
  <c r="U17" i="23" s="1"/>
  <c r="R16" i="21"/>
  <c r="E19" i="22"/>
  <c r="I5" i="3"/>
  <c r="H6" i="5" s="1"/>
  <c r="H7" i="5"/>
  <c r="I12" i="3"/>
  <c r="F121" i="3"/>
  <c r="F6" i="3"/>
  <c r="F12" i="3"/>
  <c r="E122" i="3"/>
  <c r="D48" i="5" s="1"/>
  <c r="J48" i="5" s="1"/>
  <c r="E48" i="5"/>
  <c r="K48" i="5" s="1"/>
  <c r="G677" i="23"/>
  <c r="V19" i="24"/>
  <c r="G16" i="24"/>
  <c r="V17" i="24" s="1"/>
  <c r="E286" i="9"/>
  <c r="H10" i="9"/>
  <c r="H16" i="9" s="1"/>
  <c r="F9" i="5"/>
  <c r="G14" i="3"/>
  <c r="F13" i="5" s="1"/>
  <c r="G349" i="24"/>
  <c r="M25" i="24"/>
  <c r="T9" i="5"/>
  <c r="H14" i="4"/>
  <c r="T13" i="5" s="1"/>
  <c r="N103" i="5"/>
  <c r="E37" i="20"/>
  <c r="E20" i="20"/>
  <c r="Q57" i="2"/>
  <c r="A57" i="2"/>
  <c r="F672" i="23"/>
  <c r="E678" i="23"/>
  <c r="E23" i="16"/>
  <c r="I5" i="4"/>
  <c r="U6" i="5" s="1"/>
  <c r="I12" i="4"/>
  <c r="E12" i="4" s="1"/>
  <c r="Q11" i="5" s="1"/>
  <c r="U7" i="5"/>
  <c r="F115" i="16"/>
  <c r="E115" i="16" s="1"/>
  <c r="E116" i="16"/>
  <c r="T18" i="24"/>
  <c r="J15" i="5"/>
  <c r="K104" i="5"/>
  <c r="J104" i="5" s="1"/>
  <c r="F16" i="16"/>
  <c r="E16" i="16" s="1"/>
  <c r="E10" i="16"/>
  <c r="F15" i="9"/>
  <c r="E13" i="4"/>
  <c r="Q12" i="5" s="1"/>
  <c r="R12" i="5"/>
  <c r="Y88" i="10"/>
  <c r="N88" i="10" s="1"/>
  <c r="R87" i="10"/>
  <c r="AC87" i="10"/>
  <c r="I8" i="20"/>
  <c r="E155" i="11"/>
  <c r="F33" i="20"/>
  <c r="G355" i="8"/>
  <c r="F8" i="20"/>
  <c r="E127" i="3"/>
  <c r="D52" i="5" s="1"/>
  <c r="E52" i="5"/>
  <c r="G354" i="9"/>
  <c r="G15" i="13"/>
  <c r="E15" i="13" s="1"/>
  <c r="E9" i="13"/>
  <c r="E18" i="24"/>
  <c r="T19" i="24" s="1"/>
  <c r="U19" i="24"/>
  <c r="F16" i="24"/>
  <c r="U17" i="24" s="1"/>
  <c r="R102" i="5"/>
  <c r="E229" i="4"/>
  <c r="I12" i="11"/>
  <c r="I11" i="11" s="1"/>
  <c r="I5" i="11"/>
  <c r="N16" i="5"/>
  <c r="E7" i="11"/>
  <c r="F13" i="11"/>
  <c r="E13" i="11" s="1"/>
  <c r="W15" i="23"/>
  <c r="H15" i="21"/>
  <c r="M15" i="5"/>
  <c r="F18" i="20"/>
  <c r="F281" i="9"/>
  <c r="N47" i="5"/>
  <c r="X12" i="23"/>
  <c r="I12" i="21"/>
  <c r="U594" i="24"/>
  <c r="N24" i="24"/>
  <c r="H12" i="24"/>
  <c r="W11" i="23"/>
  <c r="H11" i="21"/>
  <c r="M12" i="4"/>
  <c r="N12" i="4" s="1"/>
  <c r="R11" i="5"/>
  <c r="E396" i="3"/>
  <c r="D166" i="5" s="1"/>
  <c r="E24" i="22"/>
  <c r="R21" i="21"/>
  <c r="L21" i="21" s="1"/>
  <c r="G5" i="8"/>
  <c r="I14" i="13"/>
  <c r="I11" i="13" s="1"/>
  <c r="I5" i="13"/>
  <c r="K52" i="5"/>
  <c r="H31" i="20"/>
  <c r="E675" i="23"/>
  <c r="F597" i="23"/>
  <c r="H5" i="13"/>
  <c r="F15" i="4"/>
  <c r="E15" i="4" s="1"/>
  <c r="E9" i="4"/>
  <c r="M12" i="5"/>
  <c r="I5" i="9"/>
  <c r="I12" i="9"/>
  <c r="I11" i="9" s="1"/>
  <c r="N48" i="5"/>
  <c r="F12" i="9"/>
  <c r="E24" i="9"/>
  <c r="F23" i="9"/>
  <c r="E23" i="9" s="1"/>
  <c r="F6" i="9"/>
  <c r="G677" i="24"/>
  <c r="G672" i="24"/>
  <c r="G594" i="24" s="1"/>
  <c r="T594" i="24" s="1"/>
  <c r="F678" i="24"/>
  <c r="E218" i="16"/>
  <c r="F217" i="16"/>
  <c r="E217" i="16" s="1"/>
  <c r="G14" i="11"/>
  <c r="G11" i="11" s="1"/>
  <c r="G5" i="11"/>
  <c r="E21" i="20"/>
  <c r="E23" i="11"/>
  <c r="R7" i="5"/>
  <c r="F14" i="8"/>
  <c r="E10" i="13"/>
  <c r="E9" i="1"/>
  <c r="M47" i="5"/>
  <c r="E102" i="5"/>
  <c r="E368" i="9"/>
  <c r="I367" i="9"/>
  <c r="H592" i="24"/>
  <c r="U592" i="24" s="1"/>
  <c r="U593" i="24"/>
  <c r="N23" i="24"/>
  <c r="H11" i="24"/>
  <c r="E10" i="3"/>
  <c r="F16" i="3"/>
  <c r="E16" i="3" s="1"/>
  <c r="J168" i="5"/>
  <c r="F28" i="20"/>
  <c r="E288" i="9"/>
  <c r="E8" i="16"/>
  <c r="F14" i="16"/>
  <c r="E14" i="16" s="1"/>
  <c r="I5" i="8"/>
  <c r="I12" i="8"/>
  <c r="I11" i="8" s="1"/>
  <c r="H6" i="9"/>
  <c r="E155" i="1"/>
  <c r="H285" i="9"/>
  <c r="E291" i="9"/>
  <c r="E680" i="24"/>
  <c r="F674" i="24"/>
  <c r="X11" i="23"/>
  <c r="I10" i="23"/>
  <c r="I11" i="21"/>
  <c r="E39" i="20"/>
  <c r="E9" i="5"/>
  <c r="K9" i="5" s="1"/>
  <c r="E8" i="3"/>
  <c r="D9" i="5" s="1"/>
  <c r="F14" i="3"/>
  <c r="E121" i="4"/>
  <c r="Q47" i="5" s="1"/>
  <c r="R47" i="5"/>
  <c r="I5" i="16"/>
  <c r="I12" i="16"/>
  <c r="I11" i="16" s="1"/>
  <c r="H6" i="8"/>
  <c r="E16" i="13"/>
  <c r="G15" i="24"/>
  <c r="E15" i="1"/>
  <c r="M48" i="5"/>
  <c r="F15" i="8"/>
  <c r="F11" i="1"/>
  <c r="E224" i="3"/>
  <c r="E555" i="8"/>
  <c r="G554" i="8"/>
  <c r="L17" i="21"/>
  <c r="E10" i="1"/>
  <c r="G22" i="20"/>
  <c r="G5" i="13"/>
  <c r="G11" i="1"/>
  <c r="AA77" i="10"/>
  <c r="AA10" i="10"/>
  <c r="P10" i="10" s="1"/>
  <c r="P78" i="10"/>
  <c r="F5" i="11"/>
  <c r="F12" i="11"/>
  <c r="E6" i="11"/>
  <c r="E8" i="11"/>
  <c r="F14" i="11"/>
  <c r="E14" i="11" s="1"/>
  <c r="F13" i="8"/>
  <c r="H5" i="11"/>
  <c r="H12" i="11"/>
  <c r="H11" i="11" s="1"/>
  <c r="E40" i="20"/>
  <c r="H89" i="6"/>
  <c r="L88" i="6"/>
  <c r="T11" i="5"/>
  <c r="H6" i="4"/>
  <c r="I366" i="8"/>
  <c r="E367" i="8"/>
  <c r="F5" i="1"/>
  <c r="F673" i="24"/>
  <c r="E679" i="24"/>
  <c r="G5" i="4"/>
  <c r="S6" i="5" s="1"/>
  <c r="X13" i="23"/>
  <c r="I13" i="21"/>
  <c r="E84" i="1"/>
  <c r="E12" i="1" s="1"/>
  <c r="F83" i="1"/>
  <c r="E83" i="1" s="1"/>
  <c r="E16" i="1"/>
  <c r="E557" i="9"/>
  <c r="G556" i="9"/>
  <c r="F29" i="20"/>
  <c r="H6" i="1"/>
  <c r="H5" i="1" s="1"/>
  <c r="H11" i="1"/>
  <c r="E563" i="9"/>
  <c r="E27" i="20"/>
  <c r="F7" i="9"/>
  <c r="R13" i="5"/>
  <c r="J9" i="5" l="1"/>
  <c r="J8" i="5"/>
  <c r="J52" i="5"/>
  <c r="E13" i="3"/>
  <c r="D12" i="5" s="1"/>
  <c r="J12" i="5" s="1"/>
  <c r="J17" i="5"/>
  <c r="O15" i="21"/>
  <c r="U46" i="21" s="1"/>
  <c r="E14" i="13"/>
  <c r="M13" i="5"/>
  <c r="H11" i="3"/>
  <c r="G10" i="5" s="1"/>
  <c r="N6" i="5"/>
  <c r="M9" i="5"/>
  <c r="M5" i="40"/>
  <c r="F5" i="16"/>
  <c r="E12" i="13"/>
  <c r="H106" i="6"/>
  <c r="J105" i="6"/>
  <c r="K16" i="5"/>
  <c r="O16" i="21"/>
  <c r="F8" i="22"/>
  <c r="E23" i="4"/>
  <c r="Q16" i="5" s="1"/>
  <c r="E23" i="3"/>
  <c r="D16" i="5" s="1"/>
  <c r="P13" i="21"/>
  <c r="V44" i="21" s="1"/>
  <c r="H11" i="4"/>
  <c r="T10" i="5" s="1"/>
  <c r="M10" i="5" s="1"/>
  <c r="U11" i="24"/>
  <c r="F5" i="13"/>
  <c r="E14" i="4"/>
  <c r="Q13" i="5" s="1"/>
  <c r="L6" i="5"/>
  <c r="F674" i="23"/>
  <c r="E680" i="23"/>
  <c r="N7" i="5"/>
  <c r="P14" i="21"/>
  <c r="V45" i="21" s="1"/>
  <c r="E16" i="24"/>
  <c r="T17" i="24" s="1"/>
  <c r="E5" i="11"/>
  <c r="G11" i="13"/>
  <c r="AA106" i="10"/>
  <c r="Y107" i="10"/>
  <c r="N107" i="10" s="1"/>
  <c r="P107" i="10"/>
  <c r="E657" i="36"/>
  <c r="G656" i="36"/>
  <c r="I7" i="20"/>
  <c r="H9" i="9"/>
  <c r="E285" i="9"/>
  <c r="H10" i="24"/>
  <c r="W11" i="24"/>
  <c r="U11" i="21"/>
  <c r="O11" i="21" s="1"/>
  <c r="U42" i="21" s="1"/>
  <c r="H8" i="22"/>
  <c r="K12" i="5"/>
  <c r="E672" i="23"/>
  <c r="F594" i="23"/>
  <c r="F11" i="3"/>
  <c r="M12" i="3"/>
  <c r="N12" i="3" s="1"/>
  <c r="E11" i="5"/>
  <c r="K11" i="5" s="1"/>
  <c r="E12" i="3"/>
  <c r="D11" i="5" s="1"/>
  <c r="J11" i="5" s="1"/>
  <c r="V14" i="24"/>
  <c r="T14" i="21"/>
  <c r="G11" i="22"/>
  <c r="F11" i="16"/>
  <c r="E11" i="16" s="1"/>
  <c r="H14" i="21"/>
  <c r="O14" i="21" s="1"/>
  <c r="U45" i="21" s="1"/>
  <c r="W14" i="23"/>
  <c r="P12" i="21"/>
  <c r="V43" i="21" s="1"/>
  <c r="V15" i="24"/>
  <c r="T15" i="21"/>
  <c r="G12" i="22"/>
  <c r="E5" i="1"/>
  <c r="H10" i="20"/>
  <c r="E12" i="9"/>
  <c r="E597" i="23"/>
  <c r="L27" i="23"/>
  <c r="F15" i="23"/>
  <c r="K102" i="5"/>
  <c r="J102" i="5" s="1"/>
  <c r="E349" i="24"/>
  <c r="G13" i="24"/>
  <c r="E6" i="3"/>
  <c r="D7" i="5" s="1"/>
  <c r="F5" i="3"/>
  <c r="E7" i="5"/>
  <c r="K7" i="5" s="1"/>
  <c r="E12" i="16"/>
  <c r="E679" i="23"/>
  <c r="F673" i="23"/>
  <c r="F595" i="24"/>
  <c r="E673" i="24"/>
  <c r="E556" i="9"/>
  <c r="G555" i="9"/>
  <c r="I491" i="9"/>
  <c r="E491" i="9" s="1"/>
  <c r="E492" i="9"/>
  <c r="E6" i="1"/>
  <c r="E554" i="8"/>
  <c r="G553" i="8"/>
  <c r="F14" i="20"/>
  <c r="E47" i="5"/>
  <c r="K47" i="5" s="1"/>
  <c r="E121" i="3"/>
  <c r="D47" i="5" s="1"/>
  <c r="G490" i="24"/>
  <c r="G461" i="24"/>
  <c r="F9" i="20"/>
  <c r="E12" i="11"/>
  <c r="F11" i="11"/>
  <c r="E11" i="11" s="1"/>
  <c r="F25" i="20"/>
  <c r="H11" i="5"/>
  <c r="I11" i="3"/>
  <c r="H10" i="5" s="1"/>
  <c r="G348" i="24"/>
  <c r="M24" i="24"/>
  <c r="P11" i="21"/>
  <c r="V42" i="21" s="1"/>
  <c r="G350" i="23"/>
  <c r="M26" i="23"/>
  <c r="I492" i="8"/>
  <c r="E563" i="8"/>
  <c r="E285" i="8"/>
  <c r="H9" i="8"/>
  <c r="S13" i="5"/>
  <c r="L13" i="5" s="1"/>
  <c r="G11" i="4"/>
  <c r="S10" i="5" s="1"/>
  <c r="H15" i="20"/>
  <c r="G19" i="20"/>
  <c r="F22" i="20"/>
  <c r="E367" i="9"/>
  <c r="I366" i="9"/>
  <c r="W12" i="24"/>
  <c r="H9" i="22"/>
  <c r="U12" i="21"/>
  <c r="G463" i="23"/>
  <c r="G492" i="23"/>
  <c r="L9" i="5"/>
  <c r="H284" i="8"/>
  <c r="E290" i="8"/>
  <c r="F23" i="20"/>
  <c r="H5" i="4"/>
  <c r="T6" i="5" s="1"/>
  <c r="T7" i="5"/>
  <c r="E28" i="20"/>
  <c r="E351" i="23"/>
  <c r="G15" i="23"/>
  <c r="F31" i="20"/>
  <c r="E34" i="20"/>
  <c r="H289" i="8"/>
  <c r="H384" i="8"/>
  <c r="H383" i="8" s="1"/>
  <c r="H19" i="8"/>
  <c r="H17" i="8" s="1"/>
  <c r="E13" i="13"/>
  <c r="F11" i="13"/>
  <c r="F11" i="4"/>
  <c r="X10" i="24"/>
  <c r="V10" i="21"/>
  <c r="I7" i="22"/>
  <c r="F12" i="5"/>
  <c r="L12" i="5" s="1"/>
  <c r="G11" i="3"/>
  <c r="F10" i="5" s="1"/>
  <c r="U595" i="23"/>
  <c r="N25" i="23"/>
  <c r="H592" i="23"/>
  <c r="U592" i="23" s="1"/>
  <c r="H13" i="23"/>
  <c r="L18" i="21"/>
  <c r="E397" i="9"/>
  <c r="G396" i="9"/>
  <c r="E366" i="8"/>
  <c r="I365" i="8"/>
  <c r="E29" i="20"/>
  <c r="F11" i="8"/>
  <c r="E11" i="1"/>
  <c r="X10" i="23"/>
  <c r="I10" i="21"/>
  <c r="E678" i="24"/>
  <c r="F672" i="24"/>
  <c r="F676" i="24"/>
  <c r="E5" i="13"/>
  <c r="J74" i="6"/>
  <c r="W12" i="23"/>
  <c r="H12" i="21"/>
  <c r="E5" i="16"/>
  <c r="H18" i="20"/>
  <c r="J47" i="5"/>
  <c r="L87" i="6"/>
  <c r="H88" i="6"/>
  <c r="AA9" i="10"/>
  <c r="P9" i="10" s="1"/>
  <c r="P77" i="10"/>
  <c r="AA76" i="10"/>
  <c r="E13" i="5"/>
  <c r="K13" i="5" s="1"/>
  <c r="E14" i="3"/>
  <c r="D13" i="5" s="1"/>
  <c r="R6" i="5"/>
  <c r="G354" i="8"/>
  <c r="U11" i="5"/>
  <c r="I11" i="4"/>
  <c r="U10" i="5" s="1"/>
  <c r="E718" i="23"/>
  <c r="E16" i="21" s="1"/>
  <c r="L16" i="21" s="1"/>
  <c r="F16" i="21"/>
  <c r="M16" i="21" s="1"/>
  <c r="J166" i="5"/>
  <c r="H17" i="20"/>
  <c r="E10" i="9"/>
  <c r="H384" i="9"/>
  <c r="H383" i="9" s="1"/>
  <c r="H289" i="9"/>
  <c r="H19" i="9"/>
  <c r="H17" i="9" s="1"/>
  <c r="I10" i="20"/>
  <c r="F13" i="9"/>
  <c r="E674" i="24"/>
  <c r="F596" i="24"/>
  <c r="E6" i="4"/>
  <c r="Q7" i="5" s="1"/>
  <c r="E677" i="24"/>
  <c r="G676" i="24"/>
  <c r="G671" i="24"/>
  <c r="H8" i="20"/>
  <c r="G353" i="9"/>
  <c r="R86" i="10"/>
  <c r="AC86" i="10"/>
  <c r="Y87" i="10"/>
  <c r="N87" i="10" s="1"/>
  <c r="G671" i="23"/>
  <c r="E677" i="23"/>
  <c r="G676" i="23"/>
  <c r="T19" i="23"/>
  <c r="E16" i="23"/>
  <c r="T17" i="23" s="1"/>
  <c r="F11" i="21"/>
  <c r="M11" i="21" s="1"/>
  <c r="S42" i="21" s="1"/>
  <c r="U11" i="23"/>
  <c r="E16" i="9"/>
  <c r="H284" i="9"/>
  <c r="E290" i="9"/>
  <c r="H5" i="3"/>
  <c r="G6" i="5" s="1"/>
  <c r="G7" i="5"/>
  <c r="M11" i="5"/>
  <c r="E6" i="9"/>
  <c r="F5" i="9"/>
  <c r="E6" i="8"/>
  <c r="E12" i="8"/>
  <c r="E33" i="20"/>
  <c r="E675" i="24"/>
  <c r="F597" i="24"/>
  <c r="E397" i="8"/>
  <c r="G396" i="8"/>
  <c r="E676" i="23" l="1"/>
  <c r="E11" i="13"/>
  <c r="E676" i="24"/>
  <c r="J104" i="6"/>
  <c r="H104" i="6" s="1"/>
  <c r="H105" i="6"/>
  <c r="E5" i="4"/>
  <c r="Q6" i="5" s="1"/>
  <c r="F670" i="23"/>
  <c r="J16" i="5"/>
  <c r="N11" i="5"/>
  <c r="J13" i="5"/>
  <c r="E674" i="23"/>
  <c r="F596" i="23"/>
  <c r="N10" i="5"/>
  <c r="L10" i="5"/>
  <c r="P106" i="10"/>
  <c r="AA105" i="10"/>
  <c r="Y106" i="10"/>
  <c r="N106" i="10" s="1"/>
  <c r="P10" i="21"/>
  <c r="V41" i="21" s="1"/>
  <c r="E656" i="36"/>
  <c r="G655" i="36"/>
  <c r="R85" i="10"/>
  <c r="AC85" i="10"/>
  <c r="Y86" i="10"/>
  <c r="N86" i="10" s="1"/>
  <c r="J7" i="5"/>
  <c r="W13" i="23"/>
  <c r="H13" i="21"/>
  <c r="O13" i="21" s="1"/>
  <c r="U44" i="21" s="1"/>
  <c r="H10" i="23"/>
  <c r="V13" i="24"/>
  <c r="G10" i="22"/>
  <c r="T13" i="21"/>
  <c r="E396" i="8"/>
  <c r="G395" i="8"/>
  <c r="E596" i="24"/>
  <c r="R596" i="24" s="1"/>
  <c r="S596" i="24"/>
  <c r="L26" i="24"/>
  <c r="F14" i="24"/>
  <c r="M7" i="5"/>
  <c r="I365" i="9"/>
  <c r="E366" i="9"/>
  <c r="E348" i="24"/>
  <c r="G12" i="24"/>
  <c r="E555" i="9"/>
  <c r="G554" i="9"/>
  <c r="W10" i="24"/>
  <c r="U10" i="21"/>
  <c r="H7" i="22"/>
  <c r="H8" i="8"/>
  <c r="E8" i="8" s="1"/>
  <c r="E284" i="8"/>
  <c r="M6" i="5"/>
  <c r="R10" i="5"/>
  <c r="E11" i="4"/>
  <c r="Q10" i="5" s="1"/>
  <c r="E31" i="20"/>
  <c r="E23" i="20"/>
  <c r="F19" i="20"/>
  <c r="E11" i="3"/>
  <c r="D10" i="5" s="1"/>
  <c r="E10" i="5"/>
  <c r="H15" i="9"/>
  <c r="E9" i="9"/>
  <c r="H14" i="20"/>
  <c r="P76" i="10"/>
  <c r="AA8" i="10"/>
  <c r="P8" i="10" s="1"/>
  <c r="AA75" i="10"/>
  <c r="F11" i="20"/>
  <c r="F10" i="20"/>
  <c r="S595" i="24"/>
  <c r="E595" i="24"/>
  <c r="R595" i="24" s="1"/>
  <c r="L25" i="24"/>
  <c r="F13" i="24"/>
  <c r="E594" i="23"/>
  <c r="R594" i="23" s="1"/>
  <c r="S594" i="23"/>
  <c r="L24" i="23"/>
  <c r="F12" i="23"/>
  <c r="G491" i="23"/>
  <c r="G462" i="23"/>
  <c r="E22" i="20"/>
  <c r="H15" i="8"/>
  <c r="E9" i="8"/>
  <c r="F15" i="21"/>
  <c r="E15" i="23"/>
  <c r="U15" i="23"/>
  <c r="F670" i="24"/>
  <c r="E672" i="24"/>
  <c r="F594" i="24"/>
  <c r="M25" i="23"/>
  <c r="G349" i="23"/>
  <c r="G347" i="24"/>
  <c r="G460" i="24"/>
  <c r="E673" i="23"/>
  <c r="F595" i="23"/>
  <c r="I364" i="8"/>
  <c r="E365" i="8"/>
  <c r="V15" i="23"/>
  <c r="G15" i="21"/>
  <c r="N15" i="21" s="1"/>
  <c r="T46" i="21" s="1"/>
  <c r="H283" i="9"/>
  <c r="E289" i="9"/>
  <c r="H287" i="9"/>
  <c r="E287" i="9" s="1"/>
  <c r="I491" i="8"/>
  <c r="E491" i="8" s="1"/>
  <c r="E492" i="8"/>
  <c r="E553" i="8"/>
  <c r="G552" i="8"/>
  <c r="F11" i="9"/>
  <c r="H283" i="8"/>
  <c r="E289" i="8"/>
  <c r="H287" i="8"/>
  <c r="E287" i="8" s="1"/>
  <c r="E25" i="20"/>
  <c r="E597" i="24"/>
  <c r="L27" i="24"/>
  <c r="F15" i="24"/>
  <c r="G670" i="24"/>
  <c r="E671" i="24"/>
  <c r="G593" i="24"/>
  <c r="H87" i="6"/>
  <c r="L86" i="6"/>
  <c r="G395" i="9"/>
  <c r="E396" i="9"/>
  <c r="O12" i="21"/>
  <c r="U43" i="21" s="1"/>
  <c r="F15" i="20"/>
  <c r="H7" i="20"/>
  <c r="G353" i="8"/>
  <c r="H8" i="9"/>
  <c r="E8" i="9" s="1"/>
  <c r="E284" i="9"/>
  <c r="G670" i="23"/>
  <c r="G593" i="23"/>
  <c r="E671" i="23"/>
  <c r="G14" i="23"/>
  <c r="E350" i="23"/>
  <c r="E5" i="3"/>
  <c r="D6" i="5" s="1"/>
  <c r="J6" i="5" s="1"/>
  <c r="E6" i="5"/>
  <c r="K6" i="5" s="1"/>
  <c r="H16" i="20"/>
  <c r="F592" i="23" l="1"/>
  <c r="S592" i="23" s="1"/>
  <c r="E670" i="23"/>
  <c r="J10" i="5"/>
  <c r="S596" i="23"/>
  <c r="F14" i="23"/>
  <c r="E596" i="23"/>
  <c r="R596" i="23" s="1"/>
  <c r="L26" i="23"/>
  <c r="Y105" i="10"/>
  <c r="N105" i="10" s="1"/>
  <c r="P105" i="10"/>
  <c r="E655" i="36"/>
  <c r="G654" i="36"/>
  <c r="F7" i="20"/>
  <c r="U15" i="24"/>
  <c r="E15" i="24"/>
  <c r="S15" i="21"/>
  <c r="M15" i="21" s="1"/>
  <c r="S46" i="21" s="1"/>
  <c r="F12" i="22"/>
  <c r="E15" i="21"/>
  <c r="T15" i="23"/>
  <c r="F16" i="20"/>
  <c r="W10" i="23"/>
  <c r="H10" i="21"/>
  <c r="O10" i="21" s="1"/>
  <c r="U41" i="21" s="1"/>
  <c r="E349" i="23"/>
  <c r="G13" i="23"/>
  <c r="U12" i="23"/>
  <c r="F12" i="21"/>
  <c r="U14" i="24"/>
  <c r="E14" i="24"/>
  <c r="F11" i="22"/>
  <c r="S14" i="21"/>
  <c r="E554" i="9"/>
  <c r="G553" i="9"/>
  <c r="H11" i="9"/>
  <c r="E15" i="9"/>
  <c r="E364" i="8"/>
  <c r="I363" i="8"/>
  <c r="H11" i="8"/>
  <c r="E15" i="8"/>
  <c r="H13" i="20"/>
  <c r="V12" i="24"/>
  <c r="G9" i="22"/>
  <c r="T12" i="21"/>
  <c r="E395" i="9"/>
  <c r="G392" i="9"/>
  <c r="E595" i="23"/>
  <c r="R595" i="23" s="1"/>
  <c r="S595" i="23"/>
  <c r="L25" i="23"/>
  <c r="F13" i="23"/>
  <c r="F17" i="20"/>
  <c r="K10" i="5"/>
  <c r="G392" i="8"/>
  <c r="E395" i="8"/>
  <c r="AC84" i="10"/>
  <c r="R84" i="10"/>
  <c r="Y85" i="10"/>
  <c r="N85" i="10" s="1"/>
  <c r="L85" i="6"/>
  <c r="H86" i="6"/>
  <c r="E19" i="20"/>
  <c r="G14" i="21"/>
  <c r="N14" i="21" s="1"/>
  <c r="T45" i="21" s="1"/>
  <c r="V14" i="23"/>
  <c r="H7" i="8"/>
  <c r="E283" i="8"/>
  <c r="H281" i="8"/>
  <c r="E281" i="8" s="1"/>
  <c r="H7" i="9"/>
  <c r="E283" i="9"/>
  <c r="H281" i="9"/>
  <c r="E281" i="9" s="1"/>
  <c r="U13" i="24"/>
  <c r="E13" i="24"/>
  <c r="F10" i="22"/>
  <c r="S13" i="21"/>
  <c r="I364" i="9"/>
  <c r="E365" i="9"/>
  <c r="E593" i="24"/>
  <c r="T593" i="24"/>
  <c r="G592" i="24"/>
  <c r="T592" i="24" s="1"/>
  <c r="M23" i="24"/>
  <c r="G348" i="23"/>
  <c r="M24" i="23"/>
  <c r="E552" i="8"/>
  <c r="G551" i="8"/>
  <c r="F592" i="24"/>
  <c r="S592" i="24" s="1"/>
  <c r="S594" i="24"/>
  <c r="E594" i="24"/>
  <c r="R594" i="24" s="1"/>
  <c r="L24" i="24"/>
  <c r="F12" i="24"/>
  <c r="T593" i="23"/>
  <c r="G592" i="23"/>
  <c r="T592" i="23" s="1"/>
  <c r="E593" i="23"/>
  <c r="E670" i="24"/>
  <c r="G346" i="24"/>
  <c r="G11" i="24"/>
  <c r="E347" i="24"/>
  <c r="E346" i="24" s="1"/>
  <c r="G490" i="23"/>
  <c r="G461" i="23"/>
  <c r="P75" i="10"/>
  <c r="AA5" i="10"/>
  <c r="P5" i="10" s="1"/>
  <c r="F10" i="23" l="1"/>
  <c r="U10" i="23" s="1"/>
  <c r="F14" i="21"/>
  <c r="M14" i="21" s="1"/>
  <c r="S45" i="21" s="1"/>
  <c r="U14" i="23"/>
  <c r="E14" i="23"/>
  <c r="G653" i="36"/>
  <c r="G24" i="36" s="1"/>
  <c r="F25" i="19" s="1"/>
  <c r="L25" i="19" s="1"/>
  <c r="E654" i="36"/>
  <c r="E11" i="22"/>
  <c r="T14" i="24"/>
  <c r="R14" i="21"/>
  <c r="E363" i="8"/>
  <c r="I362" i="8"/>
  <c r="E392" i="9"/>
  <c r="G391" i="9"/>
  <c r="U12" i="24"/>
  <c r="E12" i="24"/>
  <c r="F9" i="22"/>
  <c r="S12" i="21"/>
  <c r="M12" i="21" s="1"/>
  <c r="S43" i="21" s="1"/>
  <c r="F10" i="24"/>
  <c r="E392" i="8"/>
  <c r="G391" i="8"/>
  <c r="E7" i="8"/>
  <c r="H5" i="8"/>
  <c r="E5" i="8" s="1"/>
  <c r="E364" i="9"/>
  <c r="I363" i="9"/>
  <c r="AC83" i="10"/>
  <c r="R83" i="10"/>
  <c r="Y84" i="10"/>
  <c r="N84" i="10" s="1"/>
  <c r="T15" i="24"/>
  <c r="R15" i="21"/>
  <c r="L15" i="21" s="1"/>
  <c r="R46" i="21" s="1"/>
  <c r="E12" i="22"/>
  <c r="R593" i="23"/>
  <c r="E592" i="23"/>
  <c r="R592" i="23" s="1"/>
  <c r="G10" i="24"/>
  <c r="V11" i="24"/>
  <c r="T11" i="21"/>
  <c r="G8" i="22"/>
  <c r="E11" i="24"/>
  <c r="T13" i="24"/>
  <c r="E10" i="22"/>
  <c r="R13" i="21"/>
  <c r="G460" i="23"/>
  <c r="G347" i="23"/>
  <c r="M23" i="23"/>
  <c r="R593" i="24"/>
  <c r="E592" i="24"/>
  <c r="R592" i="24" s="1"/>
  <c r="H5" i="9"/>
  <c r="E5" i="9" s="1"/>
  <c r="E7" i="9"/>
  <c r="E553" i="9"/>
  <c r="G552" i="9"/>
  <c r="F13" i="20"/>
  <c r="G12" i="23"/>
  <c r="E348" i="23"/>
  <c r="G550" i="8"/>
  <c r="E551" i="8"/>
  <c r="H85" i="6"/>
  <c r="L84" i="6"/>
  <c r="E13" i="23"/>
  <c r="U13" i="23"/>
  <c r="F13" i="21"/>
  <c r="M13" i="21" s="1"/>
  <c r="S44" i="21" s="1"/>
  <c r="V13" i="23"/>
  <c r="G13" i="21"/>
  <c r="N13" i="21" s="1"/>
  <c r="T44" i="21" s="1"/>
  <c r="F10" i="21" l="1"/>
  <c r="T14" i="23"/>
  <c r="E14" i="21"/>
  <c r="L14" i="21" s="1"/>
  <c r="R45" i="21" s="1"/>
  <c r="G530" i="36"/>
  <c r="E653" i="36"/>
  <c r="G652" i="36"/>
  <c r="G23" i="36" s="1"/>
  <c r="F24" i="19" s="1"/>
  <c r="L24" i="19" s="1"/>
  <c r="E24" i="36"/>
  <c r="D25" i="19" s="1"/>
  <c r="J25" i="19" s="1"/>
  <c r="AC82" i="10"/>
  <c r="R82" i="10"/>
  <c r="Y83" i="10"/>
  <c r="N83" i="10" s="1"/>
  <c r="E391" i="9"/>
  <c r="G390" i="9"/>
  <c r="H84" i="6"/>
  <c r="L83" i="6"/>
  <c r="E362" i="8"/>
  <c r="I361" i="8"/>
  <c r="G549" i="8"/>
  <c r="E550" i="8"/>
  <c r="E391" i="8"/>
  <c r="G390" i="8"/>
  <c r="E363" i="9"/>
  <c r="I362" i="9"/>
  <c r="E552" i="9"/>
  <c r="G551" i="9"/>
  <c r="U10" i="24"/>
  <c r="S10" i="21"/>
  <c r="F7" i="22"/>
  <c r="V10" i="24"/>
  <c r="T10" i="21"/>
  <c r="G7" i="22"/>
  <c r="V12" i="23"/>
  <c r="G12" i="21"/>
  <c r="N12" i="21" s="1"/>
  <c r="T43" i="21" s="1"/>
  <c r="E12" i="23"/>
  <c r="T13" i="23"/>
  <c r="E13" i="21"/>
  <c r="L13" i="21" s="1"/>
  <c r="R44" i="21" s="1"/>
  <c r="T11" i="24"/>
  <c r="R11" i="21"/>
  <c r="E8" i="22"/>
  <c r="E10" i="24"/>
  <c r="G346" i="23"/>
  <c r="G11" i="23"/>
  <c r="E347" i="23"/>
  <c r="E346" i="23" s="1"/>
  <c r="T12" i="24"/>
  <c r="R12" i="21"/>
  <c r="E9" i="22"/>
  <c r="M10" i="21" l="1"/>
  <c r="S41" i="21" s="1"/>
  <c r="G391" i="36"/>
  <c r="F81" i="19" s="1"/>
  <c r="L81" i="19" s="1"/>
  <c r="E652" i="36"/>
  <c r="G529" i="36"/>
  <c r="G651" i="36"/>
  <c r="G22" i="36" s="1"/>
  <c r="F23" i="19" s="1"/>
  <c r="L23" i="19" s="1"/>
  <c r="E23" i="36"/>
  <c r="D24" i="19" s="1"/>
  <c r="J24" i="19" s="1"/>
  <c r="E530" i="36"/>
  <c r="T12" i="23"/>
  <c r="E12" i="21"/>
  <c r="L12" i="21" s="1"/>
  <c r="R43" i="21" s="1"/>
  <c r="G550" i="9"/>
  <c r="E551" i="9"/>
  <c r="E361" i="8"/>
  <c r="I360" i="8"/>
  <c r="E549" i="8"/>
  <c r="G548" i="8"/>
  <c r="E362" i="9"/>
  <c r="I361" i="9"/>
  <c r="E390" i="8"/>
  <c r="G389" i="8"/>
  <c r="V11" i="23"/>
  <c r="G10" i="23"/>
  <c r="G11" i="21"/>
  <c r="N11" i="21" s="1"/>
  <c r="T42" i="21" s="1"/>
  <c r="E11" i="23"/>
  <c r="L82" i="6"/>
  <c r="H83" i="6"/>
  <c r="G389" i="9"/>
  <c r="E390" i="9"/>
  <c r="T10" i="24"/>
  <c r="R10" i="21"/>
  <c r="E7" i="22"/>
  <c r="Y82" i="10"/>
  <c r="N82" i="10" s="1"/>
  <c r="R81" i="10"/>
  <c r="AC81" i="10"/>
  <c r="E22" i="36" l="1"/>
  <c r="D23" i="19" s="1"/>
  <c r="J23" i="19" s="1"/>
  <c r="G390" i="36"/>
  <c r="F80" i="19" s="1"/>
  <c r="L80" i="19" s="1"/>
  <c r="G10" i="36"/>
  <c r="F11" i="19" s="1"/>
  <c r="E391" i="36"/>
  <c r="D81" i="19" s="1"/>
  <c r="J81" i="19" s="1"/>
  <c r="E529" i="36"/>
  <c r="G650" i="36"/>
  <c r="G21" i="36" s="1"/>
  <c r="F22" i="19" s="1"/>
  <c r="L22" i="19" s="1"/>
  <c r="G528" i="36"/>
  <c r="E651" i="36"/>
  <c r="E548" i="8"/>
  <c r="G547" i="8"/>
  <c r="G388" i="8"/>
  <c r="E389" i="8"/>
  <c r="I360" i="9"/>
  <c r="E361" i="9"/>
  <c r="E550" i="9"/>
  <c r="G549" i="9"/>
  <c r="V10" i="23"/>
  <c r="G10" i="21"/>
  <c r="N10" i="21" s="1"/>
  <c r="T41" i="21" s="1"/>
  <c r="H82" i="6"/>
  <c r="L81" i="6"/>
  <c r="E360" i="8"/>
  <c r="I359" i="8"/>
  <c r="G388" i="9"/>
  <c r="E389" i="9"/>
  <c r="AC80" i="10"/>
  <c r="R80" i="10"/>
  <c r="Y81" i="10"/>
  <c r="N81" i="10" s="1"/>
  <c r="E11" i="21"/>
  <c r="L11" i="21" s="1"/>
  <c r="R42" i="21" s="1"/>
  <c r="T11" i="23"/>
  <c r="E10" i="23"/>
  <c r="L11" i="19" l="1"/>
  <c r="G389" i="36"/>
  <c r="F79" i="19" s="1"/>
  <c r="L79" i="19" s="1"/>
  <c r="E528" i="36"/>
  <c r="E650" i="36"/>
  <c r="G649" i="36"/>
  <c r="G20" i="36" s="1"/>
  <c r="F21" i="19" s="1"/>
  <c r="L21" i="19" s="1"/>
  <c r="G527" i="36"/>
  <c r="E21" i="36"/>
  <c r="D22" i="19" s="1"/>
  <c r="J22" i="19" s="1"/>
  <c r="E390" i="36"/>
  <c r="D80" i="19" s="1"/>
  <c r="J80" i="19" s="1"/>
  <c r="G9" i="36"/>
  <c r="F10" i="19" s="1"/>
  <c r="G17" i="36"/>
  <c r="E10" i="36"/>
  <c r="D11" i="19" s="1"/>
  <c r="E388" i="9"/>
  <c r="G387" i="9"/>
  <c r="H81" i="6"/>
  <c r="L80" i="6"/>
  <c r="AC79" i="10"/>
  <c r="AC12" i="10"/>
  <c r="R12" i="10" s="1"/>
  <c r="R79" i="10"/>
  <c r="Y80" i="10"/>
  <c r="E547" i="8"/>
  <c r="G546" i="8"/>
  <c r="E360" i="9"/>
  <c r="I359" i="9"/>
  <c r="T10" i="23"/>
  <c r="E10" i="21"/>
  <c r="L10" i="21" s="1"/>
  <c r="R41" i="21" s="1"/>
  <c r="E388" i="8"/>
  <c r="G387" i="8"/>
  <c r="I358" i="8"/>
  <c r="E359" i="8"/>
  <c r="E549" i="9"/>
  <c r="G548" i="9"/>
  <c r="F18" i="19" l="1"/>
  <c r="L18" i="19" s="1"/>
  <c r="L10" i="19"/>
  <c r="J11" i="19"/>
  <c r="G388" i="36"/>
  <c r="F78" i="19" s="1"/>
  <c r="L78" i="19" s="1"/>
  <c r="G19" i="36"/>
  <c r="F20" i="19" s="1"/>
  <c r="L20" i="19" s="1"/>
  <c r="E17" i="36"/>
  <c r="G16" i="36"/>
  <c r="E9" i="36"/>
  <c r="D10" i="19" s="1"/>
  <c r="E389" i="36"/>
  <c r="D79" i="19" s="1"/>
  <c r="J79" i="19" s="1"/>
  <c r="G8" i="36"/>
  <c r="F9" i="19" s="1"/>
  <c r="E527" i="36"/>
  <c r="E649" i="36"/>
  <c r="G648" i="36"/>
  <c r="E648" i="36" s="1"/>
  <c r="G526" i="36"/>
  <c r="E548" i="9"/>
  <c r="G547" i="9"/>
  <c r="I357" i="8"/>
  <c r="E358" i="8"/>
  <c r="AC78" i="10"/>
  <c r="R78" i="10"/>
  <c r="AC11" i="10"/>
  <c r="R11" i="10" s="1"/>
  <c r="Y79" i="10"/>
  <c r="I358" i="9"/>
  <c r="E359" i="9"/>
  <c r="G545" i="8"/>
  <c r="E546" i="8"/>
  <c r="N80" i="10"/>
  <c r="Y12" i="10"/>
  <c r="N12" i="10" s="1"/>
  <c r="E387" i="8"/>
  <c r="G386" i="8"/>
  <c r="L79" i="6"/>
  <c r="H80" i="6"/>
  <c r="E387" i="9"/>
  <c r="G386" i="9"/>
  <c r="F17" i="19" l="1"/>
  <c r="L17" i="19" s="1"/>
  <c r="D18" i="19"/>
  <c r="J18" i="19" s="1"/>
  <c r="J10" i="19"/>
  <c r="L9" i="19"/>
  <c r="G387" i="36"/>
  <c r="G15" i="36"/>
  <c r="E16" i="36"/>
  <c r="E20" i="36"/>
  <c r="D21" i="19" s="1"/>
  <c r="J21" i="19" s="1"/>
  <c r="G525" i="36"/>
  <c r="E526" i="36"/>
  <c r="G7" i="36"/>
  <c r="F8" i="19" s="1"/>
  <c r="E388" i="36"/>
  <c r="D78" i="19" s="1"/>
  <c r="J78" i="19" s="1"/>
  <c r="E8" i="36"/>
  <c r="D9" i="19" s="1"/>
  <c r="N79" i="10"/>
  <c r="Y11" i="10"/>
  <c r="N11" i="10" s="1"/>
  <c r="E358" i="9"/>
  <c r="I357" i="9"/>
  <c r="I356" i="8"/>
  <c r="E357" i="8"/>
  <c r="R77" i="10"/>
  <c r="AC77" i="10"/>
  <c r="AC10" i="10"/>
  <c r="R10" i="10" s="1"/>
  <c r="Y78" i="10"/>
  <c r="E386" i="9"/>
  <c r="G385" i="9"/>
  <c r="L78" i="6"/>
  <c r="H79" i="6"/>
  <c r="E386" i="8"/>
  <c r="G385" i="8"/>
  <c r="G546" i="9"/>
  <c r="E547" i="9"/>
  <c r="G544" i="8"/>
  <c r="E545" i="8"/>
  <c r="G386" i="36" l="1"/>
  <c r="F76" i="19" s="1"/>
  <c r="L76" i="19" s="1"/>
  <c r="F77" i="19"/>
  <c r="L77" i="19" s="1"/>
  <c r="D17" i="19"/>
  <c r="J17" i="19" s="1"/>
  <c r="F16" i="19"/>
  <c r="L16" i="19" s="1"/>
  <c r="L8" i="19"/>
  <c r="J9" i="19"/>
  <c r="E525" i="36"/>
  <c r="E19" i="36"/>
  <c r="D20" i="19" s="1"/>
  <c r="J20" i="19" s="1"/>
  <c r="E15" i="36"/>
  <c r="G14" i="36"/>
  <c r="E7" i="36"/>
  <c r="D8" i="19" s="1"/>
  <c r="G6" i="36"/>
  <c r="F7" i="19" s="1"/>
  <c r="E387" i="36"/>
  <c r="D77" i="19" s="1"/>
  <c r="J77" i="19" s="1"/>
  <c r="E546" i="9"/>
  <c r="G545" i="9"/>
  <c r="Y10" i="10"/>
  <c r="N10" i="10" s="1"/>
  <c r="N78" i="10"/>
  <c r="I356" i="9"/>
  <c r="E357" i="9"/>
  <c r="R76" i="10"/>
  <c r="AC9" i="10"/>
  <c r="R9" i="10" s="1"/>
  <c r="AC76" i="10"/>
  <c r="Y77" i="10"/>
  <c r="L77" i="6"/>
  <c r="H78" i="6"/>
  <c r="E385" i="8"/>
  <c r="G384" i="8"/>
  <c r="I355" i="8"/>
  <c r="E356" i="8"/>
  <c r="E385" i="9"/>
  <c r="G384" i="9"/>
  <c r="E544" i="8"/>
  <c r="G543" i="8"/>
  <c r="D16" i="19" l="1"/>
  <c r="J16" i="19" s="1"/>
  <c r="F15" i="19"/>
  <c r="L15" i="19" s="1"/>
  <c r="G5" i="36"/>
  <c r="F6" i="19" s="1"/>
  <c r="L7" i="19"/>
  <c r="E386" i="36"/>
  <c r="D76" i="19" s="1"/>
  <c r="J76" i="19" s="1"/>
  <c r="J8" i="19"/>
  <c r="E14" i="36"/>
  <c r="G13" i="36"/>
  <c r="F14" i="19" s="1"/>
  <c r="E6" i="36"/>
  <c r="D7" i="19" s="1"/>
  <c r="E384" i="8"/>
  <c r="G383" i="8"/>
  <c r="E383" i="8" s="1"/>
  <c r="G542" i="8"/>
  <c r="E543" i="8"/>
  <c r="I354" i="8"/>
  <c r="E355" i="8"/>
  <c r="I355" i="9"/>
  <c r="E356" i="9"/>
  <c r="L76" i="6"/>
  <c r="H77" i="6"/>
  <c r="N77" i="10"/>
  <c r="Y9" i="10"/>
  <c r="N9" i="10" s="1"/>
  <c r="E545" i="9"/>
  <c r="G544" i="9"/>
  <c r="E384" i="9"/>
  <c r="G383" i="9"/>
  <c r="E383" i="9" s="1"/>
  <c r="R75" i="10"/>
  <c r="AC8" i="10"/>
  <c r="R8" i="10" s="1"/>
  <c r="AC75" i="10"/>
  <c r="Y76" i="10"/>
  <c r="D15" i="19" l="1"/>
  <c r="J15" i="19" s="1"/>
  <c r="L14" i="19"/>
  <c r="G12" i="36"/>
  <c r="F13" i="19" s="1"/>
  <c r="J7" i="19"/>
  <c r="L6" i="19"/>
  <c r="E5" i="36"/>
  <c r="D6" i="19" s="1"/>
  <c r="L13" i="19"/>
  <c r="E13" i="36"/>
  <c r="I354" i="9"/>
  <c r="E355" i="9"/>
  <c r="G543" i="9"/>
  <c r="E544" i="9"/>
  <c r="I353" i="8"/>
  <c r="E353" i="8" s="1"/>
  <c r="E354" i="8"/>
  <c r="E542" i="8"/>
  <c r="G541" i="8"/>
  <c r="N76" i="10"/>
  <c r="Y8" i="10"/>
  <c r="N8" i="10" s="1"/>
  <c r="R74" i="10"/>
  <c r="AC5" i="10"/>
  <c r="R5" i="10" s="1"/>
  <c r="Y75" i="10"/>
  <c r="L75" i="6"/>
  <c r="H76" i="6"/>
  <c r="D14" i="19" l="1"/>
  <c r="J14" i="19" s="1"/>
  <c r="J6" i="19"/>
  <c r="E12" i="36"/>
  <c r="L74" i="6"/>
  <c r="H74" i="6" s="1"/>
  <c r="N12" i="6" s="1"/>
  <c r="O12" i="6" s="1"/>
  <c r="H75" i="6"/>
  <c r="E541" i="8"/>
  <c r="G540" i="8"/>
  <c r="E543" i="9"/>
  <c r="G542" i="9"/>
  <c r="N75" i="10"/>
  <c r="Y5" i="10"/>
  <c r="N5" i="10" s="1"/>
  <c r="I353" i="9"/>
  <c r="E353" i="9" s="1"/>
  <c r="E354" i="9"/>
  <c r="D13" i="19" l="1"/>
  <c r="J13" i="19" s="1"/>
  <c r="M5" i="36"/>
  <c r="E542" i="9"/>
  <c r="G541" i="9"/>
  <c r="E540" i="8"/>
  <c r="G539" i="8"/>
  <c r="G538" i="8" l="1"/>
  <c r="E539" i="8"/>
  <c r="E541" i="9"/>
  <c r="G540" i="9"/>
  <c r="G539" i="9" l="1"/>
  <c r="E540" i="9"/>
  <c r="E538" i="8"/>
  <c r="G537" i="8"/>
  <c r="E537" i="8" l="1"/>
  <c r="G536" i="8"/>
  <c r="E539" i="9"/>
  <c r="G538" i="9"/>
  <c r="E538" i="9" l="1"/>
  <c r="G537" i="9"/>
  <c r="E536" i="8"/>
  <c r="G535" i="8"/>
  <c r="E535" i="8" l="1"/>
  <c r="G534" i="8"/>
  <c r="E537" i="9"/>
  <c r="G536" i="9"/>
  <c r="E534" i="8" l="1"/>
  <c r="G533" i="8"/>
  <c r="E536" i="9"/>
  <c r="G535" i="9"/>
  <c r="E535" i="9" l="1"/>
  <c r="G534" i="9"/>
  <c r="G532" i="8"/>
  <c r="E533" i="8"/>
  <c r="G531" i="8" l="1"/>
  <c r="E532" i="8"/>
  <c r="E534" i="9"/>
  <c r="G533" i="9"/>
  <c r="G532" i="9" l="1"/>
  <c r="E533" i="9"/>
  <c r="E531" i="8"/>
  <c r="G530" i="8"/>
  <c r="E530" i="8" l="1"/>
  <c r="G529" i="8"/>
  <c r="G20" i="8"/>
  <c r="E532" i="9"/>
  <c r="G531" i="9"/>
  <c r="E20" i="8" l="1"/>
  <c r="G14" i="8"/>
  <c r="E14" i="8" s="1"/>
  <c r="E531" i="9"/>
  <c r="G530" i="9"/>
  <c r="E529" i="8"/>
  <c r="G528" i="8"/>
  <c r="G19" i="8"/>
  <c r="G12" i="20"/>
  <c r="G527" i="8" l="1"/>
  <c r="E527" i="8" s="1"/>
  <c r="E528" i="8"/>
  <c r="G11" i="20"/>
  <c r="E12" i="20"/>
  <c r="G18" i="20"/>
  <c r="E530" i="9"/>
  <c r="G529" i="9"/>
  <c r="G20" i="9"/>
  <c r="E19" i="8"/>
  <c r="G17" i="8"/>
  <c r="E17" i="8" s="1"/>
  <c r="G13" i="8"/>
  <c r="G11" i="8" l="1"/>
  <c r="E11" i="8" s="1"/>
  <c r="E13" i="8"/>
  <c r="E20" i="9"/>
  <c r="G14" i="9"/>
  <c r="E14" i="9" s="1"/>
  <c r="E11" i="20"/>
  <c r="G17" i="20"/>
  <c r="G528" i="9"/>
  <c r="E529" i="9"/>
  <c r="G19" i="9"/>
  <c r="G10" i="20"/>
  <c r="E18" i="20"/>
  <c r="G17" i="9" l="1"/>
  <c r="E17" i="9" s="1"/>
  <c r="G13" i="9"/>
  <c r="E19" i="9"/>
  <c r="E528" i="9"/>
  <c r="G527" i="9"/>
  <c r="E527" i="9" s="1"/>
  <c r="E10" i="20"/>
  <c r="G16" i="20"/>
  <c r="G9" i="20"/>
  <c r="E17" i="20"/>
  <c r="E16" i="20" l="1"/>
  <c r="G11" i="9"/>
  <c r="E11" i="9" s="1"/>
  <c r="E13" i="9"/>
  <c r="G15" i="20"/>
  <c r="E9" i="20"/>
  <c r="G8" i="20"/>
  <c r="E8" i="20" l="1"/>
  <c r="G7" i="20"/>
  <c r="G14" i="20"/>
  <c r="E15" i="20"/>
  <c r="E14" i="20" l="1"/>
  <c r="E7" i="20"/>
  <c r="G13" i="20"/>
  <c r="E13" i="20" l="1"/>
</calcChain>
</file>

<file path=xl/comments1.xml><?xml version="1.0" encoding="utf-8"?>
<comments xmlns="http://schemas.openxmlformats.org/spreadsheetml/2006/main">
  <authors>
    <author>Мисюк Т.П.</author>
  </authors>
  <commentList>
    <comment ref="E100" authorId="0">
      <text>
        <r>
          <rPr>
            <b/>
            <sz val="9"/>
            <color indexed="81"/>
            <rFont val="Tahoma"/>
            <charset val="1"/>
          </rPr>
          <t>Мисюк Т.П.:</t>
        </r>
        <r>
          <rPr>
            <sz val="9"/>
            <color indexed="81"/>
            <rFont val="Tahoma"/>
            <charset val="1"/>
          </rPr>
          <t xml:space="preserve">
</t>
        </r>
        <r>
          <rPr>
            <sz val="16"/>
            <color indexed="81"/>
            <rFont val="Tahoma"/>
            <family val="2"/>
            <charset val="204"/>
          </rPr>
          <t>Сумма строк годов: 2023+2024+2025= 1297 771,5 по ОБ</t>
        </r>
      </text>
    </comment>
  </commentList>
</comments>
</file>

<file path=xl/sharedStrings.xml><?xml version="1.0" encoding="utf-8"?>
<sst xmlns="http://schemas.openxmlformats.org/spreadsheetml/2006/main" count="11506" uniqueCount="1817">
  <si>
    <t>План реализации государственной программы на 2021-2025 годы</t>
  </si>
  <si>
    <t xml:space="preserve"> № п/п</t>
  </si>
  <si>
    <t>Государственная программа, подпрограмма, основное мероприятие, мероприятие</t>
  </si>
  <si>
    <t xml:space="preserve"> Срок выполнения</t>
  </si>
  <si>
    <t>Объемы и источники финансирования (тыс. руб.)</t>
  </si>
  <si>
    <t>Связь основных мероприятий с показателями подпрограмм, ожидаемые результаты реализации (краткая характеристика) мероприятий</t>
  </si>
  <si>
    <t>Соисполнители, участники, исполнители</t>
  </si>
  <si>
    <t>По годам реализации</t>
  </si>
  <si>
    <t>Всего</t>
  </si>
  <si>
    <t>ОБ</t>
  </si>
  <si>
    <t>ФБ</t>
  </si>
  <si>
    <t>МБ</t>
  </si>
  <si>
    <t>ВБС</t>
  </si>
  <si>
    <t xml:space="preserve">Государственная программа Мурманской области "Физическая культура и спорт" </t>
  </si>
  <si>
    <t>2021-2025</t>
  </si>
  <si>
    <t>Министерство спорта и молодежной политики МО, Министерство строительства МО</t>
  </si>
  <si>
    <t>Министерство спорта и молодежной политики Мурманской области</t>
  </si>
  <si>
    <t>Министерство спорта и молодежной политики МО</t>
  </si>
  <si>
    <t xml:space="preserve">Министерство строительства Мурманской области </t>
  </si>
  <si>
    <t>2021-2023</t>
  </si>
  <si>
    <t>Министерство строительства МО</t>
  </si>
  <si>
    <t>Подпрограмма 1 "Развитие массового спорта, реализация мероприятий по информированию граждан"</t>
  </si>
  <si>
    <t>Министерство спорта и молодежной политики МО, подведомственные Министерству  учреждения</t>
  </si>
  <si>
    <t>ОМ 1.1</t>
  </si>
  <si>
    <t>Основное мероприятие 1                                 "Информатизация сферы спорта"</t>
  </si>
  <si>
    <t>0.1 Доля населения, систематически занимающегося физической культурой и спортом, в общей численности населения</t>
  </si>
  <si>
    <t>Министерство спорта и молодежной политики МО, подведомственные учреждения</t>
  </si>
  <si>
    <t>1.1.1</t>
  </si>
  <si>
    <t>Мероприятия в области информационно-коммуникационной и статистической системы управления спортом</t>
  </si>
  <si>
    <t>Создание автоматизированной информационной системы информационно-коммуникационного и статистического обеспечения контроля и прогнозирования развития спортивной отрасли в 2021 году</t>
  </si>
  <si>
    <t>ОМ 1.2</t>
  </si>
  <si>
    <t>Основное мероприятие 2                                 "Поддержка социально-ориентированных некоммерческих организаций, осуществляющих деятельность в сфере физической культуры и спорта"</t>
  </si>
  <si>
    <t>1.1 Доля детей и молодежи, систематически занимающихся физической культурой и спортом, в общей численности детей и молодежи (возраст 3-29 лет)
1.2 Доля граждан среднего возраста, систематически занимающихся физической культурой и спортом, в общей численности граждан среднего возраста (женщины 30-54 года; мужчины 30-59 лет)</t>
  </si>
  <si>
    <t>1.2.1</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</si>
  <si>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 с мячом"</t>
  </si>
  <si>
    <t>Возмещение НКО расходов на на частичное финансовое обеспечение затрат, связанных с подготовкой и участием спортивной команды в физкультурных мероприятиях, а также с оплатой труда и начислениями на оплату труда работников</t>
  </si>
  <si>
    <t>1.2.2</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</si>
  <si>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"Баскетбол"</t>
  </si>
  <si>
    <t>Возмещение НКО расходов на на частичное финансовое обеспечение затрат, связанных с подготовкой и участием спортивной команды в физкультурных мероприятиях по баскетболу, а также с оплатой труда и начислениями на оплату труда работников</t>
  </si>
  <si>
    <t>П 1.1</t>
  </si>
  <si>
    <t xml:space="preserve">Региональный проект «Спорт - норма жизни» </t>
  </si>
  <si>
    <t>2021-2024</t>
  </si>
  <si>
    <t>1.4 Доля граждан Мурманской области, занимающихся физической культурой и спортом по месту работы, в общей численности населения занятого в экономике</t>
  </si>
  <si>
    <t>Министерство спорта и молодежной политики МО,  подведомственные Министерству учреждения</t>
  </si>
  <si>
    <t>П 1.1.1</t>
  </si>
  <si>
    <t>Реализация мероприятий по оснащению объектов спортивной инфраструктуры спортивно-технологическим оборудованием</t>
  </si>
  <si>
    <t>Закупка комплекта спортивного оборудования, сертифицированного в соответствии с национальными стандартами (ГОСТ Р), для СШОР</t>
  </si>
  <si>
    <t>ГАУМО «МОСШОР по зимним видам спорта», ГАУМО "Кировская СШОР", ГАУМО "Мончегорская СШОР", ГАУМО "МОСШОР", ГАУМО "КСШОР", Министерство спорта и молодежной политики МО</t>
  </si>
  <si>
    <t>П 1.1.2</t>
  </si>
  <si>
    <t>Обучение навыкам плавания  детей и подростков в возрасте  от 6 до 10 лет</t>
  </si>
  <si>
    <t xml:space="preserve">Обучение плаванию ежегодно не менее 500 человек </t>
  </si>
  <si>
    <t>П 1.1.3</t>
  </si>
  <si>
    <t>Оказание услуг по организации сеансов свободного плавания для мужчин, достигших возраста 55 лет, и женщин, достигших возраста 50 лет, инвалидов, граждан, находящихся в трудной жизненной ситуации, детей-сирот, детей, оставшихся без попечения родителей</t>
  </si>
  <si>
    <t xml:space="preserve">Ежегодная организация оздоровительного процесса в плавательном бассейне ГОУП "УСЦ" для граждан пожилого возраста, инвалидов, граждан, находящихся в трудной жизненной ситуации, детей-сирот, детей, оставшихся без попечения родителей в колличестве не менее 7000 чел./посещений </t>
  </si>
  <si>
    <t>2</t>
  </si>
  <si>
    <t>Подпрограмма 2 "Подготовка спортивного резерва, реализация календарного плана официальных физкультурных мероприятий и спортивных мероприятий Мурманской области"</t>
  </si>
  <si>
    <t>ОМ 2.1</t>
  </si>
  <si>
    <t>Основное мероприятие 1 "Подготовка спортивного резерва, организация и проведение физкультурных и спортивных мероприятий, реализация программ чспортивной подготовки подведомственными Министерству учреждениями"</t>
  </si>
  <si>
    <t xml:space="preserve">2.1 Численность спортсменов МО, включенных в список кандидатов в спортивные сборные команды Российской Федерации.  2.4 Доля спортсменов-разрядников в общем количестве лиц, занимающихся в системе  спортивных школ олимпийского резерва.      </t>
  </si>
  <si>
    <t>Министерство спорта и молодежной политики МО, подведомственные Министерству учреждения</t>
  </si>
  <si>
    <t>2.1.1</t>
  </si>
  <si>
    <t>Организация и проведение церемоний награждения спортсменов, тренеров, ветеранов спорта и физкультурного актива  Мурманской области</t>
  </si>
  <si>
    <t>Ежегодная организация и проведение церемоний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t>
  </si>
  <si>
    <t>2.1.2</t>
  </si>
  <si>
    <t>Выплата единовременного денежного вознаграждения спортсменам, проживающим в Мурманской области и выступившим в составе спортивных сборных команд Мурманской области и Российской Федерации по олимпийским видам спорта, и их тренерам за победу и призовые места на Олимпийских, Паралимпийских и Сурдлимпийских играх, чемпионатах, кубках мира и Европы, чемпионатах России</t>
  </si>
  <si>
    <t>Ежегодная выплата единовременного денежного вознаграждения не менее, чем 6 спортсменам,  их тренерам, постоянно проживающим на территории Мурманской области и входящим в состав спортивных сборных команд Мурманской области, за победу и призовые места на Олимпийских играх, Паралимпийских играх, Сурдлимпийских играх, Всемирных специальных олимпийских играх, специальной олимпиаде России, Всемирной универсиаде, а также на чемпионатах мира, Европы и России по олимпийским видам спорта и спортивным дисциплинам, включенным в программы Паралимпийских и Сурдлимпийских игр, выплачивается единовременное денежное вознаграждение</t>
  </si>
  <si>
    <t>2.1.3</t>
  </si>
  <si>
    <t>Присвоение спортивных разрядов : "Первый юношеский спортивный разряд", "Второй юношеский спортивный разряд", "Третий юношеский спортивный разряд"</t>
  </si>
  <si>
    <t>Обеспечение процедуры присвоения  не менее  500 спортивных разрядов ежегодно</t>
  </si>
  <si>
    <t>ГАУМО «КСШОР», ГАУМО «МОСШОР по зимним видам спорта», ГАУМО «Кировская СШОР», ГАУМО "МОСШОР", ГАУМО "ЦСП", ГАУМО "Мончегорская СШОР", ГОБУ "МОСШ"</t>
  </si>
  <si>
    <t>2.1.4</t>
  </si>
  <si>
    <t>Субсидия на финансовое обеспечение выполнения государственного задания</t>
  </si>
  <si>
    <t xml:space="preserve">Обеспечение подготовки спортивного резерва для сборных команд Российской Федерации  </t>
  </si>
  <si>
    <t xml:space="preserve">Министерство спорта и молодежной политики МО, ГАУМО «ЦСП»  </t>
  </si>
  <si>
    <t>2.1.5</t>
  </si>
  <si>
    <t>Компенсация расходов на оплату стоимости проезда и провоза багажа к месту использования отпуска и обратно лицам, работающим в организациях, финансируемых из областного бюджета</t>
  </si>
  <si>
    <t>Ежегодная компенсация расходов на оплату стоимости проезда и провоза багажа к месту использования отпуска и обратно</t>
  </si>
  <si>
    <t xml:space="preserve">ГАУМО «ЦСП», ГАУМО «КСШОР», ГАУМО «МОСШОР по зимним видам спорта», ГАУМО «МОСШОР», ГАУМО «Мончегорская СШОР», ГАУМО «Кировская СШОР», ГОБУ "МОСШ" </t>
  </si>
  <si>
    <t>ОМ 2.2</t>
  </si>
  <si>
    <t>Основное мероприятие 2 "Подготовка спортивного резерва и реализация программ спортивной подготовки в сфере физической культуры и спорта подведомственными учреждениями"</t>
  </si>
  <si>
    <t xml:space="preserve">2.2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2.3 Доля граждан в возрасте 6-15 лет, занимающихся в спортивных организациях, в общей численности детей и молодежи в возрасте 6-15 лет. </t>
  </si>
  <si>
    <t>2.2.1</t>
  </si>
  <si>
    <t>Субсидии бюджетам муниципальных образований Мурманской области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 в рамках реализации соглашений между Правительством Мурманской области и градообразующими предприятиями</t>
  </si>
  <si>
    <t>Частичное финансовое обеспечение затрат, направленных на подготовку спортивного резерва в соответствии с федеральными стандартами  спортивной подготовки по виду спорта «хоккей», предусмотренных соглашениями между Правительством Мурманской области и градообразующим предприятием</t>
  </si>
  <si>
    <t>П 2.1</t>
  </si>
  <si>
    <t xml:space="preserve">2.1 Численность спортсменов МО, включенных в список кандидатов в спортивные сборные команды Российской Федерации. 2.3 Доля граждан в возрасте 6-15 лет, занимающихся в спортивных организациях, в общей численности детей и молодежи в возрасте 6-15 лет. 2.4 Доля спортсменов-разрядников в общем количестве лиц, занимающихся в системе  спортивных школ олимпийского резерва. </t>
  </si>
  <si>
    <t>П 2.1.1</t>
  </si>
  <si>
    <t>Реализация мероприятий по приобретению спортивного оборудования и инвентаря для приведения  организаций спортивной подготовки в нормативное состояние</t>
  </si>
  <si>
    <t>Приобретение 1 комплекта спортивного оборудования и инвентаря для хоккея</t>
  </si>
  <si>
    <t xml:space="preserve">Министерство спорта и молодежной политики МО, ГАУМО «КСШОР» </t>
  </si>
  <si>
    <t>Государственная поддержка спортивных организаций, осуществляющих подготовку спортивного резерва для спортивных сборных команд, в том числе спортивных сборных команд Российской Федерации</t>
  </si>
  <si>
    <t>Проведение не менее 10 тренировочных мероприятий по специальной физической подготовке и ОФП кандидатов спортивных сборных команд Мурманской области не менее, чем по 10 видам спорта</t>
  </si>
  <si>
    <t>ГАУМО «ЦСП»</t>
  </si>
  <si>
    <t>3</t>
  </si>
  <si>
    <t>Подпрограмма 3 "Развитие спортивной инфраструктуры"</t>
  </si>
  <si>
    <t>Министерство спорта и молодежной политики МО, Минстрой МО,ГОУП УСЦ, администрации муниципальных образований МО</t>
  </si>
  <si>
    <t>ОМ 3.1</t>
  </si>
  <si>
    <t>Основное мероприятие 1 "Строительство, реконструкция и модернизация спортивных объектов Мурманской области"</t>
  </si>
  <si>
    <t xml:space="preserve"> 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</si>
  <si>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 xml:space="preserve"> Минстрой МО,   администрация муниципального образования МО</t>
  </si>
  <si>
    <t>3.1.1</t>
  </si>
  <si>
    <t>Строительство крытого бассейна в ЗАТО г. Североморск</t>
  </si>
  <si>
    <t>2021 – разработка ПСД</t>
  </si>
  <si>
    <t>Минстрой МО, администрация муниципального образования</t>
  </si>
  <si>
    <t>ОМ 3.2</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</si>
  <si>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</si>
  <si>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 xml:space="preserve">3.2 Количество спортивных сооружений, на которых осуществлен капитальный и текущий  ремонт. 3.3 Эффективность использования существующих объектов спорта. </t>
  </si>
  <si>
    <t>Министерство спорта и молодежной политики МО, администрация муниципального образования, ГОУП "УСЦ"</t>
  </si>
  <si>
    <t>3.2.1</t>
  </si>
  <si>
    <t>Субсидия на капитальный ремонт футбольного поля с искуственным покрытием и легкоатлетическими беговыми дорожками</t>
  </si>
  <si>
    <t>капитальный ремонт искусственного покрытия футбольного поля c легкоатлетическими дорожками</t>
  </si>
  <si>
    <t>Министерство спорта и молодежной политики МО, администрация муниципального образования</t>
  </si>
  <si>
    <t>3.2.2</t>
  </si>
  <si>
    <t xml:space="preserve">Возмещение затрат юридических лиц  в части  содержания государственного имущества    </t>
  </si>
  <si>
    <t xml:space="preserve">Возмещение затрат ГОУП «УСЦ»  в части  содержания государственного имущества. </t>
  </si>
  <si>
    <t>Министерство спорта и молодежной политики МО, ГОУП УСЦ</t>
  </si>
  <si>
    <t>П 3.1</t>
  </si>
  <si>
    <t xml:space="preserve">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</si>
  <si>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Министерство спорта и молодежной политики МО, Минстрой МО, администрации муниципальных образований МО</t>
  </si>
  <si>
    <t>П 3.1.1</t>
  </si>
  <si>
    <t xml:space="preserve">Устройство спортивных площадок </t>
  </si>
  <si>
    <t>Приобретение и установка не менее 5 спортивных площадок ежегодно.</t>
  </si>
  <si>
    <t>П 3.1.2</t>
  </si>
  <si>
    <t>Строительство объекта «Физкультурно-оздоровительный комплекс с бассейном в г. Заозерск»</t>
  </si>
  <si>
    <t>2021-2022</t>
  </si>
  <si>
    <t>2021 – строительство, 2022 – строительство и ввод объекта в эксплуатацию</t>
  </si>
  <si>
    <t>П 3.1.3</t>
  </si>
  <si>
    <t>Строительство объекта «Физкультурно-оздоровительный комплекс со специализированной школой по самбо, дзюдо и вольной борьбе в г. Кандалакша»</t>
  </si>
  <si>
    <t>П 3.1.4</t>
  </si>
  <si>
    <t>Строительство и реконструкция крытых катков с искусственным льдом для организаций спортивной подготовки</t>
  </si>
  <si>
    <t>Строительство объекта</t>
  </si>
  <si>
    <t>4</t>
  </si>
  <si>
    <t>Подпрограмма 4 "Обеспечение реализации государственной программы»</t>
  </si>
  <si>
    <t>ОМ 4.1</t>
  </si>
  <si>
    <t>Основное мероприятие 1 Обеспечение реализации государственных функций и оказание государственных услуг в сфере физической культуры и спорта</t>
  </si>
  <si>
    <t>4.1.1</t>
  </si>
  <si>
    <t>Обеспечение  реализации государственных функций и государственных услуг Министерства спорта и молодежной политики Мурманской области</t>
  </si>
  <si>
    <t xml:space="preserve">Ежегодно реализация 51 государственной функции и оказание 8 государственных услуг </t>
  </si>
  <si>
    <t>рублей</t>
  </si>
  <si>
    <t xml:space="preserve">№ п/п </t>
  </si>
  <si>
    <t>Классификация расходов областного бюджета</t>
  </si>
  <si>
    <t>Наименование мероприятия</t>
  </si>
  <si>
    <t>Объем расходных обязательств на 2021 год</t>
  </si>
  <si>
    <t>Итого с учетом всех изменений в Закон</t>
  </si>
  <si>
    <t>Объем расходных обязательств на 2022 год</t>
  </si>
  <si>
    <t>Объем расходных обязательств на 2023 год</t>
  </si>
  <si>
    <t>Признак изменений * (ФБ, СФЦС, АВЧ, Соглашение, Спецвыплаты,Прочее)</t>
  </si>
  <si>
    <t>Причина корректировки ассигнований (кратко)</t>
  </si>
  <si>
    <t>Комментарий МФ МО</t>
  </si>
  <si>
    <t>Согласование АВЧ</t>
  </si>
  <si>
    <t>Комментарий АВЧ</t>
  </si>
  <si>
    <t>Заключение МФ МО на 11.02.2021</t>
  </si>
  <si>
    <t>Код ГРБС</t>
  </si>
  <si>
    <t>Раздел</t>
  </si>
  <si>
    <t>Подраздел</t>
  </si>
  <si>
    <t>Код целевой статьи</t>
  </si>
  <si>
    <t>Вид расходов</t>
  </si>
  <si>
    <t>ДЭК</t>
  </si>
  <si>
    <t>Код мероприятия</t>
  </si>
  <si>
    <t>Источник (ОБ/ФБ)</t>
  </si>
  <si>
    <t>Закон</t>
  </si>
  <si>
    <t>предложения по корректировке Закона</t>
  </si>
  <si>
    <t>ВКЛ</t>
  </si>
  <si>
    <t>(-) 10 %</t>
  </si>
  <si>
    <t>С учетом изменений</t>
  </si>
  <si>
    <t>12=10+11</t>
  </si>
  <si>
    <t>15=13+14</t>
  </si>
  <si>
    <t>18=16+17</t>
  </si>
  <si>
    <t>ВСЕГО</t>
  </si>
  <si>
    <t>807</t>
  </si>
  <si>
    <t>04</t>
  </si>
  <si>
    <t>12</t>
  </si>
  <si>
    <t>2720200050</t>
  </si>
  <si>
    <t>111</t>
  </si>
  <si>
    <t>99999</t>
  </si>
  <si>
    <t>2720200004</t>
  </si>
  <si>
    <t>Выполнение функций заказчика</t>
  </si>
  <si>
    <t>Прочее</t>
  </si>
  <si>
    <t>Дополнительная потребность обусловлена приведением в соответствии с расчетами, предоставленными ГОКУ "УКС МО". Корректировка в части расчета фонда оплаты труда и фонда стимулирующего характера руководителя учреждения на 2021-2023гг</t>
  </si>
  <si>
    <t>Согласовано.
Расчет представлен.
Бюджетные ассигнования на 2020 год 46 700,5 тыс.рублей, исполнение за 2020 год 46 700,5 тыс. рублей</t>
  </si>
  <si>
    <t>Согласовано.</t>
  </si>
  <si>
    <t>Расчет представлен.</t>
  </si>
  <si>
    <t>119</t>
  </si>
  <si>
    <t>Дополнительная потребность по страховым взносам в связи с приведением в соответствии фонда оплаты труда ГОКУ "УКС МО"</t>
  </si>
  <si>
    <t>Согласовано.
Расчет представлен.
Бюджетные ассигнования на 2020 год 13 482,2 тыс.рублей,
исполнение за 2020 год 12 606,4 тыс. рублей</t>
  </si>
  <si>
    <t>УКС (оплата членского взноса для вступления в СРО по строительному объекту стоимость работ которого свыше 300 млн. р.)</t>
  </si>
  <si>
    <t xml:space="preserve">          
 В соответствии с решением Заместителя Губернатора – Министра строительства Мурманской области Сандурского В.В., принятым на штабе по строительству объектов, на ГОКУ «УКС» возложены обязанности по заключению безвозмездных договоров по осуществлению строительного контроля, на планируемых к строительству объектах муниципальной собственности:
1. «Культурно-досуговый центр в с. Минькино» - стоимость по ССР – 71 814, 84 тыс. рублей.
2. "Строительство физкультурно-оздоровительного комплекса с бассейном", расположенного на земельном участке по адресу: Мурманская область, ЗАТО город Заозерск – стоимость по ССР – 267 300,87 тыс. рублей.
3. 'Физкультурно-оздоровительный комплекс со специализированной школой по самбо, дзюдо и вольной борьбе в г. Кандалакше - стоимость по ССР – 357 813,25 тыс. рублей. 
Частью 12 Ст. 55.16. ГрК РФ определен минимальный размер взноса в компенсационный фонд возмещения вреда на одного члена саморегулируемой организации в области строительства, реконструкции, капитального ремонта, сноса объектов капитального строительства в зависимости от уровня ответственности члена саморегулируемой организации.Членский взнос составляет  один миллион пятьсот тысяч рублей в случае, если член саморегулируемой организации планирует осуществлять строительство, стоимость которого по одному договору не превышает три миллиарда рублей (третий уровень ответственности члена саморегулируемой организации.Таким образом Минстрое МО преложена корректировка расходов ОБ на сумму 1,5 млн. рублей, для возможности осуществления ГОКУ "УКС" строительного контроля по объектам, реализуемым в рамках национальных проектов.  </t>
  </si>
  <si>
    <t xml:space="preserve">Не согласовано.
Обосновывающий расчет не представлен.
Отсутствует наименование мероприятия, источник финансирования, пояснение внесения изменений.
</t>
  </si>
  <si>
    <t>Обосновывающий расчет не представлен.
Отсутствует наименование мероприятия, источник финансирования, пояснение внесения изменений.</t>
  </si>
  <si>
    <t>05</t>
  </si>
  <si>
    <t>01</t>
  </si>
  <si>
    <t>2710370850</t>
  </si>
  <si>
    <t>521</t>
  </si>
  <si>
    <t>70850-21</t>
  </si>
  <si>
    <t>2710300002</t>
  </si>
  <si>
    <t>Софинансирование расходных обязательств муниципальных образований на оплату взносов на капитальный ремонт за муниципальный жилой фонд</t>
  </si>
  <si>
    <t>Дополнительная потребность обусловлена плановым увеличением минимального размера взноса на капитальный ремонт с 01.01.2021 на 50%</t>
  </si>
  <si>
    <r>
      <t xml:space="preserve">Не согласовано.
</t>
    </r>
    <r>
      <rPr>
        <b/>
        <sz val="18"/>
        <rFont val="Times New Roman"/>
        <family val="1"/>
        <charset val="204"/>
      </rPr>
      <t>Соглашение Норникель (потенциальные получатели в рамках данного соглашения Мончегорск, Заполярный, Никель).</t>
    </r>
    <r>
      <rPr>
        <sz val="18"/>
        <rFont val="Times New Roman"/>
        <family val="1"/>
        <charset val="204"/>
      </rPr>
      <t xml:space="preserve">
Расчет представлен исходя из увеличения взноса. Вместе с тем в пояснительной записке к проекту  НПА об установлении минимального взноса на кап ремонт было отмечено, что расходы областного бюджета на предоставление указанной субсидии не увеличатся.
 Увеличение объема субсидии является правом субъекта РФ и исходя из возможностей бюджета. 
При этом источник финансового обеспечения дополнительных расходов не определен.</t>
    </r>
  </si>
  <si>
    <t>03</t>
  </si>
  <si>
    <t>2720474000</t>
  </si>
  <si>
    <t>522</t>
  </si>
  <si>
    <t>740018-21</t>
  </si>
  <si>
    <t>2720400002</t>
  </si>
  <si>
    <t>Новое кладбище в городе Мончегорске</t>
  </si>
  <si>
    <t>МОД</t>
  </si>
  <si>
    <t>В связи с тем, что в настоящее время остро стоит вопрос  в нехватке мест захоронений в МО и по имеющейся ПСД ввод объекта в  эксплуатацию возможет только после ввода 3 этапа строительства необходимо перераспределить средства ОБ между годами. Перераспределение денежных средств позволит  ввести в эксплуатацию  в 2021 году 3 этап строительства объекта, обеспечить муниципальное образование 1002 местами  захоронений. Сумма планируемая к перераспределению рассчитана на основании сметной стоимости строительства 3 этапа указанной в разработанной ПСД. Стоимость строительства составляет   45 601 390 рублей, в т.ч 43 321 320,5 средства ОБ, 2 280 069,5 - средства МБ. Также Минстроя МО получено письмо от администрации МО  от 12.10.2020 № 04-027-3233 с просьбой предусмотрения средств в областном бюджете для возможности ввода в эксплуатацию 3 этапа строительства.</t>
  </si>
  <si>
    <t>Не согласовано.
Отсутствуют сведения об определении стоимости строительства.
Бюджетные ассигнования на 2020 год 11 000,0 тыс.рублей,
исполнение за 2020 год 0,0 тыс. рублей</t>
  </si>
  <si>
    <t>Было - 104 069 653,71</t>
  </si>
  <si>
    <t>Отсутствуют сведения об определении стоимости строительства.</t>
  </si>
  <si>
    <t>740021-21</t>
  </si>
  <si>
    <t>2720400004</t>
  </si>
  <si>
    <t>Новое городское кладбище м.о. г. Заполярный</t>
  </si>
  <si>
    <t>Прочие</t>
  </si>
  <si>
    <t>Письмо администрации МО №3839 от 01.09.2020.  21.07.2020 администрацией МО г. Заполярный заключен контракт с ООО "Строй-Норд " на выполнение работ по строительству объекта В связи с  расхождениями  в проектно-сметной документации  подрядчиком были приостановлены работы, а именно в сметную документацию, разработанную в 2009 году не была включена стоимость песка. Аминистрацией муниципального образования г. Заполярный  заключен муниципальный контракт с ООО "Строй Арт" на выполнение работ по корректировке проекта объекта с разбивкой строительства на этапы. В настоящее время проектировщиком откорректирован проект, положительное заключение получено  (№ 51-1-1-2-018988-2020). Стоимость дополнительных работ составила 9 695 380 рублей, в том числе 9 210 611 - средства ОБ, 484 769,00 - средства МБ. В целях недопущения срывов выполнения работ по строительству социально- важного объекта Минстроем МО даны предложения по корректировке средств областного бюджета на сумму необходимую для оплаты песка.</t>
  </si>
  <si>
    <t>Не согласовано.
Отсутствуют сведения об определении стоимости строительства.
Бюджетные ассигнования на 2020 год 8 973,7 тыс.рублей,
исполнение за 2020 год 0,0 тыс. рублей</t>
  </si>
  <si>
    <t>Субсидии некоммерческой организации "Фонд капитального ремонта общего имущества в многоквартирных домах в Мурманской области"</t>
  </si>
  <si>
    <t>Незаконтрактованный остаток средств 2020 года планируется направить: 3 048 973,99- 3 бойлера (необходимо для Книповича 24,Связи 22, Маклакова 15), 30 298 525 - на выполнение дополнительных работ в рамках заключенных контрактов по ремонту крыш и фасадов в исторической части города, подтвержденная актами о приемке выполненных работ по форме КС-2 и справками о стоимости работ и затрат по форме КС-3</t>
  </si>
  <si>
    <t>273F367483</t>
  </si>
  <si>
    <t>523</t>
  </si>
  <si>
    <t>67483-21</t>
  </si>
  <si>
    <t>273F300001</t>
  </si>
  <si>
    <t>Переселение граждан из аварийного жилищного фонда</t>
  </si>
  <si>
    <t>Фондом содействия и реформирования ЖКХ доведены новые ПОФЫ на 2020-2024 годы (письмо от 17.11.2020 № Ор-07/2330), согласно которым на этап 2020-2021 года Фондом предусмотрено увеличение ПОФОв на 582,4 млн. Ввиду того, что для реализации дополнительных средст требуется длительное время, Минстроем соответствующие средства перераспределены на два этапа: 2020-2021 и 2021-2022. В этой связи Минстроем МО подготовлена новая редакция региональной адресной программы "Переселение граждан из аварийного жилищного фонда". Кроме того, предусмотрено разделение мероприятий на предоставление межбюджетных трансфертов муниципальным образованиям и на строительство в рамках государственных контрактов. Ранее направленная информация подлежит изменению в связи с тем, что в настоящий момент Минстроем подготовливаются изменения в адресную программу в связи с необходимостью изменения лица, выступающего заказчиком по способу  путем строительства на территории муниципального образования г. Мурманску</t>
  </si>
  <si>
    <t>Согласовано.
В соответствии с согласованной адресной программой и в пределах доведенных лимитов Фондом (межбюджетка).
Бюджетные ассигнования на 2020 год 446 188,1 тыс.рублей,
исполнение за 2020 год 334 446,6 тыс. рублей</t>
  </si>
  <si>
    <t>В соответствии с согласованной адресной программой и в пределах доведенных лимитов Фондом (межбюджетка).</t>
  </si>
  <si>
    <t>414</t>
  </si>
  <si>
    <t>Переселение граждан из аварийного жилищного фонда (гос. контракт)</t>
  </si>
  <si>
    <t>Согласовано.
В соответствии с согласованной адресной программой и в пределах доведенных лимитов Фондом (госконтракт).
Бюджетные ассигнования на 2020 год 83 431,1 тыс.рублей,
исполнение за 2020 год 0,0 тыс. рублей</t>
  </si>
  <si>
    <t>Было - 408 283 796,82</t>
  </si>
  <si>
    <t>В соответствии с согласованной адресной программой и в пределах доведенных лимитов Фондом (госконтракт).</t>
  </si>
  <si>
    <t>273F367484</t>
  </si>
  <si>
    <t>273F300002</t>
  </si>
  <si>
    <t>Согласовано.
Межбюджетка (передвижка).
Бюджетные ассигнования на 2020 год 43 291,6 тыс.рублей,
исполнение за 2020 год 32 844,9 тыс. рублей</t>
  </si>
  <si>
    <t>Было - 448 413 161,15</t>
  </si>
  <si>
    <t>Межбюджетка (передвижка).</t>
  </si>
  <si>
    <t>Переселение граждан из аварийного жилищного фонда гос.контракт)</t>
  </si>
  <si>
    <t>Согласовано.
Госконтракт.
Бюджетные ассигнования на 2020 год 12 742,0 тыс.рублей,
исполнение за 2020 год 0,0 тыс. рублей</t>
  </si>
  <si>
    <t>Было - 26 697 546,29</t>
  </si>
  <si>
    <t>Госконтракт.</t>
  </si>
  <si>
    <t>06</t>
  </si>
  <si>
    <t>295G152420</t>
  </si>
  <si>
    <t>20-52420-00000-00000</t>
  </si>
  <si>
    <t>295G100002</t>
  </si>
  <si>
    <t>Рекультивация городской свалки твердых отходов, расположенной по адресу: Мурманская область, муниципальное образование город Мурманск, сооружение 1</t>
  </si>
  <si>
    <t>В соответствии с протоколом согласительного совещания от 04.12.2020 № Пр-556/ОК  по вопросу реализации мероприятия по рекультивации городской свалки твердых отходов, расположенной по адресу: Мурманская область, муниципальное образование г. Мурманск, сооружение 1  ГРБС определено Министерство строительства Мурманской области</t>
  </si>
  <si>
    <t>Согласовано</t>
  </si>
  <si>
    <t>Учтено Сводной бюджетной росписью</t>
  </si>
  <si>
    <t>Строительство и приобретение жилья для граждан, проживающих в аварийном жилищном фонде</t>
  </si>
  <si>
    <t>Незаконтрактованные средства 2020 года. Региональной адресной программой предусмотрено поэтапная реализация мероприятий, плановый срок завершения - 2021 год. Средства предусмотрены на строительство в рамках госконтрактов.</t>
  </si>
  <si>
    <t>Расчет представлен (госконтракт ФБ)</t>
  </si>
  <si>
    <t>Незаконтрактованные средства 2020 года. Региональной адресной программой предусмотрено поэтапная реализация мероприятий, плановый срок завершения - 2021 год.</t>
  </si>
  <si>
    <t>Расчет представлен (МБТ ФБ)</t>
  </si>
  <si>
    <t>Расчет представлен (госконтракт ОБ)</t>
  </si>
  <si>
    <t>Расчет представлен (МБТ ОБ)</t>
  </si>
  <si>
    <t>Субсидия бюджетам муниципальных образований Мурманской области на софинансирование мероприятий по приобретению жилых помещений для переселения граждан из многоквартирных домов, признанных аварийными и подлежащими сносу или реконструкции в разные годы</t>
  </si>
  <si>
    <t>Общая потребность обеспечивается за счет средств: 1. Незаконтрактованные средства 2020 года в сумме 45 691 399.Администрацией города Мурманска в 2020 году в Комитет по закупкам поданы заявки на приобретение 21 жилого помещения. Состоялись аукционы только по двум заявкам. На сегодняшний день приобретено два жилых помещения. Учитывая сроки конкурсных процедур, а также отсутствие на вторичном рынке жилых помещений, подходящих по параметрам выполнить показатели результативности использования субсидии в полном объеме не представлялось возможным. Средства будут направлены на переселение первых жителей «Больничного городка» города Мурманска в новые дома, что является одним из социально значимых результатов для региона. 2. Незаконтрактованные средства 2020 года по мероприятию "Жилые дома в г. Мурманске на ул. Бондарной" в сумме 51 997 263,09</t>
  </si>
  <si>
    <t xml:space="preserve">Не согласовано.
Не представлена информация, обосновывающая необходимость реализации мероприятия и расчеты, подтвержающие запрашиваемый объем </t>
  </si>
  <si>
    <t>Не согласовано.</t>
  </si>
  <si>
    <t xml:space="preserve">Не представлена информация, обосновывающая необходимость реализации мероприятия и расчеты, подтвержающие запрашиваемый объем </t>
  </si>
  <si>
    <t>Субсидия на ремонт пустующих жилых помещений</t>
  </si>
  <si>
    <t>Общая потребность в ремонте пустующих помещений составляет порядка 178 млн руб., приоритетным определено направление по расселению из домов, подлежащих консервации, в целях снижения расходов на их содержание</t>
  </si>
  <si>
    <t xml:space="preserve">Не согласовано.
Обосновывающие документы не представлены.
</t>
  </si>
  <si>
    <t>Обосновывающие документы не представлены.</t>
  </si>
  <si>
    <t>Субсидия по переселению граждан из сгоревших многоквартирных домов, признанных в установленном порядке аварийными.</t>
  </si>
  <si>
    <t>Соглашение, Прочие</t>
  </si>
  <si>
    <t>Дополнительная потребность обусловлена необходимостью исполнения распоряжения Правительства Российской Федерации от 16 марта 2019 года № 446-р в части обеспечения переселения граждан из аварийного жилищного фонда, признанного таковым до 01.01.2017. Осуществлять расселение соответствующих домов в рамках региональной адресной программы  "Переселение граждан из аварийного жилищного фонда" на 2019 -2025 годы" не представляется возможным. Так как причины аварийности данных домов не соответствуют требованиям Федерального Закона № 185-ФЗ – дома признаны аварийными вследствие пожаров, для их расселения не могут быть привлечены средства Фонда ЖКХ. В настоящий момент в реестре АЖФ числятся 2 многоквартирных дома, признанных аварийными до 01.01.2017 вследствие пожара. Расселению подлежат 55 человек из 26 жилых помещений общей площадью 932,8 кв. метров. Кроме того, в г.п. Кандалакша отсутствует пустующий маневренный жилищный фонд в целях переселения граждан из сгоревших многоквартирных домов, что создает социальную напряженность, так как срок расселения указанных домов возможен только после 2025 года.</t>
  </si>
  <si>
    <t>Согласовано.
Расчет представлен, потенциальные получатели - Полярные Зори (в рамках соглашения с РосАтом), Молочный, Кандалакша.
Новое мероприятие.</t>
  </si>
  <si>
    <t xml:space="preserve">Условно
не согласовано.
</t>
  </si>
  <si>
    <t xml:space="preserve">
Расчет представлен, потенциальные получатели - Полярные Зори (в рамках соглашения с РосАтом), Молочный, Кандалакша.</t>
  </si>
  <si>
    <t>Участие в долевом строительстве и приобретение жилья для граждан, проживающих в аварийном жилищном фонде</t>
  </si>
  <si>
    <t xml:space="preserve">Обеспечение исполнения обязательств по ранее заключенным контрактам г.п. Зеленоборский (муниципальный контракт  на приобретение 27 квартир в строящемся доме по ул. Молодежной.). Зарезервировать средства в  Резервном фонде и рассмотреть выделение средств  в случае подтверждения Минстроем выполнения подрядчиком обязательств по другим объектам </t>
  </si>
  <si>
    <t xml:space="preserve">Согласовано.
Расчет представлен. </t>
  </si>
  <si>
    <t xml:space="preserve">Расчет представлен. </t>
  </si>
  <si>
    <t>271F170960</t>
  </si>
  <si>
    <t>70960F-21</t>
  </si>
  <si>
    <t>271F100001</t>
  </si>
  <si>
    <t>Мероприятия по планировке территорий, образованию земельных участков, и обеспечение их объектами коммунальной и дорожной инфраструктуры, в том числе для предоставления на безвозмездной основе многодетным семьям</t>
  </si>
  <si>
    <t>В части суммы 27 350,0 тыс. рублей: Дополнительная потребность обусловлена социальной значимостью соответствующего вопроса, существенным количеством данной категории граждан, а также большим объемом поступающих обращений от органов местного самоуправления, органов прокурорского надзора и собственников земельных участков. Ввиду отсутствия достаточного финансирования из средств областного и местного бюджетов у муниципальных образований отстусттвует возможность обеспечения объектами коммунальной и дорожной инфраструктурой земельных участков предоставленных на безвозмездной основе многодетным семьям 
Данный вопрос  по некоторым земельным участкам остается не решенным  порядка семи лет. В целях эффективного расходования средств субсидии, Минстроем МО внесены изменения в правила предоставления субсидии, предусматривающие конкурсный отбор муниципальных образований, учитывающий степень строительства ИЖД, обеспеченность существующей инфраструктурой земельных участков в отношении которых планируется предоставление сбсидии.
В части суммы 7 252,5 тыс. рублей:Средства предусмотрены в конце 2020 года, в связи с чем средства не законтрактованы. Направление цели: для решения вопроса строительства автодороги к участкам, предоставленным многодетным семьям в районе ул. Скальной. На контроле у Президента по обращению граждан № 31-2537\0 от 03.03.2020 (не в рамках РП).</t>
  </si>
  <si>
    <t>Не согласовано.
Объем финансовых средств предусмотрен законом на 2021 год исходя из возможностей областного бюджет.
Бюджетные ассигнования на 2020 год 52 312,5 тыс.рублей (с учетом увеличения объема в ходе исполнения бюджета на 7 млн по г. Мурманску)
исполнение за 2020 год 34 201,1 тыс. рублей</t>
  </si>
  <si>
    <t>Объем финансовых средств предусмотрен законом на 2021 год исходя из возможностей областного бюджет.</t>
  </si>
  <si>
    <t>740020-21</t>
  </si>
  <si>
    <t>2720400003</t>
  </si>
  <si>
    <t>Новое кладбище МОГП Никель в районе 3 км автодороги Никель-Приречный Печенгского района Мурманской области</t>
  </si>
  <si>
    <t>На 01.11.2020 действующая  площадь захоронения в МО пгт Никель 200 м2 ( на 40 мест захоронения). Среднемесячное количество захоронений  - 12 человек, Для ввода необходимо перераспределение денежных средств и предусмотрения в 2021 году денежных средств в размере 49892896. Данные изменения позволят закончить работы по первому и второму этапу строительства.</t>
  </si>
  <si>
    <t>10</t>
  </si>
  <si>
    <t>2710171000</t>
  </si>
  <si>
    <t>71000-21</t>
  </si>
  <si>
    <t>2710100001</t>
  </si>
  <si>
    <t>Субсидия муниципальным образованиям на предоставление социальных выплат гражданам для индивидуального жилищного строительства на предоставленных земельных участках</t>
  </si>
  <si>
    <t>Дополнительная потребность обусловлена необходимостью стимулирования ввода в эксплуатацию объектов ИЖС, постановки на государственный кадастровый учет и регистрации прав на объекты в целях увеличения показателей по вводу жилья в рамках РП "Жилье". Письмо Минстроя МО от 16.07.2020 № 01/1681</t>
  </si>
  <si>
    <t xml:space="preserve">Не согласовано.
Не представлены документы, подтверждающие обязательства, принятые муниципальными образованиями в отношении предоставления социальных выплат отдельным категориям граждан, и устанавливающие источники финансового обеспечения за счет средств местных бюджетов.
Бюджетные ассигнования на 2020 год 2 000,0 тыс.рублей,
исполнение за 2020 год 195,0 тыс. рублей
</t>
  </si>
  <si>
    <t xml:space="preserve">
Не представлены документы, подтверждающие обязательства, принятые муниципальными образованиями в отношении предоставления социальных выплат отдельным категориям граждан, и устанавливающие источники финансового обеспечения за счет средств местных бюджетов.</t>
  </si>
  <si>
    <t>08</t>
  </si>
  <si>
    <t>2530870640</t>
  </si>
  <si>
    <t>706418-21</t>
  </si>
  <si>
    <t>2530800002</t>
  </si>
  <si>
    <t>Субсидия на капитальный ремонт муниципальных учреждений культуры</t>
  </si>
  <si>
    <t>ГМО,МОД,МО</t>
  </si>
  <si>
    <t>Поручение Губернатора МО от 23.01.2020 № П-9/АЧ 
предложение депутата Мурманской областной Думы Ильиных М.В. Основание – письмо заместителя Губернатора Мурманской области Погребняк И.О. от 07.02.2019 № 01/359-ИП. Капитальный ремонт здания МБУК "Верхнетуломский ГДК"г.п.Верхнетуломский  Кольского района , в настоящее время заложено 5 млн. Положительное заключение государственной экспертизы от 28.09.2020 №51-1-1-2-047799-2020. Стоимость объекта в текущем уровне цен по состоянию на 2 кв. 2020 г. составляет  26 623 090  руб., стоимость с учетом уровня индекса-дефлятора на 2021 год составит 27 980867,59, в связи с чем в ОБ необходимо предусмотреть средства в размере 21 581 824,2 рублей.</t>
  </si>
  <si>
    <t>Не согласовано.
Соглашение с ФосАгро.
Отсутствуют сведения об определении стоимости ремонта.
Бюджетные ассигнования на 2020 год 19 803,3 тыс.рублей,
исполнение за 2020 год 18 605,7 тыс. рублей</t>
  </si>
  <si>
    <t>решение следует принимать по результатам дополнительной проработки вопроса - может снос и возведение нового?</t>
  </si>
  <si>
    <t>Отсутствуют сведения об определении стоимости ремонта.</t>
  </si>
  <si>
    <t xml:space="preserve">Разработка проектно-сметной документации для проведения капитального ремонта помещений книгохранилища </t>
  </si>
  <si>
    <t>Капитальный ремонт помещений книгохранения библиотеки предназначен для соблюдения законодательства в сфере пожарной безопасности, условий хранения фондов, в том числе документов, относящихся к Национальному библиотечному фонду и обязательному экземпляру. Приведение условий сохранности фондов в  соответствие с ГОСТ 7.50-2002 «Консервация документов». В 2020 году из-за низкой начальной цены контракта на разработку проектной документацц, конкурс был признан не состоявшимся. В связи с необходимостью приведения помещения к  нормам законодательства, стоимость разработки ПСД увеличена до с 0,6 млн. до  1,5 млн. рублей, что обусловлено увеличением прохождения стоимости государственной экспертизы.</t>
  </si>
  <si>
    <t>Не согласовано.
Средства предусмотрены в 2020 году, обязательства не приняты (оснований нет для подтверждения остатка).
Отсутствуют сведения об определении стоимости ремонта.
Бюджетные ассигнования на 2020 год 955,5 тыс.рублей,
исполнение за 2020 год 0,0 тыс. рублей</t>
  </si>
  <si>
    <t>Средства предусмотрены в 2020 году, обязательства не приняты (оснований нет для подтверждения остатка).
Отсутствуют сведения об определении стоимости ремонта.</t>
  </si>
  <si>
    <t>Капитальный ремонт кровли в МБУ "ЛЦРДК" с. Ловозеро</t>
  </si>
  <si>
    <t>Предложение депутата Мурманской областной Думы Ведищевой Н.Н. Проблема с кровлей здания ЦРДК возникает практически ежегодно с момента сдачи здания в эксплуатацию, с 1985 года.   Ежегодно осенью и весной наблюдаются многочисленные протечки в помещениях второго этажа (танцевальный класс, хоровой класс, кабинет звукорежиссера, коридор), в зрительном зале, спортивном зале. Эта проблема делает невозможным комфортное пребывание зрителей в учреждении, что ставит под угрозу проведение культурно-массовых мероприятий и занятия творческих коллективов. В 2019 году проведено полное техническое обследование кровли здания, по результатам которого получено экспертное заключение. В 2020 году заключены договора на разработку проектно – сметной документации на капитальный ремонт кровли с прохождением госэкспертизы. В  2020 года получено положительное заключение государственной экспертизы.    На основании ПСД , получившей положительное заключение государственной экспертизы от  27.05.2020 № 51-1-1-2-020262-2020 стоимость строительлных работ в ценах 2 квартала 2020 года с составляет 9 137,94 тыс. рублей. Расчет стоимости работ проводился на основании того, что стоимость работот указанная в ПСД рассчитана по уровню 2 квартала 2020 года, необходимо применение индексов-дефляторов, утвержденных Минэкономом РФ, стоимость с учетом индекса - дефлятора 9 603,97 тыс рублей.</t>
  </si>
  <si>
    <t>Не согласовано.
Отсутствуют сведения об определении стоимости ремонта.
Новое мероприятие.</t>
  </si>
  <si>
    <t>Капитальный ремонт фасада и кровли МБУК "Ловозерский районный национальный культурный центр" с. Ловозеро</t>
  </si>
  <si>
    <t>Проблемой последних лет является катастрофическое разрушение 
состояние фасада здания, усугубляемое неудовлетворительным состоянием кровли здания.  В октябре 2019 года проведено полное техническое обследование здания, по результатам которого получено экспертное заключение.  В 2020 году разработана проектно–сметная документация на капитальный ремонт фасада и кровли, получено положительное заключение государственной экспертизы ( 15.07.2020 № 51-1-1-2-031176-2020). Сметная стоимость  строительлных работ на основании заключения государственной экспертизы в ценах 2 квартала 2020 года с составляет 12 710,94  тыс. рублей. В связи с тем, что ПСД разработана в 2020 при расчете суммы к корректировке бюджета применен индекс дефлятор. Таким образом стоимость работ  по объекту в 2021 году составляет  13 359,19 тыс рублей. ОБ- 12691 тыс. рублей, МБ - 667,95 тыс. рублей</t>
  </si>
  <si>
    <t>Капитальный ремонт фасада с заменой окон и дверей Зеленоборского Центрального дома культуры</t>
  </si>
  <si>
    <t xml:space="preserve">Муниципальное бюджетное учреждение культуры Зеленоборский Центральный дом культуры является единственным учреждением культуры в муниципальном образовании городское поселение Зеленоборский (5325 жителей).  По результатам обследования технического состояния здания износ составляет 65% - 75%. В 2020 году из местного бюджета были выделены финансовые средства на разработку проектно-сметной документации. Контракт на разработку проектно-сметной документации  с проведением экспертизы достоверности сметной стоимости заключен с ООО «Электрострой».  Достоверность сметной стоимости подтверждена специалистами ООО «СибСтройЭксперт» (номер заключения 51-2-1-2-0908-20 от 03.12.2020). Общая стоимость капитального ремонта фасада здания с заменой окон и дверей МБУК Зеленоборский ЦДК согласно достоверной  сметной стоимости строительства  стоимость работ составляет  13 556,114    тыс. руб.  в т.ч. 12 887 808,3 руб. - ОБ, 687 305,7 тыс. руб - МБ </t>
  </si>
  <si>
    <t>Не согласовано.
Отсутствуют сведения об определении стоимости ремонта (реконструкции).
Новое мероприятие.</t>
  </si>
  <si>
    <t>Отсутствуют сведения об определении стоимости ремонта (реконструкции).
Не указано корректное наименование мероприятия.</t>
  </si>
  <si>
    <t xml:space="preserve">Разработка проектной документации  по объеку'«Реконструкция объекта культурного наследия регионального значения «Здания Дома культуры Моряков» </t>
  </si>
  <si>
    <t>По объекту «Реконструкция объекта культурного наследия регионального значения «Здания Дома культуры Моряков» - средства в размере 1 433 820,00 руб. для проведения государственной экспертизы по разработанной в 2020г. проектной документации. Данное мероприятие планировалось в 2020 г., но ввиду необходимости проведения дополнительной экологической экспертизы по объекту, заключить договор на проведение экспертизы проектной документации до завершения экологической экспертизы в соответствии с законодательством не представлялось возможным.</t>
  </si>
  <si>
    <t xml:space="preserve">Согласовано.
В 2020 году были предусмотрены средства на данные работы, за отчетный период обязательства не приняты (не заключены контракты, по причине новых требований к проведению госэкспертизы - наличие экологической экспертизы), в связи с этим Минстрой на эти же виды работ (проведение госэкспертизы) повторно запрашивает объем средств 
</t>
  </si>
  <si>
    <t xml:space="preserve">В 2020 году были предусмотрены средства на данные работы, за отчетный период обязательства не приняты (не заключены контракты, по причине новых требований к проведению госэкспертизы - наличие экологической экспертизы), в связи с этим Минстрой на эти же виды работ (проведение госэкспертизы) повторно запрашивает объем средств </t>
  </si>
  <si>
    <t>Капитальный ремонт системы вентиляции и дымоудаления ДК "Октябрь" Заполярный</t>
  </si>
  <si>
    <t>ПСД нет  , стоимость указана на основании сметы и коммерческих предложений</t>
  </si>
  <si>
    <t>"Реконструкция здания МБУК "Дворец культуры "Восход" по адресу Мурманская обл. п. Никель, ул. Октябрьская № 1.</t>
  </si>
  <si>
    <t>Соглашение, МОД</t>
  </si>
  <si>
    <t>Здание дворца культуры "Восход" построено в 1964 году и до настоящего времени в нем не проводилось ни одного капитального ремонта. Физически и морально изношено и устарело. Не отвечает современным требованиям и нормативам, не обеспечивает доступность маломобильных групп населения. 
Предложение депутата Мурманской областной Думы Ильиных М.В. В рамках реновации заложена сумма 100 000, тыс. рублей. ПСД в настоящее время ПСД  в экспертизе. Стоимость работ в ценах 2020 года 554 032,65 тыс. рублей.</t>
  </si>
  <si>
    <t>Ремонт здания экологического музея-океанариума по пр. Героев-Североморцев, 4</t>
  </si>
  <si>
    <t>нет проекта. Рассмотреть при наличии ПСД выделение из Рез фонда. ПСД не разработано в настоящее время</t>
  </si>
  <si>
    <t xml:space="preserve">Капитальный ремонт здания и помещений  территориального отдела истории, культуры и быта Кольских саамов c. Ловозеро </t>
  </si>
  <si>
    <t>На Севере Жить</t>
  </si>
  <si>
    <t>Капитальный ремонт  территориального отдела истории, культуры и быта Кольских саамов ГОАУК «Мурманский областной краеведческий музей» в рамках стратегического плана «НаСевереЖить»: восстановление фасада и нанесение стилизованных рисунков, проведение ремонта отмостки, замена системы отопления, замена устаревшей электросети, проведение внутренних работ в здании, установка металлодетектора, системы видеонаблюдения и переносного пандуса в целях организации доступа маломобильных граждан</t>
  </si>
  <si>
    <t>2510429990</t>
  </si>
  <si>
    <t>Капитальный ремонт здания музея трудовой славы и библиотеки  МАУ АГДК им. Егорова В.К. по адресу: ул. Ленина, д.24-а</t>
  </si>
  <si>
    <t xml:space="preserve">
Проведенные ремонтные работы позволят обеспечить прежде всего безопасными условиями для посетителей, организовать доступность учреждения для людей с ограниченными возможностями здоровья, а также сохранить уникальное по архитектуре здание города. Проект в настоящее время разработан, однако получение заключения государственной экспертизы запланировано на 01.04.2021.  Стоимость объекта на основании сводного сметного расчета разработанного проекта составляет составляет 57 500 млн, рублей. С  учетом уровня дефлятора на 2021 год стоимость составит 60 432,5 млн. рублей, в т.ч. 57 410,87 - средства ОБ, 3,021,625- средства МБ</t>
  </si>
  <si>
    <r>
      <t xml:space="preserve">Не согласовано.
</t>
    </r>
    <r>
      <rPr>
        <b/>
        <sz val="18"/>
        <rFont val="Times New Roman"/>
        <family val="1"/>
        <charset val="204"/>
      </rPr>
      <t>Соглашение с ФосАгро.</t>
    </r>
    <r>
      <rPr>
        <sz val="18"/>
        <rFont val="Times New Roman"/>
        <family val="1"/>
        <charset val="204"/>
      </rPr>
      <t xml:space="preserve">
Отсутствуют сведения об определении стоимости ремонта.
Новое мероприятие.</t>
    </r>
  </si>
  <si>
    <t>НЕ Согласовано.</t>
  </si>
  <si>
    <t xml:space="preserve">совещание под ЕВД на неделе с заинтересованными представителями, затем выезд на объект </t>
  </si>
  <si>
    <t>Капитальный ремонт здания культурно – досугового центра «Космос»  н.п. Зареченск</t>
  </si>
  <si>
    <t>Капитальный ремонт МУК "Межпоселенческая библиотека Кольского района"</t>
  </si>
  <si>
    <t>ЕВД прорабатывает, после чего докладывает АВЧ. Рассматривать после свода первоочередных изменений, с учетом возможности бюджета</t>
  </si>
  <si>
    <t>«Реконструкция здания государственного областного бюджетного учреждения культуры «Мурманский областной краеведческий музей»</t>
  </si>
  <si>
    <t xml:space="preserve">275 618,18 руб. – для заключения договора на авторский надзор по объекту;
 299 730,00 руб. – для заключения договора на технический надзор по объекту.
В 2020 г. договоры на авторский и технический надзор были расторгнуты в связи с нереализованным проектом по реконструкции объекта. Реконструкция объекта будет продолжена в 2021 году. 
</t>
  </si>
  <si>
    <t xml:space="preserve">Согласовано.
В 2020 году были предусмотрены средства на данные работы, за отчетный период обязательства не приняты (контракты расторгнуты), в связи с этим Минстрой на эти же виды работ (авторский и технический надзор)повторно запрашивает объем средств 
</t>
  </si>
  <si>
    <t xml:space="preserve">В 2020 году были предусмотрены средства на данные работы, за отчетный период обязательства не приняты (контракты расторгнуты), в связи с этим Минстрой на эти же виды работ (авторский и технический надзор)повторно запрашивает объем средств </t>
  </si>
  <si>
    <t xml:space="preserve">Капитальный ремонт бассейна Муниципального бюджетного общеобразовательного учреждения "Средняя общеобразовательная школа №5 имени О.И.. Семенова -Тянь-Шанского, расположенного по адресу:г. Мончегорск, пр. Кирова, д. 17 </t>
  </si>
  <si>
    <t>Соглашение, МОД, МО, ГМО</t>
  </si>
  <si>
    <t xml:space="preserve">Положительное заключение от 23.12.2020. Заявленная общая стоимость объекта строительства в ценах 3 квартала 2020 года с учетом НДС составила 48 860,08 тыс. руб.С учетом индекса дефлятора стоимость составит 51 351,94, в т.ч ОБ-48 784,34, МБ 2 567,59
Перепроверить и оптимизировать стоимость (Минстроем МО были собраны коммерческие предложения. На основании коммерческого предложения  капитальный ремонта водоподготовки и устройства чаши бассейна составляет 26 741 081 рублей в том числе, 17 млн - устройство водоподготовки, 9,7 - установки и сама чаша бассейна. Предворительно существующая проектная документация разработана с учетом экономии по данным ввидам работ. Кроме того действующая ПСД включает в себя: капитальный ремонт внутренних помещений, реконструкцию теплого пункта, замену электроснабжения и устройство новой системы вентиляции, устройство раздевалок, душевых, капитальный ремонт кровли и фасада.Существующим проектом предусмотрено устройство специализированного оборудования(подъемники), позволяющего использовать бассейн детям с ограниченными возможностями  </t>
  </si>
  <si>
    <r>
      <t xml:space="preserve">
Не согласовано.
</t>
    </r>
    <r>
      <rPr>
        <b/>
        <sz val="18"/>
        <rFont val="Times New Roman"/>
        <family val="1"/>
        <charset val="204"/>
      </rPr>
      <t>Соглашение Норникель.</t>
    </r>
    <r>
      <rPr>
        <sz val="18"/>
        <rFont val="Times New Roman"/>
        <family val="1"/>
        <charset val="204"/>
      </rPr>
      <t xml:space="preserve">
Сумма Минстроем не откорректирована.
СПРАВОЧНО: Были собраны коммерческие предложения. На основании коммерческого предложения  капитальный ремонта водоподготовки и устройства чаши бассейна составляет 26 741 081 рублей в том числе, 17 млн - устройство водоподготовки, 9,7 - установки и сама чаша бассейна. Предворительно существующая проектная документация разработана с учетом экономии по данным ввидам работ. Кроме того действующая ПСД включает в себя: капитальный ремонт внутренних помещений, реконструкцию теплого пункта, замену электроснабжения и устройство новой системы вентиляции, устройство раздевалок, душевых, капитальный ремонт кровли и фасада.Существующим проектом предусмотрено устройство специализированного оборудования(подъемники), позволяющего использовать бассейн детям с ограниченными возможностями </t>
    </r>
  </si>
  <si>
    <t>Сумма Минстроем не откорректирована.</t>
  </si>
  <si>
    <t>243</t>
  </si>
  <si>
    <t>Разработка проектной документации «Капитальный ремонт здания общественно-бытового корпуса ГАПОУ МО «Мурманский строительный колледж им. Н.Е. Момота», расположенного по адресу: г. Мурманск, ул. Инженерная, д. 2а»</t>
  </si>
  <si>
    <t>В 2020 г. государственный контракт на выполнение проектных работ был расторгнут по соглашению сторон, в связи с невозможностью завершения проектировщиком работ в установленные контрактом сроки из-за несогласования планировочных решений застройщиком ГАПОУ МО «Мурманский строительный колледж им. Н.Е. Момота». В настоящее время необходимо заключение нового договора, стоимость разработки ПСД увеличена с 1 743 000 рублей до 2 500 000 рублей по причине увеличения стоимости прохождения государственной эксертизы (стоимость экспертизы составляет 1%  от стоимости работ).</t>
  </si>
  <si>
    <t xml:space="preserve">Не согласовано.
Отсутствуют сведения об определении стоимости ремонта (реконструкции).
Новое мероприятие.
</t>
  </si>
  <si>
    <t>Отсутствуют сведения об определении стоимости ремонта (реконструкции).</t>
  </si>
  <si>
    <t>Капитальный ремонт здания МБОУ ОШ № 20 п.г.т. Никель</t>
  </si>
  <si>
    <t>Соглашение, Прочее</t>
  </si>
  <si>
    <t xml:space="preserve">Необходимость предусмотрения средств по данному объекту обусловлена разделением ремонта школы на 2 этапа. 1 этап проведен в 2020 году.   На основании проектной длокументации, прошедшей государственную экспертизу (положительное заключение ГОАУ "Управление государственной экспертизы Мурманской области" от 20.04.2020 № 51-1-1-2-012994-2020.), сметная стиоимость объекта в ценах 1 квартала 2020 года составляет 42 240,14.  В 2020 году были предусмотрены д-е средства на 1 этап 26648,4 тыс. руб., в т.ч. 25315,9 ОБ, 1232,5 тыс. руб.- МБ).  Оставшаяся сумма необходимая для завершения работ составляет 15 591,74. Так как проект был разработан во 2 квартале  2020 предложения по корректировке ОБ даны  с учетом индекса дефлятора. Стоимость работ 2 этапа составляет 16 777,32 тыс. руб., в том числе 15 938 454 - средства ОБ, 838 866 рублей средства МБ. </t>
  </si>
  <si>
    <r>
      <t xml:space="preserve">Не согласовано.
</t>
    </r>
    <r>
      <rPr>
        <b/>
        <sz val="18"/>
        <rFont val="Times New Roman"/>
        <family val="1"/>
        <charset val="204"/>
      </rPr>
      <t>Соглашение Норникель.</t>
    </r>
    <r>
      <rPr>
        <sz val="18"/>
        <rFont val="Times New Roman"/>
        <family val="1"/>
        <charset val="204"/>
      </rPr>
      <t xml:space="preserve">
Отсутствуют сведения об определении стоимости ремонта,  также обоснования необходимости предоставления указанных средств
</t>
    </r>
  </si>
  <si>
    <t>Отсутствуют сведения об определении стоимости ремонта,  также обоснования необходимости предоставления указанных средств</t>
  </si>
  <si>
    <t>Капитальный ремонт фасада МБОУ г. Мурманска "Гимназия №2"</t>
  </si>
  <si>
    <t xml:space="preserve">Письмо Администрации г. Мурманска от 21.12.2020 №05-12/5063 ( Поручение Президента РФ.  В городе Мурманске планируется до 2030 года реализация комплексной программы «Наш Мурманск». Программа направлена на сохранение исторического центра Мурманска с обновлением фасадов, восстановлением исторического облика зданий.
 Здание МБОУ г. Мурманска  «Гимназия №2» располагается в центре города Мурманска, является объектом культурного наследия. В настоящее время техническое состояние фасада находится в неудовлетворительном состоянии. Стоимость работ рассчитана на основании  достоверной сметной стоимости, согласно государственному заключению экспертизы от 08.07.2020 № 51-1-1-2-029379-2020 и составляет 24 674 000 рублей. Так проект разработан во 2 квартале 2020 года к стоисости применен индекс дефлятор -    25 932 794,4. ОБ- 12 966 397,2 рублей , МБ - 12 966 397,2 рублей
</t>
  </si>
  <si>
    <t xml:space="preserve">Не согласовано.
Отсутствуют сведения об определении стоимости ремонта.
Новое мероприятие.
</t>
  </si>
  <si>
    <t>Капитальный ремонт фасада МБОУ г. Мурманска "Основная общеобразовательная школа №26</t>
  </si>
  <si>
    <t xml:space="preserve">В ходе приема  граждан, проведенного 17.09.2020 в режиме видеоконференцсвязи помощником Президента Российской Федерации – начальником Государственно-правового управления Президента Росийской Федерации Л.И. Брычевой по поручению Президента Российской Федерации, рассмотрено обращение жительницы г. Мурманска Н.Б. Ивановой по вопросу содействия в капитальном ремонте фасада МБОУ г. Мурманска «Основная общеобразовательная школа № 26».
 По результатам указанного приема граждан главе администрации города Мурманска Е.В. Никоре поручено проинформировать приемную Президента Российской Федерации об исполнении поручения Президента Российской Федерации по вопросу капитального ремонта фасада данного образовательного учреждения. За счет средств местного бюджета в 2020 году был разработан проект. 27.05.2020 получено положительное заключение государственной экспертизы (№ 51-1-1-2-020262-2020). Стоимость работ согласно достоверной сметной стоимости составляет 30 832 650 рублей. В связи с тем, что проект разработан во 2 квартале 2020 года Минстрое МО применен индекс дефлятор. С учетом индекса-дефлятора стоимость составила  32 405 115,15, в т.ч. ОБ- 16 202 557,58 рублей, 16 202 557, 58 - МБ.
</t>
  </si>
  <si>
    <t>«Капитальный ремонт фасада здания ГАПОУ МО «МИК»», расположенного по адресу: г. Мурманск, ул. Подгорная, д. 80» (Здание лит А1)</t>
  </si>
  <si>
    <t xml:space="preserve">Стоимость работ рассчитана на основании укрупненного расчета.с применением ТЕРОВ. </t>
  </si>
  <si>
    <t>Капитальный ремонт кровли ГОБОУ МО КК "Североморский кадетский корпус"</t>
  </si>
  <si>
    <t>Проектная документация разработа на ремонт фасада и кровли. В связи с тем, что временной промежуток для выполнения работ ограничем из-за работы учреждения, принято решение о реализации одного вида работ - кровля. Стоимость работ рассчитана на основании  сметной стоимости, прошедшей государственную экспертизу (от 17.12.2020 № 51-1-1-2-065029-2020). Работы будут выполнены за счет средств ОБ.</t>
  </si>
  <si>
    <t xml:space="preserve">Капитальный ремонт бассейна и подсобных помещений в здании ГАУДО МО «МОЦДО «Лапландия» </t>
  </si>
  <si>
    <t>Капитальный ремонт бассейна и подсобных помещений в здании ГАУДО МО «МОЦДО «Лапландия» по адресу: г. Мурманск, пр. Героев-Североморцев, д. 2»
Проектная документация ООО "Северный морской проектный институт": шифр 2018.63294. Сметная стоимость в ценах 1 квартала 2021 г. - 52 241, 050 тыс. руб.
Заключение по экспертной оценке проектной (рабочей) документации (разделов проектной (рабочей) документации и (или) результатов инженерных изысканий на соответствие техническим регламентам, нормативам в области инженерных изысканий и сметным нормативам ГОАУ "Управление государственной экспертизы Мурманской области" №0021-20-08-19 от 20.08.2019 (исх. № 1261-13).
Положительное заключение о проверке достоверности определения сметной стоимости строительства, реконструкции, капитального ремонта объектов капитального строительства ГОАУ "Управление государственной экспертизы Мурманской области" №0017-19-07-19 от 19.07.2019 (исх. № 1105-12)</t>
  </si>
  <si>
    <t>«Капитальный ремонт здания общественно-бытового корпуса ГАПОУ МО «Мурманский строительный колледж им. Н.Е. Момота», расположенного по адресу: г. Мурманск, ул. Инженерная, д. 2а»</t>
  </si>
  <si>
    <t xml:space="preserve">Согласовано.
В 2020 году были предусмотрены средства на данные работы, за отчетный период обязательства не приняты (не заключены контракты), в связи с этим Минстрой на эти же виды работ (выполнение проектных работ) повторно запрашивает объем средств 
</t>
  </si>
  <si>
    <t xml:space="preserve">В 2020 году были предусмотрены средства на данные работы, за отчетный период обязательства не приняты (не заключены контракты), в связи с этим Минстрой на эти же виды работ (выполнение проектных работ) повторно запрашивает объем средств </t>
  </si>
  <si>
    <t>Подпорная стена спального корпуса Минькинской КШИ</t>
  </si>
  <si>
    <t>Восстановление подпорной стенки у здания спального корпуса по адресу: Мурманская область, Кольский район, с. Минькино, д.135
Проектная документация: шифр 58/2019-ЭА в ценах 2 квартала 2019 г.
Положительное заключение о проверке достоверности определения сметной стоимости строительства, реконструкции, капитального ремонта объектов капитального строительства ГОАУ "Управление государственной экспертизы Мурманской области" №51-1-0196-19 от 16.12.2019</t>
  </si>
  <si>
    <t>Благоустройство спортивной площадки по адресу: Мурманская обл., г.Мурманск, ул. Гвардейская, д.14 в ГАПОУ МО «МТКС.</t>
  </si>
  <si>
    <r>
      <t xml:space="preserve">Объект капитального строительства. 
Проектная (рабочая) документация ООО "ПКБ "Промбезопасность": шифр 480-2018 в ценах 4 квартала 2018 г. </t>
    </r>
    <r>
      <rPr>
        <b/>
        <u/>
        <sz val="20"/>
        <rFont val="Times New Roman"/>
        <family val="1"/>
        <charset val="204"/>
      </rPr>
      <t>Сметная стоимость 15 088,77 тыс.руб.</t>
    </r>
    <r>
      <rPr>
        <sz val="20"/>
        <rFont val="Times New Roman"/>
        <family val="1"/>
        <charset val="204"/>
      </rPr>
      <t xml:space="preserve">
Заключение по экспертной оценке проектной (рабочей) документации (разделов проектной (рабочей) документации и (или) результатов инженерных изысканий на соответствие техническим регламентам, нормативам в области инженерных изысканий и сметным нормативам ГОАУ "Управление государственной экспертизы Мурманской области" №0004-14-02-19 от 14.02.2019 (исх. №211-12).
Положительное заключение о проверке достоверности определения сметной стоимости строительства, реконструкции, капитального ремонта объектов капитального строительства ГОАУ "Управление государственной экспертизы Мурманской области" №51-1-0021-19 от 07.03.2019.</t>
    </r>
  </si>
  <si>
    <t>Ремонт кровли ГАПОУ МО «МТКС"</t>
  </si>
  <si>
    <t>Капитальный ремонт кроали ГАПОУ МО "МТКС" по адресу: г. Мурманск, ул. Гвардейская, д.14
Проектная документация ООО "Северный морской проектный институт": шифр 42-СМ.11 в ценах 2 квартала 2019 г.
Положительное заключение о проверке достоверности определения сметной стоимости строительства, реконструкции, капитального ремонта объектов капитального строительства ГОАУ "Управление государственной экспертизы Мурманской области" № 51-1-0175-19 от 08.10.2019 г.</t>
  </si>
  <si>
    <t>Подвальные помещения спального корпуса Оленегорской КШИ</t>
  </si>
  <si>
    <t>Капитальный ремонт обследованных строительных конструкций подвального помещения здания спального корпуса по адресу: Мурманская область, г. Оленегорск, ул. Бардина, д.56.
Экспертное заключение по результатам технического обследования состояния строительных конструкций подвального помещения в здании спального корпсуа "Оленегорская школа-интернат" ООО "УСИПР" №77-О/2019 от 16.12.2019 г.
Проектная документация ИП Терехов: шифр Т.050-2020.01.20 в ценах 3 квартала 2020 г.</t>
  </si>
  <si>
    <t>Система вентиляции мастерских Мончегорского политехн колледжа</t>
  </si>
  <si>
    <t>Ремонт вентиляции в здании учебных мастерских по адресу: Мурманская область, г. Мончегорск, ул. 3-я Нагорная д. 42
Предписание РПН № 587/17-122 от 27.10.2017 с изменением от 12.09.2018 г.
Проектная документация ООО "Мурстрой": шифр 21-07-20 в ценах 3 квартала 2020 г.</t>
  </si>
  <si>
    <t>Кровля Кандалакшского индустриального</t>
  </si>
  <si>
    <r>
      <t xml:space="preserve">Текущий ремонт крыши учебного корпуса № 2 по адресу: Мурманская область, г.Кандалакша, ул.Спекова, д. 7
Сметная стоимость - 2 181,760 тыс. руб. </t>
    </r>
    <r>
      <rPr>
        <b/>
        <u/>
        <sz val="20"/>
        <rFont val="Times New Roman"/>
        <family val="1"/>
        <charset val="204"/>
      </rPr>
      <t>Предусмотрено в 2021 г.</t>
    </r>
  </si>
  <si>
    <t>Кровля Кольского транспортного колледжа</t>
  </si>
  <si>
    <r>
      <t xml:space="preserve">Капитальный ремонт кровли практического корпуса по адресу: Мурмаснкая область, г. Кола, пер. Островский, д.14
Проектная документация ООО "Мурстрой" - </t>
    </r>
    <r>
      <rPr>
        <b/>
        <u/>
        <sz val="20"/>
        <rFont val="Times New Roman"/>
        <family val="1"/>
        <charset val="204"/>
      </rPr>
      <t>проходит проверку достоверности в ГОАУ "Управление государственной экспертизы Мурманской области"</t>
    </r>
  </si>
  <si>
    <t>Строительство детского сада на 80 мест в районе дома №44 по улице Капитана Орликовой в городе Мурманске</t>
  </si>
  <si>
    <t>СФЦС</t>
  </si>
  <si>
    <t xml:space="preserve">Приведение в соответствие с ФБ третье чтение. </t>
  </si>
  <si>
    <t xml:space="preserve">Федеральные средства приведены в соответствие с заключенными федеральными соглашениями.
Областные средства - муниципальными соглашениями </t>
  </si>
  <si>
    <t>Строительство детского сада на 80 мест в районе дома №44 по улице Капитана Орликовой в городе Мурманске (исправлено росписью)</t>
  </si>
  <si>
    <t>Приведение в соответствие с ФБ третье чтение</t>
  </si>
  <si>
    <t>Строительство детского сада на 196 мест в районе домов №31,32 по улице Достоевского в городе Мурманске</t>
  </si>
  <si>
    <t>Детский сад на 220 мест в ЗАТО г.Североморск</t>
  </si>
  <si>
    <t>Не согласовано.
Отсутствуют сведения об определении стоимости строительства.</t>
  </si>
  <si>
    <t>Детский сад в с. Алакуртти Кандалакшского района</t>
  </si>
  <si>
    <t>Детский сад в с. Мурмаши, ул. Причальная</t>
  </si>
  <si>
    <t>В части суммы (-) 642,9 тыс. рублей: приведение в соответствие с ФБ третье чтение;
В части суммы 8 287,6 тыс. рублей:дополнительные работы,обращение Администрации МО. дополнительные работы,обращение Администрации МО. Потребность в дополнительных ассигнованиях обусловлена тем, что работы были исключены из технического задания, в том числе по видам работ:17 399,8:-благоустройство территории 14 048,5, -немонтируемое технологическое оборудование 1 502,1, - оплата работ за осуществление авторского надзора и услуг технического заказчика 1849,2.Экономия по итогам проведения конкурентных процедур на 2021 год составляет 8 675,97 тыс. рублей  в том числе: 4 164,466 тыс. рублей – ФБ  4 251,225 тыс. рублей  – ОБ , 260,279 тыс. рублей  - МБ, при условие. При условии возможного освоения денежных средств экономии необъодимые средства МО составляют: 8 723,83, в том числе ОБ 8 287 638,5 средства ОБ, 43 619,15 МБ</t>
  </si>
  <si>
    <r>
      <rPr>
        <b/>
        <sz val="18"/>
        <rFont val="Times New Roman"/>
        <family val="1"/>
        <charset val="204"/>
      </rPr>
      <t>Не согласовано в части суммы (+) 8 287,9 тыс. руб.</t>
    </r>
    <r>
      <rPr>
        <sz val="18"/>
        <rFont val="Times New Roman"/>
        <family val="1"/>
        <charset val="204"/>
      </rPr>
      <t xml:space="preserve">
Отсутствуют сведения об определении стоимости строительства.
</t>
    </r>
    <r>
      <rPr>
        <b/>
        <sz val="18"/>
        <rFont val="Times New Roman"/>
        <family val="1"/>
        <charset val="204"/>
      </rPr>
      <t>Согласовано в части суммы (-) 642,9 тыс.руб.</t>
    </r>
    <r>
      <rPr>
        <sz val="18"/>
        <rFont val="Times New Roman"/>
        <family val="1"/>
        <charset val="204"/>
      </rPr>
      <t xml:space="preserve">
</t>
    </r>
  </si>
  <si>
    <t>Согласовано (в соответствии с заключенным Соглашением)</t>
  </si>
  <si>
    <t xml:space="preserve">Государственное автономное учреждение дополнительного профессионального образования Мурманской области "Институт развития образования" (ГАУДПО МО "ИРО" </t>
  </si>
  <si>
    <t xml:space="preserve"> В 2020 году  за счет ср-в ОБ ГОКУ УКС разрабатано ПСД. Госэкспертиза не пройдена по причине отсутствия финансирования расход на прохождение государственной экспертизы</t>
  </si>
  <si>
    <t>Не согласовано.
Отсутствуют сведения об определении стоимости ремонта.
ПСД находится на госэкспертизе, предполагается замена мероприятия на реконструкцию.
СПРАВОЧНО комм Минстроя МО: Минстрою необходимо уточнить сумму, которая требуется исключительно для реализации нацпроекта, согласовать с ЕВД - НЕ ПРЕДОСТАВЛЕНА БУДЕМ ДЕЛАТЬ ИЗ РЕЗЕРВНОГО ФОНДА</t>
  </si>
  <si>
    <t>МИК спортивная площадка</t>
  </si>
  <si>
    <t>очень высокая стоимость - разобраться, доложить</t>
  </si>
  <si>
    <t>Не согласовано.
Отсутствуют сведения об определении стоимости ремонта (реконструкции).
Не указано корректное наименование мероприятия.
СПРАВОЧНО комм Минстроя МО: ОТДЕЛЬНО ИЗ РЕЗЕРВНОГО</t>
  </si>
  <si>
    <t>IT-КУБ</t>
  </si>
  <si>
    <t>ЕВД прорабатывает, после чего докладывает АВЧ</t>
  </si>
  <si>
    <t>Не согласовано.
Отсутствуют сведения об определении стоимости ремонта (реконструкции).
Не указано корректное наименование мероприятия.</t>
  </si>
  <si>
    <t>Капитальный ремонт "Кильдинская коррекционная школа-интернат" (ГБОУ Кильдинская КШИ).</t>
  </si>
  <si>
    <t>За счет средств областного бюджета в 2020 году разработана  ПСД, В настоящее время проект в экспертизе.На основании сводного сметного расчета стоимость строительства составляет 113 081,39 тыс. рублей, с учетом индекса дефлятора стоимость составит 118 848 540,89 рублей</t>
  </si>
  <si>
    <t>Не согласовано.
Отсутствуют сведения об определении стоимости ремонта.
По оперативной информации Минобра МО  
ПСД находится на доработке, 
предварительная предельная стоимость ремонта - 113 081,4 тыс. рублей.</t>
  </si>
  <si>
    <t xml:space="preserve">
Не согласовано.
</t>
  </si>
  <si>
    <t>Капитальный ремона вентиляционной системы Ледового дворца МБУ «Учебно­спортивный центр» в г. Оленегорск.</t>
  </si>
  <si>
    <t xml:space="preserve">Система приточно-вытяжной вентиляции Ледового дворца спорта введена в эксплуатацию в 1976 году. За весь период работы капитальных ремонтов не проводилось. Установки находятся в аварийном состоянии. Более 70% секций калориферов подвержены коррозии. Воздуховоды из-за коррозии имеют сквозные отверстия. Отсутствует возможность регулирования режима работы системы, что увеличивает расход электроэнергии. При эксплуатации ледовых покрытий возникает ряд проблем, связанных с конденсацией водяного пара на элементы конструкции здания, что приводит к коррозии металлических конструкций и образованию сосулек на ледовой арене. Замена устаревшей системы вентиляции на современную с рекуперацией тепла, осушителем воздуха, частотным регулированием и автоматикой управления режимами работы позволит спортсооружению работать в летний период, значительно снизит расходы энергоресурсов и повысит комфорт при занятиях спортом и пребывания зрителей на спортивно-массовых мероприятиях. Расчет стоимости произведен на основании проектной документации прошедшей государственную экспертизу. (51-1-1-2-050132-2020  от  09.10.2020) Так как  экспертиза получена в 3 квартале 2020 года Минстроем применен индекс - дефлятор. По сводному сметному расчету стоимость работ составляет 12615,235 тыс. рублей, с учетом индекса-дефлятора 13 258,6 тыс.рублей., в т.ч. 12 595,68 тыс. рублей, 662, 93 тыс. рублей - МБ.
</t>
  </si>
  <si>
    <t>Капитальный ремонт полов спортивного зала Дома физкультуры МБУ «Учебно­спортивный центр» в г. Оленегорск.</t>
  </si>
  <si>
    <t xml:space="preserve">Ремонт полов не проводился с момента ввода объекта. В настоящее время лаги, доски имеют деффекты и требуют замены. Стоимость рассчитана на основании  локального сметного расчета и составляет  7 451 590  тыс. рублей. В том числе 7079 010,5 - средства ОБ, 372 579,5 - средства МБ.
</t>
  </si>
  <si>
    <t>Капитальный ремонт системы освещения арены стадиона в г. Мончегорск</t>
  </si>
  <si>
    <t>Объект предназначен для подготовки спортсменов спортивной школы и сборных команд города по таким видам спорта как футбол, хоккей с мячом, конькобежный спорт, легкая атлетика, городошный спорт, хоккей с шайбой. Также на объекте ведется тренировочный процесс команды по хоккею с мячом «Мончегорск», выступающей в высшей лиги. .
На арене стадиона имеются три объекта которые включены во всероссийский реестр объектов спорта (футбольное поле, городошный корт, ледовая арена), где проводятся официальные спортивные мероприятия от муниципального до всероссийского уровня (всероссийские соревнования по хоккею с мячом среди команд высшей лиги, первенство России среди девушек по хоккею с мячом, соревнования по хоккею с мячом в рамках традиционного Праздника севера учащихся, чемпионат и кубок области по футболу и т.д.). 
С 2014 года ведутся работы по капитальному ремонту арены стадиона. Были произведены работы по разработке ПСД, выполнены работы по укладке искусственного футбольного покрытия и беговых дорожек с дренажной системой на общую сумму 57,1 млн. руб. (8,4 млн. руб. - ФБ; 19,7 млн. руб. - МБ; 29,0 млн. руб. - АО «Кольская ГМК»). В 2016 году в рамках конкурса «Мир новых возможностей» была произведена работа по реконструкции городошного корта на общую сумму 900,0 тыс. руб. В 2019 году при финансовой поддержке ПАО «ГМК Норильский никель» на общую сумму 34,0 млн руб. был построен и введен в эксплуатацию крытый футбольный манеж.
В 2020 году при финансовой поддержке АО «Кольская ГМК» было приобретено информационное табло на общую сумму 750,0 тыс. руб.
На сегодняшний день для проведения официальных спортивных мероприятий одной из главных проблем является недостаточное освещение арены, что влечет за собой недопустимость их проведения в дальнейшем. Замена наружного освещения арены стадиона позволит проводить официальные спортивные мероприятия, тренировочный процесс и физкультурно-оздоровительные мероприятия для жителей города согласно нормам и правилам соревнований. Стоимость работ  рассчитана на основании сводного расчета  и составляет  47 586,6 тыс. рублей. С учетом индекса-дефлятора стоимость составляет 50013,51 тыс. рублей, в т.ч. ОБ 47 512,84 тыс. рублей, МБ - 2 500,67 тыс. рублей</t>
  </si>
  <si>
    <t xml:space="preserve">При условии последующего контроля (Минспорт и Минстрой)  выполнения условия, что Норникель в рамках соглашения выполняет все оставшиеся работы в части капремонта стадиона </t>
  </si>
  <si>
    <t>Ремонт фасада МАУ спортивная школа ул.50 лет Октября 31 г. Кировск</t>
  </si>
  <si>
    <t>Соглашение</t>
  </si>
  <si>
    <t>Соглашение с градообразующими предприятиям. В плане мероприятий и техничсеких решений по улучшению материально-технического обеспечения ремонт фасада предотвратит значительное разрушение кирпичной кладки. Здание спортивной школы введено в эксплуатацию в 1966 году, капитальное строительство не проводилось. Локальная смета на сумму 11 тыс. рублей, с учетом индекса дефлятора стоимость 11 561 тыс. рублей, в т.ч 7 549,33 ОБ, МБ - 4 011,67тыс. рублей</t>
  </si>
  <si>
    <r>
      <t>Не согласовано.
В областном бюджете на 2021 предусмотрено финансирование мероприятия "МАУ спортивная школа г Кировск" в</t>
    </r>
    <r>
      <rPr>
        <b/>
        <sz val="18"/>
        <rFont val="Times New Roman"/>
        <family val="1"/>
        <charset val="204"/>
      </rPr>
      <t xml:space="preserve"> рамках соглашения с ФосАгро </t>
    </r>
    <r>
      <rPr>
        <sz val="18"/>
        <rFont val="Times New Roman"/>
        <family val="1"/>
        <charset val="204"/>
      </rPr>
      <t>ГРБС - Минспорт МО в сумме  6 400,0 тыс. рублей
Отсутствуют сведения об определении стоимости ремонта.
Новое мероприятие.</t>
    </r>
  </si>
  <si>
    <t>средства в бюджете стоят на Минспорте, в размере суммы по соглашению - необходимо Минспорту и Минстрою уточнить - это и есть средства на ремонт фасада?
СПРАВОЧНО: средства в сумме 6,4 млн рублей предусмотрены г. Кировску на мероприятия по оказанию финансовой поддержки спортивным организациям, осуществляющим спортивную подготовку в соответствии с федеральными стандартами спортивной подготовки в рамках реализации соглашений между Правительством Мурманской области и градообразующими предприятиями (ГРБС - Минспорт МО)</t>
  </si>
  <si>
    <t>Ремонт хоккейного корта г. Кандалакша</t>
  </si>
  <si>
    <t xml:space="preserve">Обащение гр. Гражданкина М.В. Находится на контроле в Аппарате Президента. Стоимость указана на основании коммерческих предложений </t>
  </si>
  <si>
    <t xml:space="preserve">Не согласовано.
Отсутствуют сведения об определении стоимости ремонта.
</t>
  </si>
  <si>
    <t>Необходимо уточнить стоимость, а также рассмотреть целесообразность установки нового корта, в том числе в ином месте</t>
  </si>
  <si>
    <t>2530874000</t>
  </si>
  <si>
    <t>740035-21</t>
  </si>
  <si>
    <t>2530800005</t>
  </si>
  <si>
    <t>Создание экопарка на территории города Кировска с подведомственной территорией (конный клуб «Ласточка»)</t>
  </si>
  <si>
    <t>Письмо Администрации города Кировска от 25.12.2020 № 01-3748. В связи с получением положительного заключения по сводному сметному расчету в конце 2020 года, денежные средства не освоенные в 2020 году необходимо перенести на 2021 год.</t>
  </si>
  <si>
    <r>
      <t xml:space="preserve">Не согласовано.
</t>
    </r>
    <r>
      <rPr>
        <b/>
        <sz val="18"/>
        <rFont val="Times New Roman"/>
        <family val="1"/>
        <charset val="204"/>
      </rPr>
      <t>Соглашение с ФосАгро.</t>
    </r>
    <r>
      <rPr>
        <sz val="18"/>
        <rFont val="Times New Roman"/>
        <family val="1"/>
        <charset val="204"/>
      </rPr>
      <t xml:space="preserve">
Отсутствуют сведения об определении стоимости строительства.
</t>
    </r>
  </si>
  <si>
    <t>3130274000</t>
  </si>
  <si>
    <t>3130200005</t>
  </si>
  <si>
    <t>Система искусственного оснежения для горнолыжных трасс г. Айкуайвенчорр</t>
  </si>
  <si>
    <t xml:space="preserve">Сумма  откорректирована на основании сметы, прошедшей государственную экспертизу. </t>
  </si>
  <si>
    <t>Детская спортивная школа г. Снежногорск, по адрес: ул. Октябрьская, д.25а</t>
  </si>
  <si>
    <t>По поручению Губернатора Мурманской области при выезде в ЗАТО Александровск (получена экспертиза)</t>
  </si>
  <si>
    <t xml:space="preserve">Не согласовано.
Не представлена информация по виду работ  (стройка, реконструкция или капитальный, текущий ремонт)
</t>
  </si>
  <si>
    <t>Не представлена информация по виду работ  (стройка, реконструкция или капитальный, текущий ремонт)</t>
  </si>
  <si>
    <t>Реконструкция стадиона МБОУ "Гимназия №1" г. Полярные Зори Мурманской области"</t>
  </si>
  <si>
    <t>письмо администрации города Полярные Зор от 24.09.2020 № 2289 (гарантия о предусмотрении в бюджете МО средств в размере 9 716,36 тыс. рублей), В настоящее время между Правительством МО и Государственной корпорацией по атомной энергии "Росатом" заключено Соглашение о сотрудничестве  (от 28.12.2020 № 3283).  Стоимость работ рассчитана на основании проектной документации прошедшей государственную экспертизу (  положительное заключение государственной экспертизы № 51-1-1-2-021618-2020 от 02.06.2020)</t>
  </si>
  <si>
    <r>
      <t xml:space="preserve">
Не согласовано.
</t>
    </r>
    <r>
      <rPr>
        <b/>
        <sz val="18"/>
        <rFont val="Times New Roman"/>
        <family val="1"/>
        <charset val="204"/>
      </rPr>
      <t>Соглашение РосАтом.</t>
    </r>
    <r>
      <rPr>
        <sz val="18"/>
        <rFont val="Times New Roman"/>
        <family val="1"/>
        <charset val="204"/>
      </rPr>
      <t xml:space="preserve">
Отсутствуют сведения об определении стоимости строительства.
Новое мероприятие</t>
    </r>
  </si>
  <si>
    <t>Капитальный ремонт внутренних помещений, вентиляции и системы электроснабжения МБУ СШ "Олимп"</t>
  </si>
  <si>
    <t>Письмо Администрации города Оленегорска с подведомственной территорией Мурманской области № 01-3482 с гарантией предусмотрения в бюджете МО средств на софинансирование меропариятий. Система приточно-вытяжной вентиляции спортивной школы «Олимп» введена в эксплуатацию в 1972 году.  За весь период работы капитальных ремонтов не проводилось. По результатам обследования ООО «Центр Проектных технологий» от февраля 2020 года система общеобменной вентиляции, калориферы вентилятора находятся в аварийном состоянии, воздуховоды не работают, в системе вентиляции следы коррозии, воздухораспределительные решетки деформированы, система управления выведена из строя. Замена морально устаревшей системы вентиляции на современную систему с приточно-вытяжной установкой позволит значительно снизить расходы энергоресурсов и повысит комфорт при занятиях спортом. Госэкспертиза по вентиляции и электроснабжению готова, Получение положительного заключения госэкспертизы по ремонту внутренних помещений запланировано на  01.03.2021. Стоимость работ составляет 26 597,57 тыс. рублей, в т.ч. ОБ - 25 267, 69 руб., МБ - 1 329 878,42 руб.</t>
  </si>
  <si>
    <t>Не согласовано.
Отсутствуют сведения об определении стоимости ремонта.
Новое мероприятие</t>
  </si>
  <si>
    <t>Рассматривать после свода первоочередных изменений, с учетом возможности бюджета</t>
  </si>
  <si>
    <t>Установка спортивной площадки в с. Краснощелье</t>
  </si>
  <si>
    <t>Сметы нет.</t>
  </si>
  <si>
    <t>Не согласовано.
Законом об областном бюджете ГРБС - Минспорт МО предусмотрены средства в рамках ГП МО  «Физическая культура и спорт» на реализацию  мероприятия «Устройство спортивных площадок» в объеме :
2021 - 6 250,0 тыс. рублей
2022 - 4 050,0 тыс. рублей
2023 -  4 050,0 тыс. рублей</t>
  </si>
  <si>
    <t>Законом об областном бюджете ГРБС - Минспорт МО предусмотрены средства в рамках ГП МО  «Физическая культура и спорт» на реализацию  мероприятия «Устройство спортивных площадок»</t>
  </si>
  <si>
    <t>Строительство лыжной базы на территории лыжного стадиона г. Полярные Зори</t>
  </si>
  <si>
    <t>Соглашение с градообразующими предприятиями</t>
  </si>
  <si>
    <r>
      <t xml:space="preserve">Не согласовано.
</t>
    </r>
    <r>
      <rPr>
        <b/>
        <sz val="18"/>
        <rFont val="Times New Roman"/>
        <family val="1"/>
        <charset val="204"/>
      </rPr>
      <t>Соглашение РосАтом.</t>
    </r>
    <r>
      <rPr>
        <sz val="18"/>
        <rFont val="Times New Roman"/>
        <family val="1"/>
        <charset val="204"/>
      </rPr>
      <t xml:space="preserve">
Отсутствуют сведения об определении стоимости строительства.
Новое мероприятие.
</t>
    </r>
  </si>
  <si>
    <t>Капитальный ремонт здания по адресу: г. Кандалакша, ул. Батюты, д.47 (детское отделение ГОАУСОН "Кандалакшский комплексный центр социального обслуживания населения")</t>
  </si>
  <si>
    <t>Заключен договор в 2020 году, завершаются работы по разработке ПСД.</t>
  </si>
  <si>
    <t xml:space="preserve">Не согласовано.
Отсутствуют сведения об определении стоимости ремонта и информация о завершении работ по разработке ПСД.
</t>
  </si>
  <si>
    <t>Отсутствуют сведения об определении стоимости ремонта и информация о завершении работ по разработке ПСД.</t>
  </si>
  <si>
    <t>Монтаж приточно-вытяжной вентиляции в корпусе №1 ГОАУСОН "Апатитский психоневрологический интернат №1"</t>
  </si>
  <si>
    <t xml:space="preserve"> В целях исполнения предписания Прокуратуры г. Апатиты и решения Апатитского городского суда от 08.05.2018 в части приведения системы вентиляции в соответствие с действующими санитарными нормами и правилами необходимо выполнить работы по монтажу приточно-вытяжной вентиляции в корпусе № 1 государственного областного автономного учреждения социального обслуживания населения. В случае неисполнения решения суда, кроме наложения на Учреждение штрафных санкций, прокуром может быть направлен иск о приостановлении деятельности Учреждения или закрытии жилого корпуса, в котором проживаеи 125 человек. В 2018 году проектная документация разработана. Стоимость работ на основании сметного расчета составляет 22 млн. рублей. </t>
  </si>
  <si>
    <t xml:space="preserve">Не согласовано.
Отсутствуют сведения об определении стоимости ремонта
</t>
  </si>
  <si>
    <t>Отсутствуют сведения об определении стоимости ремонта</t>
  </si>
  <si>
    <t>Муниципальное бюджетное учреждение культуры "Пушновский сельский дом культуры" Капитальный ремонт здания, расположенной по адресу: Мурманская область, Кольский район, н. п. Пушной, ул. Центральная, д.14</t>
  </si>
  <si>
    <t xml:space="preserve">Приведение в соответствие с ФБ </t>
  </si>
  <si>
    <t>Улучшение жилищных условий ветеранов, инвалидов и семей, имеющих детей-инвалидов,  вставших на учет в качестве нуждающихся до 01.01.2005 в органах местного самоуправления Мурманской области</t>
  </si>
  <si>
    <t>Пожарное депо на 4 автомобиля в пгт Умба</t>
  </si>
  <si>
    <t xml:space="preserve">По объекту «Пождепо на 4 автомобиля в п.г.т. Умба» необходимо предусмотреть дополнительные средства для завершения на объекте работ, невыполненных подрядчиком АО «Мурманскпромстрой» в 2020 году в сумме 3015594 (Три миллиона пятнадцать тысяч пятьсот девяносто четыре рубля) 33 коп. </t>
  </si>
  <si>
    <t>Строительство пешеходного моста в г. Полярный</t>
  </si>
  <si>
    <t>По объекту «Строительство пешеходного моста в г. Полярный, ул. Моисеева - ул. Душенова»  получено положительное заключение государственной экспертизы проектной документации и инженерных изысканий, в связи с чем необходимы дополнительные средства на 2021 год в сумме 4766433 (Четыре миллиона семьсот шестьдесят шесть тысяч четыреста тридцать три рубля) 01 коп., в том числе для заключения договоров на выполнение работ и авторскому контролю.</t>
  </si>
  <si>
    <t>Выполнение работ в области архитектурно-градостроительной концепции развития жилого района "Больничный городок" в г. Мурманск</t>
  </si>
  <si>
    <t>Субсидия на реализацию мероприятий по  стимулированию программ развития жилищного строительства (Строительство объектов инженерной инфраструктуры и улично-дорожой сети в границах микрорайона "Больничный" и "Первого микрорайона")</t>
  </si>
  <si>
    <t xml:space="preserve">Прочие </t>
  </si>
  <si>
    <t>Федеральным бюджетом предусмотрены соответсвующие расходы</t>
  </si>
  <si>
    <t>В целях соблюдения уровня софинансирования к федеральным средствам и обеспечения выполнения мероприятий.</t>
  </si>
  <si>
    <t>Подведение сетей электроснабжения к площадке реализации Проекта развития жилищного строительства в границах микрорайонов «Больничный район» и «1 микрорайон» в городе Мурманске на территории площадью 33,4 га</t>
  </si>
  <si>
    <t>Дополнительная потребность обусловлена необходимостью улучшения условий проживания граждан и увеличения показателя по объему вводимого жилья в рамках РП "Жилье" (в рамках программы "Стимул" отсутствует возможность направлять средства на соответствующие мероприятия)</t>
  </si>
  <si>
    <t>Заместитель Губернатора Мурманской области - министр строительства Мурманской области</t>
  </si>
  <si>
    <t>В.В. Сандурский</t>
  </si>
  <si>
    <t>исп. Кошелева Н.Г.. Тел. 486-990</t>
  </si>
  <si>
    <r>
      <t xml:space="preserve">* </t>
    </r>
    <r>
      <rPr>
        <b/>
        <sz val="20"/>
        <rFont val="Times New Roman"/>
        <family val="1"/>
        <charset val="204"/>
      </rPr>
      <t>ФБ</t>
    </r>
    <r>
      <rPr>
        <sz val="20"/>
        <rFont val="Times New Roman"/>
        <family val="1"/>
        <charset val="204"/>
      </rPr>
      <t xml:space="preserve"> - уточнение объемов бюджетных ассигнований за счет средств федерального бюджета;  
  </t>
    </r>
    <r>
      <rPr>
        <b/>
        <sz val="20"/>
        <rFont val="Times New Roman"/>
        <family val="1"/>
        <charset val="204"/>
      </rPr>
      <t>СФЦС</t>
    </r>
    <r>
      <rPr>
        <sz val="20"/>
        <rFont val="Times New Roman"/>
        <family val="1"/>
        <charset val="204"/>
      </rPr>
      <t xml:space="preserve"> - софинансирование к средствам ФБ;
 </t>
    </r>
    <r>
      <rPr>
        <b/>
        <sz val="20"/>
        <rFont val="Times New Roman"/>
        <family val="1"/>
        <charset val="204"/>
      </rPr>
      <t xml:space="preserve"> ГМО</t>
    </r>
    <r>
      <rPr>
        <sz val="20"/>
        <rFont val="Times New Roman"/>
        <family val="1"/>
        <charset val="204"/>
      </rPr>
      <t xml:space="preserve"> - Поручение Губернатора Мурманской области А.В. Чибиса с указанием реквизитов;
  </t>
    </r>
    <r>
      <rPr>
        <b/>
        <sz val="20"/>
        <rFont val="Times New Roman"/>
        <family val="1"/>
        <charset val="204"/>
      </rPr>
      <t>МОД</t>
    </r>
    <r>
      <rPr>
        <sz val="20"/>
        <rFont val="Times New Roman"/>
        <family val="1"/>
        <charset val="204"/>
      </rPr>
      <t xml:space="preserve"> - Инициативные предложения депутатов Мурманской областной Думы с указанием реквизитов документов, содержащих предложения;
  </t>
    </r>
    <r>
      <rPr>
        <b/>
        <sz val="20"/>
        <rFont val="Times New Roman"/>
        <family val="1"/>
        <charset val="204"/>
      </rPr>
      <t>Реновация ЗАТО</t>
    </r>
    <r>
      <rPr>
        <sz val="20"/>
        <rFont val="Times New Roman"/>
        <family val="1"/>
        <charset val="204"/>
      </rPr>
      <t xml:space="preserve"> - реализация проектов развития социальной и инженерной инфраструктур в ЗАТО Мурманской области;
 </t>
    </r>
    <r>
      <rPr>
        <b/>
        <sz val="20"/>
        <rFont val="Times New Roman"/>
        <family val="1"/>
        <charset val="204"/>
      </rPr>
      <t xml:space="preserve"> НаСевереЖить</t>
    </r>
    <r>
      <rPr>
        <sz val="20"/>
        <rFont val="Times New Roman"/>
        <family val="1"/>
        <charset val="204"/>
      </rPr>
      <t xml:space="preserve"> - План мероприятий по приоритетным направлениям развития Мурманской области до 2023 года и на период до 2030 года;
  </t>
    </r>
    <r>
      <rPr>
        <b/>
        <sz val="20"/>
        <rFont val="Times New Roman"/>
        <family val="1"/>
        <charset val="204"/>
      </rPr>
      <t>Соглашение</t>
    </r>
    <r>
      <rPr>
        <sz val="20"/>
        <rFont val="Times New Roman"/>
        <family val="1"/>
        <charset val="204"/>
      </rPr>
      <t xml:space="preserve"> - Соглашения с градообразующими предприятиями;
  </t>
    </r>
    <r>
      <rPr>
        <b/>
        <sz val="20"/>
        <rFont val="Times New Roman"/>
        <family val="1"/>
        <charset val="204"/>
      </rPr>
      <t>Спецвыплаты</t>
    </r>
    <r>
      <rPr>
        <sz val="20"/>
        <rFont val="Times New Roman"/>
        <family val="1"/>
        <charset val="204"/>
      </rPr>
      <t xml:space="preserve"> - выплаты в соответствии с проектом ПП МО "О социальной поддержке отдельных категорий работников медицинских учреждений, подведомственных Министерству здравоохранения Мурманской области, обеспечивающих оказание медицинской помощи по диагностике и лечению новой коронавирусной инфекции (covid-19) и (или) контактирующих с пациентами с установленным диагнозом новой коронавирусной инфекции (covid-19) при выполнении должностных обязанностей";
  </t>
    </r>
    <r>
      <rPr>
        <b/>
        <sz val="20"/>
        <rFont val="Times New Roman"/>
        <family val="1"/>
        <charset val="204"/>
      </rPr>
      <t xml:space="preserve">Прочее </t>
    </r>
    <r>
      <rPr>
        <sz val="20"/>
        <rFont val="Times New Roman"/>
        <family val="1"/>
        <charset val="204"/>
      </rPr>
      <t xml:space="preserve">- расходы, не отнесенные к указанным выше признакам
 </t>
    </r>
  </si>
  <si>
    <t>Министерство спорта МО, Министерство строительства МО</t>
  </si>
  <si>
    <t>Министерство спорта Мурманской области</t>
  </si>
  <si>
    <t>Министерство спорта МО</t>
  </si>
  <si>
    <t>сверка с росписью</t>
  </si>
  <si>
    <t>Министерство спорта МО, подведомственные Министерству учреждения</t>
  </si>
  <si>
    <t>0.1 доля населения, систематически занимающегося физической культурой и спортом, в общей численности населения</t>
  </si>
  <si>
    <t>Министерство спорта МО, подведомственные Министерству учреждения, организации</t>
  </si>
  <si>
    <t>Мероприятия в области информационно-коммуникационной и статистической системы управления спортом Мурманской области</t>
  </si>
  <si>
    <t>2021-2021</t>
  </si>
  <si>
    <t>1.1.2</t>
  </si>
  <si>
    <t>Приобретение оборудования для зон награждения победителей и призеров официальных физкультурных и спортивных мероприятий, проводимых на территориях муниципальных образований Мурманской области</t>
  </si>
  <si>
    <t>2021 год - приобретение оборудования для зон награждения победителей и призеров официальных физкультурных и спортивных мероприятий, проводимых на территориях муниципальных образований Мурманской области</t>
  </si>
  <si>
    <t>Министерство спорта МО, подведомственные Министерству учреждения, администрации муниципальных образований МО</t>
  </si>
  <si>
    <t>1.1 Доля детей и молодежи, систематически занимающихся физической культурой и спортом, в общей численности детей и молодежи (возраст 3-29 лет)
1.2 Доля граждан среднего возраста, систематически занимающихся физической культурой и спортом, в общей численности граждан среднего возраста (женщины 30-54 года; мужчины 30-59 лет)                             1.3. Доля граждан старшего возраста, систематически занимающихся физической культурой и спортом, в общей численности граждан старшего возраста (женщины 55 - 79 лет; мужчины 60 - 79 лет)</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</si>
  <si>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 с мячом"</t>
  </si>
  <si>
    <t>Возмещение НКО расходов на на 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а также с оплатой труда и начислениями на оплату труда работников</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</si>
  <si>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"Баскетбол"</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</si>
  <si>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по баскетболу, а также с оплатой труда и начислениями на оплату труда работников</t>
  </si>
  <si>
    <t>1.2.3</t>
  </si>
  <si>
    <t>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"Хоккей"</t>
  </si>
  <si>
    <t>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по хоккею, а также с оплатой труда и начислениями на оплату труда работников</t>
  </si>
  <si>
    <t>1.2.4</t>
  </si>
  <si>
    <t>Предоставление субсидий и грантов в форме субсидий по итогам проведения конкурса для реализации социально-значимых проектов в сфере физической культуры и спорта</t>
  </si>
  <si>
    <t xml:space="preserve">Реализация социально значимых проектов и программ в сфере физической культуры и спорта </t>
  </si>
  <si>
    <t>1.2.5</t>
  </si>
  <si>
    <t>Создание и функционирование АНО «Спорт для всех 51»</t>
  </si>
  <si>
    <t>Содействие развитию физической культуры и спорта на территории Мурманской области, достижение целевого показателя в рамках национальной цели "Сохранение населения, здоровья и благополучия людей"</t>
  </si>
  <si>
    <t>1.4 Доля граждан Мурманской области, занимающихся физической культурой и спортом по месту работы, в общей численности населения, занятого в экономике</t>
  </si>
  <si>
    <t>Министерство спорта МО,  подведомственные Министерству учреждения</t>
  </si>
  <si>
    <t>Закупка комплекта спортивного оборудования. 2021- ЗАТО Александровск.</t>
  </si>
  <si>
    <t>Министерство спорта МО,  администрации муниципальных образований МО</t>
  </si>
  <si>
    <t>Обучение навыкам плавания  детей и подростков в возрасте от 6 до 10 лет</t>
  </si>
  <si>
    <t xml:space="preserve">Ежегодная организация оздоровительного процесса в плавательном бассейне ГОУП "УСДЦ" и муниципальных образованиях МО для граждан пожилого возраста, инвалидов, граждан, находящихся в трудной жизненной ситуации, детей-сирот, детей, оставшихся без попечения родителей в колличестве не менее 7000 чел./посещений </t>
  </si>
  <si>
    <t>Министерство спорта МО, администрации муниципальных образований МО</t>
  </si>
  <si>
    <t>П 1.1.4</t>
  </si>
  <si>
    <t>Закупка комплекта спортивного оборудования для создания физкультурно-оздоровительного комплекса открытого типа в п. Сафоново ЗАТО Североморск</t>
  </si>
  <si>
    <t>Основное мероприятие 1 "Подготовка спортивного резерва, организация и проведение физкультурных и спортивных мероприятий, реализация программ спортивной подготовки подведомственными Министерству учреждениями"</t>
  </si>
  <si>
    <t xml:space="preserve">2.1 Численность спортсменов МО, включенных в список кандидатов в спортивные сборные команды Российской Федерации.  2.4 Доля спортсменов-разрядников в общем количестве лиц, занимающихся в системе спортивных школ олимпийского резерва.      </t>
  </si>
  <si>
    <t>Назначение и выплата единовременного денежного вознаграждения спортсменам и их тренерам</t>
  </si>
  <si>
    <t>Ежегодное назначение и выплата единовременного денежного вознаграждения спортсменам и их тренерам</t>
  </si>
  <si>
    <t>Количество приобретенных зачетных книжек и нагрудных знаков</t>
  </si>
  <si>
    <t xml:space="preserve">Предоставление компенсации расходов на оплату стоимости проезда и провоза багажа к месту использования отпуска и обратно </t>
  </si>
  <si>
    <t>2.1.6</t>
  </si>
  <si>
    <t>Приобретение спортивного оборудования в соответствии с федеральными стандартами спортивной подготовки, программами спортивной подготовки</t>
  </si>
  <si>
    <t>Приобретение подведомственными учреждениями спортивного оборудования в соответствии с федеральными стандартами спортивной подготовки, программами спортивной подготовки</t>
  </si>
  <si>
    <t>ГАУМО «МОСШОР», ГАУМО «Кировская СШОР»</t>
  </si>
  <si>
    <t>2.1.7</t>
  </si>
  <si>
    <t>Расходы, связанные с приобретением недвижимого имущества, расположенного по адресу Мурманская область г. Мурманск ул. Челюскинцев д.1, в государственную собственность Мурманской области</t>
  </si>
  <si>
    <t>Финансовое обеспечение расходов, связанных с приобретением недвижимого имущества в государственную собственность Мурманской области.</t>
  </si>
  <si>
    <t>ГАУМО «ЦСП», министерство спорта МО</t>
  </si>
  <si>
    <t>2.1.8</t>
  </si>
  <si>
    <t>Компенсация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t>
  </si>
  <si>
    <t>Предоставление компенсации расходов на оплату стоимости проезда и провоза багажа при переезде лиц (работников), а также членов их семей, при заключении (расторжении) трудовых договоров (контрактов) с организациями, финансируемыми из областного бюджета</t>
  </si>
  <si>
    <t>2.1.9</t>
  </si>
  <si>
    <t>Разработка дизайнерского решения единого пространства среды спортивного комплекса «Долина Уюта» и лесного массива Первомайского района</t>
  </si>
  <si>
    <t>проведение закупки «Разработка дизайнерского решения единого пространства среды спортивного комплекса «Долина Уюта» и лесного массива Первомайского района»</t>
  </si>
  <si>
    <t xml:space="preserve">Основное мероприятие 2 "Поддержка спортивных организаций, осуществляющих спортивную подготовку в соответствии с федеральными стандартами спортивной подготовки" </t>
  </si>
  <si>
    <t>2.2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2.3 Доля граждан в возрасте 6-15 лет, занимающихся в спортивных организациях, в общей численности детей и молодежи в возрасте 6-15 лет. ДП 2.3 Доля занимающихся на этапе высшего спортивного мастерства в организациях, осуществляющих спортивную подготовку, в общем количестве занимающихся на этапе совершенствования спортивного мастерства в организациях, осуществляющих спортивную подготовку</t>
  </si>
  <si>
    <t>2.2.2</t>
  </si>
  <si>
    <t>Субсидии бюджетам муниципальных образований Мурманской области на оказание финансовой поддержки спортивным организациям, осуществляющим спортивную подготовку в соответствии с федеральными стандартами спортивной подготовки</t>
  </si>
  <si>
    <t>Частичное финансовое обеспечение затрат, направленных на подготовку спортивного резерва в соответствии с федеральными стандартами  спортивной подготовки</t>
  </si>
  <si>
    <t xml:space="preserve">Поставка оборудования и инвентаря в 4 орагнизации спортивной подготовки </t>
  </si>
  <si>
    <t>Все организации спортивной подготовки предоставляют услуги населению в соответствии с федеральными стандартами спортивной подготовки</t>
  </si>
  <si>
    <t>Министерство спорта МО, Минстрой МО, ГОУП "УСДЦ", администрации муниципальных образований МО</t>
  </si>
  <si>
    <t xml:space="preserve"> Министерство строительства МО,   администрации муниципальных образований МО</t>
  </si>
  <si>
    <t>Министерство строительства МО, администрация муниципального образования МО</t>
  </si>
  <si>
    <t>3.1.2</t>
  </si>
  <si>
    <t>2021 – реконструкция</t>
  </si>
  <si>
    <t>3.1.3</t>
  </si>
  <si>
    <t>Строительство объекта "Административно-спортивный комплекс специализированной детской-юношеской спортивной школы олимпийского резерва по горнолыжному спорту в г.Кировске"</t>
  </si>
  <si>
    <t xml:space="preserve">2021 год -  завершение строительства здания "АСК" г. Кировск </t>
  </si>
  <si>
    <t>Министерство строительства МО, ГОКУ «УКС МО»</t>
  </si>
  <si>
    <t>3.1.4</t>
  </si>
  <si>
    <t>Поставка и установка информационных стендов для спортивных площадок, устанавливаемых в муниципальных образованиях</t>
  </si>
  <si>
    <t>поставка и установка информационных стендов в количестве восьми штук для спортивных площадок, которые устанавливаются в муниципальных образованиях</t>
  </si>
  <si>
    <t>3.1.5</t>
  </si>
  <si>
    <t xml:space="preserve">Строительство объекта «Лыжная база в городе Полярные Зори Мурманской области» </t>
  </si>
  <si>
    <t>2021 год - строительство объекта «Лыжная база в г. Полярные Зори с подведомственной территорией Мурманской области»</t>
  </si>
  <si>
    <t>3.1.6</t>
  </si>
  <si>
    <t>Поставка и установка оборудования по хоккею в Ледовый дворец Государственного областного унитарного предприятия «Универсальный спортивно-досуговый центр»</t>
  </si>
  <si>
    <t>2021 год - поставка и установка оборудования по хоккею в Ледовый дворец Государственного областного унитарного предприятия «Универсальный спортивно-досуговый центр»</t>
  </si>
  <si>
    <t>Министерство спорта МО, ГОУП "УСДЦ"</t>
  </si>
  <si>
    <t>Министерство спорта МО, администрации муниципальных образований МО, ГОУП "УСДЦ"</t>
  </si>
  <si>
    <r>
      <t>2021 - капитальный ремонт искусственного покрытия футбольного поля</t>
    </r>
    <r>
      <rPr>
        <sz val="8"/>
        <color indexed="20"/>
        <rFont val="Times New Roman"/>
        <family val="1"/>
        <charset val="204"/>
      </rPr>
      <t xml:space="preserve"> </t>
    </r>
    <r>
      <rPr>
        <sz val="8"/>
        <rFont val="Times New Roman"/>
        <family val="1"/>
        <charset val="204"/>
      </rPr>
      <t>с легкоатлетическими дорожками ЗАТО Александровск</t>
    </r>
  </si>
  <si>
    <t>Министерство спорта МО, администрация муниципального образования МО</t>
  </si>
  <si>
    <t xml:space="preserve">Возмещение затрат ГОУП «УСДЦ»  в части  содержания государственного имущества. </t>
  </si>
  <si>
    <t>3.2.3</t>
  </si>
  <si>
    <t>Текущие и капитальные ремонтные работы в подведомственных учреждениях</t>
  </si>
  <si>
    <t>Финансовое обеспечение затрат подведомственных учреждений, связанных с проведением текущих и капитальных ремонтных работ</t>
  </si>
  <si>
    <t>3.2.4</t>
  </si>
  <si>
    <t xml:space="preserve">Субсидия на подготовку территории-основания и установку комплекта спортивно-технологического оборудования для создания или модернизации физкультурно-оздоровительных комплексов открытого типа  </t>
  </si>
  <si>
    <t>Подготовка основания для создания физкультурно-оздоровительного комплекса открытого типа</t>
  </si>
  <si>
    <t>3.2.5</t>
  </si>
  <si>
    <t>Капитальный ремонт вентиляционной системы Ледового дворца МУС «Учебно­спортивный центр» в г. Оленегорск</t>
  </si>
  <si>
    <t>2021 год - ремонт вентиляционной системы Ледового дворца МБУ «Учебно­спортивный центр» в г. Оленегорск</t>
  </si>
  <si>
    <t>3.2.6</t>
  </si>
  <si>
    <t>Капитальный ремонт полов спортивного зала Дома физкультуры МУС «Учебно­спортивный центр» в г. Оленегорск</t>
  </si>
  <si>
    <t>2021 год - капитальный ремонт полов спортивного зала Дома физкультуры МБУ «Учебно­спортивный центр» в г. Оленегорск</t>
  </si>
  <si>
    <t>3.2.7</t>
  </si>
  <si>
    <t>2021 год - капитальный ремонт системы освещения арены стадиона в г. Мончегорск</t>
  </si>
  <si>
    <t>3.2.8</t>
  </si>
  <si>
    <t>2021 год - ремонт фасада МАУ спортивная школа ул.50 лет Октября 31 г. Кировск</t>
  </si>
  <si>
    <t>3.2.9</t>
  </si>
  <si>
    <t>2021 год - ремонт хоккейного корта г. Кандалакша</t>
  </si>
  <si>
    <t>3.2.10</t>
  </si>
  <si>
    <t>Капитальный ремонт внутренних помещений, вентиляции и системы электроснабжения МБУ СШ "Олимп" г. Оленегорск</t>
  </si>
  <si>
    <t>2021 год - капитальный ремонт внутренних помещений, вентиляции и системы электроснабжения МБУ СШ "Олимп" г. Оленегорск</t>
  </si>
  <si>
    <t>3.2.11</t>
  </si>
  <si>
    <t>Капитальный ремонт «Безопорной буксировочной канатной дороги на горнолыжном склоне по ул. Гагарина в   г. Полярном ЗАТО Александровск»</t>
  </si>
  <si>
    <t>2021 год - Капитальный ремонт «Безопорной буксировочной канатной дороги на горнолыжном склоне по ул. Гагарина в г. Полярном ЗАТО Александровск»</t>
  </si>
  <si>
    <t>3.2.12</t>
  </si>
  <si>
    <t>Капитальный ремонт ограждающих конструкций и устройство вентилируемого фасада из композитных панелей здания Дома физкультуры муниципального учреждения спорта «Учебно-спортивный центр» в г. Оленегорске</t>
  </si>
  <si>
    <t>2021 год - Капитальный ремонт ограждающих конструкций и устройство вентилируемого фасада из композитных панелей здания Дома физкультуры МУС "УСЦ"</t>
  </si>
  <si>
    <t>Разработка рабочей документации капитального ремонта спортивного сооружения «Стрельбище для биатлона» на территории спортивного комплекса «Долина Уюта»</t>
  </si>
  <si>
    <t>2021 год - Разработана рабочая документация капитального ремонта спортивного сооружения «Стрельбище для биатлона» на территории спортивного комплекса «Долина Уюта»</t>
  </si>
  <si>
    <t>Министерство спорта МО, ГАУМО "ЦСП"</t>
  </si>
  <si>
    <t>3.2.13.</t>
  </si>
  <si>
    <t>Капитальный ремонт здания ДЮСШ по адресу: Мурманская область, Печенгский район, нп Спутник, улица Новая, дом 6 (проведение наружных работ)</t>
  </si>
  <si>
    <t>2021 - капитальный ремонт здания ДЮСШ по адресу: Мурманская область, Печенгский район, нп Спутник, улица Новая, дом 6 (проведение наружных работ)</t>
  </si>
  <si>
    <t>Министерство спорта МО, Минстрой МО, администрации муниципальных образований МО</t>
  </si>
  <si>
    <t>2019-2020 – разработка ПСД, заключение госэкспертизы, 2021-2022 – строительство, 2022 – ввод объекта в эксплуатацию. Превышение уровня софинансирования, утвержденного постановлением Правительства МО, местным бюджетом  в 2022 году за счет средств муниципалитета.</t>
  </si>
  <si>
    <t>2020 – разработка ПСД, заключение госэкспертизы, 2021-2022 – строительство, 2022 – ввод объекта в эксплуатацию. Превышение уровня софинансирования, утвержденного постановлением Правительства МО, местным бюджетом  в 2022 году за счет средств муниципалитета.</t>
  </si>
  <si>
    <t>Строительство объекта в 2023 г. Средства местного бюджета указаны прогнозно. Будут уточнены после заключения соглашения с Министерством спорта РФ</t>
  </si>
  <si>
    <t>повышение эффективности управления финансовыми средствами областного бюджета</t>
  </si>
  <si>
    <t>Обеспечение  реализации государственных функций и государственных услуг Министерства спорта</t>
  </si>
  <si>
    <t xml:space="preserve">Ежегодно реализация 77 государственных функций и оказание 8 государственных услуг </t>
  </si>
  <si>
    <t>Основное мероприятие 2                                 "Поддержка социально ориентированных некоммерческих организаций, осуществляющих деятельность в сфере физической культуры и спорта"</t>
  </si>
  <si>
    <t>2.1.10</t>
  </si>
  <si>
    <t>Приобретение самоходной машины с заправочным баком для воды и специализированным съемным оборудованием, в том числе для заливки льда</t>
  </si>
  <si>
    <t>2021 год - приобретение самоходной машины</t>
  </si>
  <si>
    <t>3.2.14</t>
  </si>
  <si>
    <t>Капитальный ремонт ограждающих конструкций с устройством вентилируемого фасада из композитных панелей здания Дома физкультуры МУС «Учебно-спортивный центр» по адресу: Мурманская область, г. Оленегорск, ул. Строительная, д. 47</t>
  </si>
  <si>
    <t>2021 год - капитальный ремонт ограждающих конструкций с устройством вентилируемого фасада из композитных панелей здания Дома физкультуры МУС «Учебно-спортивный центр» по адресу: Мурманская область, г. Оленегорск, ул. Строительная, д. 47</t>
  </si>
  <si>
    <t>Приложение 12б к Методическим указаниям</t>
  </si>
  <si>
    <t>Справка о внесении изменений в план реализации государственной программы</t>
  </si>
  <si>
    <t>№ пункта Плана</t>
  </si>
  <si>
    <t>Наименование ГП/ПП/ОМ/М</t>
  </si>
  <si>
    <t>Отклонение</t>
  </si>
  <si>
    <t>Предлагаемая редакция</t>
  </si>
  <si>
    <t>Причины внесения изменений</t>
  </si>
  <si>
    <t xml:space="preserve">Государственная программа "Физическая культура и спорт" </t>
  </si>
  <si>
    <t xml:space="preserve">Государственная программа "Развитие физической культуры и спорта" </t>
  </si>
  <si>
    <t>Министерство строительства Мурманской области</t>
  </si>
  <si>
    <t>1.</t>
  </si>
  <si>
    <t>Подпрограмма 1 "Развитие массового спорта,  реализация мероприятий по информированию граждан"</t>
  </si>
  <si>
    <t>Подпрограмма 1 "Развитие массового спорта"</t>
  </si>
  <si>
    <t>1.2.</t>
  </si>
  <si>
    <t>Основное мероприятие 2 "Поддержка социально-ориентированных некоммерческих организаций, осуществляющих деятельность в сфере физической культуры и спорта"</t>
  </si>
  <si>
    <t>1.2.1.</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</si>
  <si>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а также с оплатой труда и начислениями на оплату труда работников</t>
  </si>
  <si>
    <t>в связи с выделением дополительного финансирования дописать на частичное финансовое обеспечение затрат, направленных на подготовку и проведение спортивных мероприятий, участие в указанных мероприятиях, материально-техническое обеспечение спортивных команд</t>
  </si>
  <si>
    <t>1.2</t>
  </si>
  <si>
    <t>1.1 Доля детей и молодежи, систематически занимающихся физической культурой и спортом, в общей численности детей и молодежи (возраст 3-29 лет)
1.2 Доля граждан среднего возраста, систематически занимающихся физической культурой и спортом, в общей численности граждан среднего возраста (женщины 30-54 года; мужчины 30-59 лет)  1.3. Доля граждан старшего возраста, систематически занимающихся физической культурой и спортом, в общей численности граждан старшего возраста (женщины 55 - 79 лет; мужчины 60 - 79 лет)</t>
  </si>
  <si>
    <t>1.2.4.</t>
  </si>
  <si>
    <t>в связи с  с экономией бюджетных средств по расходам на мероприятия государственных программ Мурманской области</t>
  </si>
  <si>
    <t>1.2.2.</t>
  </si>
  <si>
    <t>в связи с отсутствием заявок на предоставление субсидии из областного бюджета некоммерческим организациям, осуществляющим деятельность в сфере физической культуры и спорта по виду спорта «баскетбол» для участия в соревнования Ассоциации студенческого баскетбола лиги РЖД</t>
  </si>
  <si>
    <t>1.2.5.</t>
  </si>
  <si>
    <t>возникшей в связи с экономией бюджетных средств по расходам на мероприятия государственных программ Мурманской области</t>
  </si>
  <si>
    <t>в связи с выделением дополительного финансирования на организацию оздоровительного процесса для граждан пожилого возраста, инвалидов, граждан, находящихся в трудной жизненной ситуации, детей-сирот, детей, оставшихся без попечения родителей</t>
  </si>
  <si>
    <t>НОВОЕ</t>
  </si>
  <si>
    <t>в связи с выделением дополительного финансирования на создание физкультурно-оздоровительного комплекса открытого типа с софинансированием федерального бюджета</t>
  </si>
  <si>
    <t xml:space="preserve">в связи с выделением дополительного финансирования в соответствии с проектом закона об областном бюджете </t>
  </si>
  <si>
    <t>2.</t>
  </si>
  <si>
    <t>Подпрограмма 2 "Подготовка спортивного резерва"</t>
  </si>
  <si>
    <t>2.1</t>
  </si>
  <si>
    <t>ППМО о выделении денежных средств из резервного фонда ПМО от 27.10.21 № 775-ПП, связи с индексацией заработной платы, предусмотренной уточнением закона об областном бюджете</t>
  </si>
  <si>
    <t>Субсидия на приобретение спортивного оборудования спортивным организациям, осуществляющим спортивную подготовку в соответствии с федеральными стандартами</t>
  </si>
  <si>
    <t>Приобретение спортивного оборудования спортивным организациям, осуществляющим спортивную подготовку в соответствии с федеральными стандартами в соответствии с Перечеем, утвержденным Минспортом РФ</t>
  </si>
  <si>
    <t>Субсидия на расходы, связанные с приобретением ООО "Центральный Стадион Профсоюзов" в государственную собственность</t>
  </si>
  <si>
    <t>Оплата нлогов в соответствии с действующим законодательством</t>
  </si>
  <si>
    <t>2.2</t>
  </si>
  <si>
    <t>Основное мероприятие 2 "Поддержка спортивных организаций, осуществляющих спортивную подготовку в соответствии федеральными стандартами спортивной подготовки"</t>
  </si>
  <si>
    <t>Приобретение самоходной машины с заправочным баком для воды и специализированным съемным оборудованием, в том числе для зааливки льда</t>
  </si>
  <si>
    <t>в связи с выделением денежных средств из резервного фонда ПМО от 22.10.2021 № 762-ПП</t>
  </si>
  <si>
    <t>2.4.2.</t>
  </si>
  <si>
    <t>Проведение мероприятий международного традиционного Праздника Севера</t>
  </si>
  <si>
    <t>Ежегодное проведение соревнований международного традиционного Праздника Севера (не менее 10 в 2019 году и не менее 28 в 2020 году).</t>
  </si>
  <si>
    <t>Проведение мероприятий международного традиционного Праздника Севера, в том числе Праздника Севера учащихся</t>
  </si>
  <si>
    <t>Ежегодное проведение не менее 10 соревнований международного традиционного Праздника Севера.</t>
  </si>
  <si>
    <t>2.4.3.</t>
  </si>
  <si>
    <t>Cубсидии бюджетам муниципальных образований Мурманской области на оказание финансовой поддержки спортивным организациям, осуществляющим подготовку спортивного резерва для сборных команд Российской Федерации в соответствии с федеральными стандартами спортивной подготовки</t>
  </si>
  <si>
    <t xml:space="preserve">Приобретение оборудования и инвентаря в соответствии с федеральными стандартами спортивной подготовки в не менее 6 спортивных школ осуществляющих спортивную подготовку муниципальных образований Мурманской области </t>
  </si>
  <si>
    <t>2.4.4.</t>
  </si>
  <si>
    <t xml:space="preserve">Реализация программ спортивной подготовки в 2019 году и плановом периоде 2020-2021 г.г.: ГАУМО «КСШОР» - 335 человек, ГАУМО «МОСШОР по зимним видам спорта» - 579 человек, ГАУМО «МОСШОР» - 233 человека, ГАУМО «Мончегорская СШОР» - 256 человек, ГАУМО «Кировская СШОР» - 270 человек. </t>
  </si>
  <si>
    <t xml:space="preserve">Реализация программ спортивной подготовки: ГАУМО «КСШОР», ГАУМО «МОСШОР по зимним видам спорта», ГАУМО «МОСШОР», ГАУМО «Мончегорская СШОР», ГАУМО «Кировская СШОР», ГАУМО "ЦСП", ГБУМО "МОСШ". </t>
  </si>
  <si>
    <t>2.4.5.</t>
  </si>
  <si>
    <t>Cубсидии бюджетам муниципальных образований Мурманской области на оказание финансовой поддержки спортивным организациям в целях совершенствования спортивной подготовки по хоккею</t>
  </si>
  <si>
    <t xml:space="preserve">Совершенствование спортивной подготовки по хоккею не менее 2 спортивных школ осуществляющих спортивную подготовку. </t>
  </si>
  <si>
    <t>3.</t>
  </si>
  <si>
    <t>3.2.</t>
  </si>
  <si>
    <t>в связи с выделением дополительного финансирования на ремонт муниципального объекта</t>
  </si>
  <si>
    <t>ППМО о выделении денежных средств из резервного фонда ПМО от 01.11.2021 № 793-ПП</t>
  </si>
  <si>
    <t>3.4.</t>
  </si>
  <si>
    <t>Единовременная пропускная способность объектов спорта. Единовременная пропускная способность объектов спорта, введенных в эксплуатацию в рамках Программы. Эффективность использования существующих объектов спорта.</t>
  </si>
  <si>
    <t>3.4.3.</t>
  </si>
  <si>
    <t xml:space="preserve">Строительство объекта "Административно-спортивный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</si>
  <si>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Техническая готовность объекта в 2019 году 48%, ввод объекта в 2020 году.</t>
  </si>
  <si>
    <t>в  связи  проведенными дополнительными  инженерными  изысканиями  и  выявленной  необходимостью в  устройстве  инфильтрационной  завесы  (водоупорного  экрана)  для  защиты объекта  от  паводковых  вод. Письмо от 04.08.2020 № 11-04/2610-ДК</t>
  </si>
  <si>
    <t>3.4.4.</t>
  </si>
  <si>
    <t>Строительство объекта "Межшкольный стадион в г. Мурманске" г. Мурманск, пр. Героев Североморцев, дом 2 (второй этап)</t>
  </si>
  <si>
    <t>2019 год - завершение строительства 2-го этапа (ввод в эксплуатацию не требуется).</t>
  </si>
  <si>
    <t>3.4.5.</t>
  </si>
  <si>
    <t xml:space="preserve">Строительство объекта «Горнолыжный подъемник специализированной детско-юношеской спортивной школы олимпийского резерва по горнолыжному спорту в г. Кировске»  </t>
  </si>
  <si>
    <t xml:space="preserve">Строительство объекта - 2019-2020 год. Техническая готовность объекта в 2019 году  - 20% (уровень освоения установлен с учетом поставки дорогостоящего оборудования длительного изготовления). Ввод объекта в эксплуатацию в 2020 году. </t>
  </si>
  <si>
    <t>3.4.6.</t>
  </si>
  <si>
    <t>Создание или модернизация футбольных полей с искусственным покрытиеми легкоатлетическими беговыми дорожками</t>
  </si>
  <si>
    <t>Ремонт футбольных полей. 2019 год г. Кандалакша.</t>
  </si>
  <si>
    <t>3.4.7.</t>
  </si>
  <si>
    <t>Строительство объекта «Крытый каток с искусственным льдом МАУ ГСЦ «Авангард»»</t>
  </si>
  <si>
    <t>Строительство объекта в г. Мурманске. 2019-2020 годы - строительство.Техническая готовность объекта в 2019 году - 40%. Ввод объект в эксплуатацию в 2020 году.</t>
  </si>
  <si>
    <t>3.4.8.</t>
  </si>
  <si>
    <t>Субсидия на капитальный ремонт футбольного поля с искусственным покрытием и легкоатлетическими беговыми дорожками</t>
  </si>
  <si>
    <t>2020 - капитальный ремонт искусственного покрытия футбольного поля с легкоатлетическими дорожками ЗАТО Александровск</t>
  </si>
  <si>
    <t>3.4.9.</t>
  </si>
  <si>
    <t>Субсидия на подготовку основания  и установку комплекта спортивно технологического оборудования для создания малых спортивных площадок</t>
  </si>
  <si>
    <t>2019 - подготовка основания и установка комплекта спортивно-технологического оборудования для создания малой спортивной площадки ЗАТО Заозерск,  ЗАТО Североморск</t>
  </si>
  <si>
    <t>3.4.10.</t>
  </si>
  <si>
    <t>Приобретение и установка не менее 3 спортивных площадок ежегодно.</t>
  </si>
  <si>
    <t>3.4.11.</t>
  </si>
  <si>
    <t>Комплексное развитие спорткомплекса "Долина Уюта" в г. Мурманске</t>
  </si>
  <si>
    <t>Разработка проектной документации, получение положительного заключения государственой экспертизы в 2017 году. 2019 - корректура проекта в целях выделения этапов строительства, получение экспертизы. Строительство 1 этапа - 2019-2020 годы.</t>
  </si>
  <si>
    <t>3.4.12.</t>
  </si>
  <si>
    <t xml:space="preserve">Строительство объекта «Физкультурно-оздоровительный комплекс в городе Апатиты»  </t>
  </si>
  <si>
    <t>Строительство объекта - 2020-2021 гг, техническая готовность в 2020 году - 80%, ввод в 2021 году</t>
  </si>
  <si>
    <t>Средства отражены в соответствии со сводной бюджетной росписью Министерства  на 2020 год</t>
  </si>
  <si>
    <t>4.</t>
  </si>
  <si>
    <t>4.1.</t>
  </si>
  <si>
    <t xml:space="preserve">Повышение эффективности управления финансовыми средствами областного бюджета  </t>
  </si>
  <si>
    <t>4.1.1.</t>
  </si>
  <si>
    <t>Обеспечение реализации государственных функций и государственных услуг Министерства спорта и молодежной политики Мурманской области</t>
  </si>
  <si>
    <t xml:space="preserve">Ежегодно реализация 51 государственной функции и оказание государственных услуг </t>
  </si>
  <si>
    <t>Приведение в соответствие расходов ИОГВ по содержанию имущества в связи с увеличением численности министерства (на 9 единиц)</t>
  </si>
  <si>
    <t xml:space="preserve">ИСКЛЮЧЕН </t>
  </si>
  <si>
    <t>по причине невозможности выполнения ремонта в 2021 году, экономия бюджетных средств отдана в резервный фонд Правительства РФ</t>
  </si>
  <si>
    <t>2021- капитальный ремонт</t>
  </si>
  <si>
    <t>постановление Правительтства МО о выделении денежных средств из резервного фонда Правительства Мурманской области от 20.08.2021 № 583-ПП</t>
  </si>
  <si>
    <t xml:space="preserve">постановление Правительтства МО о выделении денежных средств из резервного фонда Правительства Мурманской области </t>
  </si>
  <si>
    <t>2021- разработка рабочей документации</t>
  </si>
  <si>
    <t>постановление Правительтства МО от 11.08.2021 № 559-ПП</t>
  </si>
  <si>
    <t>3.2.13</t>
  </si>
  <si>
    <t>постановление Правительтства МО от 16.09.2021 № 657-ПП "О выделени денежных средств из резервного фонда ПМО"</t>
  </si>
  <si>
    <t>4.1</t>
  </si>
  <si>
    <t>в связи с основанием Комитета молодежной политики Мурманской области переданы бюджетные ассигнования на реализацию мероприятий ГП Комитета.</t>
  </si>
  <si>
    <t xml:space="preserve">  4 «Перечень объектов капитального строительства» </t>
  </si>
  <si>
    <t>«№</t>
  </si>
  <si>
    <t>Подпрограмма, объект капитального строительства</t>
  </si>
  <si>
    <t>Соисполнитель, заказчик-застройщик</t>
  </si>
  <si>
    <t xml:space="preserve">Проектная мощность </t>
  </si>
  <si>
    <t xml:space="preserve"> Срок строительства </t>
  </si>
  <si>
    <t>Общая стоимость строительства, тыс. рублей*</t>
  </si>
  <si>
    <t xml:space="preserve"> Объемы и источники финансирования, тыс. рублей**</t>
  </si>
  <si>
    <t>Источник</t>
  </si>
  <si>
    <t>Подпрограмма 3 «Развитие спортивной инфраструктуры»</t>
  </si>
  <si>
    <t>Министерство спорта МО, Минстрой МО, ГОКУ «УКС МО», администрации муниципальных образований МО</t>
  </si>
  <si>
    <t>Физкультурно-оздоровительный комплекс с бассейном в г. Заозерске</t>
  </si>
  <si>
    <t xml:space="preserve">Минстрой МО, администрация ЗАТО г. Заозерск </t>
  </si>
  <si>
    <t>общая площадь – 3087,40 кв.м, пропускная способность – 74 чел. в смену</t>
  </si>
  <si>
    <t>2019-2020 – разработка ПСД, заключение госэкспертизы, 2021-2022 – строительство, 2022 – ввод объекта в эксплуатацию</t>
  </si>
  <si>
    <t>389 504,1   (предполагаемая стоимость строительства)</t>
  </si>
  <si>
    <t>Физкультурно-оздоровительный комплекс со специализированной школой по самбо, дзюдо и вольной борьбе в г. Кандалакше</t>
  </si>
  <si>
    <t>Минстрой МО, Комитет имущественных отношений и территориального планирования Администрации муниципального образования Кандалакшский район</t>
  </si>
  <si>
    <t>Общая площадь здания - 3 124 кв.м. Пропускная способность - 84 чел. в смену</t>
  </si>
  <si>
    <t>2020 – разработка ПСД, заключение госэкспертизы, 2021-2022 – строительство, 2022 – ввод объекта в эксплуатацию</t>
  </si>
  <si>
    <t>513 677,7  (предполагаемая стоимость строительства)</t>
  </si>
  <si>
    <t>Реконструкция объекта спорта муниципальной собственности г. Оленегорска «МУС «Ледовый дворец»</t>
  </si>
  <si>
    <t>Минстрой МО</t>
  </si>
  <si>
    <t xml:space="preserve">Будет установлена после определения перечня видов работ
</t>
  </si>
  <si>
    <t>2022 – разработка ПСД, 2023 - СМР</t>
  </si>
  <si>
    <t>135 522,9                       (предполагаемая стоимость строительства)</t>
  </si>
  <si>
    <t>Крытый бассейн в ЗАТО г. Североморск</t>
  </si>
  <si>
    <t>Минстрой МО, МБУ "АХТО"</t>
  </si>
  <si>
    <t>строительный объем здания - 24 791,5 куб. м, пропускная способность бассейна - 42 чел/час, пропускная способность фитнес-зала - 34 чел./час</t>
  </si>
  <si>
    <t xml:space="preserve">2021 – разработка ПСД, заключение госэкспертизы, 2022-2023 – строительство, 2023 – ввод объекта в эксплуатацию </t>
  </si>
  <si>
    <t>509174,9                   (предполагаемая стоимость строительства)</t>
  </si>
  <si>
    <t>Минстрой МО, МБОУ «Гимназия № 1» г. Полярные Зори</t>
  </si>
  <si>
    <t>Общая площадь объекта - 9680,00 кв.м; Тротуары и площадки с асфальтобетонным покрытием (тип 1) - 997,00 кв.м; Беговая дорожка, спортивные площадки (тип2) - 3191,00 кв.м; Площадка для мини-футбола (тип 3) - 1056,00 кв.м; Прыжковая яма (тип 4) -20,00 кв.м; Свободная территория (грунтовое покрытие тип 5) - 2366,00 кв.м</t>
  </si>
  <si>
    <t xml:space="preserve">2021 – строительство, ввод объекта в эксплуатацию </t>
  </si>
  <si>
    <t>42 104,8                            (фактическая стоимость)</t>
  </si>
  <si>
    <t>Лыжная база в городе Полярные Зори Мурманской области</t>
  </si>
  <si>
    <t>Минстрой МО, МАУ ДО «ДЮСШ» г. Полярные Зори</t>
  </si>
  <si>
    <t xml:space="preserve">Площадь застройки – 560,9 м2
Общая площадь – 498,0 м2
Строительный объем – 2266,0 м2
</t>
  </si>
  <si>
    <t>2021 - строительство, 2022 - ввод объекта в эксплуатацию</t>
  </si>
  <si>
    <t>119 225,9 (фактическая стоимость)</t>
  </si>
  <si>
    <t xml:space="preserve">Административно-спортивный комплекс специализированной детско-юношеской спортивной школы олимпийского резерва по горнолыжному спорту в г. Кировске  </t>
  </si>
  <si>
    <t>Минстрой МО, ГОКУ «УКС МО», ГАУМО «Кировская СШОР по горнолыжному спорту»</t>
  </si>
  <si>
    <t>Общая площадь - 3588,90 кв. м,   пропускная способность - 70 чел./см</t>
  </si>
  <si>
    <t>2014 (разработка ПСД, экспертиза) 2018-2020 (строительство)</t>
  </si>
  <si>
    <t>500 494,6 (предельная стоимость в соответствии с экспертизой, с учетом индексов-дефляторов, с технологическим присоединением объекта)</t>
  </si>
  <si>
    <t>Всего с 2014</t>
  </si>
  <si>
    <t xml:space="preserve"> Строительство полноразмерного футбольного манежа в г. Мурманске</t>
  </si>
  <si>
    <t>Минстрой МО, ГОКУ «УКС МО»</t>
  </si>
  <si>
    <t>Будет установлена после разработки ПСД</t>
  </si>
  <si>
    <t>2022 разработка ПСД</t>
  </si>
  <si>
    <t>25 000 (стоимость будет определена после разработки ПСД)</t>
  </si>
  <si>
    <t xml:space="preserve"> Строительство ФОК с бассейном но адресу: г. Мурманск, ул.Старостина</t>
  </si>
  <si>
    <t>2022 (разработка ПСД) 2022-2023 строительство</t>
  </si>
  <si>
    <t>340 000  (предполагаемая стоимость строительства)</t>
  </si>
  <si>
    <t xml:space="preserve"> Крытый каток с искусственным льдом в г. Кандалакше"</t>
  </si>
  <si>
    <t xml:space="preserve">Минстрой МО, администрация г. Кандалакша </t>
  </si>
  <si>
    <t>2022 (разработка ПСД)</t>
  </si>
  <si>
    <t>5 000 (стоимость будет определена после разработки ПСД)</t>
  </si>
  <si>
    <t xml:space="preserve"> Строительство лыжной трассы в ЗАТО Видяево</t>
  </si>
  <si>
    <t>Минстрой МО, администрация ЗАТО Видяево</t>
  </si>
  <si>
    <t>6 717,2 (стоимость будет определена после разработки ПСД)</t>
  </si>
  <si>
    <t xml:space="preserve"> Строительство лыжной трассы в г. Гаджиево</t>
  </si>
  <si>
    <t>Минстрой МО, администрация ЗАТО Александровск</t>
  </si>
  <si>
    <t>6 815,8 (стоимость будет определена после разработки ПСД)</t>
  </si>
  <si>
    <t>Строительство лыжной трассы в ЗАТО  Заозерск</t>
  </si>
  <si>
    <t>Строительство ФОК с бассейном по адресу: г. Мурманск, ул. Копытова</t>
  </si>
  <si>
    <t>340 000 (предполагаемая стоимость строительства)</t>
  </si>
  <si>
    <t>Строительство регионального центра по натурбану в г. Кандалакша</t>
  </si>
  <si>
    <t>2022 - строительство</t>
  </si>
  <si>
    <t>98 000 (предполагаемая стоимость строительства</t>
  </si>
  <si>
    <t xml:space="preserve"> Реконструкция стадиона с.п. Ловозеро</t>
  </si>
  <si>
    <t>Минстрой МО, администрация Ловозерского р-на</t>
  </si>
  <si>
    <t>5 405,3 (стоимость будет определена после разработки ПСД)</t>
  </si>
  <si>
    <t>* Указывается полная стоимость с начала строительства, включая затраты на проектирование, в ценах соответствующих лет.</t>
  </si>
  <si>
    <t>** Объемы финансирования объектов капитального строительства ежегодно уточняются в соответствии с фактическими объемами выполненных работ, произведенных в прошедшем финансовом году."</t>
  </si>
  <si>
    <t>Финансирование
подпрограммы за счет переходящих остатков средств федерального бюджета и областного бюджетов</t>
  </si>
  <si>
    <t xml:space="preserve"> "№ п/п</t>
  </si>
  <si>
    <t xml:space="preserve">Основное мероприятие, мероприятие </t>
  </si>
  <si>
    <t>Реквизиты соглашения о предоставлении субсидии из федерального бюджета (номер, дата)</t>
  </si>
  <si>
    <t>Год</t>
  </si>
  <si>
    <t>1</t>
  </si>
  <si>
    <t>Основное мероприятие «Строительство, реконструкция и модернизация спортивных объектов Мурманской области»</t>
  </si>
  <si>
    <t>1.1.</t>
  </si>
  <si>
    <t>Быстровозводимый спортивный комплекс с плавательным бассейном на Кольском проспекте в г. Мурманске</t>
  </si>
  <si>
    <t>Административно-спортивный комплекс специализированной детско-юношеской спортивной школы олимпийского резерва по горнолыжному спорту в г. Кировске</t>
  </si>
  <si>
    <t>1.3.</t>
  </si>
  <si>
    <t>Основное мероприятие «Проведение капитального и текущего ремонта, реализация мероприятий по энергоэффективности спортивных сооружений Мурманской области»</t>
  </si>
  <si>
    <t>2.1.</t>
  </si>
  <si>
    <t>Субсидия на капитальный ремонт здания ДЮСШ по адресу: Мурманская область, Печенгский район, нп Спутник, улица Новая, дом 6 (проведение наружных работ)</t>
  </si>
  <si>
    <t>2.2.</t>
  </si>
  <si>
    <t>Основное мероприятие «Подготовка спортивного резерва, организация и проведение физкультурных и спортивных мероприятий, реализация программ спортивной подготовки подведомственными Министерству учреждениями»</t>
  </si>
  <si>
    <t>3.1.</t>
  </si>
  <si>
    <t>Подпрограмма 1 "Развитие массового спорта, реализация мероприятий по профилактике терроризма и информированию граждан"</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</si>
  <si>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а также с оплатой труда и начислениями на оплату труда работников</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</si>
  <si>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и спортивных мероприятиях по хоккею, а также с оплатой труда и начислениями на оплату труда работников</t>
  </si>
  <si>
    <t>1.2.6</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</si>
  <si>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по виду спорта "футбол" </t>
  </si>
  <si>
    <t>Возмещение НКО расходов на частичное финансовое обеспечение затрат, связанных с подготовкой и участием спортивной команды в физкультурных мероприятиях по футболу, а также с оплатой труда и начислениями на оплату труда работников</t>
  </si>
  <si>
    <t>1.2.7</t>
  </si>
  <si>
    <t xml:space="preserve">Предоставление грантов в форме субсидии муниципальным бюджетным учреждениям на развитие школьных спортивных клубов </t>
  </si>
  <si>
    <t>1.2.8</t>
  </si>
  <si>
    <t>Предоставление грантов в форме субсидии муниципальным автономным учреждениям на развитие школьных спортивных клубов</t>
  </si>
  <si>
    <t>2021-2026</t>
  </si>
  <si>
    <t xml:space="preserve">Предоставление грантов в форме субсидии муниципальным автономным учреждениям на развитие школьных спортивных клубов </t>
  </si>
  <si>
    <t>1.2.9</t>
  </si>
  <si>
    <t>Предоставление грантов в форме субсидии муниципальным бюджетным и автономным учреждениям по итогам соревнований «Кубок Губернатора Мурманской области среди школьных спортивных клубов»</t>
  </si>
  <si>
    <t>1.2.10</t>
  </si>
  <si>
    <t xml:space="preserve">Субсидии муниципальным образованиям для организации физкультурно-спортивной работы </t>
  </si>
  <si>
    <t xml:space="preserve"> Субсидия распеределна между муниципальными образованиями для организации физкультурно-спортивной работы (администрация муниципального образования город Апатиты с подведомственной территорией Мурманской области,
администрация Ковдорского муниципального округа Мурманской области
администрация Кольского района,
Муниципальное образование Город-герой Мурманск,
Муниципальное образование городской округ закрытое административно-территориальное образование Александровск Мурманской области)
</t>
  </si>
  <si>
    <t>Организация и проведение церемонии награждения спортсменов, тренеров, ветеранов спорта и физкультурного актива  Мурманской области</t>
  </si>
  <si>
    <t>ГАУМО «КСШОР», ГАУМО «МОСШОР по ЗВС», ГАУМО «Кировская СШОР по горнолыжному спорту», ГАУМО "МОСШОР", ГАУМО "ЦСП", ГАУМО "Мончегорская СШОР по горнолыжному спорту", ГОБУ "МОСШ"</t>
  </si>
  <si>
    <t>ГАУМО «МОСШОР», ГАУМО «Кировская СШОР по горнолыжному спорту»</t>
  </si>
  <si>
    <t>Проведение закупки «Разработка дизайнерского решения единого пространства среды спортивного комплекса «Долина Уюта» и лесного массива Первомайского района»</t>
  </si>
  <si>
    <t>2.1.11</t>
  </si>
  <si>
    <t>Приобретение основных средств, в том числе движимого имущества</t>
  </si>
  <si>
    <t>Приобретение оборудования</t>
  </si>
  <si>
    <t>Министерство спорта МО, ГАУМО "ЦСП", МКУ "СШ по санному спорту"</t>
  </si>
  <si>
    <t>2.1.12</t>
  </si>
  <si>
    <t>Выполнение работ по посадке зеленых насаждений хвойных пород на территории спортивного комплекса «Долина Уюта»</t>
  </si>
  <si>
    <t>2021 год - выполнены работы по посадке зеленых насаждений хвойных пород на территории спортивного комплекса «Долина Уюта»</t>
  </si>
  <si>
    <t>2.1.13</t>
  </si>
  <si>
    <t>Проведение экспресс-тестирования на коронавирусную инфекцию (COVID-19) спортсменов, тренеров, персонала, судей и организаторов Всероссийских соревнований по горнолыжному спорту на территории Мурманской области</t>
  </si>
  <si>
    <t>2021 год - проведено экспресс-тестирование на коронавирусную инфекцию (COVID-19) спортсменов, тренеров, персонала, судей и организаторов Всероссийских соревнований по горнолыжному спорту на территории Мурманской области</t>
  </si>
  <si>
    <t>2.1.14</t>
  </si>
  <si>
    <t>Поощрения в рамках церемонии награждения спортсменов, тренеров, ветеранов спорта и физкультурного актива  Мурманской области</t>
  </si>
  <si>
    <t>Ежегодное поощрение в рамках церемоний награждения спортсменов, тренеров, ветеранов спорта и физкультурного актива  Мурманской области с количеством награжденных не менее 3 человек, с участием в церемонии не менее 60 человек</t>
  </si>
  <si>
    <t>2.1.15</t>
  </si>
  <si>
    <t xml:space="preserve">Проведение мероприятий международного традиционного Праздника Севера </t>
  </si>
  <si>
    <t xml:space="preserve">Проведение мероприятий Международного Традиционного Праздника Севера </t>
  </si>
  <si>
    <t>П 2.1.2</t>
  </si>
  <si>
    <t>Министерство спорта МО, Минстрой МО, ГОУП "УСДЦ", ГОКУ "УКС МО", администрации муниципальных образований МО</t>
  </si>
  <si>
    <t>2021 – разработка ПСД, 2022-2023 - строительство</t>
  </si>
  <si>
    <t>правильно</t>
  </si>
  <si>
    <t xml:space="preserve">2021 год - строительство объекта «Лыжная база в г. Полярные Зори с подведомственной территорией Мурманской области». </t>
  </si>
  <si>
    <t>исправила</t>
  </si>
  <si>
    <t>3.1.7</t>
  </si>
  <si>
    <t>Разработка ПСД на строительство полноразмерного футбольного манежа в г. Мурманске</t>
  </si>
  <si>
    <t xml:space="preserve">2022 год - разработана ПСД на строительство полноразмерного футбольного манежа в г. Мурманске. </t>
  </si>
  <si>
    <r>
      <t xml:space="preserve">Министерство строительства МО, </t>
    </r>
    <r>
      <rPr>
        <sz val="8"/>
        <color indexed="2"/>
        <rFont val="Times New Roman"/>
        <family val="1"/>
        <charset val="204"/>
      </rPr>
      <t>администрация муниципального образования МО</t>
    </r>
  </si>
  <si>
    <t>областной объек, УКСт</t>
  </si>
  <si>
    <t>Не указаны средства МБ, а также в соисполнителях вместо ГОКУ УКС следует указать администрацию муниципального образования</t>
  </si>
  <si>
    <t>убрлаи МБ - мо</t>
  </si>
  <si>
    <t>3.1.8</t>
  </si>
  <si>
    <t>Строительство ФОК с бассейном по адресу: г. Мурманск, ул. Старостина</t>
  </si>
  <si>
    <t xml:space="preserve">2022 год - разработана ПСД, 2022-2023 гг  строительство ФОК с бассейном но адресу: г. Мурманск, ул.Старостина. </t>
  </si>
  <si>
    <t>областной объект, УКС</t>
  </si>
  <si>
    <t>убрали МБ 22-23 - мо</t>
  </si>
  <si>
    <t>3.1.9</t>
  </si>
  <si>
    <t xml:space="preserve">Выполнение компенсационного озеленения в рамках обязательств по выданным разрешениям на снос, пересадку, санитарную обрезку зеленных насаждений от 15.07.2019 № 142 и от 23.07.2020 № 131 в рамках реализации проекта «Комплексное развитие спорткомплекса «Долина Уюта» </t>
  </si>
  <si>
    <t xml:space="preserve">2022 год - выполнено компенсационное озеленение в рамках обязательств по выданным разрешениям на снос, пересадку, санитарную обрезку зеленных насаждений </t>
  </si>
  <si>
    <r>
      <t>Министерство строительства МО,</t>
    </r>
    <r>
      <rPr>
        <sz val="8"/>
        <color indexed="2"/>
        <rFont val="Times New Roman"/>
        <family val="1"/>
        <charset val="204"/>
      </rPr>
      <t xml:space="preserve"> ГОУП "УСДЦ"</t>
    </r>
  </si>
  <si>
    <t>В соответствии с утвержденным законом данное мероприятие реализуется, как субсидия унитарному предприятию, следовательно, ГОКУ УКС указывать нельзя (возможно ГОУП УСЦ?)</t>
  </si>
  <si>
    <t>поменяли на УКС</t>
  </si>
  <si>
    <t>3.1.10</t>
  </si>
  <si>
    <t>Разработка проектной документации "Крытого катка с искусственным льдом в г. Кандалакше"</t>
  </si>
  <si>
    <t xml:space="preserve">2022 год - разработана проектной документации "Крытого катка с искусственным льдом в г. Кандалакше". </t>
  </si>
  <si>
    <t>3.1.11</t>
  </si>
  <si>
    <t>Разработка ПСД на строительство лыжной трассы в ЗАТО Видяево</t>
  </si>
  <si>
    <t>2022 год - разработана ПСД на строительство лыжной трассы в ЗАТО Видяево</t>
  </si>
  <si>
    <t>3.1.12</t>
  </si>
  <si>
    <t>Разработка ПСД на строительство лыжной трассы в г. Гаджиево</t>
  </si>
  <si>
    <t>2022 год - разработана ПСД на строительство лыжной трассы в г. Гаджиево</t>
  </si>
  <si>
    <t>3.1.13</t>
  </si>
  <si>
    <t>Разработка ПСД на строительство лыжной трассы в ЗАТО  Заозерск</t>
  </si>
  <si>
    <t xml:space="preserve">2022 год - разработана ПСД на строительство лыжной трассы в ЗАТО  Заозерск. </t>
  </si>
  <si>
    <t>3.1.14</t>
  </si>
  <si>
    <t>Разработка ПСД и строительство ФОК с бассейном по адресу: г. Мурманск, ул. Копытова</t>
  </si>
  <si>
    <t>2022 год - разработана ПСД и строительство ФОК с бассейном по адресу: г. Мурманск, ул. Копытова</t>
  </si>
  <si>
    <t>3.1.15</t>
  </si>
  <si>
    <t xml:space="preserve">2022 год - строительство </t>
  </si>
  <si>
    <t>Не указаны средства МБ</t>
  </si>
  <si>
    <t>убради МБ 5157,9 - мо</t>
  </si>
  <si>
    <t>3.1.16</t>
  </si>
  <si>
    <t>Реализация дизайн-проекта "Долина Уюта", включая разработку ПСД (в т.ч. ремонт стрельбища, лыжного стадиона)</t>
  </si>
  <si>
    <t>2022 год - разработана ПСД</t>
  </si>
  <si>
    <r>
      <t xml:space="preserve">Министерство строительства МО, </t>
    </r>
    <r>
      <rPr>
        <sz val="8"/>
        <color indexed="2"/>
        <rFont val="Times New Roman"/>
        <family val="1"/>
        <charset val="204"/>
      </rPr>
      <t>ГОУП "УСДЦ"</t>
    </r>
  </si>
  <si>
    <t>областной объект, УКС, ЦСП</t>
  </si>
  <si>
    <t>В соответствии с утвержденным законом данное мероприятие реализуется, как субсидия унитарному предприятию, следовательно, ГОКУ УКС  и ГАУМО ЦСП указывать нельзя (возможно ГОУП УСЦ?)</t>
  </si>
  <si>
    <t>3.1.17</t>
  </si>
  <si>
    <t>Проект благоустройства общественной территории западной части комплекса "Долина Уюта" в границах улиц Ломоносова, Морской, Лыжного проезда и Кольского проспекта в городе Мурманск</t>
  </si>
  <si>
    <t>2022 год - разработка проекта</t>
  </si>
  <si>
    <t>Министерство строительства МО, ГОКУ "УКС МО"</t>
  </si>
  <si>
    <t>В соответствии с утвержденным законом данное мероприятие реализуется, как бюджетные инвестиции, следовательно,  ГАУМО ЦСП указывать нельзя (возможно ГОКУ УКС?)</t>
  </si>
  <si>
    <t>3.1.18</t>
  </si>
  <si>
    <t>Разработка проектно-сметной документации на реконструкцию стадиона с.п. Ловозеро</t>
  </si>
  <si>
    <t>2022 год - разработана проектно-сметная документация на реконструкцию стадиона с.п. Ловозеро</t>
  </si>
  <si>
    <t>3.2.15.</t>
  </si>
  <si>
    <t xml:space="preserve">Устройство асфальто-бетонного покрытия лыжероллерной трассы в спорткомплексе "Долина Уюта" </t>
  </si>
  <si>
    <t xml:space="preserve">2022 год - выполнено устройство асфальто-бетонного покрытия лыжероллерной трассы в спорткомплексе "Долина Уюта" </t>
  </si>
  <si>
    <t>Министерство строительства МО, ГОКУ "УКС"</t>
  </si>
  <si>
    <t>3.2.16.</t>
  </si>
  <si>
    <t xml:space="preserve">Подготовка проектно-сметной документации и капитальный ремонт здания Дома физкультуры МУС "УСЦ", расположенного по адресу: г. Оленегорск, ул. Строительная, д.47 </t>
  </si>
  <si>
    <t xml:space="preserve">2022 год - подготовлена проектно-сметной документации и капитальный ремонт здания Дома физкультуры МУС "УСЦ", расположенного по адресу: г. Оленегорск, ул. Строительная, д.47 </t>
  </si>
  <si>
    <t>3.2.17</t>
  </si>
  <si>
    <t xml:space="preserve">Субсидия на содержание и эксплуатацию государственного имущества </t>
  </si>
  <si>
    <t xml:space="preserve">Возмещение затрат ГОУП «УСДЦ»  в части  содержания и эксплуатации государственного имущества. </t>
  </si>
  <si>
    <t>3.2.18</t>
  </si>
  <si>
    <t xml:space="preserve">Расходы на технологическое присоединение электро-, водо-, теплоснабжения и водоотведение ФОКа в "Долине Уюта" </t>
  </si>
  <si>
    <t xml:space="preserve">2022 год - выполнены работы по присоединению электро-, водо-, теплоснабжения и водоотведения ФОКа в "Долине Уюта" </t>
  </si>
  <si>
    <t>3.2.19</t>
  </si>
  <si>
    <t>Капитальный ремонт зданий и сооружений МБУ СШ «Олимп», г. Оленегорск</t>
  </si>
  <si>
    <t>2022 год - выполнен капитальный ремонт зданий и сооружений МБУ СШ «Олимп», г. Оленегорск</t>
  </si>
  <si>
    <t>3.2.20</t>
  </si>
  <si>
    <t>Разработка проектной документации на капитальный ремонт спортивного объекта "Межшкольный стадион" г. Видяево</t>
  </si>
  <si>
    <t>2022 год - разработана проектная документация на капитальный ремонт спортивного объекта "Межшкольный стадион" г. Видяево</t>
  </si>
  <si>
    <t>3.2.21</t>
  </si>
  <si>
    <t>МБУДО "ДЮСШ" Капитальный ремонт универсального спортзала , расположеного по адресу г. Снежногорск, ул. Октябрьская, 25А</t>
  </si>
  <si>
    <t>2022 год - выполнен капитальный ремонт универсального спортзала МБУДО "ДЮСШ", расположеного по адресу г. Снежногорск, ул. Октябрьская, 25А</t>
  </si>
  <si>
    <t>3.2.22</t>
  </si>
  <si>
    <t>МБУ ДО ДЮСШ Ремонт мягкой кровли здания и ситемы теплоснажбения , расположенного по адресу г. Гаджиево, ул. Душенова д. 86/А</t>
  </si>
  <si>
    <t>2022 год - выполнен ремонт мягкой кровли здания и ситемы теплоснажбения МБУ ДО ДЮСШ, расположенного по адресу г. Гаджиево, ул. Душенова д. 86/А</t>
  </si>
  <si>
    <t>3.2.23</t>
  </si>
  <si>
    <t>Капитальный ремонт (освещение, установка раздевалок) лыжной трассы в г. Заполярный</t>
  </si>
  <si>
    <t>2022 год - выполнен капитальный ремонт (освещение, установка раздевалок) лыжной трассы в г. Заполярный</t>
  </si>
  <si>
    <t>3.2.24</t>
  </si>
  <si>
    <t>Капитальный ремонт физкультурно-оздоровительного комплекса МАУ "СШОР №1"  г. Мончегорск</t>
  </si>
  <si>
    <t>2022 год - выполнен капитальный ремонт физкультурно-оздоровительного комплекса МАУ "СШОР №1"  г. Мончегорск</t>
  </si>
  <si>
    <t>3.2.25</t>
  </si>
  <si>
    <t>Капитальный ремонт фасада здания водной станции МАУ "СШОР №1" г. Мончегорск</t>
  </si>
  <si>
    <t>2022 год - выполнен капитальный ремонт фасада здания водной станции МАУ "СШОР №1" г. Мончегорск, ул. Бредова, 23</t>
  </si>
  <si>
    <t>3.2.26</t>
  </si>
  <si>
    <t>Капитальный ремонт кровли и помещений спорткомплекса ДЮСШ п.Ревда</t>
  </si>
  <si>
    <t>2022 год - выполнен капитальный ремонт кровли и помещений спорткомплекса ДЮСШ п.Ревда</t>
  </si>
  <si>
    <t>2019-2020 – разработка ПСД, заключение госэкспертизы, 2021-2022 – строительство, 2022 – ввод объекта в эксплуатацию. Превышение уровня софинансирования, утвержденного постановлением Правительства МО, местным бюджетом в 2022 году за счет средств муниципалитета.</t>
  </si>
  <si>
    <t>В рамках софинансирования к средствам ФБ местный бюджет составил 103817,25, в рамках дополнительных средств предусмотренных в ОБ софинансирование средств местного бюджнта составляет 8 868 707,76.</t>
  </si>
  <si>
    <t>2020 – разработка ПСД, заключение госэкспертизы, 2021-2022 – строительство, 2022 – ввод объекта в эксплуатацию. Превышение уровня софинансирования, утвержденного постановлением Правительства МО, местным бюджетом в 2022 году за счет средств муниципалитета.</t>
  </si>
  <si>
    <t xml:space="preserve">Строительство объекта в 2023 г. </t>
  </si>
  <si>
    <t>Соглашение с Минспортом РФ от 25.12.2021 №777-09-2020-114/1</t>
  </si>
  <si>
    <t>Обеспечение реализации государственных функций и государственных услуг Министерства спорта</t>
  </si>
  <si>
    <t>Министерство строительства МО, ГОУП "УСДЦ"</t>
  </si>
  <si>
    <t>Действующая редакция</t>
  </si>
  <si>
    <t>Предлагаемая редакция***</t>
  </si>
  <si>
    <t xml:space="preserve"> Объемы и источники финансирования, тыс. рублей</t>
  </si>
  <si>
    <t xml:space="preserve">Параметры объекта капитального строительства </t>
  </si>
  <si>
    <t xml:space="preserve"> Источник, год</t>
  </si>
  <si>
    <t xml:space="preserve">ОБ </t>
  </si>
  <si>
    <t xml:space="preserve">ФБ </t>
  </si>
  <si>
    <t>Наименование ОКС</t>
  </si>
  <si>
    <t>289 507,9   (предельная стоимость в соответствии с заключением государственной экспертизы, с учетом индексов-дефляторов)</t>
  </si>
  <si>
    <t>408 976,8,0  (предельная стоимость в соответствии с заключением государственной экспертизы, с учетом индексов-дефляторов)</t>
  </si>
  <si>
    <t xml:space="preserve">2021 – разработка ПСД, заключение госэкспертизы, 2022-2023 – строительство, 2022 – ввод объекта в эксплуатацию </t>
  </si>
  <si>
    <t>/8</t>
  </si>
  <si>
    <t>/9</t>
  </si>
  <si>
    <t>/10</t>
  </si>
  <si>
    <t>/11</t>
  </si>
  <si>
    <t>/12</t>
  </si>
  <si>
    <t>/13</t>
  </si>
  <si>
    <t>/14</t>
  </si>
  <si>
    <t>/15</t>
  </si>
  <si>
    <t>/16</t>
  </si>
  <si>
    <t xml:space="preserve">Государственная программа Мурманской области "Развитие физической культуры и спорта" </t>
  </si>
  <si>
    <t>Информатизация сферы спорта</t>
  </si>
  <si>
    <t>Доля населения, систематически занимающегося физической культурой и спортом, в общей численности населения</t>
  </si>
  <si>
    <t>1.1.1.</t>
  </si>
  <si>
    <t>Создание автоматизированной информационной системы информационно-коммуникационного и статистического обеспечения контроля и прогнозирования развития спортивной отрасли в 2020 году</t>
  </si>
  <si>
    <t>Поддержка социально-ориентированных некоммерческих организаций, осуществляющих деятельность в сфере физической культуры и спорта</t>
  </si>
  <si>
    <t>Доля детей и молодежи, систематически занимающихся физической культурой и спортом, в общей численности детей и молодежи 
Доля граждан среднего возраста, систематически занимающихся физической культурой и спортом, в общей численности граждан среднего возраста</t>
  </si>
  <si>
    <t xml:space="preserve">Предоставление субсидий из областного бюджета некоммерческим организациям осуществляющим деятельность в сфере физической культуры и спорта </t>
  </si>
  <si>
    <t xml:space="preserve"> Доля граждан Мурманской области, занимающихся физической культурой и спортом по месту работы, в общей численности населения занятого в экономике.</t>
  </si>
  <si>
    <t>1.3.1.</t>
  </si>
  <si>
    <t>Закупка спортивного оборудования, сертифицированного в соответствии с национальными стандартами (ГОСТ Р), для СШОР</t>
  </si>
  <si>
    <t>1.3.2.</t>
  </si>
  <si>
    <t>1.3.3.</t>
  </si>
  <si>
    <t>Основное мероприятие 1 "Подготовка спортивного резерва, организация и проведение физкультурных и спортивных мероприятий, реализация программ чспортивной подготовки подведомственными Министерству учреждениями</t>
  </si>
  <si>
    <t xml:space="preserve">Доля спортсменов-разрядников в общем количестве лиц, занимающихся в системе  спортивных школ олимпийского резерва. Численность спортсменов МО, включенных в список кандидатов в спортивные сборные команды Российской Федерации. </t>
  </si>
  <si>
    <t>2.1.1.</t>
  </si>
  <si>
    <t>Министерство спорта и молодежной политики МО, ГАУМО «ЦСП»</t>
  </si>
  <si>
    <t>2.1.2.</t>
  </si>
  <si>
    <t xml:space="preserve">Ежегодная выплата единовременного денежного вознаграждения не менее, чем 6 спортсменам,  их тренерам </t>
  </si>
  <si>
    <t>2.1.3.</t>
  </si>
  <si>
    <t>2.1.4.</t>
  </si>
  <si>
    <t>2.1.5.</t>
  </si>
  <si>
    <t>Доля спортсменов разрядников, имеющие разряды и звания (от 1 разряда до спортивного звания «Заслуженный мастер спорта»), в общем количестве спортсменов-разрядников в системе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 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 Доля занимающихся на этапе высшего спортивного мастерства в организациях, осуществляющих спортивную подготовку, в общем количестве занимающихся на этапе совершенствования спортивного мастерства в организациях, осуществляющих спортивную подготовку.</t>
  </si>
  <si>
    <t>2.2.1.</t>
  </si>
  <si>
    <t>Проведение тренировочных мероприятий по специальной физической подготовке и ОФП кандидатов спортивных сборных команд Мурманской области не менее чем по 10 видам спорта</t>
  </si>
  <si>
    <t>2.2.2.</t>
  </si>
  <si>
    <t>2.3.</t>
  </si>
  <si>
    <t>Доля спортсменов-разрядников в общем количестве лиц, занимающихся в системе  спортивных школ олимпийского резерва. Численность спортсменов МО, включенных в список кандидатов в спортивные сборные команды Российской Федерации. доля спортсменов-разрядников, имеющих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  Доля граждан в возрасте 6-15 лет, занимающихся в спортивных организациях, в общей численности детей и молодежи в возрасте 6-15 лет</t>
  </si>
  <si>
    <t>Министерство спорта и молодежной политики МО, администрации муниципальных образований МО, подведомственные Министерству учреждения</t>
  </si>
  <si>
    <t>2.3.1.</t>
  </si>
  <si>
    <t>Приобретение спортивного оборудования и инвентаря для хоккея</t>
  </si>
  <si>
    <t>3.1.1.</t>
  </si>
  <si>
    <t>строительство крытого бассейна в ЗАТО г. Североморск</t>
  </si>
  <si>
    <t>Строительство объекта в 2021-2022 гг.</t>
  </si>
  <si>
    <t>Эффективность использования существующих объектов спорта. Количество спортивных сооружений, на которых осуществлен капитальный и текущий  ремонт.</t>
  </si>
  <si>
    <t>3.2.1.</t>
  </si>
  <si>
    <t>субсидия на капитальный ремонт футбольного поля с искуственным покрытием и легкоатлетическими беговыми дорожками</t>
  </si>
  <si>
    <t>2021 - капитальный ремонт искусственного покрытия футбольного поля м легкоатлетическими дорожками ЗАТО Александровск</t>
  </si>
  <si>
    <t>3.2.2.</t>
  </si>
  <si>
    <t>3.3.</t>
  </si>
  <si>
    <t xml:space="preserve"> Единовременная пропускная способность объектов спорта, введенных в эксплуатацию в рамках Программы. Эффективность использования существующих объектов спорта.</t>
  </si>
  <si>
    <t>3.3.1.</t>
  </si>
  <si>
    <t>3.3.2.</t>
  </si>
  <si>
    <t>3.3.3.</t>
  </si>
  <si>
    <t>Таблица № 10а</t>
  </si>
  <si>
    <t>Справка о внесении изменений в показатели государственной программы</t>
  </si>
  <si>
    <t>№ показателя*</t>
  </si>
  <si>
    <t>Действующая редакция (только в части внесения изменений)**</t>
  </si>
  <si>
    <t>Предлагаемая редакция**</t>
  </si>
  <si>
    <t>Наименование государственной программы, подпрограммы, показателя</t>
  </si>
  <si>
    <t>Наименование показателя</t>
  </si>
  <si>
    <t>Факт</t>
  </si>
  <si>
    <t>План</t>
  </si>
  <si>
    <t>Государственная программа "Развите физической культуры и спорта"</t>
  </si>
  <si>
    <t>0.1.</t>
  </si>
  <si>
    <t>Внесены фактические значения показателя за 2019 год</t>
  </si>
  <si>
    <t>0.2.</t>
  </si>
  <si>
    <t>Количество спортивных сооружений (ед. на 100 тыс. населения)</t>
  </si>
  <si>
    <t>Доля обучающихся и студентов, систематически занимающихся физической культурой и спортом, в общей численности обучающихся и студентов</t>
  </si>
  <si>
    <t>Доля населения Мурманской области, выполнившего нормативы Всероссийского физкультурно-спортивного комплекса «Готов к труду и обороне» (ГТО), в общей численности населения, принявшего участие в сдаче нормативов Всероссийского физкультурно-спортивного комплекса «Готов к труду и обороне» (ГТО)</t>
  </si>
  <si>
    <t>Доля населения Мурманской области, занимающегося физической культурой и спортом по месту работы, в общей численности населения, занятого в экономике</t>
  </si>
  <si>
    <t>1.4.</t>
  </si>
  <si>
    <t>Доля лиц с ограниченными возможностями здоровья и инвалидов, систематически занимающихся физической культурой и спортом, в общей численности данной категории населения</t>
  </si>
  <si>
    <t>Доля граждан в возрасте 6 - 15 лет, занимающихся в спортивных организациях, в общей численности детей и молодежи в возрасте 6 - 15 лет</t>
  </si>
  <si>
    <t>Численность спортсменов МО, включенных в список кандидатов в спортивные сборные команды Российской Федерации</t>
  </si>
  <si>
    <t>Доля спортсменов-разрядников в общем количестве лиц, занимающихся в системе специализированных детско-юношеских спортивных школ олимпийского резерва</t>
  </si>
  <si>
    <t>2.4.</t>
  </si>
  <si>
    <t>Доля спортсменов-разрядников, имеющих разряды и звания (от 1 разряда до спортивного звания «Заслуженный мастер спорта»), в общем количестве спортсменов-разрядников в системе специализированных детско-юношеских спортивных школ олимпийского резерва</t>
  </si>
  <si>
    <t>2.5.</t>
  </si>
  <si>
    <t>Количество квалифицированных тренеров и тренеров-преподавателей физкультурно-спортивных организаций, работающих по специальности</t>
  </si>
  <si>
    <t>2.6.</t>
  </si>
  <si>
    <t>Доля организаций, оказывающих услуги по спортивной подготовке в соответствии с федеральными стандартами спортивной подготовки, в общем количестве организаций в сфере физической культуры и спорта, в том числе для лиц с ограниченными возможностями здоровья и инвалидов</t>
  </si>
  <si>
    <t>2.7.</t>
  </si>
  <si>
    <t>Доля занимающихся на этапе высшего спортивного мастерства в организациях, осуществляющих спортивную подготовку, в общем количестве занимающихся на этапе совершенствования спортивного мастерства в организациях, осуществляющих спортивную подготовку</t>
  </si>
  <si>
    <t>Единовременная пропускная способность объектов спорта (к всероссийскому нормативу)</t>
  </si>
  <si>
    <t>Эффективность использования существующих объектов спорта</t>
  </si>
  <si>
    <t>Единовременная пропускная способность объектов спорта, введенных в эксплуатацию в рамках Программы</t>
  </si>
  <si>
    <t>Количество спортивных сооружений, в которых осуществлен капитальный и текущий ремонт</t>
  </si>
  <si>
    <t>Министерство спорта МО, подведомственные учреждения, организации</t>
  </si>
  <si>
    <t>1.1</t>
  </si>
  <si>
    <t>Министерство спорта МО, подведомственные учреждения</t>
  </si>
  <si>
    <t>Министерство спорта МО, подведомственные организации</t>
  </si>
  <si>
    <t>? Доля граждан до 79 лет</t>
  </si>
  <si>
    <t>Министерство спорта МО,  администрации муниципальных образований</t>
  </si>
  <si>
    <r>
      <t xml:space="preserve">Обучение навыкам плавания  детей </t>
    </r>
    <r>
      <rPr>
        <sz val="8"/>
        <rFont val="Times New Roman"/>
        <family val="1"/>
        <charset val="204"/>
      </rPr>
      <t>в возрасте  от 6 до 10 лет</t>
    </r>
  </si>
  <si>
    <r>
      <t>Министерство спорта МО,</t>
    </r>
    <r>
      <rPr>
        <sz val="8"/>
        <color indexed="2"/>
        <rFont val="Times New Roman"/>
        <family val="1"/>
        <charset val="204"/>
      </rPr>
      <t xml:space="preserve"> муниципальные образования МО</t>
    </r>
  </si>
  <si>
    <t>?</t>
  </si>
  <si>
    <r>
      <t xml:space="preserve">Министерство спорта МО, </t>
    </r>
    <r>
      <rPr>
        <sz val="8"/>
        <color indexed="2"/>
        <rFont val="Times New Roman"/>
        <family val="1"/>
        <charset val="204"/>
      </rPr>
      <t>муниципальные образования МО</t>
    </r>
  </si>
  <si>
    <t>Министерство спорта МО, муниципальные образования МО</t>
  </si>
  <si>
    <t>Большакова ОА по норматитвному состоянию соглашение</t>
  </si>
  <si>
    <t>соглш у Большаковой ОА</t>
  </si>
  <si>
    <t>автобус + гимнастика</t>
  </si>
  <si>
    <t>Министерство спорта МО, Минстрой МО, ГОУП УСЦ, администрации муниципальных образований МО</t>
  </si>
  <si>
    <t xml:space="preserve"> Минстрой МО,   администрации муниципальных образований МО</t>
  </si>
  <si>
    <t>Основное мероприятие 1. Строительство, реконструкция и модернизация спортивных объектов Мурманской области</t>
  </si>
  <si>
    <t>федеральные деньги</t>
  </si>
  <si>
    <t>администрация?</t>
  </si>
  <si>
    <t>Министерство спорта МО, администрации муниципальных образований, ГОУП "УСЦ"</t>
  </si>
  <si>
    <t>Основное мероприятие 2. Проведение капитального и текущего ремонта, реализация мероприятий по энергоэффективности спортивных сооружений Мурманской области</t>
  </si>
  <si>
    <t>Министерство спорта МО, администрация муниципального образования</t>
  </si>
  <si>
    <r>
      <t xml:space="preserve">Минстрой МО, </t>
    </r>
    <r>
      <rPr>
        <sz val="8"/>
        <color indexed="2"/>
        <rFont val="Times New Roman"/>
        <family val="1"/>
        <charset val="204"/>
      </rPr>
      <t>администрация муниципального образования</t>
    </r>
  </si>
  <si>
    <t>Министрой МО, администрации муниципальных образований</t>
  </si>
  <si>
    <t>подпрограмма 1 "Развитие физической культуры и массового спорта";</t>
  </si>
  <si>
    <t>Основное мероприятие 1.1 "Физическое воспитание и обеспечение организации и проведения физкультурных мероприятий и массовых спортивных мероприятий"</t>
  </si>
  <si>
    <t>подпрограмма 2 "Развитие спорта высших достижений и системы подготовки спортивного резерва";</t>
  </si>
  <si>
    <t>подпрограмма 3 "Подготовка и проведение Чемпионата мира по футболу ФИФА 2018 года и Кубка конфедераций ФИФА 2017 года в Российской Федерации";</t>
  </si>
  <si>
    <t>подпрограмма 4 "Управление развитием отрасли физической культуры и спорта";</t>
  </si>
  <si>
    <t>подпрограмма 7 "Развитие хоккея в Российской Федерации";</t>
  </si>
  <si>
    <t>подпрограмма 8 "Развитие футбола в Российской Федерации";</t>
  </si>
  <si>
    <t>федеральная целевая программа "Развитие физической культуры и спорта в Российской Федерации на 2006 - 2015 годы";</t>
  </si>
  <si>
    <t>федеральная целевая программа "Развитие физической культуры и спорта в Российской Федерации на 2016 - 2020 годы"</t>
  </si>
  <si>
    <t>доля граждан, систематически занимающихся физической культурой и спортом;</t>
  </si>
  <si>
    <t>уровень обеспеченности граждан спортивными сооружениями исходя из единовременной пропускной способности объектов спорта;</t>
  </si>
  <si>
    <t>доля российских спортсменов, ставших призерами Олимпийских игр, в общем количестве российских спортсменов, участвующих в Олимпийских играх;</t>
  </si>
  <si>
    <t>доля российских спортсменов, ставших призерами Олимпийских зимних игр, в общем количестве российских спортсменов, участвующих в Олимпийских зимних играх;</t>
  </si>
  <si>
    <t>доля спортивной инфраструктуры, созданной для проведения Чемпионата мира по футболу ФИФА 2018 года и Кубка конфедераций ФИФА 2017 года в Российской Федерации, соответствующей требованиям ФИФА, в общем количестве спортивной инфраструктуры, созданной для проведения Чемпионата мира по футболу ФИФА 2018 года и Кубка конфедераций ФИФА 2017 года в Российской Федерации;</t>
  </si>
  <si>
    <t>уровень удовлетворенности граждан созданными условиями для занятий физической культурой и спортом;</t>
  </si>
  <si>
    <t>Пропаганда развития</t>
  </si>
  <si>
    <t>доля средств внебюджетных источников в общих расходах на финансирование физической культуры и спорта;</t>
  </si>
  <si>
    <t>индекс физического объема инвестиций в основной капитал по виду экономической деятельности "Деятельность в области спорта", в процентах к 2020 году;</t>
  </si>
  <si>
    <t>Таблица № 10в</t>
  </si>
  <si>
    <t>Справка о внесении изменений в перечень объектов капитального строительства</t>
  </si>
  <si>
    <t>№ в перечне ОКС</t>
  </si>
  <si>
    <t>Наименование ПП, ОКС*</t>
  </si>
  <si>
    <t>Характеристика вносимых изменений**</t>
  </si>
  <si>
    <t>Действующая редакция***</t>
  </si>
  <si>
    <t>По годам</t>
  </si>
  <si>
    <t>Общая площадь - 3588,90 кв. м  пропускная способность - 70 чел./см</t>
  </si>
  <si>
    <t>Министерство спорта МО, подведомственные Министерству  учреждения</t>
  </si>
  <si>
    <t>ГАУМО «МОСШОР по зимним видам спорта», ГАУМО "Кировская СШОР", ГАУМО "Мончегорская СШОР", ГАУМО "МОСШОР", ГАУМО "КСШОР", Министерство спорта МО</t>
  </si>
  <si>
    <t xml:space="preserve">Министерство спорта МО, ГАУМО «КСШОР» </t>
  </si>
  <si>
    <t>Министерство спорта МО, ГАУМО «ЦСП»</t>
  </si>
  <si>
    <t>Поставка и установка информационных стендов в количестве восьми штук для спортивных площадок, которые устанавливаются в муниципальных образованиях</t>
  </si>
  <si>
    <t>Министерство спорта МО, администрация муниципального образования, ГОУП "УСЦ"</t>
  </si>
  <si>
    <t>Министерство спорта МО, ГОУП УСЦ</t>
  </si>
  <si>
    <t>сверено</t>
  </si>
  <si>
    <t>Предоставление  грантов в форме субсидий по итогам проведения конкурса для реализации социально-значимых проектов в сфере физической культуры и спорта</t>
  </si>
  <si>
    <t>2022-2025</t>
  </si>
  <si>
    <t>Предоставление грантов в форме субсидий государственным областным и муниципальным общеобразовательным организациям, не являющимся казенными учреждениями, на развитие школьных спортивных клубов</t>
  </si>
  <si>
    <t>Предоставлены гранты в форме субсидии государственным областным и муниципальным общеобразовательным организациям, не являющимся казенными учреждениями, на развитие школьных спортивных клубов</t>
  </si>
  <si>
    <t>Предоставление грантов в форме субсидии муниципальным автономным учреждениям на развитие школьных спортивных клубов ИСКЛЮЧЕНО</t>
  </si>
  <si>
    <t>Предоставление грантов в форме субсидии муниципальным учреждениям по итогам соревнований «Кубок Губернатора Мурманской области среди школьных спортивных клубов»</t>
  </si>
  <si>
    <t>Предоставлены гранты в форме субсидии муниципальным бюджетным и автономным учреждениям по итогам соревнований «Кубок Губернатора Мурманской области среди школьных спортивных клубов»</t>
  </si>
  <si>
    <t xml:space="preserve">Субсидии муниципальным образованиям на развитие физкультурно-спортивной работы </t>
  </si>
  <si>
    <t xml:space="preserve"> Субсидия распеределна между муниципальными образованиями для организации физкультурно-спортивной работы (администрация муниципального образования город Апатиты с подведомственной территорией Мурманской области,
администрация Ковдорского муниципального округа Мурманской области
администрация Кольского района,
Муниципальное образование Город-герой Мурманск,
Муниципальное образование городской округ закрытое административно-территориальное образование Александровск Мурманской области)</t>
  </si>
  <si>
    <t>1.2.11</t>
  </si>
  <si>
    <t>Субсидия муниципальным образованиям на открытие спортивных пространств для молодежи</t>
  </si>
  <si>
    <t>1.2.12</t>
  </si>
  <si>
    <t xml:space="preserve">Развитие физкультурно-спортивной работы </t>
  </si>
  <si>
    <t>2023-2025</t>
  </si>
  <si>
    <t>1.2.13</t>
  </si>
  <si>
    <t>Открытие спортивных пространств для молодежи</t>
  </si>
  <si>
    <t>1.2.14</t>
  </si>
  <si>
    <t>Грант на развитие студенческих споривных клубов</t>
  </si>
  <si>
    <t>Предоставление субсидии образовательным организациям на развитие студенческих спортивных клубов по различным видам спорта</t>
  </si>
  <si>
    <t>Обучение навыкам плавания  детей и подростков в возрасте от 6 до 14 лет</t>
  </si>
  <si>
    <t>не сверено, 1203,8</t>
  </si>
  <si>
    <t>Выплата единовременного денежного вознаграждения спортсменам, проживающим в Мурманской области и выступившим в составе спортивных сборных команд Мурманской области и Российской Федерации по Олимпийским видам спорта, и их тренерам за победу и призовые места на Олимпийских, Паралимпийских и Сурдлимпийских Играх, чемпионатах, Кубка мира и Европы, чемпионатах России</t>
  </si>
  <si>
    <t xml:space="preserve"> </t>
  </si>
  <si>
    <t>Предоставление компенсации расходов на оплату стоимости проезда и провоза багажа к месту использования отпуска и обратно всем сотрудникам, заявившимся на получение указанной компенсации.</t>
  </si>
  <si>
    <t xml:space="preserve">Расходы, связанные с приобретением недвижимого имущества, расположенного по адресу Мурманская область г. Мурманск ул. Челюскинцев д.1, в государственную собственность Мурманской области </t>
  </si>
  <si>
    <t>Приобретение имущества (за исключением недвижимого имущества)</t>
  </si>
  <si>
    <t>Приобретение имущества (за исключением недвижимого имущества) подведомственными учреждениями</t>
  </si>
  <si>
    <t>Министерство спорта МО, ГАУМО "ЦСП", МКУ "СШ по санному спорту", ГАУМО "Кировская СШОР"</t>
  </si>
  <si>
    <t>ГАУМО «ЦСП», Министерство спорта МО</t>
  </si>
  <si>
    <t>Ежегодное поощрение в рамках церемоний награждения спортсменов, тренеров, ветеранов спорта и физкультурного актива  Мурманской области с количеством награжденных не менее 3 человек</t>
  </si>
  <si>
    <t>Проведение мероприятий международного традиционного Праздника Севера и Праздника Севера учащихся</t>
  </si>
  <si>
    <t>2.1.16</t>
  </si>
  <si>
    <t>Приобретение оборудование медицинского кабинета ИСКЛЮЧЕНО</t>
  </si>
  <si>
    <t>2022 - оборудован медицинский кабинет</t>
  </si>
  <si>
    <t>Министерство спорта МО, ГАУМО "Кировская СШОР по горнолыжному спорту"</t>
  </si>
  <si>
    <t>2.1.17</t>
  </si>
  <si>
    <t>Субсидия на реализацию мероприятий по приобретению спортивного оборудования и инвентаря для организации и проведения спортивных мероприятий по хоккею</t>
  </si>
  <si>
    <t>Поставка оборудования и инвентаря</t>
  </si>
  <si>
    <t>ГОУП "УСДЦ"</t>
  </si>
  <si>
    <t>2.1.18</t>
  </si>
  <si>
    <t xml:space="preserve">Создание объектов спортивной инфраструктуры, находящихся на территории Военно-патриотического парка культуры и отдыха «Патриот» Северного флота </t>
  </si>
  <si>
    <t>Cоздание 4 объектов спортивной инфраструктуры (двух элементов комплексных полос препятствий, открытого уличного скалодрома и веревочного парка), находящихся на территории Военно-патриотического парка культуры и отдыха «Патриот» Северного флота.</t>
  </si>
  <si>
    <t>2.1.19</t>
  </si>
  <si>
    <t>Реализация мероприятий по приобретению и установке блок-контейнеров для хранения и подготовки спортивного инвентаря ИСКЛЮЧЕНО</t>
  </si>
  <si>
    <t>Приобретение и установка блок-контейнеров для хранения и подготовки спортивного инвентаря команд - участников официальных физкультурных и спортивных мероприятий</t>
  </si>
  <si>
    <t>2.1.20</t>
  </si>
  <si>
    <t xml:space="preserve">Проведение инженерных изысканий территории для оценки возможности размещения спортивных объектов» </t>
  </si>
  <si>
    <t>Проведен комплекс инженерных изысканий для получения необходимых и достаточных материалов с целью дальнейшей подготовки проектной и рабочей документации по объекту «Манеж с полноразмерным футбольным полем» в 2022-2023 году</t>
  </si>
  <si>
    <t>2.1.21</t>
  </si>
  <si>
    <t xml:space="preserve">Функционирование парка культуры и отдыха «Патриот» Северного флота </t>
  </si>
  <si>
    <t>Министерство спорта МО,ГАУМО "ЦСП"</t>
  </si>
  <si>
    <t>Разработка ПСД и строительство ФОК с бассейном но адресу: г. Мурманск, ул.Скальная</t>
  </si>
  <si>
    <t xml:space="preserve">2023 год - разработана ПСД, строительство ФОК с бассейном но адресу: г. Мурманск, ул.Старостина </t>
  </si>
  <si>
    <t>Разработка проектно-сметной документации на строительство лыжной трассы в ЗАТО Видяево</t>
  </si>
  <si>
    <t>Лыжная трасса в ЗАТО Александровск</t>
  </si>
  <si>
    <t>2022 год - разработана ПСД на строительство лыжной трассы в г. Снежногорске</t>
  </si>
  <si>
    <t>2023 год - разработана ПСД и строительство ФОК с бассейном по адресу: г. Мурманск, ул. Копытова</t>
  </si>
  <si>
    <t>2022-2023</t>
  </si>
  <si>
    <t>3.1.19</t>
  </si>
  <si>
    <t>Разработка ПСД на строительство горнолыжного подъемника МБОУ ДО ДЮСШ п.Ревда, Ловозерского района на горе Кедыквырпахк</t>
  </si>
  <si>
    <t xml:space="preserve">2022 год - разработана проектно-сметная документация на строительство горнолыжного подъемника </t>
  </si>
  <si>
    <t>3.1.20</t>
  </si>
  <si>
    <t xml:space="preserve">Строительство и эксплуатация быстровозводимого спортивного комплекса
с плавательным бассейном и тренажерным залом на Кольском проспекте в г. Мурманске 
</t>
  </si>
  <si>
    <t xml:space="preserve">Строительство объекта СК с плавательных бассейном
3.3 Эффективность использования существующих объектов спорта. 3.4 Единовременная пропускная способность объектов спорта, введенных в эксплуатацию в рамках Программы. </t>
  </si>
  <si>
    <t>Министерство спорта МО, Министерство строительства МО, администрации муниципальных образований МО, ГОУП "УСДЦ"</t>
  </si>
  <si>
    <t>2022 - капитальный ремонт искусственного покрытия футбольного поля с легкоатлетическими дорожками ЗАТО Александровск</t>
  </si>
  <si>
    <t>2021-2022 годы Капитальный ремонт «Безопорной буксировочной канатной дороги на горнолыжном склоне по ул. Гагарина в г. Полярном ЗАТО Александровск»</t>
  </si>
  <si>
    <t>3.2.14.</t>
  </si>
  <si>
    <t>3.2.15</t>
  </si>
  <si>
    <t>3.2.17.</t>
  </si>
  <si>
    <t xml:space="preserve">2022-2023 год - подготовлена проектно-сметной документации и капитальный ремонт здания Дома физкультуры МУС "УСЦ", расположенного по адресу: г. Оленегорск, ул. Строительная, д.47 </t>
  </si>
  <si>
    <t>Разработка проектной документации на капитальный ремонт спортивного объекта "Межшкольный стадион" ЗАТО Видяево</t>
  </si>
  <si>
    <t>МБУ ДО ДЮСШ Ремонт мягкой кровли здания, расположенного по адресу г. Гаджиево, ул. Душенова д. 86/А</t>
  </si>
  <si>
    <t>2022 год - выполнен ремонт мягкой кровли здания  МБУ ДО ДЮСШ, расположенного по адресу г. Гаджиево, ул. Душенова д. 86/А</t>
  </si>
  <si>
    <t>Капитальный ремонт спортивно-оздоровительного комплекса МАУ СШОР № 1 г. Мончегорск</t>
  </si>
  <si>
    <t xml:space="preserve"> Выполнен капитальный ремонт кровли и помещений спорткомплекса ДЮСШ п.Ревда
2022 год - 60 %,
2023 год - 100%</t>
  </si>
  <si>
    <t>3.2.27</t>
  </si>
  <si>
    <t>Капитальный ремонт спорткомплекса Долина Уюта (разработка проектной документации на ремонт фасадов и ливневой канализации)</t>
  </si>
  <si>
    <t>Министерство стротиельства МО, ГОКУ "УКС МО"</t>
  </si>
  <si>
    <t>3.2.28</t>
  </si>
  <si>
    <t>Выполнение работ по разработке эскиза концепции развития территории объекта «Центральный стадион профсоюзов», расположенного по адресу г. Мурманск ул. Челюскинцев д. 1</t>
  </si>
  <si>
    <t>Разработка одного эскиза концепции развития территории объекта «Центральный стадион профсоюзов», расположенного по адресу г. Мурманск ул. Челюскинцев д. 1.</t>
  </si>
  <si>
    <t>3.2.29</t>
  </si>
  <si>
    <t>Ремонт сетей электроснабжения административно-спортивного комплекса</t>
  </si>
  <si>
    <t>Замена  и перекладка части электрического кабеля</t>
  </si>
  <si>
    <t>3.2.30</t>
  </si>
  <si>
    <t xml:space="preserve"> Видеонаблюдение. Проектное решение по подготовке территории-основания и установке комплекта спортивно-технологического оборудования для создания физкультурно-оздоровительного комплекса открытого типа</t>
  </si>
  <si>
    <t>Поставлено дополнительное оборудование для завершения работ по установке видеонаблюдения в рамках проектного решения по подготовке территории-основания и установке комплекта спортивно-технологического оборудования для создания физкультурно-оздоровительного комплекса открытого типа</t>
  </si>
  <si>
    <t>3.2.31</t>
  </si>
  <si>
    <t>Дополнительные работы для создания физкультурно-оздоровительного комплекса открытого типа</t>
  </si>
  <si>
    <t>Проведены дополнительные работы в рамках создания физкультурно-оздоровительного комплекса открытого типа</t>
  </si>
  <si>
    <t>3.2.32</t>
  </si>
  <si>
    <t>Капитальный ремонт фасада здания МАУ «СШОР» по адресу: Мурманская область, г. Мончегорск, Арена стадиона (верхнее футбольное поле)</t>
  </si>
  <si>
    <t>2022 г - капитальный ремонт фасада здания МАУ «СШОР» по адресу: Мурманская область, г. Мончегорск, Арена стадиона (верхнее футбольное поле)</t>
  </si>
  <si>
    <t>Минстрой МО, администрация муниципального образования муниципального округа г. Мончегорск с подведомственной территорией</t>
  </si>
  <si>
    <t>3.2.33</t>
  </si>
  <si>
    <t>Капитальный ремонт стадиона. Благоустройство территории МАУ «СШОР» по адресу: Мурманская область, г. Мончегорск, пр. Кирова, д. 3</t>
  </si>
  <si>
    <t>2022- Капитальный ремонт стадиона. Благоустройство территории МАУ «СШОР» по адресу: Мурманская область, г. Мончегорск, пр. Кирова, д. 3</t>
  </si>
  <si>
    <t>ОМ 3.3</t>
  </si>
  <si>
    <t>Основное мероприятие 3 «Закупка оборудования для создания «умных» спортивных площадок в рамках Федерального проекта «Бизнес-спринт (Я выбираю спорт)»</t>
  </si>
  <si>
    <t xml:space="preserve"> 3.3.1</t>
  </si>
  <si>
    <t>2022 - закуплено оборудование для создания "умных" спортивных площадок</t>
  </si>
  <si>
    <t>ОМ 3.4</t>
  </si>
  <si>
    <t>Основное мероприятие 4 «Реализация мероприятий Плана социального развития центров экономического роста Мурманской области»</t>
  </si>
  <si>
    <t>2023-2024</t>
  </si>
  <si>
    <t xml:space="preserve">3.4 Единовременная пропускная способность объектов спорта, введенных в эксплуатацию в рамках Программы. </t>
  </si>
  <si>
    <t>3.4.1.</t>
  </si>
  <si>
    <t>2023-2024 - строительство объекта</t>
  </si>
  <si>
    <t>Министерство строительства  МО, ГОКУ «Управление капитального строительства Мурманской области»</t>
  </si>
  <si>
    <t>3.4.2.</t>
  </si>
  <si>
    <t>2022 - приобретение и установка спортивных площадок в с.п. Зеленоборский и г. Кола</t>
  </si>
  <si>
    <t xml:space="preserve">2020 – разработка ПСД, заключение госэкспертизы, 2021-2022 – строительство, 2022 – ввод объекта в эксплуатацию. </t>
  </si>
  <si>
    <t>Реконструкция Ледового дворца, расположенного по адресу: Мурманская обл. г. Оленегорск ул. Строительная д. 40</t>
  </si>
  <si>
    <t>Финансовое обеспечение деятельности  автономной некоммерческой организации «Агентство по проведению спортивно-массовых и культурно-зрелищных мероприятий «СпортКульт51»</t>
  </si>
  <si>
    <t>Приложение 11б</t>
  </si>
  <si>
    <t>Сведения об объемах финансирования государственной программы</t>
  </si>
  <si>
    <t>Подпрограмма, задача, основное мероприятие, ведомственная целевая программа</t>
  </si>
  <si>
    <t>Соисполнители, участники</t>
  </si>
  <si>
    <t>Годы реализации</t>
  </si>
  <si>
    <t>Основное мероприятие 2  "Поддержка социально-ориентированных некоммерческих организаций, осуществляющих деятельность в сфере физической культуры и спорта"</t>
  </si>
  <si>
    <t>Приложение № 3 к Порядку</t>
  </si>
  <si>
    <t>Таблица № 11б</t>
  </si>
  <si>
    <t>Государственная программа, подпрограмма, основное мероприятие, проект, мероприятие</t>
  </si>
  <si>
    <t>Годы выполнения</t>
  </si>
  <si>
    <t>Действующая редакция (156-ПП)</t>
  </si>
  <si>
    <t>ОТКЛОНЕНИЕ</t>
  </si>
  <si>
    <r>
      <t>Причины внесения изменений</t>
    </r>
    <r>
      <rPr>
        <b/>
        <vertAlign val="superscript"/>
        <sz val="11"/>
        <rFont val="Times New Roman"/>
        <family val="1"/>
        <charset val="204"/>
      </rPr>
      <t>6</t>
    </r>
  </si>
  <si>
    <t xml:space="preserve">Мероприятие, ОМ, З, ПП (указывается в случае изменений наименования мероприятия, ОМ, З, ПП) </t>
  </si>
  <si>
    <t>Связь основных мероприятий с показателями подпрограмм, ожидаемые результаты реализации (краткая характеристика) мероприятий (заполняется в случае внесения изменений)</t>
  </si>
  <si>
    <t>Государственная программа Мурманской области «Комфортное жилье и городская среда»</t>
  </si>
  <si>
    <t>Подпрограмма 4  «Обеспечение устойчивой деятельности топливно-энергетического комплекса Мурманской области и повышения энергетической эффективности»</t>
  </si>
  <si>
    <t>ОМ 4.2</t>
  </si>
  <si>
    <t>Основное мероприятие 2. Субсидии ресурсоснабжающим организациям</t>
  </si>
  <si>
    <t>4.2.1</t>
  </si>
  <si>
    <t>Минэнерго</t>
  </si>
  <si>
    <t>Действующая</t>
  </si>
  <si>
    <t>Предлагаемая</t>
  </si>
  <si>
    <t>Минстрой МО, Минэнерго и ЖКХ МО, ГКУСРФ, Минимущества МО, Минфин МО, Минград МО, Минтранс МО, НКО "ФКР МО", АНО "Центр содействия жилищному строительству", ГОКУ "УКС МО", муниципальные образования МО, Министерство государственного жилищного и строительного надзора МО, юридические лица</t>
  </si>
  <si>
    <t xml:space="preserve">Соисполнитель 5. Министерство энергетики и жилищно-коммунального хозяйства Мурманской области
</t>
  </si>
  <si>
    <t>Минэнерго и ЖКХ МО</t>
  </si>
  <si>
    <t>Минэнерго и ЖКХ МО, Минимущества МО, муниципальные образования МО, РСО, инвесторы, ГОКУ "АЭЭМО", АО "Апатитыводоканал"</t>
  </si>
  <si>
    <t>Минэнерго и ЖКХ МО, Минимущества МО, РСО"</t>
  </si>
  <si>
    <t>УТВЕРЖДЕН</t>
  </si>
  <si>
    <t>1104-пп</t>
  </si>
  <si>
    <t>приказом Министерства строительства Мурманской области</t>
  </si>
  <si>
    <t>План реализации государственной программы Мурманской области  «Комфортное жилье и городская среда»   на 2021-2025 годы</t>
  </si>
  <si>
    <t xml:space="preserve">                                                                       от _______________№ __________</t>
  </si>
  <si>
    <t>Объемы и источники финансирования (тыс. рублей)</t>
  </si>
  <si>
    <t>2025*</t>
  </si>
  <si>
    <t>Подпрограмма 1 «Жилье»</t>
  </si>
  <si>
    <t>Минстрой МО, Минэнерго и ЖКХ МО, НКО "ФКР МО", АНО "Центр содействия жилищному строительству", ГОКУ "УКС МО"</t>
  </si>
  <si>
    <t>Региональный проект "Жилье"</t>
  </si>
  <si>
    <t>0.1 Объем жилищного строительства в год                                  1.7 Количество земельных участков, в отношении которых будут проведены мероприятия по обеспечению объектами коммунальной и дорожной инфраструктуры:</t>
  </si>
  <si>
    <t>Минстрой МО, муниципальные образования МО</t>
  </si>
  <si>
    <t>МИНСТРОЙ</t>
  </si>
  <si>
    <t>П. 1.1.1</t>
  </si>
  <si>
    <t>Субсидия из областного бюджета бюджетам муниципальных образований на обеспечение объектами коммунальной и дорожной инфраструктуры земельных участков, предоставленных на безвозмездной основе многодетным семьям</t>
  </si>
  <si>
    <t>Количество земельных участков, в отношении которых будут проведены мероприятия по обеспечению объектами коммунальной и дорожной инфраструктуры:
2021-2025 годы 679 земельных участков</t>
  </si>
  <si>
    <t>П. 1.1.2</t>
  </si>
  <si>
    <t>Строительство объектов инженерной инфраструктуры и улично-дорожной сети в границах микрорайона "Больничный" и "Первого микрорайона"</t>
  </si>
  <si>
    <t>Ввод объектов  инженерной инфраструктуры и улично-дорожной сети в год</t>
  </si>
  <si>
    <t>Минстрой МО, ГОКУ "УКС МО", АНО "Центр содействия жилищному строительству"</t>
  </si>
  <si>
    <t>Основное мероприятие 1. Внедрение механизмов комплексного и устойчивого развития территорий</t>
  </si>
  <si>
    <t xml:space="preserve">0.1.Объем жилищного строительства в год                 0.2. Количество семей, получивших жилые помещения и улучшивших жилищные условия;                  </t>
  </si>
  <si>
    <t>Минстрой МО, ГОКУ "УКС МО", АНО "Центр Содействия жилищному строительству Мурманской области", муниципальные образования МО</t>
  </si>
  <si>
    <t>-</t>
  </si>
  <si>
    <t>Субсидия муниципальным образованиям на предоставление социальных выплат гражданам для индивидуального жилищного строительства на предоставленных земельных участках.</t>
  </si>
  <si>
    <t xml:space="preserve">не менее 4 предоставленных социальных выплат </t>
  </si>
  <si>
    <t>Жилые дома в г. Мурманске по ул. Бондарной</t>
  </si>
  <si>
    <t>Ввод объектов жилищного строительства в год</t>
  </si>
  <si>
    <t>Минстрой МО, 
ГОКУ "УКС МО"</t>
  </si>
  <si>
    <t>1.1.3.</t>
  </si>
  <si>
    <t>Субсидия автономной некоммерческой организации "Центр содействия жилищному строительству Мурманской области" на строительство многоквартирных домов для отдельных категорий граждан</t>
  </si>
  <si>
    <t>Объем жилищного строительства в год:                                                                                 2022 год -проектирование, 2023 год - строительство</t>
  </si>
  <si>
    <t>Минстрой МО, АНО "Центр Содействия жилищному строительству Мурманской области"</t>
  </si>
  <si>
    <t>1.1.4</t>
  </si>
  <si>
    <t>Субсидия автономной некоммерческой организации "Центр содействия жилищному строительству Мурманской области" на финансовое обеспечение деятельности</t>
  </si>
  <si>
    <t>Обеспечение деятельности АНО "Центр содействия жилищному строительству" (заработная плата, коммунальные расходы, административно-хозяйственная деятельность, расходы, связанные с проведением семинаров, совещаний, круглых столов, вебинаров) в целях оказания содействия юридическим и физическим лицам по осуществлению жилищного строительства, обеспечения граждан жильем.</t>
  </si>
  <si>
    <t>1.1.5</t>
  </si>
  <si>
    <t>Субсидия АНО "Центр Содействия жилищному строительству Мурманской области" на проектно-изыскательские работы "Комплексное развитие инженерных сетей микрорайона "Больничный городок"</t>
  </si>
  <si>
    <t>Завершение мероприятий по проектно-изыскательским работам</t>
  </si>
  <si>
    <t>1.1.6</t>
  </si>
  <si>
    <t>Субсидия АНО "Центр Содействия жилищному строительству Мурманской области" на проектирование и строительство  многоквартирных жилых домов, микрорайон "Больничный городок"</t>
  </si>
  <si>
    <t>Объем жилищного строительства в год.                                                                                   2022 год -проектирование, 2023 год - строительство</t>
  </si>
  <si>
    <t>1.1.7</t>
  </si>
  <si>
    <t>Субсидия АНО "Центр Содействия жилищному строительству Мурманской области" на технологическое подключение объектов к сетям электроснабжения в рамках развития микрорайона "Больничный городок"</t>
  </si>
  <si>
    <t xml:space="preserve">Количество строящихся объектов коммунальной инфраструктуры
</t>
  </si>
  <si>
    <t>1.1.8</t>
  </si>
  <si>
    <t>Субсидия АНО "Центр Содействия жилищному строительству Мурманской области" на строительство индивидуальных жилых домов</t>
  </si>
  <si>
    <t>Количество ИЖС, строительство которых завершено</t>
  </si>
  <si>
    <t>1.1.9</t>
  </si>
  <si>
    <t>Субсидия АНО "Центр Содействия жилищному строительству Мурманской области" на инфраструктуру для ИЖС и многодетных, примыкающих к ИЖС</t>
  </si>
  <si>
    <t>Количество земельных участков, в отношении которых проведены мероприятия по обеспечению объектами коммунальной и дорожной инфраструктуры</t>
  </si>
  <si>
    <t>1.1.10</t>
  </si>
  <si>
    <t>Жилой дом в г. Мурманске по ул. Павлова (мансардный этаж)</t>
  </si>
  <si>
    <t xml:space="preserve"> Объем жилищного строительства в год</t>
  </si>
  <si>
    <t>1.1.11</t>
  </si>
  <si>
    <t>Жилой дом в г.Мурманске по ул. Старостина (земельный участок 51:20:0002402:72)</t>
  </si>
  <si>
    <t>Разработка проекта - 2021 год</t>
  </si>
  <si>
    <t>Минстрой МО, ГОКУ "УКС МО"</t>
  </si>
  <si>
    <t>1.1.12</t>
  </si>
  <si>
    <t>Субвенция бюджетам  муниципальных образований на осуществление органами местного самоуправления отдельных государственных полномочий Мурманской области в области жилищных отношений и жилищного строительства</t>
  </si>
  <si>
    <t>Обеспечение деятельности муниципальных образований по постановке на учет. Ведению учета, снятию с уета градан на приобретение стандартного жилья или найма стандартного жилья, информирование граждан о мероприятиях в области жилищных отношений и жилищного строительства</t>
  </si>
  <si>
    <t>1.1.13</t>
  </si>
  <si>
    <t>Снос объекта капитального строительства, расположенного в г. Мурманске по ул. Полярные зори</t>
  </si>
  <si>
    <t>Количество снесенных объектов</t>
  </si>
  <si>
    <t>1.1.14</t>
  </si>
  <si>
    <t>Строительство жилого дома в г. Мурманске по ул. Павлова, земельный участок №  51:20:0002014:1233</t>
  </si>
  <si>
    <t>Ввод объектов жилищного строительства общ. жил. площадь 2639,15 кв. м.</t>
  </si>
  <si>
    <t>1.1.15</t>
  </si>
  <si>
    <t>Субсидия АНО "Центр Содействия жилищному строительству Мурманской области" на технологическое подключение объектов к сетям водоснабжения в рамках развития микрорайона "Больничный городок"</t>
  </si>
  <si>
    <t xml:space="preserve">Количество строящихся объектов к сетям водоснабжения </t>
  </si>
  <si>
    <t>1.1.16</t>
  </si>
  <si>
    <t>Субсидия бюджетам муниципальных образований Мурманской области на софинансирование мероприятий по ремонту жилых помещений</t>
  </si>
  <si>
    <t xml:space="preserve">Количество отремонтированных жилых помещений
</t>
  </si>
  <si>
    <t>1.1.17</t>
  </si>
  <si>
    <t>Субсидия автономной некоммерческой организации "Центр Содействия жилищному строительству Мурманской области" на реализацию мероприятий в рамках развития жилищного строительства</t>
  </si>
  <si>
    <t>Количество выполненных мероприятий в целях развития жилищного строительства</t>
  </si>
  <si>
    <t>1.1.18</t>
  </si>
  <si>
    <t>Субсидия АНО "Центр Содействия жилищному строительству Мурманской области" на реализацию мероприятий плана социального развития центров экономического роста Мурманской области, утвержденного распоряжением Правительства Мурманской области от 25.11.2022 302-РП</t>
  </si>
  <si>
    <t>2022-2024</t>
  </si>
  <si>
    <t>Проектирование и строительство многоквартирного жилого дома № 1 по улице Кирпичной в городе Мурманске, проектирование и строительство многоквартирного жилого дома № 2 по улице Кирпичной в городе Мурманске</t>
  </si>
  <si>
    <t>Основное мероприятие 2. Поддержка предприятий стройиндустрии на внедрение передовых технологий и  производство строительных материалов</t>
  </si>
  <si>
    <t xml:space="preserve">1.1. Количество отчетов по мониторингу стоимости строительных ресурсов </t>
  </si>
  <si>
    <t xml:space="preserve"> Совершенствование территориальной базы сметных нормативов в Мурманской области в сфере ценообразования, в т.ч. мониторинг сметной стоимости объектов жилищного строительства и мониторинг цен на строительные ресурсы</t>
  </si>
  <si>
    <t xml:space="preserve">Количество отчетов по мониторингу стоимости строительных ресурсов </t>
  </si>
  <si>
    <t>П 1.2</t>
  </si>
  <si>
    <t xml:space="preserve"> Региональный проект "Чистая вода"</t>
  </si>
  <si>
    <t>1.9. Доля населения Мурманской области, обеспеченного качественной питьевой водой из систем централизованного водоснабжения, %
1.10. Завершено строительство и реконструкция (модернизация) объектов питьевого водоснабжения и водоподготовки, предусмотренных региональными программами, нарастающим итогом</t>
  </si>
  <si>
    <t>Минстрой МО, Минэнерго и ЖКХ МО, МО Кольский район</t>
  </si>
  <si>
    <t>П 1.2.1</t>
  </si>
  <si>
    <t>Водозаборные сооружения в с. Териберка Кольского района</t>
  </si>
  <si>
    <t xml:space="preserve">2021 - готовность объекта не менее 35%;
Ввод объекта в эксплуатацию 2022 год 
</t>
  </si>
  <si>
    <t>П 1.2.2</t>
  </si>
  <si>
    <t>Реконструкция водопроводной насосной станции с установкой комплекса оборудования очистки воды на объекте: "Станция водоподготовки на ВНС-1 озеро Большое Грязненское"</t>
  </si>
  <si>
    <t xml:space="preserve">
Строительство, разработка ПСД - 2023 .  Ввод объекта в эксплуатацию в 2024 году</t>
  </si>
  <si>
    <t>Минстрой МО, Минэнерго и ЖКХ МО, ГОУП «Мурманск-водоканал»</t>
  </si>
  <si>
    <t>ОМ 1.3</t>
  </si>
  <si>
    <t>Основное мероприятие 3.  Обеспечение реализации региональной программы капитального ремонта общего имущества в многоквартирных домах расположенных на территории Мурманской области</t>
  </si>
  <si>
    <t xml:space="preserve"> 1.3. Доля МКД, в которых проведен капитальный ремонт.                              0.3. Количество граждан, улучшивших жилищные условия в результате капитального ремонта МКД</t>
  </si>
  <si>
    <t>Минстрой МО, Минэнерго и ЖКХ МО, муниципальные образования МО, НКО "ФКР МО"</t>
  </si>
  <si>
    <t>1.3.1</t>
  </si>
  <si>
    <t>Субсидия на финансовое обеспечение затрат специализированной некоммерческой организации "Фонд капитального ремонта общего имущества в многоквартирных домах в Мурманской области"</t>
  </si>
  <si>
    <t>1. Обеспечение деятельности НКО "ФКР МО" (заработная плата, коммунальные расходы, административно-хозяйственная деятельность, информационное обеспечение, обеспечение необходимыми программно-техническими средствами).                                                                                        2. Оплата проведения технической инвентаризации МКД, включенных в региональную программу капитального ремонта)</t>
  </si>
  <si>
    <t>Минстрой МО, муниципальные образования МО, юридические лица</t>
  </si>
  <si>
    <t>1.3.2</t>
  </si>
  <si>
    <t xml:space="preserve">Софинансирование расходных обязательств муниципальных образований на оплату взносов на капитальный ремонт за муниципальный жилой фонд </t>
  </si>
  <si>
    <t>Предоставление субсидий 26 муниципальным образованиям из областного бюджета на оплату взносов за капитальный ремонт муниципального жилищного фонда</t>
  </si>
  <si>
    <t>1.3.3</t>
  </si>
  <si>
    <t>Субсидия специализированной некоммерческой организации "Фонд капитального ремонта общего имущества в многоквартирных домах в Мурманской области"</t>
  </si>
  <si>
    <t>Выполнение работ по капитальному ремонту: установка ИТП в 2022-2025 годах - 444 шт.; водоподогревателей  в 2022-2025 годах - 17 шт.; капитальный ремонт крыш в 2022-2025 годах - 43 шт.; капитальный ремонт фасадов в 2022-2025 годах - 58 шт.</t>
  </si>
  <si>
    <t>Минстрой МО, НКО "ФКР МО"</t>
  </si>
  <si>
    <t>1.3.4</t>
  </si>
  <si>
    <t>Субсидия из областного бюджета на увеличение уставного фонда государственных областных унитарных предприятий Мурмансколй области</t>
  </si>
  <si>
    <t>Перевод на закрытую систему горячего водоснабжения МКД Ленинского административного округа г. Мурманска</t>
  </si>
  <si>
    <t>1.3.5</t>
  </si>
  <si>
    <t>Предоставление субсидии бюджетам муниципальных  образований Мурманской области на выполнение работ по капитальному ремонту общего имущества многоквартирных домов</t>
  </si>
  <si>
    <t>Предоставление субсидий бюджету муниципального образования г. Мончегорск из областного бюджета на выполнение работ по капитальному ремонту общего имущества многоквартирных домов (3 МКД)</t>
  </si>
  <si>
    <t>1.3.6</t>
  </si>
  <si>
    <t xml:space="preserve">Субсидия юридическому лицу 
на возмещение части недополученных доходов возникших в связи с предоставлением  рассрочки (отсрочки) на основании договора факторинга, заключенного в целях замены лифтов в многоквартирных домах </t>
  </si>
  <si>
    <t xml:space="preserve">Возмещение юридическому лицу недополученных доходов в целях замены лифтов в МКД </t>
  </si>
  <si>
    <t>Минстрой МО, юридические лица</t>
  </si>
  <si>
    <t>ОМ 1.4</t>
  </si>
  <si>
    <t>Основное мероприятие 4. Финансовое обеспечение государственных обязательств по обеспечению жильем категорий граждан, установленных решениями Президента Российской Федерации и Правительства Российской Федерации</t>
  </si>
  <si>
    <t xml:space="preserve">1.4.  Доля ветеранов ВОВ, инвалидов и семей, имеющих детей-инвалидов,  в общей численности указанной категорий граждан, вставших на учет в качестве нуждающихся  в органах местного самоуправления (нарастающим итогом)              </t>
  </si>
  <si>
    <t>1.4.1.</t>
  </si>
  <si>
    <t xml:space="preserve">Улучшение жилищных условий ветеранов, инвалидов и семей, имеющих детей-инвалидов,  вставших на учет в качестве нуждающихся до 01.01.2005 в органах местного самоуправления Мурманской области  </t>
  </si>
  <si>
    <t xml:space="preserve">Улучшение жилищных условий ветеранов ВОВ, ветеранов боевых действий, инвалидов и семей, имеющих детей-инвалидов в 2021-2025 годах 58 человек </t>
  </si>
  <si>
    <t>ОМ 1.5</t>
  </si>
  <si>
    <t>Основное мероприятие 5. Оказание государственной поддержки в обеспечении жильем молодых семей, нуждающихся в улучшении жилищных условий</t>
  </si>
  <si>
    <t xml:space="preserve">1.5.  Количество молодых семей, получивших свидетельства о праве на получение социальной выплаты на приобретение (строительство) жилого помещения, в том числе имеющих трое и более детей;                                                                            </t>
  </si>
  <si>
    <t>Минстрой МО,  муниципальные образования МО</t>
  </si>
  <si>
    <t>1.5.1</t>
  </si>
  <si>
    <t>Предоставление социальных выплат молодым семьям для улучшения жилищных условий*</t>
  </si>
  <si>
    <t xml:space="preserve">улучшение жилищных условий в 2021 году не менее 97 семей, в 2022 году не менее 90 семей ежегодно, в 2023-2025 годах не менее 70 семей </t>
  </si>
  <si>
    <t>1.5.2</t>
  </si>
  <si>
    <t>Изготовление бланков свидетельств о праве на получение социальной выплаты на приобретение (строительство) жилого помещения</t>
  </si>
  <si>
    <t>обеспечение изготовление не менее 100 бланков</t>
  </si>
  <si>
    <t>1.5.3</t>
  </si>
  <si>
    <t xml:space="preserve">Субсидия из областного бюджета бюджетам  муниципальных образований на софинансирование расходных обязательств муниципальных образований на предоставление социальных выплат молодым семьям, достигшим 36 лет на приобретение (строительство) жилых помещений </t>
  </si>
  <si>
    <t xml:space="preserve">Количество молодых семей, получивших свидетельства о праве на получение социальной выплаты на приобретение (строительство) жилого помещения, в том числе имеющих трех и более детей - не менее 43 семей ежегодно </t>
  </si>
  <si>
    <t>ОМ 1.6</t>
  </si>
  <si>
    <t>Основное мероприятие 6. Оказание государственной поддержки в обеспечении жильем многодетных семей</t>
  </si>
  <si>
    <t>1.6 Количество многодетных семей, получивших единовременную денежную выплату на улучшение жилищных услвоий взамен земельного участка</t>
  </si>
  <si>
    <t>1.6.1</t>
  </si>
  <si>
    <t>Предоставление субвенции муниципальным образованиям Мурманской области на обеспечение государственных полномочий по предоставлению единовременной денежной выплаты на улучшение жилиных условий многодетным семьям</t>
  </si>
  <si>
    <t>Количество многодетных семей, получивших единовременную денежную выплату на улучшение жилищных условий взамен земельного участка - не менее 216 многодетным семьям ежегодно</t>
  </si>
  <si>
    <t>ОМ 1.7</t>
  </si>
  <si>
    <t>Основное мероприятие 7.  Переселение граждан из жилищного фонда, расположенного в малочисленных населённых пунктах на территории Мурманской области</t>
  </si>
  <si>
    <t xml:space="preserve"> 1.8 Объем расселенного жилфонда в малочисленных населенных пунктах
количество переселенных граждан
</t>
  </si>
  <si>
    <t>1.7.1</t>
  </si>
  <si>
    <t>Субсидия из областного бюджета местным бюджетам Мурманской области на софинансирование мероприятий по переселению граждан из жилищного фонда, расположенного в малочисленных населённых пунктах на территории Мурманской области</t>
  </si>
  <si>
    <t>Расселено не менее 1,42 тыс. кв.м (мо Кольский район)</t>
  </si>
  <si>
    <t>ОМ 1.8</t>
  </si>
  <si>
    <t>Основное мероприятие 8.  Реализация проектов развития жилищного строительства</t>
  </si>
  <si>
    <t xml:space="preserve">0.1 Объем жилищного строительства в год
</t>
  </si>
  <si>
    <t>1.8.1</t>
  </si>
  <si>
    <t>Предоставление дополнительных мер поддержки граждан на улучшение жилищных условий</t>
  </si>
  <si>
    <t>Предоставление дополнительных мер поддержки не менее 170 семьям ежегодно</t>
  </si>
  <si>
    <t>1.8.2</t>
  </si>
  <si>
    <t>Субсидия из областного бюджета бюджетам муниципальных образований на обеспечение инженерной инфраструктурой земельных участков, на которых планируется реализация проектов развития индивидуального жилищного строительства, или земельных участков, предоставленных многодетным семьям и расположенных в общем  или смежном с такими земельными участками кадастровом квартале</t>
  </si>
  <si>
    <t xml:space="preserve">Количество выполненных мероприятий по обеспечению инженерной инфраструктурой земельных участков, на которых планируется реализация проектов развития индивидуального жилищного строительства, или земельных участков, предоставленных многодетным семьям и расположенных в общем или смежном с такими земельными участками кадастровом квартале
</t>
  </si>
  <si>
    <t>ОМ 1.9</t>
  </si>
  <si>
    <t>Основное мероприятие 9.  Развитие льготного ипотечного кредитования</t>
  </si>
  <si>
    <t xml:space="preserve">1.14. Количество семей, получивших дополнительные меры поддержки </t>
  </si>
  <si>
    <t>1.9.1</t>
  </si>
  <si>
    <t>Субсидия акционерному обществу "ДОМ.РФ" на финансовое обеспечение затрат, связанных с возмещением недополученных доходов кредитных организаций в связи с предоставлением в соответствии с законодательством Мурманской области гражданам ипотечных кредитов (займов) на приобретение (строительство) жилья на условиях льготного ипотечного кредитования</t>
  </si>
  <si>
    <t>Предоставление компенсации процентной ставки по ипотечным кредитам в 2022 году 257 семьям, в 2023-2024 годах по 50 семей ежегодно</t>
  </si>
  <si>
    <t>ОМ 1.10</t>
  </si>
  <si>
    <t>Основное мероприятие 10. Реализация проектов по комплексному развитию территорий</t>
  </si>
  <si>
    <t>0.2 Количество семей, улучшивших жилищные условия</t>
  </si>
  <si>
    <t>1.10.1</t>
  </si>
  <si>
    <t>Субсидия из областного бюджета бюджетам муниципальных образований на выполнение мероприятий в границах комплексного развития территорий</t>
  </si>
  <si>
    <t>Заключение договоров на технологическое присоединение по водоснабжению</t>
  </si>
  <si>
    <t>ОМ 1.11</t>
  </si>
  <si>
    <t>Основное мероприятие 11. Улучшение жилищных условий в результате проведения ремонтных работ МКД</t>
  </si>
  <si>
    <t xml:space="preserve"> 1.3. Доля МКД, в которых проведен капитальный ремонт.  </t>
  </si>
  <si>
    <t>Минстрой МО, НКО «ФКР МО»</t>
  </si>
  <si>
    <t>1.11.1</t>
  </si>
  <si>
    <t>Субсидия некоммерческой организации «Фонд капитального ремонта общего имущества в многоквартирных домах в Мурманской области» на проведение капитального ремонта элементов общего имущества МКД не включенных в региональную программу</t>
  </si>
  <si>
    <t xml:space="preserve">Выполнение работ по капитальному ремонту:                                                        - капитальный ремонт крыш в 2022 году - 1 шт.                       </t>
  </si>
  <si>
    <t>1.11.2</t>
  </si>
  <si>
    <t>Субсидия НКО «ФКР МО» на проведение капитального ремонта элементов общего имущества МКД, не включенных в региональную программу капитального ремонта общего имущества в МКД, расположенных на территории Мурманской области, на 2014-2043 годы</t>
  </si>
  <si>
    <t xml:space="preserve">Выполнение работ по капитальному ремонту:                                                         - капитальный ремонт фасада в 2023 году - 1шт.                                    </t>
  </si>
  <si>
    <t>Подпрограмма 2 «Формирование комфортной городской среды»</t>
  </si>
  <si>
    <t>Минград МО, Минстрой МО, Минфин МО, Минтранс МО, Минэнерго и ЖКХ МО, ГОКУ "УКС МО", ГОАУ "Управление государственной экспертизы Мурманской области", муниципальное образование г. Мурманск</t>
  </si>
  <si>
    <t>Региональный проект «Формирование комфортной городской среды»</t>
  </si>
  <si>
    <t>0.4. Доля благоустроенных дворовых территорий от общего количества дворовых территорий Мурманской области
0.5. Доля благоустроенных общественных  территорий от общего количества общественных  территорий Мурманской области
0.8. Среднее значение индекса качества городской среды
0.9. Доля граждан, принявших участие в решении вопросов развития городской среды, от общего количества граждан в возрасте от 14 лет, проживающих в муниципальных образованиях, на территории которых реализуются проекты по созданию комфортной городской среды</t>
  </si>
  <si>
    <t>Минград МО, муниципальные образования МО</t>
  </si>
  <si>
    <t>Предоставление субсидий из областного бюджета местным бюджетам Мурманской области на поддержку муниципальных программ формирования современной городской среды в части выполнения мероприятий по благоустройству дворовых территорий**</t>
  </si>
  <si>
    <t xml:space="preserve"> Доля благоустроенных дворовых территорий от общего количества дворовых территорий Мурманской области
 Количество многоквартирных домов, в отношении которых выполнено комплексное благоустройство дворовых территорий</t>
  </si>
  <si>
    <t>Предоставление субсидий из областного бюджета местным бюджетам Мурманской области на поддержку муниципальных программ формирования современной городской среды в части выполнения мероприятий по благоустройству общественных территорий **</t>
  </si>
  <si>
    <t xml:space="preserve"> Доля благоустроенных общественных  территорий от общего количества общественных  территорий Мурманской области
 Количество реализованных проектов комплексного благоустройства общественных  территорий </t>
  </si>
  <si>
    <t>П 2.1.3</t>
  </si>
  <si>
    <t>Иные межбюджетные трансферты на создание комфортной городской среды в малых городах и исторических поселениях - победителях Всероссийского конкурса лучших проектов создания комфортной городской среды</t>
  </si>
  <si>
    <t>Основное мероприятие 1. Реализация проектов местных инициатив граждан в муниципальных образованиях Мурманской области</t>
  </si>
  <si>
    <t>2.7. Количество реализованных проектов, инициированных населением муниципальных образований Мурманской области</t>
  </si>
  <si>
    <t>Минград МО,            Минэнерго и ЖКХ МО, муниципальные образования</t>
  </si>
  <si>
    <t>Предоставление субсидии бюджетам муниципальных образований на реализацию проектов по поддержке местных инициатив**</t>
  </si>
  <si>
    <t>не менее 10 проектов в год, начиная с 2023 года</t>
  </si>
  <si>
    <t>Минград МО, муниципальные образования</t>
  </si>
  <si>
    <t>Иной межбюджетный трансферт из областного бюджета на предоставление грантов бюджетам мунципальных образований Мурманской области на финансирование проектов модернизации городского освещения</t>
  </si>
  <si>
    <t xml:space="preserve">не менее 3 проектов </t>
  </si>
  <si>
    <t>Минэнерго и ЖКХ МО, муниципальные образования</t>
  </si>
  <si>
    <t>Основное мероприятие 2. Формирование градостроительной политики в Мурманской области</t>
  </si>
  <si>
    <t>2.5 Наличие схемы территориального планирования Мурманской области в актуальном виде</t>
  </si>
  <si>
    <t>Минстрой МО, ГОКУ "УКС МО", ГОАУ "Управление государственной экспертизы Мурманской области"</t>
  </si>
  <si>
    <t>Обеспечение реализации государственных функций Министерства строительства Мурманской области</t>
  </si>
  <si>
    <t>Финансовое обеспечение реализации 32 функций Министерства</t>
  </si>
  <si>
    <t>Развитие в подведомственных учреждениях информационно-технологической инфраструктуры, содержание объектов недвижимого имущества,мероприятия по обязательной аттестации экспертов, обеспечение гарантий и компенсаций, установленных законодательством для лиц, работающих в районах Крайнего Севера</t>
  </si>
  <si>
    <t>предоставление субсидии ГОАУ "Управление государственной экспертизы МО" на иные цели (Содержание объектов недвижимого имущества закрепленного за учреждением на праве оперативного управления, и  недвижимого имущества, используемого учреждением на праве договора аренды, налог на имущество; Проведение мероприятий по организации обязательной аттестации на право проведения экспертизы ПД и результатов инженерных изысканий (преддатестационная подготовка); Проведение мероприятий по организации обязательной аттестации экспертов сметчиков (командировочные расходы, проживание); Биммоделирование</t>
  </si>
  <si>
    <t>Минстрой МО, ГОАУ "Управление государственной экспертизы Мурманской области"</t>
  </si>
  <si>
    <t>2.2.3</t>
  </si>
  <si>
    <t>выполнение функций заказчика по строительству объектов капитального строительства областной собственности Мурманской области и объектов капитального и текущего ремонтов</t>
  </si>
  <si>
    <t xml:space="preserve"> ГОКУ "УКС"</t>
  </si>
  <si>
    <t>2.2.4</t>
  </si>
  <si>
    <t>Обеспечение реализации государственных функций в сфере  градостроительства и благоустройства</t>
  </si>
  <si>
    <t>Финансовое обеспечение реализации 25 функций Министерства градостроительства и благоустройства Мурманскй области</t>
  </si>
  <si>
    <t>Минград МО</t>
  </si>
  <si>
    <t>2.2.5</t>
  </si>
  <si>
    <t>Актуализация генерального плана и Правил землепользования и застройки муниципального образования ЗАТО город Североморск</t>
  </si>
  <si>
    <t>2.2.6</t>
  </si>
  <si>
    <t>Актуализация генерального плана и Правил землепользования и застройки муниципального образования город Оленегорск с подведомственной территорией</t>
  </si>
  <si>
    <t>2.2.7</t>
  </si>
  <si>
    <t>Актуализация генерального плана и Правил землепользования и застройки муниципального округа город Полярные Зори с подведомственной территорией</t>
  </si>
  <si>
    <t>2.2.8</t>
  </si>
  <si>
    <t>Разработка проекта планировки и проекта межевания территории для жилищного строительства в городе Полярные Зори</t>
  </si>
  <si>
    <t>ОМ 2.3</t>
  </si>
  <si>
    <t>Основное мероприятие 3. Финансовое обеспечение исполнения городом Мурманском функций областного центра субъекта Российской Федерации - Мурманской области</t>
  </si>
  <si>
    <t>2.3 выполнение в отчетном финансовом году показателей по мероприятиям, на софинансирование которых направлена субсидия, равных значениям, установленных в Соглашениях о предоставлении субсидии из областного бюджета бюджету муниципального образования город Мурманск на осуществление городом Мурманском функций административного центра области</t>
  </si>
  <si>
    <t xml:space="preserve">Минград МО, Минстрой МО, Минфин МО, Минтранс МО, муниципальное образование г. Мурманск
</t>
  </si>
  <si>
    <t>2.3.1</t>
  </si>
  <si>
    <t>Предоставление субсидии из областного бюджета бюджету муниципального образования городской округ город-герой Мурманск на осуществление городским округом городом-героем Мурманском функций административного центра области</t>
  </si>
  <si>
    <t>Предоставление субсидий на осуществление дорожной деятельности в отношении автомобильных дорог местного значения и обеспечение безопасности дорожного движения на них.
Предоставление субсидий на организацию благоустройства территории муниципального образования город Мурманск.</t>
  </si>
  <si>
    <t>ОМ 2.4</t>
  </si>
  <si>
    <t>Основное мероприятие 4. Финансовое обеспечение мероприятий по обустройству мест захоронения</t>
  </si>
  <si>
    <t xml:space="preserve">2.4 Количество обустроенных мест захоронений на территории Мурманской области
</t>
  </si>
  <si>
    <t>2.4.1.</t>
  </si>
  <si>
    <t>Кладбище традиционного захоронения в районе н.п. Нивский</t>
  </si>
  <si>
    <t xml:space="preserve">2021 - 1 этап строительства
2022 - 2024  - 2 этап строительства
</t>
  </si>
  <si>
    <t>Минстрой МО,
Кандалакшский район</t>
  </si>
  <si>
    <t>2.4.2</t>
  </si>
  <si>
    <t xml:space="preserve"> 2021 - 2023. - 3 этап строительства 
2024 - 2024 -  2 этап строительства</t>
  </si>
  <si>
    <t>Минстрой МО,
МО г. Мончегорск с п.т.</t>
  </si>
  <si>
    <t>2.4.3</t>
  </si>
  <si>
    <t xml:space="preserve">2021 - 1 этап строительства
2022 - 2024 - 2 этап строительства                
                                                                             </t>
  </si>
  <si>
    <t>Минстрой МО,
МО Печенгский район</t>
  </si>
  <si>
    <t>2.4.4</t>
  </si>
  <si>
    <t xml:space="preserve">2019 - 2022  - строительство                                                                 Ввод объекта в эксплуатацию в 2022 году                                </t>
  </si>
  <si>
    <t>Минстрой МО,
МО г.п. Заполярный Печенгского района</t>
  </si>
  <si>
    <t>2.4.5</t>
  </si>
  <si>
    <t>Городское кладбище г. Оленегорска</t>
  </si>
  <si>
    <t xml:space="preserve">2021-2025 - 2 -5 этапы строительства
          Ввод объекта в эксплуатацию в 2028 году        </t>
  </si>
  <si>
    <t>Минстрой МО,
МО г. Оленегорск с п.т.</t>
  </si>
  <si>
    <t>2.4.6</t>
  </si>
  <si>
    <t>Строительство и развитие нового городского кладбища в районе п.г.т. Сафоново Мурманской области</t>
  </si>
  <si>
    <t xml:space="preserve">2021 - строительство
Ввод объекта в эксплуатацию в 2021 году        </t>
  </si>
  <si>
    <t>Минстрой МО, МО г.Североморск</t>
  </si>
  <si>
    <t>2.4.7</t>
  </si>
  <si>
    <t>Строительство городского кладбища на  7-8 км автодороги Кола-Мурмаши, участок "Сангородок у кедра" (2-ой участок площадью 16,0 га)</t>
  </si>
  <si>
    <t xml:space="preserve">2020 -40%, 2022 - 60% - ПСД                                Строительство – 2022-2024 годы, в т.ч.:
строительство 1 этапа: 2022 год;
строительство 3 этапа: 2022 год;
строительство 4 этапа: 2022-2023 годы;
строительство 5 этапа: 2023-2024 годы.
        </t>
  </si>
  <si>
    <t>Минстрой МО г.Мурманск</t>
  </si>
  <si>
    <t>ОМ 2.5.</t>
  </si>
  <si>
    <t>Основное мероприятие 5.  Обеспечение деятельности Автономной некоммерческой организации "Центр городского развития Мурманской области"</t>
  </si>
  <si>
    <t>2.8. Количество обустроенных детских и спортивных площадок</t>
  </si>
  <si>
    <t>Минград МО, АНО "Центр городского развития Мурманской области"</t>
  </si>
  <si>
    <t>2.5.1</t>
  </si>
  <si>
    <t>Финансовое обеспечение деятельности автономной некоммерческой организации "Центр городского развития Мурманской области"</t>
  </si>
  <si>
    <t>не менее 50 площадок в год, начиная с 2023 года</t>
  </si>
  <si>
    <t>ОМ 2.6.</t>
  </si>
  <si>
    <t>Основное мероприятие 6. Снос аварийных расселенных жилых домов</t>
  </si>
  <si>
    <t>2.6. Количество снесенных аварийных домов</t>
  </si>
  <si>
    <t>2.6.1</t>
  </si>
  <si>
    <t>Субсидии из областного бюджета бюджетам муниципальных образований Мурманской области на софинансирование мероприятий по сносу аварийных расселенных жилых домов</t>
  </si>
  <si>
    <t>Снесено не менее 16 аварийных многоквартирных домов</t>
  </si>
  <si>
    <t>2.6.2</t>
  </si>
  <si>
    <t>Субсидия бюджетам муниципальных образований Мурманской области на софинансирование мероприятий по сносу жилых домов и объектов незавершенного строительства</t>
  </si>
  <si>
    <t>Количество  выполненных мероприятий по сносу жилых домов и объектов незавершенного строительства</t>
  </si>
  <si>
    <t>ОМ 2.7</t>
  </si>
  <si>
    <t>Основное мероприятие 7.  Реализация Комплексного плана развития социальной и инженерной инфраструктур закрытых административно-территориальных образований Мурманской области и населенных пунктов Мурманской области с дислокацией военных формирований</t>
  </si>
  <si>
    <t xml:space="preserve">
 2.11 Доля выполненных мероприятий комплексного плана -100%
</t>
  </si>
  <si>
    <t>Минстрой МО,  Минтранс МО, Минград МО, муниципальные образования</t>
  </si>
  <si>
    <t>Минстрой</t>
  </si>
  <si>
    <t>Минтранс</t>
  </si>
  <si>
    <t>Минград</t>
  </si>
  <si>
    <t>2.7.1</t>
  </si>
  <si>
    <t>иной межбюджетный трансферт муниципальным образованиям Мурманской области на реализацию мероприятий комплексного плана развития социальной и инженерной инфраструктур закрытых административно-территориальных образований Мурманской области и населенных пунктов Мурманской области с дислокацией военных формирований.</t>
  </si>
  <si>
    <t>выполнение ремонтых работ не менее чем на 2 объектах культуры;
выполнение ремонтых работ не менее чем на 2 объектах  образования;
выполнение ремонтых работ  не менее 1 объекта  спорта; разработка проектно - сметной документации строительства физкультурно-оздоровительного комплекса в  г. Гаджиево;
приведение в нормативное состояние  автомобильных дорог общего пользования местного значения и (или) их участков,  за счет средств межбюджетного трансферта - не менее 5 км;отремонтировано не менее 40 конструктивных элементов общедомового имущества  в результате проведения капитального ремонта МКД; выполнение работ по демонтажу МКД, выведенных из состава ЖФ и непригодных для проживания не менее 8 шт.
 проведение ремонта не менее чем в  419 квартирах;
осуществление благоустройства дворовых и общественных территорий не менее чем 15 шт (14 дворовых дорог, 1 детская площадка).</t>
  </si>
  <si>
    <t>ОМ 2.8</t>
  </si>
  <si>
    <t>Основное мероприятие 8. Строительство, реконструкция и капитальный ремонт объектов капитального характера на территории муниципальных образований</t>
  </si>
  <si>
    <t>2.12 Количество введенных в эксплуатацию объектов капитального строительства</t>
  </si>
  <si>
    <t>Минстрой МО, муниципальные образования МО , ГОКУ "УКС"</t>
  </si>
  <si>
    <t>2.8.1</t>
  </si>
  <si>
    <t>Строительство пешеходного моста в г. Полярный, ул. Моисеева - ул. Душенова</t>
  </si>
  <si>
    <t xml:space="preserve">2020-2021 - строительство
Ввод объекта в эксплуатацию в 2021 году       </t>
  </si>
  <si>
    <t>Минстрой МО, ЗАТО Александровск</t>
  </si>
  <si>
    <t>2.8.2</t>
  </si>
  <si>
    <t xml:space="preserve">Капитальный ремонт моста в с.Каневка  </t>
  </si>
  <si>
    <t>2022 год ремонт моста</t>
  </si>
  <si>
    <t>Минстрой МО, Ловозерский район</t>
  </si>
  <si>
    <t>2.8.3</t>
  </si>
  <si>
    <t xml:space="preserve">Компенсационное озеленение в рамках Разрешений на снос, пересадку, санитарную обрезку зеленых насаждений, выданных а ходе реализации мероприятий по строительству, реконструкции и капитальному ремонту объектов капитального строительства, заказчиком по которым определено ГОКУ "Управление капитального строительства Мурманской области" </t>
  </si>
  <si>
    <t>2022 - озеленение</t>
  </si>
  <si>
    <t>Минстрой МО, ГОКУ "УКС"</t>
  </si>
  <si>
    <t>2.8.4</t>
  </si>
  <si>
    <t>Строительство пешеходного моста в рамках проекта благоустройства общественной территории западной части комплекса «Долина Уюта» по границам улиц Ломоносова, Морской, Лыжного проезда, Кольского проспекта в городе Мурманске</t>
  </si>
  <si>
    <t>2022 - строительство пешеходного моста</t>
  </si>
  <si>
    <t>ОМ 2.10</t>
  </si>
  <si>
    <t>Основное мероприятие 10.  Реализация программы обновлениия парка техники для уборки территорий муниципальных образований Мурманской области</t>
  </si>
  <si>
    <t>Минэнерго и ЖКХ МО, муниципальные образования МО</t>
  </si>
  <si>
    <t>2.10.1</t>
  </si>
  <si>
    <t>Субсидия на приобретение коммунальной техники для уборки территорий муниципальных образований Мурманской области</t>
  </si>
  <si>
    <t xml:space="preserve">Приобретение 60 единиц техники </t>
  </si>
  <si>
    <t>Подпрограмма 3 «Сокращение непригодного для проживания жилищного фонда»</t>
  </si>
  <si>
    <t xml:space="preserve">Минстрой МО, муниципальные образования МО, ГОКУ "УКС МО" </t>
  </si>
  <si>
    <t>Региональный проект «Обеспечение устойчивого сокращения непригодного для проживания жилищного фонда»</t>
  </si>
  <si>
    <t>3.1. Общая площадь расселенных жилых помещений в аварийном МКД
3.2.Количество граждан, расселенных из аварийного жилищного фонда</t>
  </si>
  <si>
    <t>Количество квадратных метров расселенного аварийного жилищного фонда  признанного таковым с 01.01.2012 до 01.01.17 года - 70,13 тыс.кв.м   
Количество граждан, расселенных из аварийного жилищного фонда признанного таковым с 01.01.2012 до 01.01.2017 года - 4059 чел.</t>
  </si>
  <si>
    <t>Жилой дом в г.п. Молочный
Кольского района Мурманской области</t>
  </si>
  <si>
    <t>Ввод нового жилья для переселения граждан из аварийного жилищного фонда общей площадью 716,9 кв.м, количество человек - 51</t>
  </si>
  <si>
    <t>Жилой дом в г.п. Умба
Терского района Мурманской области</t>
  </si>
  <si>
    <t>ВВвод нового жилья для переселения граждан из аварийного жилищного фонда общей площадью 942,41 кв. м</t>
  </si>
  <si>
    <t>Жилой дом в г. Мурманске по ул. Павлова</t>
  </si>
  <si>
    <t>2021-
2024</t>
  </si>
  <si>
    <t>Ввод нового жилья для переселения граждан из аварийного жилищного фонда общей площадью 133,57 кв.м</t>
  </si>
  <si>
    <t>П 3.1.5</t>
  </si>
  <si>
    <t>Жилой дом в г.п. Зеленоборский
Кандалакшского района Мурманской области</t>
  </si>
  <si>
    <t>Ввод нового жилья для переселения граждан из аварийного жилищного фонда общей площадью 1380,9 кв. м</t>
  </si>
  <si>
    <t>П 3.1.6</t>
  </si>
  <si>
    <t>Жилой дом в г. Мурманске по ул. Полярные Зори</t>
  </si>
  <si>
    <t>Ввод нового жилья для переселения граждан из аварийного жилищного фонда общей площадью 4 771,26 кв. м</t>
  </si>
  <si>
    <t>П 3.1.7</t>
  </si>
  <si>
    <t>Жилой дом в г. Мурманске по ул. Кирпичной</t>
  </si>
  <si>
    <t>Ввод нового жилья для переселения граждан из аварийного жилищного фонда общей площадью 4638,0 кв. м</t>
  </si>
  <si>
    <t>П 3.1.8</t>
  </si>
  <si>
    <t>Жилые дома в п.г.т. Зеленоборский Кандалакшского района Мурманской области по ул. Полярной</t>
  </si>
  <si>
    <t>Ввод нового жилья для переселения граждан из аварийного жилищного фонда общей площадью    3440,0 кв.м</t>
  </si>
  <si>
    <t>П 3.1.9</t>
  </si>
  <si>
    <t>Жилые дома в г. Мурманске на ул. Бондарной. Этап 1 - Жилой дом в городе Мурманске по улице Бондарной. ГП-1.1</t>
  </si>
  <si>
    <t>Ввод нового жилья для переселения граждан из аварийного жилищного фонда общей площадью    1657,0 кв.м</t>
  </si>
  <si>
    <t>П 3.1.10</t>
  </si>
  <si>
    <t>Жилой дом в г.Мурманске по ул. Зеленой</t>
  </si>
  <si>
    <t>Ввод нового жилья для переселения граждан из аварийного жилищного фонда общей площадью   6202,0 кв.м</t>
  </si>
  <si>
    <t>П 3.1.11</t>
  </si>
  <si>
    <t xml:space="preserve">Жилой дом в г. Мурманске по ул. Героев Рыбачьего </t>
  </si>
  <si>
    <t>Ввод нового жилья для переселения граждан из аварийного жилищного фонда общей площадью       6942,8 кв.м</t>
  </si>
  <si>
    <t>Обеспечение граждан благоустроенными жилыми помещениями из непригодного для проживания жилищного фонда</t>
  </si>
  <si>
    <t>3.1. Общая площадь расселенных жилых помещений в аварийном МКД</t>
  </si>
  <si>
    <t>Субсидия на переселение граждан из сгоревших многоквартирных домов, признанных в установленном порядке аварийными</t>
  </si>
  <si>
    <t>Количество квадратных метров расселенного аварийного жилищного фонда  1,4 тыс.кв.м   
Количество граждан, расселенных из аварийного жилищного фонда 73 чел.</t>
  </si>
  <si>
    <t>3.3.2</t>
  </si>
  <si>
    <t>Субсидия на переселение граждан, проживающих в жилых помещениях, пострадавших в результате пожара.</t>
  </si>
  <si>
    <t>Расселенная площадь жилых помещений - 1 533 кв.м
Количество переселенных граждан - 64</t>
  </si>
  <si>
    <t>3.3.3</t>
  </si>
  <si>
    <t xml:space="preserve">Субсидия на прибретение жилых помещений для переселения граждан из многоквартирных домов, признанных аварийными и подлежащими сносу </t>
  </si>
  <si>
    <t xml:space="preserve">Расселенная площадь жилых помещений находящихся в домах, признанных аварийными после 01.01.2017; 1783,4 кв.м. </t>
  </si>
  <si>
    <t>3.3.4</t>
  </si>
  <si>
    <t>Субсидия на приобретение жилых помещений для граждан, проживающих в аварийном жилищном фонде путем участия в долевом строительстве.</t>
  </si>
  <si>
    <t>Приобретение жилых помещений для граждан проживающих в  аварийном жилищном фонде, 864,75 кв.м.</t>
  </si>
  <si>
    <t>3.3.5</t>
  </si>
  <si>
    <t>Субсидия бюджетам муниципальных образований на софинансирование мероприятий по сносу домов и расселению граждан из многоквартирных домов, признанных аварийными и подлежащими сносу или реконструкции в разные годы</t>
  </si>
  <si>
    <t xml:space="preserve">Расселенная площадь жилых помещений 1623,95 кв.м., снос 8 аварийных МКД.
</t>
  </si>
  <si>
    <t>3.3.6</t>
  </si>
  <si>
    <t>Иной межбюджетный трансферт из областного бюджета местным бюджетам на приобретение жилых помещений для граждан, проживающих в аварийном жилищном фонде</t>
  </si>
  <si>
    <t>Приобретение жилых помещений в строящемся доме для граждан проживающих в аварийном жилищном фонде, расселение 589 кв. м. аварийной жилой площади</t>
  </si>
  <si>
    <t>3.3.7</t>
  </si>
  <si>
    <t>Субсидия из областного бюджета бюджетам муниципальных образований Мурманской области на софинансирование мероприятий по  обеспечению граждан, проживающих в МКД, расселение которых предусмотрено в рамках реализации КРТ и их последующий снос</t>
  </si>
  <si>
    <t xml:space="preserve">Расселенная площадь жилых помещений 4465,55 кв. м., снос 16 аварийных МКД. Уровень софинансирования местного бюджета указан с учетом внесения планируемых изменений в Порядок определенияи установления предельного уровня софинансирования из областного бюджета расходного обязательства муниципального образования, утвержденного постановлением Правительства Мурманской области от  05.09.2011 (в редакции от 22.12.2022) № 445-ПП </t>
  </si>
  <si>
    <t>Основное мероприятие 1. Модернизация объектов теплоснабжения, электроснабжения, водоснабжения, водоотведения</t>
  </si>
  <si>
    <t>4.1. Количество построенных и реконструируемых объектов топливно-энергетического комплекса</t>
  </si>
  <si>
    <t>Минэнерго и ЖКХ МО, муниципальные образования МО, инвесторы, РСО</t>
  </si>
  <si>
    <t>Разработка схемы и программы развития электроэнергетики Мурманской области</t>
  </si>
  <si>
    <t>Разработка схемы и программы развития электроэнергетики Мурманской области (ежегодно, 1 ед.)</t>
  </si>
  <si>
    <t>4.1.2</t>
  </si>
  <si>
    <t>Разработка прогнозного топливно-энергетического баланса Мурманской области</t>
  </si>
  <si>
    <t>Утверждение прогнозного топливно-энергетического баланса Мурманской области</t>
  </si>
  <si>
    <t>4.1.3</t>
  </si>
  <si>
    <t>Основное ограждение внешнего периметра зоны санитарной охраны насосной станции I-го подъема оз.Имандра монолитным ж/б забором высотой 2,5 м с охранной сигнализацией и видеонаблюдением г. Апатиты Мурманской области</t>
  </si>
  <si>
    <t>ввод объекта в эксплуатацию</t>
  </si>
  <si>
    <t>Минэнерго и ЖКХ МО, АО "Апатитыводоканал"</t>
  </si>
  <si>
    <t>4.1.4</t>
  </si>
  <si>
    <t>Модернизации централизованной системы теплоснабжения правобережной части с. Териберка путём создания на указанной территории децентрализованной системы теплоснабжения с применением индивидуальных домовых электрических котельных (ИДЭК) для объектов потребления тепловой энергии</t>
  </si>
  <si>
    <t>Минстрой МО, Администрация Кольского района</t>
  </si>
  <si>
    <t>4.1.5</t>
  </si>
  <si>
    <t>Реконструкция сетей водоснабжения, расположенных на западном берегу Кольского залива</t>
  </si>
  <si>
    <t>Увеличение доли населения, обеспеченного качественной питьевой водой</t>
  </si>
  <si>
    <t>Минстрой МО,   ГОУП  "Мурманскводоканал"</t>
  </si>
  <si>
    <t>4.1.6</t>
  </si>
  <si>
    <t>Развитие сетей водоснабжения на Западном берегу Кольского залива г.Мурманска, от точки присоединения к централизованной системе холодного водоснабжения ГОУП «Мурманскводоканал» в районе Комсомольской горки г. Кола до жилого района Дровяное г.Мурманска</t>
  </si>
  <si>
    <t>4.1.7</t>
  </si>
  <si>
    <t>Развитие сетей водоснабжения на западном берегу Кольского залива г. Мурманска, переходы водоводов  через р. Кола и Вересову губу Кольского залива</t>
  </si>
  <si>
    <t>4.1.8</t>
  </si>
  <si>
    <t>Реконструкция производственно-технологического комплекса "ОСК н.п. Кильдинстрой"</t>
  </si>
  <si>
    <t xml:space="preserve">
Ввод объекта в эксплуатацию</t>
  </si>
  <si>
    <t>Минстрой МО, ГОУП  "Мурманскводоканал"</t>
  </si>
  <si>
    <t>4.1.9</t>
  </si>
  <si>
    <t>Реконструкция производственно-технологического комплекса "ОСК н.п. Шонгуй"</t>
  </si>
  <si>
    <t>4.1.10</t>
  </si>
  <si>
    <t>Модернизация системы водоснабжения жилрайона Росляково Ленинского административного округа г. Мурманска путём перевода с открытой системы теплоснабжения (горячего водоснабжения) на закрытую (21 год разработка проектной документации)</t>
  </si>
  <si>
    <t xml:space="preserve">
Обеспечение жителей Ленинского административного округа г. Мурманска горячей водой, соответсвующей качеству СанПиН</t>
  </si>
  <si>
    <t>Минстрой МО, муниципальные образовани МО</t>
  </si>
  <si>
    <t>4.1.11</t>
  </si>
  <si>
    <t>Реконструкция (техническое перевооружение/модернизация) котельной "Северная" в связи с переводом на закрытую систему теплоснабжения Ленинского административного округа и мкр. Росляково г. Мурманска</t>
  </si>
  <si>
    <t>Минэнерго и ЖКХ МО, АО "МЭС"</t>
  </si>
  <si>
    <t>4.1.12</t>
  </si>
  <si>
    <t>Строительство автоматизированной блочно-модульной паровой котельной, расположенной по адресу: Россия, 184600  Мурманская обл., Североморск, г. Мурманское шоссе, д.3</t>
  </si>
  <si>
    <t>Минстрой МО, ГОУСП "Тулома"</t>
  </si>
  <si>
    <t>4.2. Количество организаций, которым компенсированы недополученные доходы</t>
  </si>
  <si>
    <t>Минэнерго и ЖКХ МО, Минимущества МО, РСО</t>
  </si>
  <si>
    <t>Финансовое обеспечение затрат организациям в связи с производством (реализацией) тепловой энергии потребителям по регулируемым тарифам на территории Мурманской области</t>
  </si>
  <si>
    <t>Осуществление компенсации выпадающих доходов организаций,осуществляющих производство (реализацию) тепловой энергии потребителям по регулируемым тарифам</t>
  </si>
  <si>
    <t>4.2.2</t>
  </si>
  <si>
    <t>Возмещение затрат (недополученных доходов) организациям, осуществляющим водоснабжение, водоотведение по установленным для населения тарифам</t>
  </si>
  <si>
    <t>Обеспечение возмещения затрат (недополученных доходов) организациям, осуществляющим водоснабжение, водоотведение по установленным для населения тарифам</t>
  </si>
  <si>
    <t>Минэнерго и ЖКХ МО, РСО</t>
  </si>
  <si>
    <t>4.2.3</t>
  </si>
  <si>
    <t>Возмещение затрат (недополученных доходов) газоснабжающим организациям, поставляющим сжиженный газ для обеспечения коммунально-бытовых нужд населения по утвержденным розничным ценам</t>
  </si>
  <si>
    <t>Обеспечение возмещения затрат (недополученных доходов) газоснабжающим организациям, поставляющим сжиженный газ для обеспечения коммунально-бытовых нужд населения по утвержденным розничным ценам</t>
  </si>
  <si>
    <t>4.2.4</t>
  </si>
  <si>
    <t>Возмещение затрат (недополученных доходов) гарантирующим поставщикам электрической энергии, действующим на изолированных территориях и предоставляющим услугу электроснабжения</t>
  </si>
  <si>
    <t>Обеспечение возмещения затрат (недополученных доходов) гарантирующим поставщикам электрической энергии, действующим на изолированных территориях и предоставляющим услугу электроснабжения</t>
  </si>
  <si>
    <t>4.2.5</t>
  </si>
  <si>
    <t>Вклад в имущество акционерных обществ, осуществляющих деятельность в сфере теплоснабжения, водоснабжения и водоотведения, единственным акционером которых является Правительство Мурманской области</t>
  </si>
  <si>
    <t>Погашение кредиторской задолженности АО "МЭС" за приобретенное оборудование и иное имуществообъектов теплоснабжения, погашение задолженности перед поставщиками топлива (ресурса)</t>
  </si>
  <si>
    <t>Минимущество МО, Минэнерго и ЖКХ МО</t>
  </si>
  <si>
    <t>4.2.6</t>
  </si>
  <si>
    <t>Финансовое обеспечение затрат акционерного общества "Мурманэнергосбыт", связанных с обеспечением качественного и надежного теплоснабжения в Мурманской области, в форме безвозмездного вклада в денежной форме в имущество акционерного общества, единственным акционером которого является Мурманская область</t>
  </si>
  <si>
    <t>Качественное и надежное обеспечение потребителей услугами в сфере теплоснабжения, являющегося основным видом деятельности Общества</t>
  </si>
  <si>
    <t>Минэнерго и ЖКХ МО, АО "Мурманэнергосбыт"</t>
  </si>
  <si>
    <t>4.2.7.</t>
  </si>
  <si>
    <t xml:space="preserve">Субсидия газоснабжающим организациям, поставляющим сжиженный газ для обеспечения коммунально-бытовых нужд населения по утвержденным розничным ценам, в целях компенсации выпадающих доходов, связанных с ростом цен на газ (за счет средств резервного фонда Правительства Мурманской области)
</t>
  </si>
  <si>
    <t xml:space="preserve">Осуществление компенсации выпадающих доходов газоснабжающим организациям недополученных доходов, связанных с ростом цен на газ </t>
  </si>
  <si>
    <t>4.2.8.</t>
  </si>
  <si>
    <t xml:space="preserve">Субсидия газоснабжающим организациям, поставляющим сжиженный газ для обеспечения коммунально-бытовых нужд населения по утвержденным розничным ценам, на финансовое обеспечение затрат, связанных с ростом на газ (за счет средств резервного фонда Правительства Мурманской области)
</t>
  </si>
  <si>
    <t xml:space="preserve">Финансовое обеспечение затрат газоснабжающих организаций, связанных с ростом цен на газ </t>
  </si>
  <si>
    <t>4.2.9.</t>
  </si>
  <si>
    <t xml:space="preserve">Субсидия теплоснабжающим организациям на финансовое обеспечение затрат в связи с производством (реализацией) тепловой энергии потребителям по регулируемым тарифам на территории Мурманской области, связанным с ростом стоимости угля
</t>
  </si>
  <si>
    <t xml:space="preserve">Финансовое обеспечение затрат теплосабжающих организаций, связанных с ростом цен на уголь </t>
  </si>
  <si>
    <t>4.2.10</t>
  </si>
  <si>
    <t>Финансовое обеспечение затрат организациям в связи с производством (реализацией) тепловой энергии потребителям по регулируемым тарифам на территории Мурманской области, связанных с ростом стоимости угля (за счет средств резервного фонда Правительства Мурманской области)</t>
  </si>
  <si>
    <t xml:space="preserve">Финансовое обеспечение затрат теплосабжающих организаций, связанных с ростом цен на уголь (предоставление субсидия 11 организациям) </t>
  </si>
  <si>
    <t>4.2.11</t>
  </si>
  <si>
    <t>Субсидия на финансовое обеспечение затрат организациям, осуществляющим производство (реализацию) тепловой энергии потребителям по регулируемым тарифам на территории Мурманской области, связанных с ростом стоимости угля за 2-е полугодие 2022 года</t>
  </si>
  <si>
    <t>ОМ 4.3</t>
  </si>
  <si>
    <t>Основное мероприятие 3. Обеспечение бесперебойного функционирования и повышения энергетической эффективности объектов и систем жизнеобеспечения муниципальных образований Мурманской области</t>
  </si>
  <si>
    <t>4.3. Доля отремонтированных инженерных сетей ЖКХ муниципальных образований в общем объеме ветхих инженерных сетей, подлежащих ремонту, определенному по состоянию на 01.07.2012</t>
  </si>
  <si>
    <t>Минэнерго и ЖКХ МО, муниципальные образования МО, РСО</t>
  </si>
  <si>
    <t>4.3.1</t>
  </si>
  <si>
    <t>Подготовка муниципальных образований к отопительному периоду</t>
  </si>
  <si>
    <t>Ремонт не менее 15 объектов коммунальной инфраструктуры муниципальных образований в год</t>
  </si>
  <si>
    <t>4.3.2</t>
  </si>
  <si>
    <t>Обеспечение нефтепродуктами и топливом удаленных населенных пунктов с ограниченным сроком завоза грузов</t>
  </si>
  <si>
    <t>4.3.3</t>
  </si>
  <si>
    <t xml:space="preserve">Иные межбюджетные трансферты из областного бюджета местным бюджетам на реализацию мероприятий муниципальных программ по обеспечению надежности систем теплоснабжения </t>
  </si>
  <si>
    <t>Ремонт не менее 2 объектов коммунальной инфраструктуры муниципальных образований в год</t>
  </si>
  <si>
    <t>4.3.4</t>
  </si>
  <si>
    <t>Приобретение коммунальной техники для мунципальных нужд</t>
  </si>
  <si>
    <t>Приобретение 1 единицы технкии</t>
  </si>
  <si>
    <t>4.3.5.</t>
  </si>
  <si>
    <t>Иные межбюджетные трансферты из областного бюджета местным бюджетам в целях обеспечения надежности систем теплоснабжения</t>
  </si>
  <si>
    <t xml:space="preserve">Приобретение парового котла ДКВР 10/13 в целях обеспечения надежности систем теплоснабжения г. Мурманска </t>
  </si>
  <si>
    <t>ОМ 4.4</t>
  </si>
  <si>
    <t>Основное мероприятие 4. Обеспечение реализации государственных функций в сферах энергетики, энергосбережения и повышения энергетической эффективности, жилищных отношений и жилищно-коммунального хозяйства Мурманской области</t>
  </si>
  <si>
    <t>4.4 Энергоемкость валового региональног продукта</t>
  </si>
  <si>
    <t xml:space="preserve">Минэнерго и ЖКХ МО, ГОКУ "АЭЭМО" </t>
  </si>
  <si>
    <t>4.4.1</t>
  </si>
  <si>
    <t>Обеспечение реализации государственных функций Министерства энергетики и ЖКХ Мурманской области</t>
  </si>
  <si>
    <t>Финансовое обеспечение реализации 44 функций Министерства энергетики и ЖКХ Мурманской области</t>
  </si>
  <si>
    <t xml:space="preserve">Минэнерго и ЖКХ МО </t>
  </si>
  <si>
    <t>4.4.2</t>
  </si>
  <si>
    <t>Выполнение работ в сферах энергетики, энергосбережения и повышения энергетической эффективности, жилищных отношений и жилищно-коммунального хозяйства подведомственным казенным учреждением</t>
  </si>
  <si>
    <t>Финансовое обеспечение деятельности ГОКУ "АЭЭМО" (заработная плата, коммунальные расходы, административно-хозяйственная деятельность в целях обеспечения реализации полномочий  в сферах энергетики, энергосбережения и повышения энергетической эффективности, жилищных отношений и жилищно-коммунального хозяйства)</t>
  </si>
  <si>
    <t>Минэнерго и ЖКХ МО, ГОКУ "АЭЭМО"</t>
  </si>
  <si>
    <t xml:space="preserve">Подпрограмма 5  «Обеспечение осуществления государственного контроля (надзора) в жилищно-коммунальной сфере"
</t>
  </si>
  <si>
    <t>Министерство государственного жилищного и строительного надзора МО</t>
  </si>
  <si>
    <t>ОМ 5.1</t>
  </si>
  <si>
    <t>Основное мероприятие 1.  Осуществление регионального государственного жилищного надзора, лицензионного контроля</t>
  </si>
  <si>
    <t xml:space="preserve">5.1 Доля обращений граждан в адрес ГЖИ по вопросам качества предоставления коммунальных услуг, аварий на инженерных сетях, протечки кровель, подтопления подвалов и разрушения конструктивных элементов многоквартирных домов                                                                                     </t>
  </si>
  <si>
    <t>5.1.1</t>
  </si>
  <si>
    <t>Обеспечение проведения проверок соблюдения органами государственной власти, органами местного самоуправления, а также юридическими лицами, индивидуальными предпринимателями и гражданами обязательных требований установленных жилищным законодательством, законодательством об энергосбережении и о повышении энергетической эффективности, осуществление правового просведения и информирования граждан в установленной сфере</t>
  </si>
  <si>
    <t>5.2. Снижение количества проверок по обращениям граждан, проводимых Государственной жилищной инспекцией Мурманской области  по вопросам качества предоставления коммунальных услуг, аварий на инженерных сетях, протечки кровель, подтопления подвалов и разрушения конструктивных элементов многоквартирных домов</t>
  </si>
  <si>
    <t>*по мероприятию 1.5.1 "Предоставление социальных выплат молодым семьям для улучшения жилищных условий" внебюджетные средства носят прогнозный характер.</t>
  </si>
  <si>
    <t>** финансовые средства распределяются по итогам конкурсного отбора на очередной финансовый год</t>
  </si>
  <si>
    <t>Министерство спорта МО, Минстрой МО, ГОУП "УСДЦ", ГОКУ "УКС МО", администрации муниципальных образований МО, АО Корпорация развития</t>
  </si>
  <si>
    <t>Реализация мероприятий по закупке оборудования для создания "умных" спортивных площадок</t>
  </si>
  <si>
    <t>Проведение мероприятий, направленных на эффективное использование и совершенствование объектов спортивный инфраструктуры, находящихся на территории военно-патриотического парка культуры и отдыха «Патриот» Северного флота</t>
  </si>
  <si>
    <t>1.2.15</t>
  </si>
  <si>
    <t xml:space="preserve">Обеспечение материально-технической базой нового спортивного пространства </t>
  </si>
  <si>
    <t>Закупка комплекта спортивного оборудования. 2021- ЗАТО Александровск. 2022 - Кольский район, н.п. Зверосовхоз, 2023 - Варзуга</t>
  </si>
  <si>
    <t>доп с софин фб</t>
  </si>
  <si>
    <t>в соотсвевии с бюджетной росписью, перераспределено с грантов</t>
  </si>
  <si>
    <t>уменьшение в связи с отказом участников и перераспределение на переезд</t>
  </si>
  <si>
    <t>Создание молодежного спортивного пространства "СОПКИ.СПОРТ"*</t>
  </si>
  <si>
    <t>* Реализация мероприятий в рамках постановления Правительства Мурманской области от 25.05.2023 № 389-ПП, соглашения о сотрудничестве между Правительством Мурманской области и Военно-гражданской администрацией Приморского района Запорожской области</t>
  </si>
  <si>
    <t>Поставка оборудования и инвентаря в организации спортивной подготовки:
в 2022 году – 2 организации (Кировская СШОР, Мончегорская СШОР);
в 2023 году – 2 организации (ГАУМО "МОСШОР по ЗВС" и ГАУМО "Комплексная СШОР");
в 2024 году - 2 организации</t>
  </si>
  <si>
    <t xml:space="preserve">ОМ 3.5  </t>
  </si>
  <si>
    <t xml:space="preserve">Минстрой МО, администрация муниципального образования Кольский муниципальный район Мурманской области
</t>
  </si>
  <si>
    <t xml:space="preserve">Минстрой МО, администрацим муниципальных образований Мурманской области
</t>
  </si>
  <si>
    <t>3.5.1.</t>
  </si>
  <si>
    <t>3.5.2.</t>
  </si>
  <si>
    <t>2023-2025- приобретение объекта</t>
  </si>
  <si>
    <t>Спортивный комплекс с плавательным бассейном «Энергетик», расположенный по адресу: Мурманская область, Кольский район, пгт. Мурмаши, ул. Мисякова, д.6</t>
  </si>
  <si>
    <t>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 (в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t>
  </si>
  <si>
    <t>Строительство объекта «ПСД на ФОК закрытого типа в районе дома 13 по ул. Старостина»(в рамках концессионного соглашения по строительству и эксплуатации объекта соглашения в соответствии с Федеральным законом от 21.07.2005 № 115-ФЗ «О концессионных соглашениях»)</t>
  </si>
  <si>
    <t>2022 -2023  год - разработка проекта</t>
  </si>
  <si>
    <t>Минстрой МО,
 АО Корпорация развития МО</t>
  </si>
  <si>
    <t>Фитнесс-центр «Престиж», расположенный в зданиях по адресам : Мурманская область, Кольский район, пгт. Мурмаши, ул. Мира, д.14,  ул. Мира, д. 13</t>
  </si>
  <si>
    <t xml:space="preserve">0.1 Доля населения, систематически занимающегося физической культурой и спортом, в общей численности населения 
0.2 Количество спортивных сооружений (ед. на 100 тыс. населения)
</t>
  </si>
  <si>
    <t>Министерство строительства  МО, ГОКУ «Управление капитального строительства Мурманской области»,
 АО Корпорация развития МО</t>
  </si>
  <si>
    <t>Основное мероприятие 5 "Реализация мероприятий по приобретению спортивных объектов в муниципальную собственность"</t>
  </si>
  <si>
    <t xml:space="preserve">2021 -2023  - строительство объекта «Лыжная база в г. Полярные Зори с подведомственной территорией Мурманской области». </t>
  </si>
  <si>
    <t>2023-2025 - строительство объекта</t>
  </si>
  <si>
    <t xml:space="preserve"> Субсидия распределяется между муниципальными образованиями для организации физкультурно-спортивной работы </t>
  </si>
  <si>
    <t xml:space="preserve"> Субсидия распределяется между муниципальными образованиями для организации работы по открытию спортивных пространст для молодежи </t>
  </si>
  <si>
    <t>2022 - 2023 капитальный ремонт искусственного покрытия футбольного поля с легкоатлетическими дорожками ЗАТО Александровск</t>
  </si>
  <si>
    <t>Приобретение и установка спортивных площадок:
2022 - с.п. Зеленоборский и г. Кола
2023 - ЗАТО Видяево и ЗАТО Североморск</t>
  </si>
  <si>
    <t xml:space="preserve">Реконструкция объекта в 2023 - 2024 гг. </t>
  </si>
  <si>
    <t>2.1.22</t>
  </si>
  <si>
    <t>Подготовка основания для создания "умной" спортивной площадки</t>
  </si>
  <si>
    <t>Создание "умной" спортивной площадки</t>
  </si>
  <si>
    <t>Оказание услуг по организации сеансов катания на коньках на крытых катках для мужчин, достигших возраста 55 лет, и женщин, достигших возраста 50 лет</t>
  </si>
  <si>
    <t>1.1.3</t>
  </si>
  <si>
    <t>Организация катания на коньках на крытых катках в муниципальных образованиях МО для граждан пожилого возраста</t>
  </si>
  <si>
    <t>3.2.34.</t>
  </si>
  <si>
    <t>3.2.35.</t>
  </si>
  <si>
    <t>2022-2026</t>
  </si>
  <si>
    <t>2023-2026</t>
  </si>
  <si>
    <t>2024-2026</t>
  </si>
  <si>
    <t>Плата концедента в рамках концессионного соглашения в отношении объекта – «Строительство объекта «Быстровозводимый спортивно-оздоровительный комплекс с плавательным бассейном и тренажерным залом на Кольском проспекте в г. Мурманске»</t>
  </si>
  <si>
    <t xml:space="preserve">Плата концедента в рамках концессионного соглашения в отношении объекта  - «Строительство объекта «ПСД на ФОК закрытого типа в районе дома 13 по ул. Старостина» </t>
  </si>
  <si>
    <t>План реализации государственной программы на 2021-2026 годы</t>
  </si>
  <si>
    <t>/3.1.21</t>
  </si>
  <si>
    <t>Футбольный манеж в спортивном комплексе "Долина Уюта" в г. Мурманск (разработка ПД)</t>
  </si>
  <si>
    <t xml:space="preserve">2024 год - разработана проектной документация на строительство футбольного манежа </t>
  </si>
  <si>
    <t>Министерство строительства МО, ГОКУ УКС</t>
  </si>
  <si>
    <t>/3.1.22</t>
  </si>
  <si>
    <t>Реконструкция здания плавательного бассейна по ул. Челюскинцев, д.2, г. Мурманск (разработка ПД)</t>
  </si>
  <si>
    <t>2024 год - разработана проектной документация на реконструкцию здания плавательного бассейна</t>
  </si>
  <si>
    <t>1.1 Доля граждан в возрасте 3-29 лет, систематически занимающихся физической культурой и спортом, в общей численности граждан данной возрастной категории
1.2 Доля граждан в возрасте от  30 до 54 года включительно (женщины) и до 59 лет включительно (мужчины), систематически занимающихся физической культурой и спортом, в общей численности граждан данной возрастной категории                           1.3. Доля граждан в возрасте от  55 лет (женщины) и от 60 лет (мужчины) до 79 лет включительно, систематически занимающихся физической культурой и спортом, в общей численности граждан данной возрастной категории</t>
  </si>
  <si>
    <t>1.4 Доля граждан трудоспособного возраста, систематически занимающихся физической культурой и спортом</t>
  </si>
  <si>
    <t xml:space="preserve">3.2 Количество спортивных сооружений, в которых осуществлен капитальный и текущий ремонт
3.3 Эффективность использования существующих объектов спорта. </t>
  </si>
  <si>
    <t>Минспорт МО</t>
  </si>
  <si>
    <t>Плата концедента в рамках концессионного соглашения</t>
  </si>
  <si>
    <t>2022 - закуплено оборудование для создания "умных" спортивных площадок
2024-2026 закупка оборудования для создания "умных" спортивных площадок</t>
  </si>
  <si>
    <t>Приобретение и установка спортивных площадок:
2022 - с.п. Зеленоборский и г. Кола
2023 - ЗАТО Видяево и ЗАТО Североморск
2024-2026 ежегодная установка 2 спортивных площадок</t>
  </si>
  <si>
    <t>6.1. Финансирование подпрограммы за счет переходящих</t>
  </si>
  <si>
    <t>остатков средств федерального и областного бюджетов</t>
  </si>
  <si>
    <t>(и местного бюджета)</t>
  </si>
  <si>
    <t>N п/п</t>
  </si>
  <si>
    <t>Основное мероприятие, мероприятие</t>
  </si>
  <si>
    <t>Объемы и источники финансирования, тыс. рублей</t>
  </si>
  <si>
    <t>Ремонт фасада МАУ спортивная школа, ул. 50 Лет Октября, д. 31, г. Кировск</t>
  </si>
  <si>
    <t>Капитальный ремонт здания ДЮСШ по адресу: Мурманская область, Печенгский район, н.п. Спутник, улица Новая, дом 6 (проведение наружных работ)</t>
  </si>
  <si>
    <t>Поставка и установка оборудования по хоккею в Ледовый дворец Государственного областного унитарного предприятия "Универсальный спортивно-досуговый центр"</t>
  </si>
  <si>
    <t>Субсидия на подготовку территории-основания и установку комплекта спортивно-технологического оборудования для создания или модернизации физкультурно-оздоровительных комплексов открытого типа</t>
  </si>
  <si>
    <t>Разработка ПСД на строительство лыжной трассы в ЗАТО г. Заозерск</t>
  </si>
  <si>
    <t>Разработка ПСД на строительство горнолыжного подъемника МБОУ ДО ДЮСШ п. Ревда Ловозерского района на горе Кедыквырпахк</t>
  </si>
  <si>
    <t>Разработка проектной документации на капитальный ремонт спортивного объекта "Межшкольный стадион" ЗАТО п. Видяево</t>
  </si>
  <si>
    <t>Постановление Правительства от 01.11.2023 № 801-ПП</t>
  </si>
  <si>
    <t>Исправление технической ошибки</t>
  </si>
  <si>
    <t>Министерство спорта МО, Минстрой МО, ГОУП "УСДЦ", ГОКУ "УКС МО", администрации муниципальных образований МО, АО Корпорация развития МО</t>
  </si>
  <si>
    <t>Региональный проект «Спорт - норма жизни»</t>
  </si>
  <si>
    <t xml:space="preserve">36 132,16 тыс.руб - перераспределяется с мероприятия "Школа по переулку Казарменномуа городе Мурманске" ГП "Образование и наука"  утвержденной постановлением Правительства Мурманской области от 11.11.2020 № 791-ПП
для заключения договора с АО «МЭС» на технологическое присоединение объекта «Строительство крытого бассейна в ЗАТО г. Североморск» к системе теплоснабжения </t>
  </si>
  <si>
    <t>Дополнительное соглашение между Министерство м спорта Российской Федерации и Правительством Мурманской области от 25.12.2023 № 777-09-2023-059/6. Перераспределение на мероприятие  П 2.1.2.</t>
  </si>
  <si>
    <t>Приведение в соответствие с дополнительным соглашением между Министерство м спорта Российской Федерации и Правительством Мурманской области от 25.12.2023 № 777-08-2019-66/6. Перераспределение с мероприяти  3.3.1.</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</si>
</sst>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 #,##0.00\ &quot;₽&quot;_-;\-* #,##0.00\ &quot;₽&quot;_-;_-* &quot;-&quot;??\ &quot;₽&quot;_-;_-@_-"/>
    <numFmt numFmtId="43" formatCode="_-* #,##0.00\ _₽_-;\-* #,##0.00\ _₽_-;_-* &quot;-&quot;??\ _₽_-;_-@_-"/>
    <numFmt numFmtId="164" formatCode="#,##0.0"/>
    <numFmt numFmtId="165" formatCode="#0.00"/>
    <numFmt numFmtId="166" formatCode="_-* #,##0.00_р_._-;\-* #,##0.00_р_._-;_-* &quot;-&quot;??_р_._-;_-@_-"/>
    <numFmt numFmtId="167" formatCode="0.0"/>
  </numFmts>
  <fonts count="140" x14ac:knownFonts="1">
    <font>
      <sz val="11"/>
      <color theme="1"/>
      <name val="Calibri"/>
      <scheme val="minor"/>
    </font>
    <font>
      <sz val="11"/>
      <color theme="1"/>
      <name val="Calibri"/>
      <family val="2"/>
      <charset val="204"/>
      <scheme val="minor"/>
    </font>
    <font>
      <sz val="11"/>
      <color theme="1"/>
      <name val="Calibri"/>
      <family val="2"/>
      <charset val="204"/>
      <scheme val="minor"/>
    </font>
    <font>
      <sz val="8"/>
      <name val="Times New Roman"/>
      <family val="1"/>
      <charset val="204"/>
    </font>
    <font>
      <sz val="20"/>
      <name val="Times New Roman"/>
      <family val="1"/>
      <charset val="204"/>
    </font>
    <font>
      <sz val="18"/>
      <name val="Times New Roman"/>
      <family val="1"/>
      <charset val="204"/>
    </font>
    <font>
      <b/>
      <sz val="20"/>
      <name val="Times New Roman"/>
      <family val="1"/>
      <charset val="204"/>
    </font>
    <font>
      <b/>
      <sz val="18"/>
      <name val="Times New Roman"/>
      <family val="1"/>
      <charset val="204"/>
    </font>
    <font>
      <sz val="11"/>
      <color theme="1"/>
      <name val="Times New Roman"/>
      <family val="1"/>
      <charset val="204"/>
    </font>
    <font>
      <sz val="8"/>
      <color indexed="2"/>
      <name val="Times New Roman"/>
      <family val="1"/>
      <charset val="204"/>
    </font>
    <font>
      <b/>
      <u/>
      <sz val="20"/>
      <name val="Times New Roman"/>
      <family val="1"/>
      <charset val="204"/>
    </font>
    <font>
      <sz val="8"/>
      <color indexed="20"/>
      <name val="Times New Roman"/>
      <family val="1"/>
      <charset val="204"/>
    </font>
    <font>
      <b/>
      <vertAlign val="superscript"/>
      <sz val="11"/>
      <name val="Times New Roman"/>
      <family val="1"/>
      <charset val="204"/>
    </font>
    <font>
      <sz val="10"/>
      <color theme="1"/>
      <name val="Times New Roman"/>
      <family val="1"/>
      <charset val="204"/>
    </font>
    <font>
      <sz val="11"/>
      <color theme="1"/>
      <name val="Times New Roman"/>
      <family val="1"/>
      <charset val="204"/>
    </font>
    <font>
      <sz val="10"/>
      <name val="Times New Roman"/>
      <family val="1"/>
      <charset val="204"/>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8"/>
      <color theme="1"/>
      <name val="Times New Roman"/>
      <family val="1"/>
      <charset val="204"/>
    </font>
    <font>
      <sz val="10"/>
      <color theme="1"/>
      <name val="Calibri"/>
      <family val="2"/>
      <charset val="204"/>
      <scheme val="minor"/>
    </font>
    <font>
      <sz val="11"/>
      <color indexed="64"/>
      <name val="Calibri"/>
      <family val="2"/>
      <charset val="204"/>
    </font>
    <font>
      <sz val="11"/>
      <color indexed="8"/>
      <name val="Calibri"/>
      <family val="2"/>
      <charset val="204"/>
    </font>
    <font>
      <sz val="11"/>
      <color indexed="65"/>
      <name val="Calibri"/>
      <family val="2"/>
      <charset val="204"/>
    </font>
    <font>
      <sz val="11"/>
      <color indexed="9"/>
      <name val="Calibri"/>
      <family val="2"/>
      <charset val="204"/>
    </font>
    <font>
      <sz val="11"/>
      <name val="Calibri"/>
      <family val="2"/>
      <charset val="204"/>
      <scheme val="minor"/>
    </font>
    <font>
      <sz val="11"/>
      <name val="Calibri"/>
      <family val="2"/>
      <scheme val="minor"/>
    </font>
    <font>
      <sz val="11"/>
      <name val="Calibri"/>
      <family val="2"/>
      <charset val="204"/>
    </font>
    <font>
      <sz val="11"/>
      <name val="Calibri"/>
      <family val="2"/>
    </font>
    <font>
      <b/>
      <sz val="11"/>
      <color indexed="64"/>
      <name val="Arial"/>
      <family val="2"/>
      <charset val="204"/>
    </font>
    <font>
      <b/>
      <sz val="11"/>
      <color rgb="FF000000"/>
      <name val="Arial"/>
      <family val="2"/>
      <charset val="204"/>
    </font>
    <font>
      <b/>
      <sz val="10"/>
      <color indexed="64"/>
      <name val="Arial"/>
      <family val="2"/>
      <charset val="204"/>
    </font>
    <font>
      <b/>
      <sz val="10"/>
      <color rgb="FF000000"/>
      <name val="Arial"/>
      <family val="2"/>
      <charset val="204"/>
    </font>
    <font>
      <sz val="10"/>
      <color indexed="64"/>
      <name val="Arial Cyr"/>
    </font>
    <font>
      <sz val="10"/>
      <color rgb="FF000000"/>
      <name val="Arial Cyr"/>
    </font>
    <font>
      <sz val="10"/>
      <color indexed="64"/>
      <name val="Arial"/>
      <family val="2"/>
      <charset val="204"/>
    </font>
    <font>
      <sz val="10"/>
      <name val="Arial"/>
      <family val="2"/>
      <charset val="204"/>
    </font>
    <font>
      <sz val="10"/>
      <color rgb="FF000000"/>
      <name val="Arial"/>
      <family val="2"/>
      <charset val="204"/>
    </font>
    <font>
      <sz val="10"/>
      <color rgb="FF000000"/>
      <name val="Arial"/>
      <family val="2"/>
    </font>
    <font>
      <b/>
      <sz val="18"/>
      <color theme="3"/>
      <name val="Cambria"/>
      <family val="1"/>
      <charset val="204"/>
    </font>
    <font>
      <b/>
      <sz val="18"/>
      <color theme="3"/>
      <name val="Cambria"/>
      <family val="1"/>
      <charset val="204"/>
      <scheme val="major"/>
    </font>
    <font>
      <sz val="11"/>
      <color indexed="2"/>
      <name val="Calibri"/>
      <family val="2"/>
      <charset val="204"/>
      <scheme val="minor"/>
    </font>
    <font>
      <sz val="10"/>
      <color rgb="FF000000"/>
      <name val="Arial Cyr"/>
      <family val="2"/>
    </font>
    <font>
      <b/>
      <sz val="10"/>
      <color indexed="64"/>
      <name val="Arial Cyr"/>
    </font>
    <font>
      <b/>
      <sz val="10"/>
      <color rgb="FF000000"/>
      <name val="Arial Cyr"/>
    </font>
    <font>
      <sz val="12"/>
      <color indexed="65"/>
      <name val="Times New Roman"/>
      <family val="1"/>
      <charset val="204"/>
    </font>
    <font>
      <sz val="12"/>
      <color indexed="9"/>
      <name val="Times New Roman"/>
      <family val="2"/>
      <charset val="204"/>
    </font>
    <font>
      <sz val="11"/>
      <color indexed="62"/>
      <name val="Calibri"/>
      <family val="2"/>
      <charset val="204"/>
    </font>
    <font>
      <sz val="12"/>
      <color indexed="62"/>
      <name val="Times New Roman"/>
      <family val="1"/>
      <charset val="204"/>
    </font>
    <font>
      <sz val="12"/>
      <color indexed="62"/>
      <name val="Times New Roman"/>
      <family val="2"/>
      <charset val="204"/>
    </font>
    <font>
      <b/>
      <sz val="11"/>
      <color indexed="63"/>
      <name val="Calibri"/>
      <family val="2"/>
      <charset val="204"/>
    </font>
    <font>
      <b/>
      <sz val="12"/>
      <color indexed="63"/>
      <name val="Times New Roman"/>
      <family val="1"/>
      <charset val="204"/>
    </font>
    <font>
      <b/>
      <sz val="12"/>
      <color indexed="63"/>
      <name val="Times New Roman"/>
      <family val="2"/>
      <charset val="204"/>
    </font>
    <font>
      <b/>
      <sz val="11"/>
      <color indexed="52"/>
      <name val="Calibri"/>
      <family val="2"/>
      <charset val="204"/>
    </font>
    <font>
      <b/>
      <sz val="12"/>
      <color indexed="52"/>
      <name val="Times New Roman"/>
      <family val="1"/>
      <charset val="204"/>
    </font>
    <font>
      <b/>
      <sz val="12"/>
      <color indexed="52"/>
      <name val="Times New Roman"/>
      <family val="2"/>
      <charset val="204"/>
    </font>
    <font>
      <u/>
      <sz val="11"/>
      <color theme="10"/>
      <name val="Calibri"/>
      <family val="2"/>
      <charset val="204"/>
      <scheme val="minor"/>
    </font>
    <font>
      <u/>
      <sz val="11"/>
      <color indexed="4"/>
      <name val="Calibri"/>
      <family val="2"/>
      <charset val="204"/>
    </font>
    <font>
      <u/>
      <sz val="11"/>
      <color indexed="12"/>
      <name val="Calibri"/>
      <family val="2"/>
      <charset val="204"/>
    </font>
    <font>
      <u/>
      <sz val="11"/>
      <color rgb="FF0000FF"/>
      <name val="Calibri"/>
      <family val="2"/>
      <charset val="204"/>
    </font>
    <font>
      <b/>
      <sz val="15"/>
      <color indexed="56"/>
      <name val="Calibri"/>
      <family val="2"/>
      <charset val="204"/>
    </font>
    <font>
      <b/>
      <sz val="15"/>
      <color indexed="56"/>
      <name val="Times New Roman"/>
      <family val="1"/>
      <charset val="204"/>
    </font>
    <font>
      <b/>
      <sz val="15"/>
      <color indexed="56"/>
      <name val="Times New Roman"/>
      <family val="2"/>
      <charset val="204"/>
    </font>
    <font>
      <b/>
      <sz val="13"/>
      <color indexed="56"/>
      <name val="Calibri"/>
      <family val="2"/>
      <charset val="204"/>
    </font>
    <font>
      <b/>
      <sz val="13"/>
      <color indexed="56"/>
      <name val="Times New Roman"/>
      <family val="1"/>
      <charset val="204"/>
    </font>
    <font>
      <b/>
      <sz val="13"/>
      <color indexed="56"/>
      <name val="Times New Roman"/>
      <family val="2"/>
      <charset val="204"/>
    </font>
    <font>
      <b/>
      <sz val="11"/>
      <color indexed="56"/>
      <name val="Calibri"/>
      <family val="2"/>
      <charset val="204"/>
    </font>
    <font>
      <b/>
      <sz val="11"/>
      <color indexed="56"/>
      <name val="Times New Roman"/>
      <family val="1"/>
      <charset val="204"/>
    </font>
    <font>
      <b/>
      <sz val="11"/>
      <color indexed="56"/>
      <name val="Times New Roman"/>
      <family val="2"/>
      <charset val="204"/>
    </font>
    <font>
      <b/>
      <sz val="11"/>
      <color indexed="64"/>
      <name val="Calibri"/>
      <family val="2"/>
      <charset val="204"/>
    </font>
    <font>
      <b/>
      <sz val="12"/>
      <color indexed="64"/>
      <name val="Times New Roman"/>
      <family val="1"/>
      <charset val="204"/>
    </font>
    <font>
      <b/>
      <sz val="12"/>
      <color indexed="8"/>
      <name val="Times New Roman"/>
      <family val="2"/>
      <charset val="204"/>
    </font>
    <font>
      <b/>
      <sz val="11"/>
      <color indexed="8"/>
      <name val="Calibri"/>
      <family val="2"/>
      <charset val="204"/>
    </font>
    <font>
      <b/>
      <sz val="11"/>
      <color indexed="65"/>
      <name val="Calibri"/>
      <family val="2"/>
      <charset val="204"/>
    </font>
    <font>
      <b/>
      <sz val="12"/>
      <color indexed="65"/>
      <name val="Times New Roman"/>
      <family val="1"/>
      <charset val="204"/>
    </font>
    <font>
      <b/>
      <sz val="12"/>
      <color indexed="9"/>
      <name val="Times New Roman"/>
      <family val="2"/>
      <charset val="204"/>
    </font>
    <font>
      <b/>
      <sz val="11"/>
      <color indexed="9"/>
      <name val="Calibri"/>
      <family val="2"/>
      <charset val="204"/>
    </font>
    <font>
      <b/>
      <sz val="18"/>
      <color indexed="56"/>
      <name val="Cambria"/>
      <family val="1"/>
      <charset val="204"/>
    </font>
    <font>
      <b/>
      <sz val="18"/>
      <color indexed="56"/>
      <name val="Cambria"/>
      <family val="2"/>
      <charset val="204"/>
    </font>
    <font>
      <sz val="11"/>
      <color indexed="60"/>
      <name val="Calibri"/>
      <family val="2"/>
      <charset val="204"/>
    </font>
    <font>
      <sz val="12"/>
      <color indexed="60"/>
      <name val="Times New Roman"/>
      <family val="1"/>
      <charset val="204"/>
    </font>
    <font>
      <sz val="12"/>
      <color indexed="60"/>
      <name val="Times New Roman"/>
      <family val="2"/>
      <charset val="204"/>
    </font>
    <font>
      <sz val="12"/>
      <color theme="1"/>
      <name val="Calibri"/>
      <family val="2"/>
      <charset val="204"/>
      <scheme val="minor"/>
    </font>
    <font>
      <sz val="10"/>
      <name val="Arial Cyr"/>
    </font>
    <font>
      <sz val="10"/>
      <name val="Arial Cyr"/>
      <charset val="204"/>
    </font>
    <font>
      <sz val="14"/>
      <color theme="1"/>
      <name val="Times New Roman"/>
      <family val="1"/>
      <charset val="204"/>
    </font>
    <font>
      <sz val="14"/>
      <color theme="1"/>
      <name val="Times New Roman"/>
      <family val="2"/>
      <charset val="204"/>
    </font>
    <font>
      <sz val="11"/>
      <color indexed="8"/>
      <name val="Calibri"/>
      <family val="2"/>
    </font>
    <font>
      <sz val="11"/>
      <color theme="1"/>
      <name val="Calibri"/>
      <family val="2"/>
      <scheme val="minor"/>
    </font>
    <font>
      <sz val="10"/>
      <color indexed="64"/>
      <name val="Times New Roman"/>
      <family val="1"/>
      <charset val="204"/>
    </font>
    <font>
      <sz val="11"/>
      <color rgb="FF000000"/>
      <name val="Calibri"/>
      <family val="2"/>
      <charset val="204"/>
    </font>
    <font>
      <sz val="12"/>
      <color theme="1"/>
      <name val="Times New Roman"/>
      <family val="1"/>
      <charset val="204"/>
    </font>
    <font>
      <sz val="12"/>
      <color theme="1"/>
      <name val="times new roman"/>
      <family val="2"/>
      <charset val="204"/>
    </font>
    <font>
      <sz val="10"/>
      <color rgb="FF000000"/>
      <name val="Times New Roman"/>
      <family val="1"/>
      <charset val="204"/>
    </font>
    <font>
      <sz val="11"/>
      <color indexed="64"/>
      <name val="Times New Roman"/>
      <family val="1"/>
      <charset val="204"/>
    </font>
    <font>
      <sz val="11"/>
      <color rgb="FF000000"/>
      <name val="Times New Roman"/>
      <family val="1"/>
      <charset val="204"/>
    </font>
    <font>
      <sz val="11"/>
      <color indexed="64"/>
      <name val="Arial"/>
      <family val="2"/>
      <charset val="204"/>
    </font>
    <font>
      <sz val="11"/>
      <color rgb="FF000000"/>
      <name val="Arial"/>
      <family val="2"/>
      <charset val="204"/>
    </font>
    <font>
      <sz val="12"/>
      <color indexed="64"/>
      <name val="Times New Roman"/>
      <family val="1"/>
      <charset val="204"/>
    </font>
    <font>
      <sz val="12"/>
      <color indexed="8"/>
      <name val="Times New Roman"/>
      <family val="2"/>
      <charset val="204"/>
    </font>
    <font>
      <sz val="11"/>
      <color theme="1"/>
      <name val="Calibri"/>
      <family val="2"/>
      <charset val="204"/>
    </font>
    <font>
      <sz val="11"/>
      <name val="Arial Cyr"/>
    </font>
    <font>
      <sz val="11"/>
      <name val="Arial Cyr"/>
      <charset val="204"/>
    </font>
    <font>
      <sz val="11"/>
      <color indexed="20"/>
      <name val="Calibri"/>
      <family val="2"/>
      <charset val="204"/>
    </font>
    <font>
      <sz val="12"/>
      <color indexed="20"/>
      <name val="Times New Roman"/>
      <family val="1"/>
      <charset val="204"/>
    </font>
    <font>
      <sz val="12"/>
      <color indexed="20"/>
      <name val="Times New Roman"/>
      <family val="2"/>
      <charset val="204"/>
    </font>
    <font>
      <i/>
      <sz val="11"/>
      <color indexed="23"/>
      <name val="Calibri"/>
      <family val="2"/>
      <charset val="204"/>
    </font>
    <font>
      <i/>
      <sz val="12"/>
      <color indexed="23"/>
      <name val="Times New Roman"/>
      <family val="1"/>
      <charset val="204"/>
    </font>
    <font>
      <i/>
      <sz val="12"/>
      <color indexed="23"/>
      <name val="Times New Roman"/>
      <family val="2"/>
      <charset val="204"/>
    </font>
    <font>
      <sz val="11"/>
      <color indexed="52"/>
      <name val="Calibri"/>
      <family val="2"/>
      <charset val="204"/>
    </font>
    <font>
      <sz val="12"/>
      <color indexed="52"/>
      <name val="Times New Roman"/>
      <family val="1"/>
      <charset val="204"/>
    </font>
    <font>
      <sz val="12"/>
      <color indexed="52"/>
      <name val="Times New Roman"/>
      <family val="2"/>
      <charset val="204"/>
    </font>
    <font>
      <sz val="10"/>
      <name val="Helv"/>
    </font>
    <font>
      <sz val="11"/>
      <color indexed="2"/>
      <name val="Calibri"/>
      <family val="2"/>
      <charset val="204"/>
    </font>
    <font>
      <sz val="12"/>
      <color indexed="2"/>
      <name val="Times New Roman"/>
      <family val="1"/>
      <charset val="204"/>
    </font>
    <font>
      <sz val="12"/>
      <color indexed="10"/>
      <name val="Times New Roman"/>
      <family val="2"/>
      <charset val="204"/>
    </font>
    <font>
      <sz val="11"/>
      <color indexed="10"/>
      <name val="Calibri"/>
      <family val="2"/>
      <charset val="204"/>
    </font>
    <font>
      <sz val="11"/>
      <color indexed="17"/>
      <name val="Calibri"/>
      <family val="2"/>
      <charset val="204"/>
    </font>
    <font>
      <sz val="12"/>
      <color indexed="17"/>
      <name val="Times New Roman"/>
      <family val="1"/>
      <charset val="204"/>
    </font>
    <font>
      <sz val="12"/>
      <color indexed="17"/>
      <name val="Times New Roman"/>
      <family val="2"/>
      <charset val="204"/>
    </font>
    <font>
      <sz val="11"/>
      <color theme="0"/>
      <name val="Times New Roman"/>
      <family val="1"/>
      <charset val="204"/>
    </font>
    <font>
      <sz val="11"/>
      <color rgb="FFFF0000"/>
      <name val="Times New Roman"/>
      <family val="1"/>
      <charset val="204"/>
    </font>
    <font>
      <sz val="10"/>
      <color rgb="FFFF0000"/>
      <name val="Times New Roman"/>
      <family val="1"/>
      <charset val="204"/>
    </font>
    <font>
      <sz val="11"/>
      <name val="Times New Roman"/>
      <family val="1"/>
      <charset val="204"/>
    </font>
    <font>
      <u/>
      <sz val="11"/>
      <color theme="10"/>
      <name val="Calibri"/>
      <family val="2"/>
      <charset val="204"/>
    </font>
    <font>
      <sz val="9"/>
      <color indexed="81"/>
      <name val="Tahoma"/>
      <charset val="1"/>
    </font>
    <font>
      <b/>
      <sz val="9"/>
      <color indexed="81"/>
      <name val="Tahoma"/>
      <charset val="1"/>
    </font>
    <font>
      <sz val="16"/>
      <color indexed="81"/>
      <name val="Tahoma"/>
      <family val="2"/>
      <charset val="204"/>
    </font>
  </fonts>
  <fills count="142">
    <fill>
      <patternFill patternType="none"/>
    </fill>
    <fill>
      <patternFill patternType="gray125"/>
    </fill>
    <fill>
      <patternFill patternType="solid">
        <fgColor rgb="FFFFFF00"/>
        <bgColor indexed="64"/>
      </patternFill>
    </fill>
    <fill>
      <patternFill patternType="solid">
        <fgColor theme="9" tint="-0.249977111117893"/>
        <bgColor indexed="64"/>
      </patternFill>
    </fill>
    <fill>
      <patternFill patternType="solid">
        <fgColor theme="0"/>
        <bgColor indexed="64"/>
      </patternFill>
    </fill>
    <fill>
      <patternFill patternType="solid">
        <fgColor indexed="5"/>
        <bgColor indexed="5"/>
      </patternFill>
    </fill>
    <fill>
      <patternFill patternType="solid">
        <fgColor rgb="FFFFC7CE"/>
      </patternFill>
    </fill>
    <fill>
      <patternFill patternType="solid">
        <fgColor theme="4" tint="0.80001220740379042"/>
        <bgColor theme="4" tint="0.80001220740379042"/>
      </patternFill>
    </fill>
    <fill>
      <patternFill patternType="solid">
        <fgColor theme="4" tint="0.80001220740379042"/>
        <bgColor indexed="64"/>
      </patternFill>
    </fill>
    <fill>
      <patternFill patternType="solid">
        <fgColor indexed="45"/>
        <bgColor indexed="45"/>
      </patternFill>
    </fill>
    <fill>
      <patternFill patternType="solid">
        <fgColor theme="5" tint="0.80001220740379042"/>
        <bgColor theme="5" tint="0.80001220740379042"/>
      </patternFill>
    </fill>
    <fill>
      <patternFill patternType="solid">
        <fgColor theme="5" tint="0.80001220740379042"/>
        <bgColor indexed="64"/>
      </patternFill>
    </fill>
    <fill>
      <patternFill patternType="solid">
        <fgColor indexed="45"/>
        <bgColor indexed="64"/>
      </patternFill>
    </fill>
    <fill>
      <patternFill patternType="solid">
        <fgColor theme="6" tint="0.80001220740379042"/>
        <bgColor theme="6" tint="0.80001220740379042"/>
      </patternFill>
    </fill>
    <fill>
      <patternFill patternType="solid">
        <fgColor theme="6" tint="0.80001220740379042"/>
        <bgColor indexed="64"/>
      </patternFill>
    </fill>
    <fill>
      <patternFill patternType="solid">
        <fgColor theme="7" tint="0.80001220740379042"/>
        <bgColor theme="7" tint="0.80001220740379042"/>
      </patternFill>
    </fill>
    <fill>
      <patternFill patternType="solid">
        <fgColor theme="7" tint="0.80001220740379042"/>
        <bgColor indexed="64"/>
      </patternFill>
    </fill>
    <fill>
      <patternFill patternType="solid">
        <fgColor theme="8" tint="0.80001220740379042"/>
        <bgColor theme="8" tint="0.80001220740379042"/>
      </patternFill>
    </fill>
    <fill>
      <patternFill patternType="solid">
        <fgColor theme="8" tint="0.80001220740379042"/>
        <bgColor indexed="64"/>
      </patternFill>
    </fill>
    <fill>
      <patternFill patternType="solid">
        <fgColor theme="9" tint="0.80001220740379042"/>
        <bgColor theme="9" tint="0.80001220740379042"/>
      </patternFill>
    </fill>
    <fill>
      <patternFill patternType="solid">
        <fgColor theme="9" tint="0.80001220740379042"/>
        <bgColor indexed="64"/>
      </patternFill>
    </fill>
    <fill>
      <patternFill patternType="solid">
        <fgColor indexed="31"/>
        <bgColor indexed="31"/>
      </patternFill>
    </fill>
    <fill>
      <patternFill patternType="solid">
        <fgColor indexed="31"/>
      </patternFill>
    </fill>
    <fill>
      <patternFill patternType="solid">
        <fgColor indexed="45"/>
      </patternFill>
    </fill>
    <fill>
      <patternFill patternType="solid">
        <fgColor indexed="42"/>
        <bgColor indexed="42"/>
      </patternFill>
    </fill>
    <fill>
      <patternFill patternType="solid">
        <fgColor indexed="42"/>
      </patternFill>
    </fill>
    <fill>
      <patternFill patternType="solid">
        <fgColor indexed="46"/>
        <bgColor indexed="46"/>
      </patternFill>
    </fill>
    <fill>
      <patternFill patternType="solid">
        <fgColor indexed="46"/>
      </patternFill>
    </fill>
    <fill>
      <patternFill patternType="solid">
        <fgColor indexed="27"/>
        <bgColor indexed="27"/>
      </patternFill>
    </fill>
    <fill>
      <patternFill patternType="solid">
        <fgColor indexed="27"/>
      </patternFill>
    </fill>
    <fill>
      <patternFill patternType="solid">
        <fgColor indexed="47"/>
        <bgColor indexed="47"/>
      </patternFill>
    </fill>
    <fill>
      <patternFill patternType="solid">
        <fgColor indexed="47"/>
      </patternFill>
    </fill>
    <fill>
      <patternFill patternType="solid">
        <fgColor theme="4" tint="0.59999389629810485"/>
        <bgColor theme="4" tint="0.59999389629810485"/>
      </patternFill>
    </fill>
    <fill>
      <patternFill patternType="solid">
        <fgColor theme="4" tint="0.59999389629810485"/>
        <bgColor indexed="64"/>
      </patternFill>
    </fill>
    <fill>
      <patternFill patternType="solid">
        <fgColor theme="5" tint="0.59999389629810485"/>
        <bgColor theme="5" tint="0.59999389629810485"/>
      </patternFill>
    </fill>
    <fill>
      <patternFill patternType="solid">
        <fgColor theme="5" tint="0.59999389629810485"/>
        <bgColor indexed="64"/>
      </patternFill>
    </fill>
    <fill>
      <patternFill patternType="solid">
        <fgColor indexed="3"/>
        <bgColor indexed="3"/>
      </patternFill>
    </fill>
    <fill>
      <patternFill patternType="solid">
        <fgColor theme="6" tint="0.59999389629810485"/>
        <bgColor theme="6" tint="0.59999389629810485"/>
      </patternFill>
    </fill>
    <fill>
      <patternFill patternType="solid">
        <fgColor theme="6" tint="0.59999389629810485"/>
        <bgColor indexed="64"/>
      </patternFill>
    </fill>
    <fill>
      <patternFill patternType="solid">
        <fgColor indexed="11"/>
        <bgColor indexed="64"/>
      </patternFill>
    </fill>
    <fill>
      <patternFill patternType="solid">
        <fgColor theme="7" tint="0.59999389629810485"/>
        <bgColor theme="7" tint="0.59999389629810485"/>
      </patternFill>
    </fill>
    <fill>
      <patternFill patternType="solid">
        <fgColor theme="7" tint="0.59999389629810485"/>
        <bgColor indexed="64"/>
      </patternFill>
    </fill>
    <fill>
      <patternFill patternType="solid">
        <fgColor theme="8" tint="0.59999389629810485"/>
        <bgColor theme="8" tint="0.59999389629810485"/>
      </patternFill>
    </fill>
    <fill>
      <patternFill patternType="solid">
        <fgColor theme="8" tint="0.59999389629810485"/>
        <bgColor indexed="64"/>
      </patternFill>
    </fill>
    <fill>
      <patternFill patternType="solid">
        <fgColor theme="9" tint="0.59999389629810485"/>
        <bgColor theme="9" tint="0.59999389629810485"/>
      </patternFill>
    </fill>
    <fill>
      <patternFill patternType="solid">
        <fgColor theme="9" tint="0.59999389629810485"/>
        <bgColor indexed="64"/>
      </patternFill>
    </fill>
    <fill>
      <patternFill patternType="solid">
        <fgColor indexed="44"/>
        <bgColor indexed="44"/>
      </patternFill>
    </fill>
    <fill>
      <patternFill patternType="solid">
        <fgColor indexed="44"/>
      </patternFill>
    </fill>
    <fill>
      <patternFill patternType="solid">
        <fgColor indexed="29"/>
        <bgColor indexed="29"/>
      </patternFill>
    </fill>
    <fill>
      <patternFill patternType="solid">
        <fgColor indexed="29"/>
      </patternFill>
    </fill>
    <fill>
      <patternFill patternType="solid">
        <fgColor indexed="11"/>
      </patternFill>
    </fill>
    <fill>
      <patternFill patternType="solid">
        <fgColor indexed="51"/>
        <bgColor indexed="51"/>
      </patternFill>
    </fill>
    <fill>
      <patternFill patternType="solid">
        <fgColor indexed="51"/>
      </patternFill>
    </fill>
    <fill>
      <patternFill patternType="solid">
        <fgColor theme="4" tint="0.40000610370189521"/>
        <bgColor theme="4" tint="0.40000610370189521"/>
      </patternFill>
    </fill>
    <fill>
      <patternFill patternType="solid">
        <fgColor theme="4" tint="0.40000610370189521"/>
        <bgColor indexed="64"/>
      </patternFill>
    </fill>
    <fill>
      <patternFill patternType="solid">
        <fgColor theme="5" tint="0.40000610370189521"/>
        <bgColor theme="5" tint="0.40000610370189521"/>
      </patternFill>
    </fill>
    <fill>
      <patternFill patternType="solid">
        <fgColor theme="5" tint="0.40000610370189521"/>
        <bgColor indexed="64"/>
      </patternFill>
    </fill>
    <fill>
      <patternFill patternType="solid">
        <fgColor theme="6" tint="0.40000610370189521"/>
        <bgColor theme="6" tint="0.40000610370189521"/>
      </patternFill>
    </fill>
    <fill>
      <patternFill patternType="solid">
        <fgColor theme="6" tint="0.40000610370189521"/>
        <bgColor indexed="64"/>
      </patternFill>
    </fill>
    <fill>
      <patternFill patternType="solid">
        <fgColor theme="7" tint="0.40000610370189521"/>
        <bgColor theme="7" tint="0.40000610370189521"/>
      </patternFill>
    </fill>
    <fill>
      <patternFill patternType="solid">
        <fgColor theme="7" tint="0.40000610370189521"/>
        <bgColor indexed="64"/>
      </patternFill>
    </fill>
    <fill>
      <patternFill patternType="solid">
        <fgColor theme="8" tint="0.40000610370189521"/>
        <bgColor theme="8" tint="0.40000610370189521"/>
      </patternFill>
    </fill>
    <fill>
      <patternFill patternType="solid">
        <fgColor theme="8" tint="0.40000610370189521"/>
        <bgColor indexed="64"/>
      </patternFill>
    </fill>
    <fill>
      <patternFill patternType="solid">
        <fgColor theme="9" tint="0.40000610370189521"/>
        <bgColor theme="9" tint="0.40000610370189521"/>
      </patternFill>
    </fill>
    <fill>
      <patternFill patternType="solid">
        <fgColor theme="9" tint="0.40000610370189521"/>
        <bgColor indexed="64"/>
      </patternFill>
    </fill>
    <fill>
      <patternFill patternType="solid">
        <fgColor indexed="30"/>
        <bgColor indexed="30"/>
      </patternFill>
    </fill>
    <fill>
      <patternFill patternType="solid">
        <fgColor indexed="30"/>
      </patternFill>
    </fill>
    <fill>
      <patternFill patternType="solid">
        <fgColor indexed="20"/>
        <bgColor indexed="20"/>
      </patternFill>
    </fill>
    <fill>
      <patternFill patternType="solid">
        <fgColor indexed="36"/>
      </patternFill>
    </fill>
    <fill>
      <patternFill patternType="solid">
        <fgColor indexed="49"/>
        <bgColor indexed="49"/>
      </patternFill>
    </fill>
    <fill>
      <patternFill patternType="solid">
        <fgColor indexed="49"/>
      </patternFill>
    </fill>
    <fill>
      <patternFill patternType="solid">
        <fgColor indexed="52"/>
        <bgColor indexed="52"/>
      </patternFill>
    </fill>
    <fill>
      <patternFill patternType="solid">
        <fgColor indexed="52"/>
      </patternFill>
    </fill>
    <fill>
      <patternFill patternType="solid">
        <fgColor theme="4"/>
        <bgColor theme="4"/>
      </patternFill>
    </fill>
    <fill>
      <patternFill patternType="solid">
        <fgColor theme="4"/>
        <bgColor indexed="64"/>
      </patternFill>
    </fill>
    <fill>
      <patternFill patternType="solid">
        <fgColor theme="5"/>
        <bgColor theme="5"/>
      </patternFill>
    </fill>
    <fill>
      <patternFill patternType="solid">
        <fgColor theme="5"/>
        <bgColor indexed="64"/>
      </patternFill>
    </fill>
    <fill>
      <patternFill patternType="solid">
        <fgColor theme="6"/>
        <bgColor theme="6"/>
      </patternFill>
    </fill>
    <fill>
      <patternFill patternType="solid">
        <fgColor theme="6"/>
        <bgColor indexed="64"/>
      </patternFill>
    </fill>
    <fill>
      <patternFill patternType="solid">
        <fgColor theme="7"/>
        <bgColor theme="7"/>
      </patternFill>
    </fill>
    <fill>
      <patternFill patternType="solid">
        <fgColor theme="7"/>
        <bgColor indexed="64"/>
      </patternFill>
    </fill>
    <fill>
      <patternFill patternType="solid">
        <fgColor theme="8"/>
        <bgColor theme="8"/>
      </patternFill>
    </fill>
    <fill>
      <patternFill patternType="solid">
        <fgColor theme="8"/>
        <bgColor indexed="64"/>
      </patternFill>
    </fill>
    <fill>
      <patternFill patternType="solid">
        <fgColor theme="9"/>
        <bgColor theme="9"/>
      </patternFill>
    </fill>
    <fill>
      <patternFill patternType="solid">
        <fgColor theme="9"/>
        <bgColor indexed="64"/>
      </patternFill>
    </fill>
    <fill>
      <patternFill patternType="solid">
        <fgColor rgb="FFFFC7CE"/>
        <bgColor rgb="FFFFC7CE"/>
      </patternFill>
    </fill>
    <fill>
      <patternFill patternType="solid">
        <fgColor rgb="FFFFC7CE"/>
        <bgColor indexed="64"/>
      </patternFill>
    </fill>
    <fill>
      <patternFill patternType="solid">
        <fgColor rgb="FFF2F2F2"/>
        <bgColor rgb="FFF2F2F2"/>
      </patternFill>
    </fill>
    <fill>
      <patternFill patternType="solid">
        <fgColor rgb="FFF2F2F2"/>
        <bgColor indexed="64"/>
      </patternFill>
    </fill>
    <fill>
      <patternFill patternType="solid">
        <fgColor rgb="FFA5A5A5"/>
        <bgColor rgb="FFA5A5A5"/>
      </patternFill>
    </fill>
    <fill>
      <patternFill patternType="solid">
        <fgColor rgb="FFA5A5A5"/>
        <bgColor indexed="64"/>
      </patternFill>
    </fill>
    <fill>
      <patternFill patternType="solid">
        <fgColor rgb="FFFFD5AB"/>
        <bgColor rgb="FFFFD5AB"/>
      </patternFill>
    </fill>
    <fill>
      <patternFill patternType="solid">
        <fgColor rgb="FFFFD5AB"/>
      </patternFill>
    </fill>
    <fill>
      <patternFill patternType="solid">
        <fgColor rgb="FFF1F5F9"/>
        <bgColor rgb="FFF1F5F9"/>
      </patternFill>
    </fill>
    <fill>
      <patternFill patternType="solid">
        <fgColor rgb="FFB9CDE5"/>
        <bgColor rgb="FFB9CDE5"/>
      </patternFill>
    </fill>
    <fill>
      <patternFill patternType="solid">
        <fgColor rgb="FFB9CDE5"/>
      </patternFill>
    </fill>
    <fill>
      <patternFill patternType="solid">
        <fgColor rgb="FFF1F5F9"/>
      </patternFill>
    </fill>
    <fill>
      <patternFill patternType="solid">
        <fgColor rgb="FFDCE6F2"/>
        <bgColor rgb="FFDCE6F2"/>
      </patternFill>
    </fill>
    <fill>
      <patternFill patternType="solid">
        <fgColor rgb="FFDCE6F2"/>
      </patternFill>
    </fill>
    <fill>
      <patternFill patternType="solid">
        <fgColor rgb="FFC6EFCE"/>
        <bgColor rgb="FFC6EFCE"/>
      </patternFill>
    </fill>
    <fill>
      <patternFill patternType="solid">
        <fgColor rgb="FFC6EFCE"/>
        <bgColor indexed="64"/>
      </patternFill>
    </fill>
    <fill>
      <patternFill patternType="solid">
        <fgColor rgb="FFFFCC99"/>
        <bgColor indexed="64"/>
      </patternFill>
    </fill>
    <fill>
      <patternFill patternType="solid">
        <fgColor rgb="FFFFEB9C"/>
        <bgColor rgb="FFFFEB9C"/>
      </patternFill>
    </fill>
    <fill>
      <patternFill patternType="solid">
        <fgColor rgb="FFFFEB9C"/>
        <bgColor indexed="64"/>
      </patternFill>
    </fill>
    <fill>
      <patternFill patternType="solid">
        <fgColor indexed="26"/>
        <bgColor indexed="26"/>
      </patternFill>
    </fill>
    <fill>
      <patternFill patternType="solid">
        <fgColor rgb="FFFFFFCC"/>
        <bgColor indexed="64"/>
      </patternFill>
    </fill>
    <fill>
      <patternFill patternType="solid">
        <fgColor rgb="FFCCFFFF"/>
      </patternFill>
    </fill>
    <fill>
      <patternFill patternType="solid">
        <fgColor indexed="62"/>
        <bgColor indexed="62"/>
      </patternFill>
    </fill>
    <fill>
      <patternFill patternType="solid">
        <fgColor indexed="62"/>
        <bgColor indexed="56"/>
      </patternFill>
    </fill>
    <fill>
      <patternFill patternType="solid">
        <fgColor indexed="62"/>
      </patternFill>
    </fill>
    <fill>
      <patternFill patternType="solid">
        <fgColor indexed="2"/>
        <bgColor indexed="2"/>
      </patternFill>
    </fill>
    <fill>
      <patternFill patternType="solid">
        <fgColor indexed="2"/>
        <bgColor indexed="60"/>
      </patternFill>
    </fill>
    <fill>
      <patternFill patternType="solid">
        <fgColor indexed="10"/>
        <bgColor indexed="60"/>
      </patternFill>
    </fill>
    <fill>
      <patternFill patternType="solid">
        <fgColor indexed="10"/>
      </patternFill>
    </fill>
    <fill>
      <patternFill patternType="solid">
        <fgColor indexed="57"/>
        <bgColor indexed="57"/>
      </patternFill>
    </fill>
    <fill>
      <patternFill patternType="solid">
        <fgColor indexed="57"/>
        <bgColor indexed="21"/>
      </patternFill>
    </fill>
    <fill>
      <patternFill patternType="solid">
        <fgColor indexed="57"/>
      </patternFill>
    </fill>
    <fill>
      <patternFill patternType="solid">
        <fgColor indexed="20"/>
        <bgColor indexed="36"/>
      </patternFill>
    </fill>
    <fill>
      <patternFill patternType="solid">
        <fgColor indexed="49"/>
        <bgColor indexed="40"/>
      </patternFill>
    </fill>
    <fill>
      <patternFill patternType="solid">
        <fgColor indexed="53"/>
        <bgColor indexed="53"/>
      </patternFill>
    </fill>
    <fill>
      <patternFill patternType="solid">
        <fgColor indexed="53"/>
        <bgColor indexed="52"/>
      </patternFill>
    </fill>
    <fill>
      <patternFill patternType="solid">
        <fgColor indexed="53"/>
      </patternFill>
    </fill>
    <fill>
      <patternFill patternType="solid">
        <fgColor indexed="47"/>
        <bgColor indexed="22"/>
      </patternFill>
    </fill>
    <fill>
      <patternFill patternType="solid">
        <fgColor indexed="22"/>
        <bgColor indexed="22"/>
      </patternFill>
    </fill>
    <fill>
      <patternFill patternType="solid">
        <fgColor indexed="22"/>
        <bgColor indexed="31"/>
      </patternFill>
    </fill>
    <fill>
      <patternFill patternType="solid">
        <fgColor indexed="22"/>
      </patternFill>
    </fill>
    <fill>
      <patternFill patternType="solid">
        <fgColor indexed="55"/>
        <bgColor indexed="55"/>
      </patternFill>
    </fill>
    <fill>
      <patternFill patternType="solid">
        <fgColor indexed="55"/>
        <bgColor indexed="23"/>
      </patternFill>
    </fill>
    <fill>
      <patternFill patternType="solid">
        <fgColor indexed="55"/>
      </patternFill>
    </fill>
    <fill>
      <patternFill patternType="solid">
        <fgColor indexed="43"/>
        <bgColor indexed="43"/>
      </patternFill>
    </fill>
    <fill>
      <patternFill patternType="solid">
        <fgColor indexed="43"/>
        <bgColor indexed="26"/>
      </patternFill>
    </fill>
    <fill>
      <patternFill patternType="solid">
        <fgColor indexed="43"/>
      </patternFill>
    </fill>
    <fill>
      <patternFill patternType="solid">
        <fgColor indexed="65"/>
      </patternFill>
    </fill>
    <fill>
      <patternFill patternType="solid">
        <fgColor indexed="65"/>
        <bgColor indexed="64"/>
      </patternFill>
    </fill>
    <fill>
      <patternFill patternType="solid">
        <fgColor indexed="45"/>
        <bgColor indexed="29"/>
      </patternFill>
    </fill>
    <fill>
      <patternFill patternType="solid">
        <fgColor indexed="26"/>
      </patternFill>
    </fill>
    <fill>
      <patternFill patternType="solid">
        <fgColor indexed="26"/>
        <bgColor indexed="9"/>
      </patternFill>
    </fill>
    <fill>
      <patternFill patternType="solid">
        <fgColor indexed="42"/>
        <bgColor indexed="27"/>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F1ABE9"/>
        <bgColor indexed="64"/>
      </patternFill>
    </fill>
  </fills>
  <borders count="5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top style="thin">
        <color auto="1"/>
      </top>
      <bottom style="thin">
        <color auto="1"/>
      </bottom>
      <diagonal/>
    </border>
    <border>
      <left/>
      <right/>
      <top style="medium">
        <color rgb="FFFAC090"/>
      </top>
      <bottom style="medium">
        <color rgb="FFFAC090"/>
      </bottom>
      <diagonal/>
    </border>
    <border>
      <left/>
      <right style="thin">
        <color rgb="FFFAC090"/>
      </right>
      <top style="medium">
        <color rgb="FFFAC090"/>
      </top>
      <bottom style="medium">
        <color rgb="FFFAC090"/>
      </bottom>
      <diagonal/>
    </border>
    <border>
      <left style="thin">
        <color rgb="FFBFBFBF"/>
      </left>
      <right style="thin">
        <color rgb="FFD9D9D9"/>
      </right>
      <top/>
      <bottom style="thin">
        <color rgb="FFD9D9D9"/>
      </bottom>
      <diagonal/>
    </border>
    <border>
      <left style="thin">
        <color rgb="FF95B3D7"/>
      </left>
      <right/>
      <top/>
      <bottom style="medium">
        <color rgb="FF95B3D7"/>
      </bottom>
      <diagonal/>
    </border>
    <border>
      <left style="thin">
        <color rgb="FFD9D9D9"/>
      </left>
      <right style="thin">
        <color rgb="FFD9D9D9"/>
      </right>
      <top/>
      <bottom style="thin">
        <color rgb="FFD9D9D9"/>
      </bottom>
      <diagonal/>
    </border>
    <border>
      <left/>
      <right/>
      <top/>
      <bottom style="medium">
        <color rgb="FF95B3D7"/>
      </bottom>
      <diagonal/>
    </border>
    <border>
      <left style="thin">
        <color rgb="FFD9D9D9"/>
      </left>
      <right style="thin">
        <color rgb="FFBFBFBF"/>
      </right>
      <top/>
      <bottom style="thin">
        <color rgb="FFD9D9D9"/>
      </bottom>
      <diagonal/>
    </border>
    <border>
      <left/>
      <right style="thin">
        <color rgb="FF95B3D7"/>
      </right>
      <top/>
      <bottom style="medium">
        <color rgb="FF95B3D7"/>
      </bottom>
      <diagonal/>
    </border>
    <border>
      <left style="thin">
        <color rgb="FFB9CDE5"/>
      </left>
      <right style="thin">
        <color rgb="FFD9D9D9"/>
      </right>
      <top/>
      <bottom style="thin">
        <color rgb="FFB9CDE5"/>
      </bottom>
      <diagonal/>
    </border>
    <border>
      <left style="thin">
        <color rgb="FFD9D9D9"/>
      </left>
      <right style="thin">
        <color rgb="FFD9D9D9"/>
      </right>
      <top/>
      <bottom style="thin">
        <color rgb="FFB9CDE5"/>
      </bottom>
      <diagonal/>
    </border>
    <border>
      <left style="thin">
        <color rgb="FFD9D9D9"/>
      </left>
      <right style="thin">
        <color rgb="FFB9CDE5"/>
      </right>
      <top/>
      <bottom style="thin">
        <color rgb="FFB9CDE5"/>
      </bottom>
      <diagonal/>
    </border>
    <border>
      <left/>
      <right/>
      <top style="medium">
        <color rgb="FFFAC090"/>
      </top>
      <bottom/>
      <diagonal/>
    </border>
    <border>
      <left style="thin">
        <color rgb="FFD9D9D9"/>
      </left>
      <right style="thin">
        <color rgb="FFD9D9D9"/>
      </right>
      <top style="thin">
        <color rgb="FFD9D9D9"/>
      </top>
      <bottom style="thin">
        <color rgb="FFA6A6A6"/>
      </bottom>
      <diagonal/>
    </border>
    <border>
      <left style="thin">
        <color rgb="FFD9D9D9"/>
      </left>
      <right style="thin">
        <color rgb="FFA6A6A6"/>
      </right>
      <top style="thin">
        <color rgb="FFD9D9D9"/>
      </top>
      <bottom style="thin">
        <color rgb="FFA6A6A6"/>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23836">
    <xf numFmtId="0" fontId="0" fillId="0" borderId="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7"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0" borderId="0" applyNumberFormat="0" applyBorder="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9"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3"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5"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7"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2" fillId="19" borderId="0" applyNumberFormat="0" applyBorder="0" applyProtection="0"/>
    <xf numFmtId="0" fontId="33" fillId="21" borderId="0" applyNumberFormat="0" applyBorder="0" applyProtection="0"/>
    <xf numFmtId="0" fontId="33" fillId="21" borderId="0" applyNumberFormat="0" applyBorder="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21" borderId="0" applyNumberFormat="0" applyBorder="0" applyProtection="0"/>
    <xf numFmtId="0" fontId="33" fillId="9" borderId="0" applyNumberFormat="0" applyBorder="0" applyProtection="0"/>
    <xf numFmtId="0" fontId="33" fillId="9" borderId="0" applyNumberFormat="0" applyBorder="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9" borderId="0" applyNumberFormat="0" applyBorder="0" applyProtection="0"/>
    <xf numFmtId="0" fontId="33" fillId="24" borderId="0" applyNumberFormat="0" applyBorder="0" applyProtection="0"/>
    <xf numFmtId="0" fontId="33" fillId="24" borderId="0" applyNumberFormat="0" applyBorder="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4" fillId="25" borderId="0" applyNumberFormat="0" applyBorder="0" applyAlignment="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4" borderId="0" applyNumberFormat="0" applyBorder="0" applyProtection="0"/>
    <xf numFmtId="0" fontId="33" fillId="26" borderId="0" applyNumberFormat="0" applyBorder="0" applyProtection="0"/>
    <xf numFmtId="0" fontId="33" fillId="26" borderId="0" applyNumberFormat="0" applyBorder="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8" borderId="0" applyNumberFormat="0" applyBorder="0" applyProtection="0"/>
    <xf numFmtId="0" fontId="33" fillId="28" borderId="0" applyNumberFormat="0" applyBorder="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28" borderId="0" applyNumberFormat="0" applyBorder="0" applyProtection="0"/>
    <xf numFmtId="0" fontId="33" fillId="30" borderId="0" applyNumberFormat="0" applyBorder="0" applyProtection="0"/>
    <xf numFmtId="0" fontId="33" fillId="30" borderId="0" applyNumberFormat="0" applyBorder="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33" fillId="30"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2"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4"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7" borderId="0" applyNumberFormat="0" applyBorder="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36"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0"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2"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2" fillId="44" borderId="0" applyNumberFormat="0" applyBorder="0" applyProtection="0"/>
    <xf numFmtId="0" fontId="33" fillId="46" borderId="0" applyNumberFormat="0" applyBorder="0" applyProtection="0"/>
    <xf numFmtId="0" fontId="33" fillId="46" borderId="0" applyNumberFormat="0" applyBorder="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8" borderId="0" applyNumberFormat="0" applyBorder="0" applyProtection="0"/>
    <xf numFmtId="0" fontId="33" fillId="48" borderId="0" applyNumberFormat="0" applyBorder="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48" borderId="0" applyNumberFormat="0" applyBorder="0" applyProtection="0"/>
    <xf numFmtId="0" fontId="33" fillId="36" borderId="0" applyNumberFormat="0" applyBorder="0" applyProtection="0"/>
    <xf numFmtId="0" fontId="33" fillId="36" borderId="0" applyNumberFormat="0" applyBorder="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36" borderId="0" applyNumberFormat="0" applyBorder="0" applyProtection="0"/>
    <xf numFmtId="0" fontId="33" fillId="26" borderId="0" applyNumberFormat="0" applyBorder="0" applyProtection="0"/>
    <xf numFmtId="0" fontId="33" fillId="26" borderId="0" applyNumberFormat="0" applyBorder="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26" borderId="0" applyNumberFormat="0" applyBorder="0" applyProtection="0"/>
    <xf numFmtId="0" fontId="33" fillId="46" borderId="0" applyNumberFormat="0" applyBorder="0" applyProtection="0"/>
    <xf numFmtId="0" fontId="33" fillId="46" borderId="0" applyNumberFormat="0" applyBorder="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46" borderId="0" applyNumberFormat="0" applyBorder="0" applyProtection="0"/>
    <xf numFmtId="0" fontId="33" fillId="51" borderId="0" applyNumberFormat="0" applyBorder="0" applyProtection="0"/>
    <xf numFmtId="0" fontId="33" fillId="51" borderId="0" applyNumberFormat="0" applyBorder="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3" fillId="51" borderId="0" applyNumberFormat="0" applyBorder="0" applyProtection="0"/>
    <xf numFmtId="0" fontId="30" fillId="53" borderId="0" applyNumberFormat="0" applyBorder="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4" borderId="0" applyNumberFormat="0" applyBorder="0" applyAlignment="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3" borderId="0" applyNumberFormat="0" applyBorder="0" applyProtection="0"/>
    <xf numFmtId="0" fontId="30" fillId="55" borderId="0" applyNumberFormat="0" applyBorder="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6" borderId="0" applyNumberFormat="0" applyBorder="0" applyAlignment="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5" borderId="0" applyNumberFormat="0" applyBorder="0" applyProtection="0"/>
    <xf numFmtId="0" fontId="30" fillId="57" borderId="0" applyNumberFormat="0" applyBorder="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7" borderId="0" applyNumberFormat="0" applyBorder="0" applyProtection="0"/>
    <xf numFmtId="0" fontId="30" fillId="59" borderId="0" applyNumberFormat="0" applyBorder="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60" borderId="0" applyNumberFormat="0" applyBorder="0" applyAlignment="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59" borderId="0" applyNumberFormat="0" applyBorder="0" applyProtection="0"/>
    <xf numFmtId="0" fontId="30" fillId="61" borderId="0" applyNumberFormat="0" applyBorder="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1" borderId="0" applyNumberFormat="0" applyBorder="0" applyProtection="0"/>
    <xf numFmtId="0" fontId="30" fillId="63" borderId="0" applyNumberFormat="0" applyBorder="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0" fillId="63" borderId="0" applyNumberFormat="0" applyBorder="0" applyProtection="0"/>
    <xf numFmtId="0" fontId="35" fillId="65" borderId="0" applyNumberFormat="0" applyBorder="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65" borderId="0" applyNumberFormat="0" applyBorder="0" applyProtection="0"/>
    <xf numFmtId="0" fontId="35" fillId="48" borderId="0" applyNumberFormat="0" applyBorder="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48" borderId="0" applyNumberFormat="0" applyBorder="0" applyProtection="0"/>
    <xf numFmtId="0" fontId="35" fillId="36" borderId="0" applyNumberFormat="0" applyBorder="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36"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9"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71" borderId="0" applyNumberFormat="0" applyBorder="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6" fillId="72" borderId="0" applyNumberFormat="0" applyBorder="0" applyAlignment="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5" fillId="71" borderId="0" applyNumberFormat="0" applyBorder="0" applyProtection="0"/>
    <xf numFmtId="0" fontId="30" fillId="73" borderId="0" applyNumberFormat="0" applyBorder="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3" borderId="0" applyNumberFormat="0" applyBorder="0" applyProtection="0"/>
    <xf numFmtId="0" fontId="30" fillId="75" borderId="0" applyNumberFormat="0" applyBorder="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6" borderId="0" applyNumberFormat="0" applyBorder="0" applyAlignment="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5" borderId="0" applyNumberFormat="0" applyBorder="0" applyProtection="0"/>
    <xf numFmtId="0" fontId="30" fillId="77" borderId="0" applyNumberFormat="0" applyBorder="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7" borderId="0" applyNumberFormat="0" applyBorder="0" applyProtection="0"/>
    <xf numFmtId="0" fontId="30" fillId="79" borderId="0" applyNumberFormat="0" applyBorder="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79" borderId="0" applyNumberFormat="0" applyBorder="0" applyProtection="0"/>
    <xf numFmtId="0" fontId="30" fillId="81" borderId="0" applyNumberFormat="0" applyBorder="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2" borderId="0" applyNumberFormat="0" applyBorder="0" applyAlignment="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1" borderId="0" applyNumberFormat="0" applyBorder="0" applyProtection="0"/>
    <xf numFmtId="0" fontId="30" fillId="83" borderId="0" applyNumberFormat="0" applyBorder="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4" borderId="0" applyNumberFormat="0" applyBorder="0" applyAlignment="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30" fillId="83" borderId="0" applyNumberFormat="0" applyBorder="0" applyProtection="0"/>
    <xf numFmtId="0" fontId="20" fillId="85" borderId="0" applyNumberFormat="0" applyBorder="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6" borderId="0" applyNumberFormat="0" applyBorder="0" applyAlignment="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24" fillId="87" borderId="9" applyNumberForma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8" borderId="9" applyNumberFormat="0" applyAlignmen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4" fillId="87" borderId="9" applyNumberFormat="0" applyProtection="0"/>
    <xf numFmtId="0" fontId="26" fillId="89" borderId="12" applyNumberForma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90" borderId="12" applyNumberFormat="0" applyAlignmen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26" fillId="89" borderId="12" applyNumberFormat="0" applyProtection="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8">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165" fontId="41" fillId="91" borderId="18">
      <alignment horizontal="right" shrinkToFit="1"/>
    </xf>
    <xf numFmtId="165" fontId="42" fillId="92" borderId="18">
      <alignment horizontal="right" shrinkToFit="1"/>
    </xf>
    <xf numFmtId="165" fontId="42" fillId="92" borderId="18">
      <alignment horizontal="right" shrinkToFit="1"/>
    </xf>
    <xf numFmtId="165" fontId="42" fillId="92" borderId="18">
      <alignment horizontal="right" shrinkToFit="1"/>
    </xf>
    <xf numFmtId="165" fontId="42" fillId="92"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165"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7">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2" fillId="92"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8">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2" fillId="92"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 fontId="41" fillId="91" borderId="17">
      <alignment horizontal="right" shrinkToFit="1"/>
    </xf>
    <xf numFmtId="49" fontId="43" fillId="93" borderId="19">
      <alignment horizontal="center" vertical="top" shrinkToFi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49" fontId="44" fillId="96" borderId="19">
      <alignment horizontal="center" vertical="top" shrinkToFit="1"/>
    </xf>
    <xf numFmtId="49" fontId="44" fillId="96" borderId="19">
      <alignment horizontal="center" vertical="top" shrinkToFit="1"/>
    </xf>
    <xf numFmtId="49" fontId="44" fillId="96" borderId="19">
      <alignment horizontal="center" vertical="top" shrinkToFit="1"/>
    </xf>
    <xf numFmtId="49" fontId="44" fillId="96"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0" fontId="41" fillId="94" borderId="20">
      <alignment horizontal="left" vertical="top" wrapTex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2" fillId="95"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49" fontId="41" fillId="94" borderId="20">
      <alignment horizontal="center" vertical="top" shrinkToFi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2" fillId="95"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1" fillId="94" borderId="20">
      <alignment horizontal="left" vertical="top" wrapText="1"/>
    </xf>
    <xf numFmtId="0" fontId="43" fillId="93" borderId="21">
      <alignment horizontal="left" vertical="top" wrapTex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49" fontId="41" fillId="94" borderId="22">
      <alignment horizontal="center" vertical="top" wrapText="1" shrinkToFi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3" fillId="93" borderId="21">
      <alignment horizontal="center" vertical="top" shrinkToFi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0" fontId="41" fillId="94" borderId="22">
      <alignment horizontal="left" vertical="top" wrapText="1"/>
    </xf>
    <xf numFmtId="49" fontId="41" fillId="94"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2" fillId="95"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49" fontId="41" fillId="94" borderId="22">
      <alignment horizontal="center" vertical="top" wrapText="1" shrinkToFi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2" fillId="95"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0" fontId="41" fillId="94" borderId="22">
      <alignment horizontal="left" vertical="top" wrapText="1"/>
    </xf>
    <xf numFmtId="4" fontId="43" fillId="93" borderId="21">
      <alignment horizontal="right" vertical="top"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2" fillId="95"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1" fillId="94" borderId="22">
      <alignment horizontal="right" vertical="top" wrapText="1" shrinkToFit="1"/>
    </xf>
    <xf numFmtId="4" fontId="43" fillId="93" borderId="23">
      <alignment horizontal="righ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165" fontId="41" fillId="94" borderId="24">
      <alignment horizontal="right" vertical="top" shrinkToFit="1"/>
    </xf>
    <xf numFmtId="165" fontId="42" fillId="95" borderId="24">
      <alignment horizontal="right" vertical="top" shrinkToFit="1"/>
    </xf>
    <xf numFmtId="165" fontId="42" fillId="95" borderId="24">
      <alignment horizontal="right" vertical="top" shrinkToFit="1"/>
    </xf>
    <xf numFmtId="165" fontId="42" fillId="95" borderId="24">
      <alignment horizontal="right" vertical="top" shrinkToFit="1"/>
    </xf>
    <xf numFmtId="165" fontId="42" fillId="95"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165" fontId="41" fillId="94" borderId="24">
      <alignment horizontal="right" vertical="top" shrinkToFit="1"/>
    </xf>
    <xf numFmtId="4" fontId="44" fillId="96" borderId="23">
      <alignment horizontal="right" vertical="top" shrinkToFit="1"/>
    </xf>
    <xf numFmtId="4" fontId="44" fillId="96" borderId="23">
      <alignment horizontal="right" vertical="top" shrinkToFit="1"/>
    </xf>
    <xf numFmtId="4" fontId="44" fillId="96" borderId="23">
      <alignment horizontal="right" vertical="top" shrinkToFit="1"/>
    </xf>
    <xf numFmtId="4" fontId="44" fillId="96"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0" fontId="41" fillId="94" borderId="24">
      <alignmen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2" fillId="95"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4" fontId="41" fillId="94" borderId="24">
      <alignment horizontal="righ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2" fillId="95"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0" fontId="41" fillId="94" borderId="24">
      <alignment vertical="top" shrinkToFit="1"/>
    </xf>
    <xf numFmtId="49" fontId="45" fillId="0" borderId="19">
      <alignment horizontal="center" vertical="top" shrinkToFi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5" fillId="0" borderId="19">
      <alignment horizontal="center" vertical="top" shrinkToFit="1"/>
    </xf>
    <xf numFmtId="0" fontId="43" fillId="97" borderId="25">
      <alignment horizontal="left" vertical="top" wrapTex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4" fillId="98"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49" fontId="43" fillId="97" borderId="25">
      <alignment horizontal="center" vertical="top" shrinkToFi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4" fillId="98"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3" fillId="97" borderId="25">
      <alignment horizontal="left" vertical="top" wrapText="1"/>
    </xf>
    <xf numFmtId="0" fontId="47" fillId="0" borderId="21">
      <alignment horizontal="left" vertical="top" wrapTex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8"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49" fontId="43" fillId="97" borderId="26">
      <alignment horizontal="center" vertical="top" shrinkToFi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7" fillId="0" borderId="21">
      <alignment horizontal="center" vertical="top" shrinkToFi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8"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0" fontId="43" fillId="97" borderId="26">
      <alignment horizontal="left" vertical="top" wrapText="1"/>
    </xf>
    <xf numFmtId="49" fontId="43" fillId="97"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4" fillId="98"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49" fontId="43" fillId="97" borderId="26">
      <alignment horizontal="center" vertical="top" shrinkToFi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4" fillId="98"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0" fontId="43" fillId="97" borderId="26">
      <alignment horizontal="left" vertical="top" wrapText="1"/>
    </xf>
    <xf numFmtId="4" fontId="47" fillId="0" borderId="21">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8"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7" fillId="0" borderId="23">
      <alignment horizontal="righ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165" fontId="43" fillId="97"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0" fontId="43" fillId="97" borderId="27">
      <alignmen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4" fillId="98"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4" fontId="43" fillId="97" borderId="27">
      <alignment horizontal="righ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4" fillId="98"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7" borderId="27">
      <alignment vertical="top" shrinkToFit="1"/>
    </xf>
    <xf numFmtId="0" fontId="43" fillId="93" borderId="19">
      <alignment horizontal="left" vertical="top" wrapText="1"/>
    </xf>
    <xf numFmtId="49" fontId="43" fillId="93" borderId="19">
      <alignment horizontal="center" vertical="top" shrinkToFit="1"/>
    </xf>
    <xf numFmtId="49" fontId="44" fillId="96" borderId="19">
      <alignment horizontal="center" vertical="top" shrinkToFit="1"/>
    </xf>
    <xf numFmtId="49" fontId="44" fillId="96" borderId="19">
      <alignment horizontal="center" vertical="top" shrinkToFit="1"/>
    </xf>
    <xf numFmtId="49" fontId="44" fillId="96" borderId="19">
      <alignment horizontal="center" vertical="top" shrinkToFit="1"/>
    </xf>
    <xf numFmtId="49" fontId="44" fillId="96"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49" fontId="43" fillId="93" borderId="19">
      <alignment horizontal="center" vertical="top" shrinkToFit="1"/>
    </xf>
    <xf numFmtId="0" fontId="44" fillId="96" borderId="19">
      <alignment horizontal="left" vertical="top" wrapText="1"/>
    </xf>
    <xf numFmtId="0" fontId="44" fillId="96" borderId="19">
      <alignment horizontal="left" vertical="top" wrapText="1"/>
    </xf>
    <xf numFmtId="0" fontId="44" fillId="96" borderId="19">
      <alignment horizontal="left" vertical="top" wrapText="1"/>
    </xf>
    <xf numFmtId="0" fontId="44" fillId="96"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0" fontId="43" fillId="93" borderId="19">
      <alignment horizontal="left" vertical="top" wrapText="1"/>
    </xf>
    <xf numFmtId="49" fontId="43" fillId="93" borderId="21">
      <alignment horizontal="center" vertical="top" shrinkToFit="1"/>
    </xf>
    <xf numFmtId="49" fontId="43" fillId="93" borderId="21">
      <alignment horizontal="center" vertical="top" shrinkToFit="1"/>
    </xf>
    <xf numFmtId="0" fontId="43" fillId="93"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0" fontId="43" fillId="93" borderId="21">
      <alignment horizontal="left" vertical="top" wrapText="1"/>
    </xf>
    <xf numFmtId="0" fontId="43" fillId="93" borderId="21">
      <alignment horizontal="left" vertical="top" wrapText="1"/>
    </xf>
    <xf numFmtId="49" fontId="43" fillId="93"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4" fillId="96"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49" fontId="43" fillId="93" borderId="21">
      <alignment horizontal="center" vertical="top" shrinkToFi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4" fillId="96"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0" fontId="43" fillId="93" borderId="21">
      <alignment horizontal="left" vertical="top" wrapText="1"/>
    </xf>
    <xf numFmtId="4" fontId="43" fillId="93" borderId="21">
      <alignment horizontal="right" vertical="top" shrinkToFit="1"/>
    </xf>
    <xf numFmtId="4" fontId="43" fillId="93"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0" fontId="43" fillId="93" borderId="23">
      <alignment vertical="top" shrinkToFit="1"/>
    </xf>
    <xf numFmtId="0" fontId="43" fillId="93" borderId="23">
      <alignment vertical="top" shrinkToFit="1"/>
    </xf>
    <xf numFmtId="4" fontId="43" fillId="93" borderId="23">
      <alignment horizontal="right" vertical="top" shrinkToFit="1"/>
    </xf>
    <xf numFmtId="4" fontId="44" fillId="96" borderId="23">
      <alignment horizontal="right" vertical="top" shrinkToFit="1"/>
    </xf>
    <xf numFmtId="4" fontId="44" fillId="96" borderId="23">
      <alignment horizontal="right" vertical="top" shrinkToFit="1"/>
    </xf>
    <xf numFmtId="4" fontId="44" fillId="96" borderId="23">
      <alignment horizontal="right" vertical="top" shrinkToFit="1"/>
    </xf>
    <xf numFmtId="4" fontId="44" fillId="96"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4" fontId="43" fillId="93" borderId="23">
      <alignment horizontal="right" vertical="top" shrinkToFit="1"/>
    </xf>
    <xf numFmtId="165" fontId="43" fillId="93"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0" fontId="44" fillId="96" borderId="23">
      <alignment vertical="top" shrinkToFit="1"/>
    </xf>
    <xf numFmtId="0" fontId="44" fillId="96" borderId="23">
      <alignment vertical="top" shrinkToFit="1"/>
    </xf>
    <xf numFmtId="0" fontId="44" fillId="96" borderId="23">
      <alignment vertical="top" shrinkToFit="1"/>
    </xf>
    <xf numFmtId="0" fontId="44" fillId="96"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3" fillId="93" borderId="23">
      <alignment vertical="top" shrinkToFit="1"/>
    </xf>
    <xf numFmtId="0" fontId="45" fillId="0" borderId="19">
      <alignment horizontal="left" vertical="top" wrapText="1"/>
    </xf>
    <xf numFmtId="49" fontId="45"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5" fillId="0" borderId="19">
      <alignment horizontal="center" vertical="top" shrinkToFit="1"/>
    </xf>
    <xf numFmtId="0" fontId="46" fillId="0" borderId="19">
      <alignment horizontal="left" vertical="top" wrapText="1"/>
    </xf>
    <xf numFmtId="0" fontId="46" fillId="0" borderId="19">
      <alignment horizontal="left" vertical="top" wrapText="1"/>
    </xf>
    <xf numFmtId="0" fontId="46" fillId="0" borderId="19">
      <alignment horizontal="left" vertical="top" wrapText="1"/>
    </xf>
    <xf numFmtId="0" fontId="46" fillId="0" borderId="19">
      <alignment horizontal="left" vertical="top" wrapText="1"/>
    </xf>
    <xf numFmtId="0" fontId="45" fillId="0" borderId="19">
      <alignment horizontal="left" vertical="top" wrapText="1"/>
    </xf>
    <xf numFmtId="49" fontId="47" fillId="0" borderId="21">
      <alignment horizontal="center" vertical="top" shrinkToFit="1"/>
    </xf>
    <xf numFmtId="49" fontId="47" fillId="0" borderId="21">
      <alignment horizontal="center" vertical="top" shrinkToFit="1"/>
    </xf>
    <xf numFmtId="0" fontId="47"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0" fontId="47" fillId="0" borderId="21">
      <alignment horizontal="left" vertical="top" wrapText="1"/>
    </xf>
    <xf numFmtId="0" fontId="47" fillId="0" borderId="21">
      <alignment horizontal="left" vertical="top" wrapText="1"/>
    </xf>
    <xf numFmtId="49" fontId="47"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4" fontId="47" fillId="0" borderId="21">
      <alignment horizontal="right" vertical="top"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0" fontId="47" fillId="0" borderId="23">
      <alignment vertical="top" shrinkToFit="1"/>
    </xf>
    <xf numFmtId="0" fontId="47" fillId="0" borderId="23">
      <alignment vertical="top" shrinkToFit="1"/>
    </xf>
    <xf numFmtId="4" fontId="47"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165" fontId="47"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0" fontId="49" fillId="0" borderId="23">
      <alignment vertical="top" shrinkToFit="1"/>
    </xf>
    <xf numFmtId="0" fontId="49" fillId="0" borderId="23">
      <alignment vertical="top" shrinkToFit="1"/>
    </xf>
    <xf numFmtId="0" fontId="49" fillId="0" borderId="23">
      <alignment vertical="top" shrinkToFit="1"/>
    </xf>
    <xf numFmtId="0" fontId="49"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5" fillId="0" borderId="19">
      <alignment horizontal="left" vertical="top" wrapText="1"/>
    </xf>
    <xf numFmtId="49" fontId="45"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5" fillId="0" borderId="19">
      <alignment horizontal="center" vertical="top" shrinkToFit="1"/>
    </xf>
    <xf numFmtId="0" fontId="46" fillId="0" borderId="19">
      <alignment horizontal="left" vertical="top" wrapText="1"/>
    </xf>
    <xf numFmtId="0" fontId="46" fillId="0" borderId="19">
      <alignment horizontal="left" vertical="top" wrapText="1"/>
    </xf>
    <xf numFmtId="0" fontId="46" fillId="0" borderId="19">
      <alignment horizontal="left" vertical="top" wrapText="1"/>
    </xf>
    <xf numFmtId="0" fontId="46" fillId="0" borderId="19">
      <alignment horizontal="left" vertical="top" wrapText="1"/>
    </xf>
    <xf numFmtId="0" fontId="45" fillId="0" borderId="19">
      <alignment horizontal="left" vertical="top" wrapText="1"/>
    </xf>
    <xf numFmtId="49" fontId="47" fillId="0" borderId="21">
      <alignment horizontal="center" vertical="top" shrinkToFit="1"/>
    </xf>
    <xf numFmtId="49" fontId="47"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0" fontId="47" fillId="0" borderId="21">
      <alignment horizontal="left" vertical="top" wrapText="1"/>
    </xf>
    <xf numFmtId="0" fontId="47"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4" fontId="47" fillId="0" borderId="21">
      <alignment horizontal="right" vertical="top"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0" fontId="47" fillId="0" borderId="23">
      <alignment vertical="top" shrinkToFit="1"/>
    </xf>
    <xf numFmtId="4" fontId="47"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0" fontId="49" fillId="0" borderId="23">
      <alignment vertical="top" shrinkToFit="1"/>
    </xf>
    <xf numFmtId="0" fontId="49" fillId="0" borderId="23">
      <alignment vertical="top" shrinkToFit="1"/>
    </xf>
    <xf numFmtId="0" fontId="49" fillId="0" borderId="23">
      <alignment vertical="top" shrinkToFit="1"/>
    </xf>
    <xf numFmtId="0" fontId="49"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0" fontId="47" fillId="0" borderId="23">
      <alignment vertical="top" shrinkToFit="1"/>
    </xf>
    <xf numFmtId="49" fontId="45"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6" fillId="0" borderId="19">
      <alignment horizontal="center" vertical="top" shrinkToFit="1"/>
    </xf>
    <xf numFmtId="49" fontId="45" fillId="0" borderId="19">
      <alignment horizontal="center" vertical="top" shrinkToFit="1"/>
    </xf>
    <xf numFmtId="49" fontId="47"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9"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49" fontId="47" fillId="0" borderId="21">
      <alignment horizontal="center" vertical="top" shrinkToFit="1"/>
    </xf>
    <xf numFmtId="0" fontId="47"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9"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0" fontId="47" fillId="0" borderId="21">
      <alignment horizontal="left" vertical="top" wrapTex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9"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4" fontId="47" fillId="0" borderId="23">
      <alignment horizontal="right" vertical="top" shrinkToFit="1"/>
    </xf>
    <xf numFmtId="0" fontId="28" fillId="0" borderId="0" applyNumberFormat="0" applyFill="0" applyBorder="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19" fillId="99" borderId="0" applyNumberFormat="0" applyBorder="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100" borderId="0" applyNumberFormat="0" applyBorder="0" applyAlignment="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9" fillId="99" borderId="0" applyNumberFormat="0" applyBorder="0" applyProtection="0"/>
    <xf numFmtId="0" fontId="16" fillId="0" borderId="6" applyNumberFormat="0" applyFill="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6" fillId="0" borderId="6" applyNumberFormat="0" applyFill="0" applyProtection="0"/>
    <xf numFmtId="0" fontId="17" fillId="0" borderId="7" applyNumberFormat="0" applyFill="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Alignment="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7" fillId="0" borderId="7" applyNumberFormat="0" applyFill="0" applyProtection="0"/>
    <xf numFmtId="0" fontId="18" fillId="0" borderId="8" applyNumberFormat="0" applyFill="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8" applyNumberFormat="0" applyFill="0" applyProtection="0"/>
    <xf numFmtId="0" fontId="18" fillId="0" borderId="0" applyNumberFormat="0" applyFill="0" applyBorder="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18" fillId="0" borderId="0" applyNumberFormat="0" applyFill="0" applyBorder="0" applyProtection="0"/>
    <xf numFmtId="0" fontId="22" fillId="30" borderId="9" applyNumberForma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101" borderId="9" applyNumberFormat="0" applyAlignmen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2" fillId="30" borderId="9" applyNumberFormat="0" applyProtection="0"/>
    <xf numFmtId="0" fontId="25" fillId="0" borderId="11" applyNumberFormat="0" applyFill="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Alignment="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5" fillId="0" borderId="11" applyNumberFormat="0" applyFill="0" applyProtection="0"/>
    <xf numFmtId="0" fontId="21" fillId="102" borderId="0" applyNumberFormat="0" applyBorder="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3" borderId="0" applyNumberFormat="0" applyBorder="0" applyAlignment="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21" fillId="102" borderId="0" applyNumberFormat="0" applyBorder="0" applyProtection="0"/>
    <xf numFmtId="0" fontId="47"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4" fillId="105" borderId="13" applyNumberFormat="0" applyFont="0" applyAlignme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33" fillId="104" borderId="13" applyNumberFormat="0" applyFont="0" applyProtection="0"/>
    <xf numFmtId="0" fontId="23" fillId="87" borderId="10" applyNumberForma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8" borderId="10" applyNumberFormat="0" applyAlignmen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23" fillId="87" borderId="10" applyNumberFormat="0" applyProtection="0"/>
    <xf numFmtId="0" fontId="47" fillId="0" borderId="0">
      <alignment horizontal="right" vertical="top" wrapText="1"/>
    </xf>
    <xf numFmtId="0" fontId="49" fillId="0" borderId="0">
      <alignment horizontal="right" vertical="top" wrapText="1"/>
    </xf>
    <xf numFmtId="0" fontId="49" fillId="0" borderId="0">
      <alignment horizontal="right" vertical="top" wrapText="1"/>
    </xf>
    <xf numFmtId="0" fontId="49" fillId="0" borderId="0">
      <alignment horizontal="right" vertical="top" wrapText="1"/>
    </xf>
    <xf numFmtId="0" fontId="49"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9" fillId="0" borderId="0">
      <alignment horizontal="right" vertical="top" wrapText="1"/>
    </xf>
    <xf numFmtId="0" fontId="49" fillId="0" borderId="0">
      <alignment horizontal="right" vertical="top" wrapText="1"/>
    </xf>
    <xf numFmtId="0" fontId="49" fillId="0" borderId="0">
      <alignment horizontal="right" vertical="top" wrapText="1"/>
    </xf>
    <xf numFmtId="0" fontId="49"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0" fontId="47" fillId="0" borderId="0">
      <alignment horizontal="right" vertical="top" wrapText="1"/>
    </xf>
    <xf numFmtId="4" fontId="43" fillId="91" borderId="17">
      <alignment horizontal="right" shrinkToFit="1"/>
    </xf>
    <xf numFmtId="4" fontId="44" fillId="92" borderId="17">
      <alignment horizontal="right" shrinkToFit="1"/>
    </xf>
    <xf numFmtId="4" fontId="44" fillId="92" borderId="17">
      <alignment horizontal="right" shrinkToFit="1"/>
    </xf>
    <xf numFmtId="4" fontId="44" fillId="92" borderId="17">
      <alignment horizontal="right" shrinkToFit="1"/>
    </xf>
    <xf numFmtId="4" fontId="44" fillId="92"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4" fontId="43" fillId="91" borderId="17">
      <alignment horizontal="right" shrinkToFit="1"/>
    </xf>
    <xf numFmtId="165" fontId="43" fillId="91" borderId="18">
      <alignment horizontal="right" shrinkToFit="1"/>
    </xf>
    <xf numFmtId="165" fontId="44" fillId="92" borderId="18">
      <alignment horizontal="right" shrinkToFit="1"/>
    </xf>
    <xf numFmtId="165" fontId="44" fillId="92" borderId="18">
      <alignment horizontal="right" shrinkToFit="1"/>
    </xf>
    <xf numFmtId="165" fontId="44" fillId="92" borderId="18">
      <alignment horizontal="right" shrinkToFit="1"/>
    </xf>
    <xf numFmtId="165" fontId="44" fillId="92"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165" fontId="43" fillId="91" borderId="18">
      <alignment horizontal="right" shrinkToFit="1"/>
    </xf>
    <xf numFmtId="0" fontId="47" fillId="0" borderId="28"/>
    <xf numFmtId="0" fontId="49" fillId="0" borderId="28"/>
    <xf numFmtId="0" fontId="49" fillId="0" borderId="28"/>
    <xf numFmtId="0" fontId="49" fillId="0" borderId="28"/>
    <xf numFmtId="0" fontId="49" fillId="0" borderId="28"/>
    <xf numFmtId="0" fontId="47" fillId="0" borderId="28"/>
    <xf numFmtId="0" fontId="47" fillId="0" borderId="28"/>
    <xf numFmtId="0" fontId="47" fillId="0" borderId="28"/>
    <xf numFmtId="0" fontId="47" fillId="0" borderId="28"/>
    <xf numFmtId="0" fontId="47" fillId="0" borderId="28"/>
    <xf numFmtId="0" fontId="47" fillId="0" borderId="28"/>
    <xf numFmtId="0" fontId="47" fillId="0" borderId="28"/>
    <xf numFmtId="0" fontId="47" fillId="0" borderId="28"/>
    <xf numFmtId="0" fontId="47" fillId="0" borderId="28"/>
    <xf numFmtId="0" fontId="47" fillId="0" borderId="23">
      <alignment horizontal="right" vertical="top" wrapText="1"/>
    </xf>
    <xf numFmtId="0" fontId="47" fillId="0" borderId="23">
      <alignment horizontal="right" vertical="top" wrapText="1"/>
    </xf>
    <xf numFmtId="49" fontId="43" fillId="0" borderId="29">
      <alignment horizontal="center" vertical="center" wrapText="1"/>
    </xf>
    <xf numFmtId="49" fontId="44" fillId="0" borderId="29">
      <alignment horizontal="center" vertical="center" wrapText="1"/>
    </xf>
    <xf numFmtId="49" fontId="44" fillId="0" borderId="29">
      <alignment horizontal="center" vertical="center" wrapText="1"/>
    </xf>
    <xf numFmtId="49" fontId="44" fillId="0" borderId="29">
      <alignment horizontal="center" vertical="center" wrapText="1"/>
    </xf>
    <xf numFmtId="49" fontId="44"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9" fontId="43" fillId="0" borderId="29">
      <alignment horizontal="center" vertical="center" wrapText="1"/>
    </xf>
    <xf numFmtId="4" fontId="43" fillId="93"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0" fontId="49" fillId="0" borderId="23">
      <alignment horizontal="right" vertical="top" wrapText="1"/>
    </xf>
    <xf numFmtId="0" fontId="49" fillId="0" borderId="23">
      <alignment horizontal="right" vertical="top" wrapText="1"/>
    </xf>
    <xf numFmtId="0" fontId="49" fillId="0" borderId="23">
      <alignment horizontal="right" vertical="top" wrapText="1"/>
    </xf>
    <xf numFmtId="0" fontId="49"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0" fontId="47" fillId="0" borderId="23">
      <alignment horizontal="right" vertical="top" wrapText="1"/>
    </xf>
    <xf numFmtId="165" fontId="43" fillId="93" borderId="23">
      <alignment horizontal="right" vertical="top" shrinkToFit="1"/>
    </xf>
    <xf numFmtId="49" fontId="43" fillId="0" borderId="30">
      <alignment horizontal="center" vertical="center" wrapText="1"/>
    </xf>
    <xf numFmtId="49" fontId="44" fillId="0" borderId="30">
      <alignment horizontal="center" vertical="center" wrapText="1"/>
    </xf>
    <xf numFmtId="49" fontId="44" fillId="0" borderId="30">
      <alignment horizontal="center" vertical="center" wrapText="1"/>
    </xf>
    <xf numFmtId="49" fontId="44" fillId="0" borderId="30">
      <alignment horizontal="center" vertical="center" wrapText="1"/>
    </xf>
    <xf numFmtId="49" fontId="44"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49" fontId="43" fillId="0" borderId="30">
      <alignment horizontal="center" vertical="center" wrapTex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0" fontId="47" fillId="0" borderId="23">
      <alignment horizontal="right" vertical="top" shrinkToFit="1"/>
    </xf>
    <xf numFmtId="0" fontId="47" fillId="0" borderId="23">
      <alignment horizontal="right" vertical="top" shrinkToFit="1"/>
    </xf>
    <xf numFmtId="4" fontId="43" fillId="94" borderId="22">
      <alignment horizontal="right" vertical="top" wrapText="1" shrinkToFit="1"/>
    </xf>
    <xf numFmtId="4" fontId="44" fillId="95" borderId="22">
      <alignment horizontal="right" vertical="top" wrapText="1" shrinkToFit="1"/>
    </xf>
    <xf numFmtId="4" fontId="44" fillId="95" borderId="22">
      <alignment horizontal="right" vertical="top" wrapText="1" shrinkToFit="1"/>
    </xf>
    <xf numFmtId="4" fontId="44" fillId="95" borderId="22">
      <alignment horizontal="right" vertical="top" wrapText="1" shrinkToFit="1"/>
    </xf>
    <xf numFmtId="4" fontId="44" fillId="95"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3" fillId="94" borderId="22">
      <alignment horizontal="right" vertical="top" wrapText="1"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0" fontId="49" fillId="0" borderId="23">
      <alignment horizontal="right" vertical="top" shrinkToFit="1"/>
    </xf>
    <xf numFmtId="0" fontId="49" fillId="0" borderId="23">
      <alignment horizontal="right" vertical="top" shrinkToFit="1"/>
    </xf>
    <xf numFmtId="0" fontId="49" fillId="0" borderId="23">
      <alignment horizontal="right" vertical="top" shrinkToFit="1"/>
    </xf>
    <xf numFmtId="0" fontId="49"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7" fillId="0" borderId="23">
      <alignment horizontal="right" vertical="top" shrinkToFit="1"/>
    </xf>
    <xf numFmtId="0" fontId="43" fillId="93" borderId="23">
      <alignment horizontal="right" vertical="top" shrinkToFit="1"/>
    </xf>
    <xf numFmtId="0" fontId="43" fillId="93" borderId="23">
      <alignment horizontal="right" vertical="top" shrinkToFit="1"/>
    </xf>
    <xf numFmtId="165" fontId="43" fillId="94" borderId="24">
      <alignment horizontal="right" vertical="top" shrinkToFit="1"/>
    </xf>
    <xf numFmtId="165" fontId="44" fillId="95" borderId="24">
      <alignment horizontal="right" vertical="top" shrinkToFit="1"/>
    </xf>
    <xf numFmtId="165" fontId="44" fillId="95" borderId="24">
      <alignment horizontal="right" vertical="top" shrinkToFit="1"/>
    </xf>
    <xf numFmtId="165" fontId="44" fillId="95" borderId="24">
      <alignment horizontal="right" vertical="top" shrinkToFit="1"/>
    </xf>
    <xf numFmtId="165" fontId="44" fillId="95"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3" fillId="94" borderId="24">
      <alignment horizontal="right" vertical="top" shrinkToFit="1"/>
    </xf>
    <xf numFmtId="165" fontId="47"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0" fontId="44" fillId="96" borderId="23">
      <alignment horizontal="right" vertical="top" shrinkToFit="1"/>
    </xf>
    <xf numFmtId="0" fontId="44" fillId="96" borderId="23">
      <alignment horizontal="right" vertical="top" shrinkToFit="1"/>
    </xf>
    <xf numFmtId="0" fontId="44" fillId="96" borderId="23">
      <alignment horizontal="right" vertical="top" shrinkToFit="1"/>
    </xf>
    <xf numFmtId="0" fontId="44" fillId="96"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3" borderId="23">
      <alignment horizontal="right" vertical="top" shrinkToFit="1"/>
    </xf>
    <xf numFmtId="0" fontId="43" fillId="97" borderId="27">
      <alignment horizontal="right" vertical="top" shrinkToFit="1"/>
    </xf>
    <xf numFmtId="4" fontId="43" fillId="97"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4" fillId="98"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4" fontId="43" fillId="97" borderId="26">
      <alignment horizontal="right" vertical="top" shrinkToFit="1"/>
    </xf>
    <xf numFmtId="0" fontId="44" fillId="98" borderId="27">
      <alignment horizontal="right" vertical="top" shrinkToFit="1"/>
    </xf>
    <xf numFmtId="0" fontId="44" fillId="98" borderId="27">
      <alignment horizontal="right" vertical="top" shrinkToFit="1"/>
    </xf>
    <xf numFmtId="0" fontId="44" fillId="98" borderId="27">
      <alignment horizontal="right" vertical="top" shrinkToFit="1"/>
    </xf>
    <xf numFmtId="0" fontId="44" fillId="98"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3" fillId="97" borderId="27">
      <alignment horizontal="right" vertical="top" shrinkToFit="1"/>
    </xf>
    <xf numFmtId="0" fontId="41" fillId="94" borderId="24">
      <alignment horizontal="right" vertical="top" shrinkToFit="1"/>
    </xf>
    <xf numFmtId="165" fontId="43" fillId="97"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4" fillId="98"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165" fontId="43" fillId="97" borderId="27">
      <alignment horizontal="right" vertical="top" shrinkToFit="1"/>
    </xf>
    <xf numFmtId="0" fontId="42" fillId="95" borderId="24">
      <alignment horizontal="right" vertical="top" shrinkToFit="1"/>
    </xf>
    <xf numFmtId="0" fontId="42" fillId="95" borderId="24">
      <alignment horizontal="right" vertical="top" shrinkToFit="1"/>
    </xf>
    <xf numFmtId="0" fontId="42" fillId="95" borderId="24">
      <alignment horizontal="right" vertical="top" shrinkToFit="1"/>
    </xf>
    <xf numFmtId="0" fontId="42" fillId="95"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0" fontId="41" fillId="94" borderId="24">
      <alignment horizontal="right" vertical="top" shrinkToFit="1"/>
    </xf>
    <xf numFmtId="4" fontId="43" fillId="93"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4" fillId="96"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4" fontId="43" fillId="93" borderId="21">
      <alignment horizontal="right" vertical="top" shrinkToFit="1"/>
    </xf>
    <xf numFmtId="165" fontId="43" fillId="93"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4" fillId="96"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165" fontId="43" fillId="93" borderId="23">
      <alignment horizontal="right" vertical="top" shrinkToFit="1"/>
    </xf>
    <xf numFmtId="4" fontId="47"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9"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4" fontId="47" fillId="0" borderId="21">
      <alignment horizontal="right" vertical="top" shrinkToFit="1"/>
    </xf>
    <xf numFmtId="165" fontId="47"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9"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165" fontId="47" fillId="0" borderId="23">
      <alignment horizontal="right" vertical="top" shrinkToFit="1"/>
    </xf>
    <xf numFmtId="0" fontId="47" fillId="0" borderId="0"/>
    <xf numFmtId="0" fontId="47"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9" fillId="0" borderId="0"/>
    <xf numFmtId="0" fontId="49"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2" fillId="0" borderId="0" applyNumberFormat="0" applyFill="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2" fillId="0" borderId="0" applyNumberFormat="0" applyFill="0" applyBorder="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51" fillId="0" borderId="0" applyNumberFormat="0" applyFill="0" applyBorder="0" applyProtection="0"/>
    <xf numFmtId="0" fontId="29" fillId="0" borderId="14" applyNumberFormat="0" applyFill="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29" fillId="0" borderId="14" applyNumberFormat="0" applyFill="0" applyProtection="0"/>
    <xf numFmtId="0" fontId="37" fillId="0" borderId="0"/>
    <xf numFmtId="0" fontId="37" fillId="0" borderId="0"/>
    <xf numFmtId="0" fontId="37"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9"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3" fillId="0" borderId="0" applyNumberFormat="0" applyFill="0" applyBorder="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0" fontId="53" fillId="0" borderId="0" applyNumberFormat="0" applyFill="0" applyBorder="0" applyProtection="0"/>
    <xf numFmtId="49" fontId="43" fillId="0" borderId="29">
      <alignment horizontal="center" vertical="center" wrapText="1"/>
    </xf>
    <xf numFmtId="4" fontId="45" fillId="0" borderId="1">
      <alignment horizontal="right" vertical="top" shrinkToFit="1"/>
    </xf>
    <xf numFmtId="4" fontId="54" fillId="0" borderId="31">
      <alignment horizontal="right" vertical="top" shrinkToFit="1"/>
    </xf>
    <xf numFmtId="4" fontId="54" fillId="0" borderId="31">
      <alignment horizontal="right" vertical="top" shrinkToFit="1"/>
    </xf>
    <xf numFmtId="4" fontId="54" fillId="0" borderId="31">
      <alignment horizontal="right" vertical="top" shrinkToFit="1"/>
    </xf>
    <xf numFmtId="4" fontId="54" fillId="0" borderId="31">
      <alignment horizontal="right" vertical="top" shrinkToFit="1"/>
    </xf>
    <xf numFmtId="4" fontId="45" fillId="0" borderId="1">
      <alignment horizontal="right" vertical="top" shrinkToFit="1"/>
    </xf>
    <xf numFmtId="4" fontId="45" fillId="0" borderId="1">
      <alignment horizontal="right" vertical="top" shrinkToFit="1"/>
    </xf>
    <xf numFmtId="4" fontId="45" fillId="0" borderId="1">
      <alignment horizontal="right" vertical="top" shrinkToFit="1"/>
    </xf>
    <xf numFmtId="4" fontId="45" fillId="0" borderId="1">
      <alignment horizontal="right" vertical="top" shrinkToFit="1"/>
    </xf>
    <xf numFmtId="4" fontId="45" fillId="0" borderId="1">
      <alignment horizontal="right" vertical="top" shrinkToFit="1"/>
    </xf>
    <xf numFmtId="4" fontId="55" fillId="28" borderId="1">
      <alignment horizontal="right" vertical="top" shrinkToFit="1"/>
    </xf>
    <xf numFmtId="4" fontId="56" fillId="106" borderId="31">
      <alignment horizontal="right" vertical="top" shrinkToFit="1"/>
    </xf>
    <xf numFmtId="4" fontId="56" fillId="106" borderId="31">
      <alignment horizontal="right" vertical="top" shrinkToFit="1"/>
    </xf>
    <xf numFmtId="4" fontId="56" fillId="106" borderId="31">
      <alignment horizontal="right" vertical="top" shrinkToFit="1"/>
    </xf>
    <xf numFmtId="4" fontId="56" fillId="106" borderId="31">
      <alignment horizontal="right" vertical="top" shrinkToFit="1"/>
    </xf>
    <xf numFmtId="4" fontId="55" fillId="28" borderId="1">
      <alignment horizontal="right" vertical="top" shrinkToFit="1"/>
    </xf>
    <xf numFmtId="4" fontId="55" fillId="28" borderId="1">
      <alignment horizontal="right" vertical="top" shrinkToFit="1"/>
    </xf>
    <xf numFmtId="4" fontId="55" fillId="28" borderId="1">
      <alignment horizontal="right" vertical="top" shrinkToFit="1"/>
    </xf>
    <xf numFmtId="4" fontId="55" fillId="28" borderId="1">
      <alignment horizontal="right" vertical="top" shrinkToFit="1"/>
    </xf>
    <xf numFmtId="4" fontId="55" fillId="28" borderId="1">
      <alignment horizontal="right" vertical="top" shrinkToFit="1"/>
    </xf>
    <xf numFmtId="0" fontId="35" fillId="107" borderId="0" applyNumberFormat="0" applyBorder="0" applyProtection="0"/>
    <xf numFmtId="0" fontId="57" fillId="108" borderId="0" applyNumberFormat="0" applyBorder="0" applyProtection="0"/>
    <xf numFmtId="0" fontId="58" fillId="108" borderId="0" applyNumberFormat="0" applyBorder="0" applyAlignment="0" applyProtection="0"/>
    <xf numFmtId="0" fontId="58" fillId="108" borderId="0" applyNumberFormat="0" applyBorder="0" applyAlignment="0" applyProtection="0"/>
    <xf numFmtId="0" fontId="58" fillId="108" borderId="0" applyNumberFormat="0" applyBorder="0" applyAlignment="0" applyProtection="0"/>
    <xf numFmtId="0" fontId="58" fillId="108" borderId="0" applyNumberFormat="0" applyBorder="0" applyAlignment="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57" fillId="108" borderId="0" applyNumberFormat="0" applyBorder="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6" fillId="109" borderId="0" applyNumberFormat="0" applyBorder="0" applyAlignment="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07" borderId="0" applyNumberFormat="0" applyBorder="0" applyProtection="0"/>
    <xf numFmtId="0" fontId="35" fillId="110" borderId="0" applyNumberFormat="0" applyBorder="0" applyProtection="0"/>
    <xf numFmtId="0" fontId="57" fillId="111" borderId="0" applyNumberFormat="0" applyBorder="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8" fillId="112" borderId="0" applyNumberFormat="0" applyBorder="0" applyAlignment="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57" fillId="111" borderId="0" applyNumberFormat="0" applyBorder="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6" fillId="113" borderId="0" applyNumberFormat="0" applyBorder="0" applyAlignment="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0" borderId="0" applyNumberFormat="0" applyBorder="0" applyProtection="0"/>
    <xf numFmtId="0" fontId="35" fillId="114" borderId="0" applyNumberFormat="0" applyBorder="0" applyProtection="0"/>
    <xf numFmtId="0" fontId="57" fillId="115" borderId="0" applyNumberFormat="0" applyBorder="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8" fillId="115" borderId="0" applyNumberFormat="0" applyBorder="0" applyAlignment="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57" fillId="115" borderId="0" applyNumberFormat="0" applyBorder="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6" fillId="116" borderId="0" applyNumberFormat="0" applyBorder="0" applyAlignment="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114"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57" fillId="67" borderId="0" applyNumberFormat="0" applyBorder="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8" fillId="117" borderId="0" applyNumberFormat="0" applyBorder="0" applyAlignment="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57"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6" fillId="68" borderId="0" applyNumberFormat="0" applyBorder="0" applyAlignment="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7" borderId="0" applyNumberFormat="0" applyBorder="0" applyProtection="0"/>
    <xf numFmtId="0" fontId="35" fillId="69" borderId="0" applyNumberFormat="0" applyBorder="0" applyProtection="0"/>
    <xf numFmtId="0" fontId="57" fillId="118" borderId="0" applyNumberFormat="0" applyBorder="0" applyProtection="0"/>
    <xf numFmtId="0" fontId="58" fillId="118" borderId="0" applyNumberFormat="0" applyBorder="0" applyAlignment="0" applyProtection="0"/>
    <xf numFmtId="0" fontId="58" fillId="118" borderId="0" applyNumberFormat="0" applyBorder="0" applyAlignment="0" applyProtection="0"/>
    <xf numFmtId="0" fontId="58" fillId="118" borderId="0" applyNumberFormat="0" applyBorder="0" applyAlignment="0" applyProtection="0"/>
    <xf numFmtId="0" fontId="58" fillId="118" borderId="0" applyNumberFormat="0" applyBorder="0" applyAlignment="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57" fillId="118"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6" fillId="70" borderId="0" applyNumberFormat="0" applyBorder="0" applyAlignment="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69" borderId="0" applyNumberFormat="0" applyBorder="0" applyProtection="0"/>
    <xf numFmtId="0" fontId="35" fillId="119" borderId="0" applyNumberFormat="0" applyBorder="0" applyProtection="0"/>
    <xf numFmtId="0" fontId="57" fillId="120" borderId="0" applyNumberFormat="0" applyBorder="0" applyProtection="0"/>
    <xf numFmtId="0" fontId="58" fillId="120" borderId="0" applyNumberFormat="0" applyBorder="0" applyAlignment="0" applyProtection="0"/>
    <xf numFmtId="0" fontId="58" fillId="120" borderId="0" applyNumberFormat="0" applyBorder="0" applyAlignment="0" applyProtection="0"/>
    <xf numFmtId="0" fontId="58" fillId="120" borderId="0" applyNumberFormat="0" applyBorder="0" applyAlignment="0" applyProtection="0"/>
    <xf numFmtId="0" fontId="58" fillId="120" borderId="0" applyNumberFormat="0" applyBorder="0" applyAlignment="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57" fillId="120" borderId="0" applyNumberFormat="0" applyBorder="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6" fillId="121" borderId="0" applyNumberFormat="0" applyBorder="0" applyAlignment="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35" fillId="119" borderId="0" applyNumberFormat="0" applyBorder="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1" fillId="122" borderId="32" applyNumberFormat="0" applyAlignmen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60" fillId="122" borderId="32" applyNumberForma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1" borderId="32" applyNumberFormat="0" applyAlignmen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59" fillId="30" borderId="32"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4" fillId="124" borderId="33" applyNumberFormat="0" applyAlignmen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3" fillId="124" borderId="33" applyNumberForma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5" borderId="33" applyNumberFormat="0" applyAlignmen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2" fillId="123" borderId="33"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7" fillId="124" borderId="32" applyNumberFormat="0" applyAlignmen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6" fillId="124" borderId="32" applyNumberForma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5" borderId="32" applyNumberFormat="0" applyAlignmen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5" fillId="123" borderId="32" applyNumberForma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9" fillId="0" borderId="0" applyNumberFormat="0" applyFill="0" applyBorder="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9"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9"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71"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9" fillId="0" borderId="0">
      <alignment vertical="top"/>
      <protection locked="0"/>
    </xf>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0" fontId="68" fillId="0" borderId="0" applyNumberForma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44" fontId="2" fillId="0" borderId="0" applyFont="0" applyFill="0" applyBorder="0" applyProtection="0"/>
    <xf numFmtId="0" fontId="72" fillId="0" borderId="34" applyNumberFormat="0" applyFill="0" applyProtection="0"/>
    <xf numFmtId="0" fontId="73" fillId="0" borderId="34" applyNumberFormat="0" applyFill="0" applyProtection="0"/>
    <xf numFmtId="0" fontId="74" fillId="0" borderId="34" applyNumberFormat="0" applyFill="0" applyAlignment="0" applyProtection="0"/>
    <xf numFmtId="0" fontId="74" fillId="0" borderId="34" applyNumberFormat="0" applyFill="0" applyAlignment="0" applyProtection="0"/>
    <xf numFmtId="0" fontId="74" fillId="0" borderId="34" applyNumberFormat="0" applyFill="0" applyAlignment="0" applyProtection="0"/>
    <xf numFmtId="0" fontId="74" fillId="0" borderId="34" applyNumberFormat="0" applyFill="0" applyAlignment="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3" fillId="0" borderId="34" applyNumberFormat="0" applyFill="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2" fillId="0" borderId="34" applyNumberFormat="0" applyFill="0" applyProtection="0"/>
    <xf numFmtId="0" fontId="75" fillId="0" borderId="35" applyNumberFormat="0" applyFill="0" applyProtection="0"/>
    <xf numFmtId="0" fontId="76" fillId="0" borderId="35" applyNumberFormat="0" applyFill="0" applyProtection="0"/>
    <xf numFmtId="0" fontId="77" fillId="0" borderId="35" applyNumberFormat="0" applyFill="0" applyAlignment="0" applyProtection="0"/>
    <xf numFmtId="0" fontId="77" fillId="0" borderId="35" applyNumberFormat="0" applyFill="0" applyAlignment="0" applyProtection="0"/>
    <xf numFmtId="0" fontId="77" fillId="0" borderId="35" applyNumberFormat="0" applyFill="0" applyAlignment="0" applyProtection="0"/>
    <xf numFmtId="0" fontId="77" fillId="0" borderId="35" applyNumberFormat="0" applyFill="0" applyAlignment="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6" fillId="0" borderId="35" applyNumberFormat="0" applyFill="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Alignment="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5" fillId="0" borderId="35" applyNumberFormat="0" applyFill="0" applyProtection="0"/>
    <xf numFmtId="0" fontId="78" fillId="0" borderId="36" applyNumberFormat="0" applyFill="0" applyProtection="0"/>
    <xf numFmtId="0" fontId="79" fillId="0" borderId="36" applyNumberFormat="0" applyFill="0" applyProtection="0"/>
    <xf numFmtId="0" fontId="80" fillId="0" borderId="36" applyNumberFormat="0" applyFill="0" applyAlignment="0" applyProtection="0"/>
    <xf numFmtId="0" fontId="80" fillId="0" borderId="36" applyNumberFormat="0" applyFill="0" applyAlignment="0" applyProtection="0"/>
    <xf numFmtId="0" fontId="80" fillId="0" borderId="36" applyNumberFormat="0" applyFill="0" applyAlignment="0" applyProtection="0"/>
    <xf numFmtId="0" fontId="80" fillId="0" borderId="36" applyNumberFormat="0" applyFill="0" applyAlignment="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9" fillId="0" borderId="36" applyNumberFormat="0" applyFill="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Alignment="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36" applyNumberFormat="0" applyFill="0" applyProtection="0"/>
    <xf numFmtId="0" fontId="78" fillId="0" borderId="0" applyNumberFormat="0" applyFill="0" applyBorder="0" applyProtection="0"/>
    <xf numFmtId="0" fontId="79" fillId="0" borderId="0" applyNumberFormat="0" applyFill="0" applyBorder="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9" fillId="0" borderId="0" applyNumberFormat="0" applyFill="0" applyBorder="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78" fillId="0" borderId="0" applyNumberFormat="0" applyFill="0" applyBorder="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3" fillId="0" borderId="37" applyNumberFormat="0" applyFill="0" applyAlignment="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2" fillId="0" borderId="37" applyNumberFormat="0" applyFill="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1" fillId="0" borderId="37" applyNumberFormat="0" applyFill="0" applyProtection="0"/>
    <xf numFmtId="0" fontId="85" fillId="126" borderId="38" applyNumberFormat="0" applyProtection="0"/>
    <xf numFmtId="0" fontId="86" fillId="127" borderId="38" applyNumberFormat="0" applyProtection="0"/>
    <xf numFmtId="0" fontId="87" fillId="127" borderId="38" applyNumberFormat="0" applyAlignment="0" applyProtection="0"/>
    <xf numFmtId="0" fontId="87" fillId="127" borderId="38" applyNumberFormat="0" applyAlignment="0" applyProtection="0"/>
    <xf numFmtId="0" fontId="87" fillId="127" borderId="38" applyNumberFormat="0" applyAlignment="0" applyProtection="0"/>
    <xf numFmtId="0" fontId="87" fillId="127" borderId="38" applyNumberFormat="0" applyAlignmen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6" fillId="127" borderId="38" applyNumberForma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8" fillId="128" borderId="38" applyNumberFormat="0" applyAlignmen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5" fillId="126" borderId="38" applyNumberFormat="0" applyProtection="0"/>
    <xf numFmtId="0" fontId="89" fillId="0" borderId="0" applyNumberFormat="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89" fillId="0" borderId="0" applyNumberFormat="0" applyFill="0" applyBorder="0" applyProtection="0"/>
    <xf numFmtId="0" fontId="91" fillId="129" borderId="0" applyNumberFormat="0" applyBorder="0" applyProtection="0"/>
    <xf numFmtId="0" fontId="92" fillId="130" borderId="0" applyNumberFormat="0" applyBorder="0" applyProtection="0"/>
    <xf numFmtId="0" fontId="93" fillId="130" borderId="0" applyNumberFormat="0" applyBorder="0" applyAlignment="0" applyProtection="0"/>
    <xf numFmtId="0" fontId="93" fillId="130" borderId="0" applyNumberFormat="0" applyBorder="0" applyAlignment="0" applyProtection="0"/>
    <xf numFmtId="0" fontId="93" fillId="130" borderId="0" applyNumberFormat="0" applyBorder="0" applyAlignment="0" applyProtection="0"/>
    <xf numFmtId="0" fontId="93" fillId="130" borderId="0" applyNumberFormat="0" applyBorder="0" applyAlignment="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2" fillId="130" borderId="0" applyNumberFormat="0" applyBorder="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31" borderId="0" applyNumberFormat="0" applyBorder="0" applyAlignment="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1" fillId="129" borderId="0" applyNumberFormat="0" applyBorder="0" applyProtection="0"/>
    <xf numFmtId="0"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96" fillId="0" borderId="0"/>
    <xf numFmtId="0" fontId="96" fillId="0" borderId="0"/>
    <xf numFmtId="0" fontId="9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0" borderId="0"/>
    <xf numFmtId="0" fontId="96" fillId="0" borderId="0"/>
    <xf numFmtId="0" fontId="96" fillId="0" borderId="0"/>
    <xf numFmtId="0" fontId="96" fillId="0" borderId="0"/>
    <xf numFmtId="0" fontId="95"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97" fillId="0" borderId="0"/>
    <xf numFmtId="0" fontId="98" fillId="0" borderId="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3" fillId="0" borderId="0"/>
    <xf numFmtId="0" fontId="99" fillId="0" borderId="0"/>
    <xf numFmtId="0" fontId="99" fillId="0" borderId="0"/>
    <xf numFmtId="0" fontId="99" fillId="0" borderId="0"/>
    <xf numFmtId="0" fontId="9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alignment vertical="top" wrapText="1"/>
    </xf>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33" fillId="0" borderId="0"/>
    <xf numFmtId="0" fontId="95" fillId="0" borderId="0"/>
    <xf numFmtId="0" fontId="96" fillId="0" borderId="0"/>
    <xf numFmtId="0" fontId="96" fillId="0" borderId="0"/>
    <xf numFmtId="0" fontId="96" fillId="0" borderId="0"/>
    <xf numFmtId="0" fontId="96"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33" fillId="0" borderId="0"/>
    <xf numFmtId="0" fontId="2" fillId="0" borderId="0"/>
    <xf numFmtId="0" fontId="33" fillId="0" borderId="0"/>
    <xf numFmtId="0" fontId="33" fillId="0" borderId="0"/>
    <xf numFmtId="0" fontId="2" fillId="0" borderId="0"/>
    <xf numFmtId="0" fontId="33" fillId="0" borderId="0"/>
    <xf numFmtId="0" fontId="33" fillId="0" borderId="0"/>
    <xf numFmtId="0" fontId="2" fillId="0" borderId="0"/>
    <xf numFmtId="0" fontId="33" fillId="0" borderId="0"/>
    <xf numFmtId="0" fontId="33" fillId="0" borderId="0"/>
    <xf numFmtId="0" fontId="2" fillId="0" borderId="0"/>
    <xf numFmtId="0" fontId="95" fillId="0" borderId="0"/>
    <xf numFmtId="0" fontId="2" fillId="0" borderId="0"/>
    <xf numFmtId="0" fontId="95" fillId="0" borderId="0"/>
    <xf numFmtId="0" fontId="2" fillId="0" borderId="0"/>
    <xf numFmtId="0" fontId="2" fillId="0" borderId="0"/>
    <xf numFmtId="0" fontId="95" fillId="0" borderId="0"/>
    <xf numFmtId="0" fontId="96" fillId="0" borderId="0"/>
    <xf numFmtId="0" fontId="96" fillId="0" borderId="0"/>
    <xf numFmtId="0" fontId="2" fillId="0" borderId="0"/>
    <xf numFmtId="0" fontId="2" fillId="0" borderId="0"/>
    <xf numFmtId="0" fontId="2"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5" fillId="0" borderId="0"/>
    <xf numFmtId="0" fontId="2" fillId="0" borderId="0"/>
    <xf numFmtId="0" fontId="2" fillId="0" borderId="0"/>
    <xf numFmtId="0" fontId="95" fillId="0" borderId="0"/>
    <xf numFmtId="0" fontId="2" fillId="0" borderId="0"/>
    <xf numFmtId="0" fontId="95" fillId="0" borderId="0"/>
    <xf numFmtId="0" fontId="2" fillId="0" borderId="0"/>
    <xf numFmtId="0" fontId="2" fillId="0" borderId="0"/>
    <xf numFmtId="0" fontId="95" fillId="0" borderId="0"/>
    <xf numFmtId="0" fontId="2" fillId="0" borderId="0"/>
    <xf numFmtId="0" fontId="2" fillId="0" borderId="0"/>
    <xf numFmtId="0" fontId="2" fillId="0" borderId="0"/>
    <xf numFmtId="0" fontId="2"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0" borderId="0"/>
    <xf numFmtId="0" fontId="102" fillId="0" borderId="0"/>
    <xf numFmtId="0" fontId="9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5" fillId="0" borderId="0"/>
    <xf numFmtId="0" fontId="33" fillId="0" borderId="0"/>
    <xf numFmtId="0" fontId="33" fillId="0" borderId="0"/>
    <xf numFmtId="0" fontId="33" fillId="0" borderId="0"/>
    <xf numFmtId="0" fontId="33" fillId="0" borderId="0"/>
    <xf numFmtId="0" fontId="3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33" fillId="0" borderId="0"/>
    <xf numFmtId="0" fontId="95" fillId="0" borderId="0"/>
    <xf numFmtId="0" fontId="33" fillId="0" borderId="0"/>
    <xf numFmtId="0" fontId="95" fillId="0" borderId="0"/>
    <xf numFmtId="0" fontId="95" fillId="0" borderId="0"/>
    <xf numFmtId="0" fontId="33" fillId="0" borderId="0"/>
    <xf numFmtId="0" fontId="95" fillId="0" borderId="0"/>
    <xf numFmtId="0" fontId="95" fillId="0" borderId="0"/>
    <xf numFmtId="0" fontId="33" fillId="0" borderId="0"/>
    <xf numFmtId="0" fontId="95" fillId="0" borderId="0"/>
    <xf numFmtId="0" fontId="95" fillId="0" borderId="0"/>
    <xf numFmtId="0" fontId="33" fillId="0" borderId="0"/>
    <xf numFmtId="0" fontId="33" fillId="0" borderId="0"/>
    <xf numFmtId="0" fontId="33"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48" fillId="0" borderId="0"/>
    <xf numFmtId="0" fontId="48"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6" fillId="0" borderId="0"/>
    <xf numFmtId="0" fontId="9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1" fillId="0" borderId="0">
      <alignment vertical="top" wrapText="1"/>
    </xf>
    <xf numFmtId="0" fontId="95" fillId="0" borderId="0"/>
    <xf numFmtId="0" fontId="95" fillId="0" borderId="0"/>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95" fillId="0" borderId="0"/>
    <xf numFmtId="0" fontId="101" fillId="0" borderId="0">
      <alignment vertical="top" wrapText="1"/>
    </xf>
    <xf numFmtId="0" fontId="101" fillId="0" borderId="0">
      <alignment vertical="top" wrapText="1"/>
    </xf>
    <xf numFmtId="0" fontId="95" fillId="0" borderId="0"/>
    <xf numFmtId="0" fontId="101" fillId="0" borderId="0">
      <alignment vertical="top" wrapText="1"/>
    </xf>
    <xf numFmtId="0" fontId="95" fillId="0" borderId="0"/>
    <xf numFmtId="0" fontId="101" fillId="0" borderId="0">
      <alignment vertical="top" wrapText="1"/>
    </xf>
    <xf numFmtId="0" fontId="101" fillId="0" borderId="0">
      <alignment vertical="top" wrapText="1"/>
    </xf>
    <xf numFmtId="0" fontId="95" fillId="0" borderId="0"/>
    <xf numFmtId="0" fontId="101" fillId="0" borderId="0">
      <alignment vertical="top" wrapText="1"/>
    </xf>
    <xf numFmtId="0" fontId="101" fillId="0" borderId="0">
      <alignment vertical="top" wrapText="1"/>
    </xf>
    <xf numFmtId="0" fontId="95" fillId="0" borderId="0"/>
    <xf numFmtId="0" fontId="101" fillId="0" borderId="0">
      <alignment vertical="top" wrapText="1"/>
    </xf>
    <xf numFmtId="0" fontId="101" fillId="0" borderId="0">
      <alignment vertical="top"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1"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3" fillId="0" borderId="0"/>
    <xf numFmtId="0" fontId="103" fillId="0"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9"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4" fillId="0" borderId="0"/>
    <xf numFmtId="0" fontId="34" fillId="0" borderId="0"/>
    <xf numFmtId="0" fontId="34" fillId="0" borderId="0"/>
    <xf numFmtId="0" fontId="3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5" fillId="0" borderId="0">
      <alignment vertical="top" wrapText="1"/>
    </xf>
    <xf numFmtId="0" fontId="105"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101" fillId="0" borderId="0">
      <alignment vertical="top" wrapText="1"/>
    </xf>
    <xf numFmtId="0" fontId="2" fillId="0" borderId="0"/>
    <xf numFmtId="0" fontId="2" fillId="0" borderId="0"/>
    <xf numFmtId="0" fontId="2" fillId="0" borderId="0"/>
    <xf numFmtId="0" fontId="2" fillId="0" borderId="0"/>
    <xf numFmtId="0" fontId="2"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2" fillId="0" borderId="0"/>
    <xf numFmtId="0" fontId="101" fillId="0" borderId="0">
      <alignment vertical="top" wrapText="1"/>
    </xf>
    <xf numFmtId="0" fontId="2" fillId="0" borderId="0"/>
    <xf numFmtId="0" fontId="101" fillId="0" borderId="0">
      <alignment vertical="top" wrapText="1"/>
    </xf>
    <xf numFmtId="0" fontId="2" fillId="0" borderId="0"/>
    <xf numFmtId="0" fontId="2" fillId="0" borderId="0"/>
    <xf numFmtId="0" fontId="101" fillId="0" borderId="0">
      <alignment vertical="top" wrapText="1"/>
    </xf>
    <xf numFmtId="0" fontId="2" fillId="0" borderId="0"/>
    <xf numFmtId="0" fontId="2" fillId="0" borderId="0"/>
    <xf numFmtId="0" fontId="101" fillId="0" borderId="0">
      <alignment vertical="top" wrapText="1"/>
    </xf>
    <xf numFmtId="0" fontId="2" fillId="0" borderId="0"/>
    <xf numFmtId="0" fontId="101" fillId="0" borderId="0">
      <alignment vertical="top" wrapText="1"/>
    </xf>
    <xf numFmtId="0" fontId="101" fillId="0" borderId="0">
      <alignment vertical="top" wrapText="1"/>
    </xf>
    <xf numFmtId="0" fontId="101" fillId="0" borderId="0">
      <alignment vertical="top" wrapText="1"/>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7"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95" fillId="132"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8"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95"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6" fillId="0" borderId="0"/>
    <xf numFmtId="0" fontId="96" fillId="0" borderId="0"/>
    <xf numFmtId="0" fontId="96" fillId="0" borderId="0"/>
    <xf numFmtId="0" fontId="96" fillId="0" borderId="0"/>
    <xf numFmtId="0" fontId="95"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108"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108" fillId="0" borderId="0">
      <protection locked="0"/>
    </xf>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132" borderId="0"/>
    <xf numFmtId="0" fontId="96" fillId="133" borderId="0"/>
    <xf numFmtId="0" fontId="96" fillId="133" borderId="0"/>
    <xf numFmtId="0" fontId="96" fillId="133" borderId="0"/>
    <xf numFmtId="0" fontId="96" fillId="133" borderId="0"/>
    <xf numFmtId="0" fontId="95" fillId="132" borderId="0"/>
    <xf numFmtId="0" fontId="95" fillId="0" borderId="0"/>
    <xf numFmtId="0" fontId="96" fillId="0" borderId="0"/>
    <xf numFmtId="0" fontId="96" fillId="0" borderId="0"/>
    <xf numFmtId="0" fontId="96" fillId="0" borderId="0"/>
    <xf numFmtId="0" fontId="96" fillId="0" borderId="0"/>
    <xf numFmtId="0" fontId="95" fillId="0" borderId="0"/>
    <xf numFmtId="0" fontId="95" fillId="0" borderId="0"/>
    <xf numFmtId="0" fontId="96" fillId="0" borderId="0"/>
    <xf numFmtId="0" fontId="96" fillId="0" borderId="0"/>
    <xf numFmtId="0" fontId="96" fillId="0" borderId="0"/>
    <xf numFmtId="0" fontId="96" fillId="0" borderId="0"/>
    <xf numFmtId="0" fontId="95" fillId="0" borderId="0"/>
    <xf numFmtId="0" fontId="106" fillId="0" borderId="0"/>
    <xf numFmtId="0" fontId="106" fillId="0" borderId="0"/>
    <xf numFmtId="0" fontId="106" fillId="0" borderId="0"/>
    <xf numFmtId="0" fontId="106" fillId="0" borderId="0"/>
    <xf numFmtId="0" fontId="106"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2" fillId="0" borderId="0"/>
    <xf numFmtId="0" fontId="102" fillId="0" borderId="0"/>
    <xf numFmtId="0" fontId="102" fillId="0" borderId="0"/>
    <xf numFmtId="0" fontId="10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6" fillId="133" borderId="0"/>
    <xf numFmtId="0" fontId="96" fillId="133" borderId="0"/>
    <xf numFmtId="0" fontId="95" fillId="132"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3" fillId="0" borderId="0">
      <protection locked="0"/>
    </xf>
    <xf numFmtId="0" fontId="33"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110"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13"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4" fillId="0" borderId="0"/>
    <xf numFmtId="0" fontId="114" fillId="0" borderId="0"/>
    <xf numFmtId="0" fontId="114" fillId="0" borderId="0"/>
    <xf numFmtId="0" fontId="114" fillId="0" borderId="0"/>
    <xf numFmtId="0" fontId="113" fillId="0" borderId="0"/>
    <xf numFmtId="0" fontId="113" fillId="0" borderId="0"/>
    <xf numFmtId="0" fontId="114" fillId="0" borderId="0"/>
    <xf numFmtId="0" fontId="114" fillId="0" borderId="0"/>
    <xf numFmtId="0" fontId="114" fillId="0" borderId="0"/>
    <xf numFmtId="0" fontId="114" fillId="0" borderId="0"/>
    <xf numFmtId="0" fontId="1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33" fillId="0" borderId="0">
      <protection locked="0"/>
    </xf>
    <xf numFmtId="0" fontId="33" fillId="0" borderId="0">
      <protection locked="0"/>
    </xf>
    <xf numFmtId="0" fontId="33" fillId="0" borderId="0">
      <protection locked="0"/>
    </xf>
    <xf numFmtId="0" fontId="106"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48"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06" fillId="0" borderId="0"/>
    <xf numFmtId="0" fontId="106" fillId="0" borderId="0"/>
    <xf numFmtId="0" fontId="106" fillId="0" borderId="0"/>
    <xf numFmtId="0" fontId="106" fillId="0" borderId="0"/>
    <xf numFmtId="0" fontId="106"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48" fillId="0" borderId="0"/>
    <xf numFmtId="0" fontId="48" fillId="0" borderId="0"/>
    <xf numFmtId="0" fontId="110"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2" fillId="0" borderId="0"/>
    <xf numFmtId="0" fontId="2" fillId="0" borderId="0"/>
    <xf numFmtId="0" fontId="2" fillId="0" borderId="0"/>
    <xf numFmtId="0" fontId="2" fillId="0" borderId="0"/>
    <xf numFmtId="0" fontId="100" fillId="0" borderId="0"/>
    <xf numFmtId="0" fontId="100"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6"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2"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6" fillId="0" borderId="0"/>
    <xf numFmtId="0" fontId="107" fillId="0" borderId="0"/>
    <xf numFmtId="0" fontId="107" fillId="0" borderId="0"/>
    <xf numFmtId="0" fontId="107" fillId="0" borderId="0"/>
    <xf numFmtId="0" fontId="107"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106" fillId="0" borderId="0"/>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102" fillId="0" borderId="0">
      <protection locked="0"/>
    </xf>
    <xf numFmtId="0" fontId="102" fillId="0" borderId="0">
      <protection locked="0"/>
    </xf>
    <xf numFmtId="0" fontId="102" fillId="0" borderId="0">
      <protection locked="0"/>
    </xf>
    <xf numFmtId="0" fontId="102"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33" fillId="0" borderId="0">
      <protection locked="0"/>
    </xf>
    <xf numFmtId="0" fontId="95"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96" fillId="0" borderId="0"/>
    <xf numFmtId="0" fontId="96" fillId="0" borderId="0"/>
    <xf numFmtId="0" fontId="96" fillId="0" borderId="0"/>
    <xf numFmtId="0" fontId="96" fillId="0" borderId="0"/>
    <xf numFmtId="0" fontId="95"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39"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8" fillId="0" borderId="0" applyNumberFormat="0" applyFont="0" applyFill="0" applyBorder="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Alignment="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48" fillId="0" borderId="0" applyNumberFormat="0" applyFon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20" fillId="85" borderId="0" applyNumberFormat="0" applyBorder="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20" fillId="85" borderId="0" applyNumberFormat="0" applyBorder="0" applyProtection="0"/>
    <xf numFmtId="0" fontId="116" fillId="134" borderId="0" applyNumberFormat="0" applyBorder="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7" fillId="134" borderId="0" applyNumberFormat="0" applyBorder="0" applyAlignment="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6" fillId="134" borderId="0" applyNumberFormat="0" applyBorder="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23" borderId="0" applyNumberFormat="0" applyBorder="0" applyAlignment="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5" fillId="9" borderId="0" applyNumberFormat="0" applyBorder="0" applyProtection="0"/>
    <xf numFmtId="0" fontId="118" fillId="0" borderId="0" applyNumberFormat="0" applyFill="0" applyBorder="0" applyProtection="0"/>
    <xf numFmtId="0" fontId="119" fillId="0" borderId="0" applyNumberFormat="0" applyFill="0" applyBorder="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9" fillId="0" borderId="0" applyNumberFormat="0" applyFill="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118" fillId="0" borderId="0" applyNumberFormat="0" applyFill="0" applyBorder="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1" fillId="136" borderId="39" applyNumberFormat="0" applyAlignmen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110" fillId="135" borderId="39" applyNumberForma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4" fillId="135" borderId="39" applyNumberFormat="0" applyFont="0" applyAlignme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0" fontId="33" fillId="104" borderId="39" applyNumberFormat="0" applyFont="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33"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103" fillId="0" borderId="0" applyFont="0" applyFill="0" applyBorder="0" applyProtection="0"/>
    <xf numFmtId="9" fontId="103" fillId="0" borderId="0" applyFont="0" applyFill="0" applyBorder="0" applyProtection="0"/>
    <xf numFmtId="9" fontId="48" fillId="0" borderId="0" applyFill="0" applyBorder="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Alignment="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48" fillId="0" borderId="0" applyFill="0" applyBorder="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103"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2" fillId="0" borderId="0" applyFont="0" applyFill="0" applyBorder="0" applyProtection="0"/>
    <xf numFmtId="9" fontId="33" fillId="0" borderId="0" applyFont="0" applyFill="0" applyBorder="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9" fontId="33" fillId="0" borderId="0" applyFont="0" applyFill="0" applyBorder="0" applyProtection="0"/>
    <xf numFmtId="0" fontId="121" fillId="0" borderId="40" applyNumberFormat="0" applyFill="0" applyProtection="0"/>
    <xf numFmtId="0" fontId="122" fillId="0" borderId="40" applyNumberFormat="0" applyFill="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3" fillId="0" borderId="40" applyNumberFormat="0" applyFill="0" applyAlignment="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2" fillId="0" borderId="40" applyNumberFormat="0" applyFill="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Alignment="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1" fillId="0" borderId="40" applyNumberFormat="0" applyFill="0" applyProtection="0"/>
    <xf numFmtId="0" fontId="124" fillId="0" borderId="0"/>
    <xf numFmtId="0" fontId="125" fillId="0" borderId="0" applyNumberFormat="0" applyFill="0" applyBorder="0" applyProtection="0"/>
    <xf numFmtId="0" fontId="126" fillId="0" borderId="0" applyNumberFormat="0" applyFill="0" applyBorder="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6" fillId="0" borderId="0" applyNumberFormat="0" applyFill="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0" fontId="125" fillId="0" borderId="0" applyNumberForma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4" fontId="2"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0" fontId="2"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2" fillId="0" borderId="0" applyFont="0" applyFill="0" applyBorder="0" applyProtection="0"/>
    <xf numFmtId="43" fontId="2"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166" fontId="33" fillId="0" borderId="0" applyFont="0" applyFill="0" applyBorder="0" applyProtection="0"/>
    <xf numFmtId="43" fontId="95" fillId="0" borderId="0" applyFont="0" applyFill="0" applyBorder="0" applyProtection="0"/>
    <xf numFmtId="166" fontId="95" fillId="0" borderId="0" applyFont="0" applyFill="0" applyBorder="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5" fillId="0" borderId="0" applyFont="0" applyFill="0" applyBorder="0" applyProtection="0"/>
    <xf numFmtId="43" fontId="95" fillId="0" borderId="0" applyFont="0" applyFill="0" applyBorder="0" applyProtection="0"/>
    <xf numFmtId="43" fontId="96" fillId="0" borderId="0" applyFont="0" applyFill="0" applyBorder="0" applyAlignment="0" applyProtection="0"/>
    <xf numFmtId="43" fontId="96" fillId="0" borderId="0" applyFont="0" applyFill="0" applyBorder="0" applyAlignment="0" applyProtection="0"/>
    <xf numFmtId="43" fontId="95"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43" fontId="2" fillId="0" borderId="0" applyFont="0" applyFill="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30" fillId="137" borderId="0" applyNumberFormat="0" applyBorder="0" applyProtection="0"/>
    <xf numFmtId="0" fontId="131" fillId="137" borderId="0" applyNumberFormat="0" applyBorder="0" applyAlignment="0" applyProtection="0"/>
    <xf numFmtId="0" fontId="131" fillId="137" borderId="0" applyNumberFormat="0" applyBorder="0" applyAlignment="0" applyProtection="0"/>
    <xf numFmtId="0" fontId="131" fillId="137" borderId="0" applyNumberFormat="0" applyBorder="0" applyAlignment="0" applyProtection="0"/>
    <xf numFmtId="0" fontId="131" fillId="137" borderId="0" applyNumberFormat="0" applyBorder="0" applyAlignment="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30" fillId="137"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5" borderId="0" applyNumberFormat="0" applyBorder="0" applyAlignment="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29" fillId="24" borderId="0" applyNumberFormat="0" applyBorder="0" applyProtection="0"/>
    <xf numFmtId="0" fontId="136" fillId="0" borderId="0" applyNumberFormat="0" applyFill="0" applyBorder="0" applyAlignment="0" applyProtection="0">
      <alignment vertical="top"/>
      <protection locked="0"/>
    </xf>
  </cellStyleXfs>
  <cellXfs count="243">
    <xf numFmtId="0" fontId="0" fillId="0" borderId="0" xfId="0"/>
    <xf numFmtId="0" fontId="8" fillId="0" borderId="0" xfId="0" applyFont="1"/>
    <xf numFmtId="0" fontId="8" fillId="2" borderId="1" xfId="0" applyFont="1" applyFill="1" applyBorder="1"/>
    <xf numFmtId="164" fontId="8" fillId="2" borderId="1" xfId="0" applyNumberFormat="1" applyFont="1" applyFill="1" applyBorder="1"/>
    <xf numFmtId="164" fontId="8" fillId="0" borderId="1" xfId="0" applyNumberFormat="1" applyFont="1" applyBorder="1"/>
    <xf numFmtId="0" fontId="8" fillId="0" borderId="0" xfId="0" applyFont="1"/>
    <xf numFmtId="0" fontId="8" fillId="0" borderId="1" xfId="0" applyFont="1" applyBorder="1"/>
    <xf numFmtId="0" fontId="13" fillId="0" borderId="1" xfId="0" applyFont="1" applyFill="1" applyBorder="1"/>
    <xf numFmtId="164" fontId="13" fillId="0" borderId="1" xfId="0" applyNumberFormat="1" applyFont="1" applyFill="1" applyBorder="1"/>
    <xf numFmtId="0" fontId="13" fillId="0" borderId="0" xfId="0" applyFont="1" applyFill="1"/>
    <xf numFmtId="164" fontId="8" fillId="0" borderId="0" xfId="0" applyNumberFormat="1" applyFont="1"/>
    <xf numFmtId="164" fontId="13" fillId="3" borderId="1" xfId="0" applyNumberFormat="1" applyFont="1" applyFill="1" applyBorder="1"/>
    <xf numFmtId="164" fontId="13" fillId="4" borderId="1" xfId="0" applyNumberFormat="1" applyFont="1" applyFill="1" applyBorder="1"/>
    <xf numFmtId="0" fontId="0" fillId="0" borderId="0" xfId="0"/>
    <xf numFmtId="164" fontId="8" fillId="0" borderId="1" xfId="0" applyNumberFormat="1" applyFont="1" applyFill="1" applyBorder="1"/>
    <xf numFmtId="0" fontId="0" fillId="0" borderId="0" xfId="0" applyFill="1"/>
    <xf numFmtId="0" fontId="13" fillId="0" borderId="0" xfId="0" applyFont="1" applyFill="1" applyAlignment="1">
      <alignment vertical="center"/>
    </xf>
    <xf numFmtId="0" fontId="13" fillId="0" borderId="0" xfId="0" applyFont="1" applyFill="1" applyAlignment="1">
      <alignment horizontal="center" vertical="center"/>
    </xf>
    <xf numFmtId="0" fontId="14" fillId="0" borderId="0" xfId="0" applyFont="1"/>
    <xf numFmtId="0" fontId="14" fillId="0" borderId="1" xfId="0" applyFont="1" applyBorder="1"/>
    <xf numFmtId="164" fontId="14" fillId="0" borderId="1" xfId="0" applyNumberFormat="1" applyFont="1" applyBorder="1"/>
    <xf numFmtId="164" fontId="14" fillId="5" borderId="1" xfId="0" applyNumberFormat="1" applyFont="1" applyFill="1" applyBorder="1"/>
    <xf numFmtId="0" fontId="0" fillId="0" borderId="0" xfId="0"/>
    <xf numFmtId="164" fontId="15" fillId="3" borderId="1" xfId="0" applyNumberFormat="1" applyFont="1" applyFill="1" applyBorder="1"/>
    <xf numFmtId="0" fontId="31" fillId="0" borderId="1" xfId="0" applyFont="1" applyFill="1" applyBorder="1" applyAlignment="1">
      <alignment horizontal="center" vertical="center" wrapText="1"/>
    </xf>
    <xf numFmtId="164" fontId="31" fillId="0" borderId="1" xfId="0" applyNumberFormat="1" applyFont="1" applyFill="1" applyBorder="1" applyAlignment="1">
      <alignment horizontal="center" vertical="center" wrapText="1"/>
    </xf>
    <xf numFmtId="164" fontId="31" fillId="0" borderId="15" xfId="0" applyNumberFormat="1" applyFont="1" applyFill="1" applyBorder="1" applyAlignment="1">
      <alignment horizontal="center" vertical="center" wrapText="1"/>
    </xf>
    <xf numFmtId="164" fontId="31" fillId="0" borderId="1" xfId="0" applyNumberFormat="1" applyFont="1" applyFill="1" applyBorder="1" applyAlignment="1">
      <alignment horizontal="right" vertical="center" wrapText="1"/>
    </xf>
    <xf numFmtId="0" fontId="1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0" xfId="0"/>
    <xf numFmtId="164" fontId="13" fillId="138" borderId="1" xfId="0" applyNumberFormat="1" applyFont="1" applyFill="1" applyBorder="1"/>
    <xf numFmtId="164" fontId="13" fillId="139" borderId="1" xfId="0" applyNumberFormat="1" applyFont="1" applyFill="1" applyBorder="1"/>
    <xf numFmtId="0" fontId="8" fillId="0" borderId="0" xfId="0" applyFont="1"/>
    <xf numFmtId="0" fontId="13" fillId="0" borderId="1" xfId="0" applyFont="1" applyFill="1" applyBorder="1"/>
    <xf numFmtId="0" fontId="8" fillId="0" borderId="0" xfId="0" applyFont="1"/>
    <xf numFmtId="0" fontId="13" fillId="0" borderId="1" xfId="0" applyFont="1" applyFill="1" applyBorder="1"/>
    <xf numFmtId="0" fontId="8" fillId="0" borderId="0" xfId="0" applyFont="1"/>
    <xf numFmtId="0" fontId="8" fillId="0" borderId="0" xfId="0" applyFont="1"/>
    <xf numFmtId="164" fontId="15" fillId="0" borderId="1" xfId="0" applyNumberFormat="1" applyFont="1" applyFill="1" applyBorder="1"/>
    <xf numFmtId="0" fontId="13" fillId="35" borderId="1" xfId="0" applyFont="1" applyFill="1" applyBorder="1"/>
    <xf numFmtId="164" fontId="13" fillId="35" borderId="1" xfId="0" applyNumberFormat="1" applyFont="1" applyFill="1" applyBorder="1"/>
    <xf numFmtId="0" fontId="0" fillId="0" borderId="0" xfId="0"/>
    <xf numFmtId="0" fontId="8" fillId="0" borderId="0" xfId="0" applyFont="1"/>
    <xf numFmtId="0" fontId="0" fillId="0" borderId="0" xfId="0"/>
    <xf numFmtId="0" fontId="8" fillId="0" borderId="0" xfId="0" applyFont="1"/>
    <xf numFmtId="0" fontId="0" fillId="0" borderId="0" xfId="0" applyFill="1" applyAlignment="1">
      <alignment wrapText="1"/>
    </xf>
    <xf numFmtId="0" fontId="8" fillId="0" borderId="0" xfId="0" applyFont="1"/>
    <xf numFmtId="0" fontId="13" fillId="2" borderId="1" xfId="0" applyFont="1" applyFill="1" applyBorder="1"/>
    <xf numFmtId="164" fontId="13" fillId="2" borderId="1" xfId="0" applyNumberFormat="1" applyFont="1" applyFill="1" applyBorder="1"/>
    <xf numFmtId="0" fontId="13" fillId="140" borderId="1" xfId="0" applyFont="1" applyFill="1" applyBorder="1"/>
    <xf numFmtId="164" fontId="13" fillId="140" borderId="1" xfId="0" applyNumberFormat="1" applyFont="1" applyFill="1" applyBorder="1"/>
    <xf numFmtId="0" fontId="8" fillId="0" borderId="0" xfId="0" applyFont="1"/>
    <xf numFmtId="0" fontId="0" fillId="0" borderId="0" xfId="0"/>
    <xf numFmtId="0" fontId="3" fillId="0" borderId="1" xfId="0" applyFont="1" applyFill="1" applyBorder="1" applyAlignment="1">
      <alignment horizontal="center" vertical="center" wrapText="1"/>
    </xf>
    <xf numFmtId="0" fontId="132" fillId="0" borderId="0" xfId="0" applyFont="1"/>
    <xf numFmtId="164" fontId="132" fillId="0" borderId="0" xfId="0" applyNumberFormat="1" applyFont="1"/>
    <xf numFmtId="0" fontId="13" fillId="0" borderId="1" xfId="0" applyFont="1" applyFill="1" applyBorder="1" applyAlignment="1">
      <alignment wrapText="1"/>
    </xf>
    <xf numFmtId="0" fontId="8" fillId="0" borderId="0" xfId="0" applyFont="1"/>
    <xf numFmtId="0" fontId="13" fillId="0" borderId="1" xfId="0" applyFont="1" applyFill="1" applyBorder="1"/>
    <xf numFmtId="0" fontId="3" fillId="0" borderId="1" xfId="0" applyFont="1" applyFill="1" applyBorder="1" applyAlignment="1">
      <alignment horizontal="center" vertical="center" wrapText="1"/>
    </xf>
    <xf numFmtId="0" fontId="8" fillId="0" borderId="0" xfId="0" applyFont="1"/>
    <xf numFmtId="0" fontId="133" fillId="0" borderId="0" xfId="0" applyFont="1"/>
    <xf numFmtId="0" fontId="13" fillId="141" borderId="1" xfId="0" applyFont="1" applyFill="1" applyBorder="1"/>
    <xf numFmtId="164" fontId="13" fillId="141" borderId="1" xfId="0" applyNumberFormat="1" applyFont="1" applyFill="1" applyBorder="1"/>
    <xf numFmtId="0" fontId="13" fillId="45" borderId="1" xfId="0" applyFont="1" applyFill="1" applyBorder="1"/>
    <xf numFmtId="164" fontId="13" fillId="45" borderId="1" xfId="0" applyNumberFormat="1" applyFont="1" applyFill="1" applyBorder="1"/>
    <xf numFmtId="0" fontId="8" fillId="0" borderId="0" xfId="0" applyFont="1"/>
    <xf numFmtId="0" fontId="13" fillId="0" borderId="1" xfId="0" applyFont="1" applyFill="1" applyBorder="1"/>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0" fillId="0" borderId="0" xfId="0" applyNumberFormat="1" applyFill="1" applyAlignment="1">
      <alignment horizontal="center" vertical="center"/>
    </xf>
    <xf numFmtId="0" fontId="0" fillId="0" borderId="0" xfId="0" applyFill="1" applyAlignment="1">
      <alignment horizontal="center" vertical="center"/>
    </xf>
    <xf numFmtId="0" fontId="8" fillId="0" borderId="1" xfId="0" applyFont="1" applyFill="1" applyBorder="1"/>
    <xf numFmtId="164" fontId="134" fillId="0" borderId="1" xfId="0" applyNumberFormat="1" applyFont="1" applyFill="1" applyBorder="1"/>
    <xf numFmtId="0" fontId="0" fillId="0" borderId="0" xfId="0"/>
    <xf numFmtId="0" fontId="8" fillId="0" borderId="1" xfId="0" applyFont="1" applyFill="1" applyBorder="1"/>
    <xf numFmtId="0" fontId="135" fillId="0" borderId="0" xfId="0" applyFont="1"/>
    <xf numFmtId="164" fontId="135" fillId="0" borderId="0" xfId="0" applyNumberFormat="1" applyFont="1"/>
    <xf numFmtId="0" fontId="13" fillId="0" borderId="1" xfId="0" applyFont="1" applyFill="1" applyBorder="1"/>
    <xf numFmtId="0" fontId="8" fillId="0" borderId="0" xfId="0" applyFont="1"/>
    <xf numFmtId="0" fontId="0" fillId="0" borderId="0" xfId="0"/>
    <xf numFmtId="0" fontId="0" fillId="0" borderId="0" xfId="0"/>
    <xf numFmtId="0" fontId="29" fillId="0" borderId="0" xfId="0" applyFont="1" applyAlignment="1">
      <alignment horizontal="center"/>
    </xf>
    <xf numFmtId="0" fontId="136" fillId="0" borderId="0" xfId="23835" applyAlignment="1" applyProtection="1">
      <alignment horizontal="center"/>
    </xf>
    <xf numFmtId="0" fontId="1" fillId="0" borderId="0" xfId="0" applyFont="1" applyAlignment="1">
      <alignment horizontal="center"/>
    </xf>
    <xf numFmtId="0" fontId="1" fillId="0" borderId="0" xfId="0" applyFont="1" applyAlignment="1">
      <alignment horizontal="justify"/>
    </xf>
    <xf numFmtId="0" fontId="1" fillId="0" borderId="46" xfId="0" applyFont="1" applyBorder="1" applyAlignment="1">
      <alignment horizontal="center" vertical="top" wrapText="1"/>
    </xf>
    <xf numFmtId="0" fontId="1" fillId="0" borderId="46" xfId="0" applyFont="1" applyBorder="1" applyAlignment="1">
      <alignment horizontal="center" wrapText="1"/>
    </xf>
    <xf numFmtId="0" fontId="1" fillId="0" borderId="46" xfId="0" applyFont="1" applyBorder="1" applyAlignment="1">
      <alignment vertical="top" wrapText="1"/>
    </xf>
    <xf numFmtId="0" fontId="1" fillId="2" borderId="46" xfId="0" applyFont="1" applyFill="1" applyBorder="1" applyAlignment="1">
      <alignment horizontal="center" vertical="top" wrapText="1"/>
    </xf>
    <xf numFmtId="2" fontId="1" fillId="2" borderId="46" xfId="0" applyNumberFormat="1" applyFont="1" applyFill="1" applyBorder="1" applyAlignment="1">
      <alignment horizontal="center" vertical="top" wrapText="1"/>
    </xf>
    <xf numFmtId="0" fontId="1" fillId="2" borderId="46" xfId="0" applyFont="1" applyFill="1" applyBorder="1" applyAlignment="1">
      <alignment horizontal="center" wrapText="1"/>
    </xf>
    <xf numFmtId="0" fontId="0" fillId="0" borderId="0" xfId="0"/>
    <xf numFmtId="0" fontId="3" fillId="0" borderId="1" xfId="0" applyFont="1" applyFill="1" applyBorder="1" applyAlignment="1">
      <alignment horizontal="center" vertical="center" wrapText="1"/>
    </xf>
    <xf numFmtId="0" fontId="31" fillId="0" borderId="48" xfId="0" applyFont="1" applyFill="1" applyBorder="1"/>
    <xf numFmtId="164" fontId="31" fillId="0" borderId="48" xfId="0" applyNumberFormat="1" applyFont="1" applyFill="1" applyBorder="1" applyAlignment="1">
      <alignment horizontal="right" vertical="center" wrapText="1"/>
    </xf>
    <xf numFmtId="0" fontId="1" fillId="0" borderId="46" xfId="0" applyFont="1" applyBorder="1" applyAlignment="1">
      <alignment horizontal="center" vertical="center" wrapText="1"/>
    </xf>
    <xf numFmtId="0" fontId="0" fillId="0" borderId="0" xfId="0"/>
    <xf numFmtId="0" fontId="3" fillId="0" borderId="1" xfId="0" applyFont="1" applyFill="1" applyBorder="1" applyAlignment="1">
      <alignment horizontal="center" vertical="center" wrapText="1"/>
    </xf>
    <xf numFmtId="164" fontId="8" fillId="0" borderId="48" xfId="0" applyNumberFormat="1" applyFont="1" applyFill="1" applyBorder="1"/>
    <xf numFmtId="0" fontId="0" fillId="2" borderId="0" xfId="0" applyFill="1" applyAlignment="1">
      <alignment horizontal="center" vertical="center"/>
    </xf>
    <xf numFmtId="0" fontId="0" fillId="0" borderId="0" xfId="0"/>
    <xf numFmtId="0" fontId="3" fillId="0"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167" fontId="31" fillId="0" borderId="48" xfId="0" applyNumberFormat="1" applyFont="1" applyFill="1" applyBorder="1"/>
    <xf numFmtId="0" fontId="13" fillId="0" borderId="1" xfId="0" applyFont="1" applyFill="1" applyBorder="1"/>
    <xf numFmtId="0" fontId="0" fillId="0" borderId="0" xfId="0"/>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35" borderId="3" xfId="0" applyFont="1" applyFill="1" applyBorder="1" applyAlignment="1">
      <alignment horizontal="center" vertical="center" wrapText="1"/>
    </xf>
    <xf numFmtId="0" fontId="13" fillId="35" borderId="4" xfId="0" applyFont="1" applyFill="1" applyBorder="1" applyAlignment="1">
      <alignment horizontal="center" vertical="center" wrapText="1"/>
    </xf>
    <xf numFmtId="0" fontId="13" fillId="35" borderId="5" xfId="0" applyFont="1" applyFill="1" applyBorder="1" applyAlignment="1">
      <alignment horizontal="center" vertical="center" wrapText="1"/>
    </xf>
    <xf numFmtId="0" fontId="13" fillId="0" borderId="3" xfId="0" applyFont="1" applyFill="1" applyBorder="1" applyAlignment="1">
      <alignment horizontal="center" wrapText="1"/>
    </xf>
    <xf numFmtId="0" fontId="13" fillId="0" borderId="4" xfId="0" applyFont="1" applyFill="1" applyBorder="1" applyAlignment="1">
      <alignment horizontal="center" wrapText="1"/>
    </xf>
    <xf numFmtId="0" fontId="13" fillId="0" borderId="5" xfId="0" applyFont="1" applyFill="1" applyBorder="1" applyAlignment="1">
      <alignment horizont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wrapText="1"/>
    </xf>
    <xf numFmtId="0" fontId="13" fillId="2" borderId="1" xfId="0" applyFont="1" applyFill="1" applyBorder="1" applyAlignment="1">
      <alignment horizontal="center" vertical="center" wrapText="1"/>
    </xf>
    <xf numFmtId="0" fontId="13" fillId="2" borderId="1" xfId="0" applyFont="1" applyFill="1" applyBorder="1" applyAlignment="1">
      <alignment vertical="center" wrapText="1"/>
    </xf>
    <xf numFmtId="0" fontId="13" fillId="2" borderId="1" xfId="0" applyFont="1" applyFill="1" applyBorder="1" applyAlignment="1">
      <alignment wrapText="1"/>
    </xf>
    <xf numFmtId="0" fontId="3" fillId="2" borderId="1" xfId="0" applyFont="1" applyFill="1" applyBorder="1" applyAlignment="1">
      <alignment horizontal="center" vertical="center" wrapText="1"/>
    </xf>
    <xf numFmtId="0" fontId="8" fillId="0" borderId="0" xfId="0" applyFont="1"/>
    <xf numFmtId="0" fontId="3" fillId="0" borderId="1" xfId="0" applyFont="1" applyFill="1" applyBorder="1" applyAlignment="1">
      <alignment horizontal="center" vertical="center" wrapText="1"/>
    </xf>
    <xf numFmtId="14" fontId="13" fillId="35" borderId="3" xfId="0" applyNumberFormat="1" applyFont="1" applyFill="1" applyBorder="1" applyAlignment="1">
      <alignment horizontal="center" vertical="center" wrapText="1"/>
    </xf>
    <xf numFmtId="0" fontId="13" fillId="35" borderId="4" xfId="0" applyNumberFormat="1" applyFont="1" applyFill="1" applyBorder="1" applyAlignment="1">
      <alignment horizontal="center" vertical="center" wrapText="1"/>
    </xf>
    <xf numFmtId="0" fontId="13" fillId="35" borderId="5" xfId="0" applyNumberFormat="1" applyFont="1" applyFill="1" applyBorder="1" applyAlignment="1">
      <alignment horizontal="center" vertical="center" wrapText="1"/>
    </xf>
    <xf numFmtId="0" fontId="13" fillId="35" borderId="3" xfId="0" applyFont="1" applyFill="1" applyBorder="1" applyAlignment="1">
      <alignment horizontal="center" wrapText="1"/>
    </xf>
    <xf numFmtId="0" fontId="13" fillId="35" borderId="4" xfId="0" applyFont="1" applyFill="1" applyBorder="1" applyAlignment="1">
      <alignment horizontal="center" wrapText="1"/>
    </xf>
    <xf numFmtId="0" fontId="13" fillId="35" borderId="5" xfId="0" applyFont="1" applyFill="1" applyBorder="1" applyAlignment="1">
      <alignment horizont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3" xfId="0" applyFont="1" applyFill="1" applyBorder="1" applyAlignment="1">
      <alignment vertical="center" wrapText="1"/>
    </xf>
    <xf numFmtId="0" fontId="13" fillId="2" borderId="4" xfId="0" applyFont="1" applyFill="1" applyBorder="1" applyAlignment="1">
      <alignment vertical="center" wrapText="1"/>
    </xf>
    <xf numFmtId="0" fontId="13" fillId="2" borderId="3" xfId="0" applyFont="1" applyFill="1" applyBorder="1" applyAlignment="1">
      <alignment wrapText="1"/>
    </xf>
    <xf numFmtId="0" fontId="13" fillId="2" borderId="4" xfId="0" applyFont="1" applyFill="1" applyBorder="1" applyAlignment="1">
      <alignment wrapText="1"/>
    </xf>
    <xf numFmtId="0" fontId="13" fillId="35" borderId="1" xfId="0" applyFont="1" applyFill="1" applyBorder="1" applyAlignment="1">
      <alignment vertical="center" wrapText="1"/>
    </xf>
    <xf numFmtId="49" fontId="13" fillId="35" borderId="1" xfId="0" applyNumberFormat="1" applyFont="1" applyFill="1" applyBorder="1" applyAlignment="1">
      <alignment horizontal="center" vertical="center" wrapText="1"/>
    </xf>
    <xf numFmtId="49" fontId="13" fillId="0" borderId="3" xfId="0" applyNumberFormat="1" applyFont="1" applyFill="1" applyBorder="1" applyAlignment="1">
      <alignment horizontal="center" vertical="center" wrapText="1"/>
    </xf>
    <xf numFmtId="49" fontId="13" fillId="0" borderId="4" xfId="0" applyNumberFormat="1" applyFont="1" applyFill="1" applyBorder="1" applyAlignment="1">
      <alignment horizontal="center" vertical="center" wrapText="1"/>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left" wrapText="1"/>
    </xf>
    <xf numFmtId="0" fontId="13" fillId="0" borderId="4" xfId="0" applyFont="1" applyFill="1" applyBorder="1" applyAlignment="1">
      <alignment horizontal="left" wrapText="1"/>
    </xf>
    <xf numFmtId="0" fontId="13" fillId="0" borderId="5" xfId="0" applyFont="1" applyFill="1" applyBorder="1" applyAlignment="1">
      <alignment horizontal="left" wrapText="1"/>
    </xf>
    <xf numFmtId="49" fontId="13" fillId="0" borderId="1" xfId="0" applyNumberFormat="1" applyFont="1" applyFill="1" applyBorder="1" applyAlignment="1">
      <alignment horizontal="center" vertical="center" wrapText="1"/>
    </xf>
    <xf numFmtId="0" fontId="13" fillId="0" borderId="3" xfId="0" applyFont="1" applyFill="1" applyBorder="1" applyAlignment="1">
      <alignment wrapText="1"/>
    </xf>
    <xf numFmtId="0" fontId="13" fillId="0" borderId="4" xfId="0" applyFont="1" applyFill="1" applyBorder="1" applyAlignment="1">
      <alignment wrapText="1"/>
    </xf>
    <xf numFmtId="0" fontId="13" fillId="0" borderId="5" xfId="0" applyFont="1" applyFill="1" applyBorder="1" applyAlignment="1">
      <alignment wrapText="1"/>
    </xf>
    <xf numFmtId="0" fontId="13" fillId="2" borderId="5" xfId="0" applyFont="1" applyFill="1" applyBorder="1" applyAlignment="1">
      <alignment horizontal="center" vertical="center" wrapText="1"/>
    </xf>
    <xf numFmtId="0" fontId="13" fillId="0" borderId="0" xfId="0" applyFont="1" applyFill="1" applyAlignment="1">
      <alignment horizontal="center"/>
    </xf>
    <xf numFmtId="0" fontId="13" fillId="0" borderId="2" xfId="0" applyFont="1" applyFill="1" applyBorder="1" applyAlignment="1">
      <alignment horizontal="center"/>
    </xf>
    <xf numFmtId="0" fontId="13" fillId="0" borderId="1" xfId="0" applyFont="1" applyFill="1" applyBorder="1"/>
    <xf numFmtId="0" fontId="3" fillId="140" borderId="1" xfId="0" applyFont="1" applyFill="1" applyBorder="1" applyAlignment="1">
      <alignment horizontal="center" vertical="center" wrapText="1"/>
    </xf>
    <xf numFmtId="0" fontId="3" fillId="140" borderId="3" xfId="0" applyFont="1" applyFill="1" applyBorder="1" applyAlignment="1">
      <alignment horizontal="center" vertical="center" wrapText="1"/>
    </xf>
    <xf numFmtId="0" fontId="3" fillId="140" borderId="4" xfId="0" applyFont="1" applyFill="1" applyBorder="1" applyAlignment="1">
      <alignment horizontal="center" vertical="center" wrapText="1"/>
    </xf>
    <xf numFmtId="0" fontId="3" fillId="140" borderId="5"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2" fillId="0" borderId="3" xfId="0" applyFont="1" applyFill="1" applyBorder="1" applyAlignment="1">
      <alignment horizontal="center"/>
    </xf>
    <xf numFmtId="0" fontId="32" fillId="0" borderId="4" xfId="0" applyFont="1" applyFill="1" applyBorder="1" applyAlignment="1">
      <alignment horizontal="center"/>
    </xf>
    <xf numFmtId="0" fontId="32" fillId="0" borderId="5" xfId="0" applyFont="1" applyFill="1" applyBorder="1" applyAlignment="1">
      <alignment horizontal="center"/>
    </xf>
    <xf numFmtId="0" fontId="31" fillId="0" borderId="3" xfId="0" applyFont="1" applyFill="1" applyBorder="1" applyAlignment="1">
      <alignment horizontal="center" vertical="center" wrapText="1"/>
    </xf>
    <xf numFmtId="0" fontId="31" fillId="0" borderId="4"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4" xfId="0" applyFont="1" applyFill="1" applyBorder="1" applyAlignment="1">
      <alignment horizontal="center" vertical="center" wrapText="1"/>
    </xf>
    <xf numFmtId="0" fontId="15" fillId="0" borderId="5" xfId="0" applyFont="1" applyFill="1" applyBorder="1" applyAlignment="1">
      <alignment horizontal="center" vertical="center" wrapText="1"/>
    </xf>
    <xf numFmtId="49" fontId="15" fillId="0" borderId="3" xfId="0" applyNumberFormat="1" applyFont="1" applyFill="1" applyBorder="1" applyAlignment="1">
      <alignment horizontal="center" vertical="center" wrapText="1"/>
    </xf>
    <xf numFmtId="49" fontId="15" fillId="0" borderId="4" xfId="0" applyNumberFormat="1" applyFont="1" applyFill="1" applyBorder="1" applyAlignment="1">
      <alignment horizontal="center" vertical="center" wrapText="1"/>
    </xf>
    <xf numFmtId="49" fontId="15" fillId="0" borderId="5" xfId="0" applyNumberFormat="1" applyFont="1" applyFill="1" applyBorder="1" applyAlignment="1">
      <alignment horizontal="center" vertical="center" wrapText="1"/>
    </xf>
    <xf numFmtId="0" fontId="8" fillId="0" borderId="0" xfId="0" applyFont="1" applyFill="1" applyAlignment="1">
      <alignment horizontal="center"/>
    </xf>
    <xf numFmtId="0" fontId="31" fillId="0" borderId="15"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14" fillId="0" borderId="0" xfId="0" applyFont="1"/>
    <xf numFmtId="0" fontId="14" fillId="0" borderId="1" xfId="0" applyFont="1" applyBorder="1" applyAlignment="1">
      <alignment wrapText="1"/>
    </xf>
    <xf numFmtId="0" fontId="14" fillId="0" borderId="1" xfId="0" applyFont="1" applyBorder="1"/>
    <xf numFmtId="0" fontId="14" fillId="5" borderId="1" xfId="0" applyFont="1" applyFill="1" applyBorder="1" applyAlignment="1">
      <alignment wrapText="1"/>
    </xf>
    <xf numFmtId="0" fontId="8" fillId="0" borderId="1" xfId="0" applyFont="1" applyBorder="1" applyAlignment="1">
      <alignment wrapText="1"/>
    </xf>
    <xf numFmtId="0" fontId="8" fillId="2" borderId="1" xfId="0" applyFont="1" applyFill="1" applyBorder="1" applyAlignment="1">
      <alignment wrapText="1"/>
    </xf>
    <xf numFmtId="0" fontId="8" fillId="0" borderId="1" xfId="0" applyFont="1" applyBorder="1"/>
    <xf numFmtId="0" fontId="132" fillId="0" borderId="0" xfId="0" applyFont="1" applyAlignment="1">
      <alignment horizontal="center"/>
    </xf>
    <xf numFmtId="0" fontId="134" fillId="0" borderId="3" xfId="0" applyFont="1" applyFill="1" applyBorder="1" applyAlignment="1">
      <alignment horizontal="center" vertical="center" wrapText="1"/>
    </xf>
    <xf numFmtId="0" fontId="134" fillId="0" borderId="4" xfId="0" applyFont="1" applyFill="1" applyBorder="1" applyAlignment="1">
      <alignment horizontal="center" vertical="center" wrapText="1"/>
    </xf>
    <xf numFmtId="0" fontId="134" fillId="0" borderId="5" xfId="0" applyFont="1" applyFill="1" applyBorder="1" applyAlignment="1">
      <alignment horizontal="center" vertical="center" wrapText="1"/>
    </xf>
    <xf numFmtId="0" fontId="13" fillId="2" borderId="3" xfId="0" applyFont="1" applyFill="1" applyBorder="1" applyAlignment="1">
      <alignment horizontal="center" wrapText="1"/>
    </xf>
    <xf numFmtId="0" fontId="13" fillId="2" borderId="4" xfId="0" applyFont="1" applyFill="1" applyBorder="1" applyAlignment="1">
      <alignment horizontal="center" wrapText="1"/>
    </xf>
    <xf numFmtId="0" fontId="13" fillId="2" borderId="5" xfId="0" applyFont="1" applyFill="1" applyBorder="1" applyAlignment="1">
      <alignment horizontal="center" wrapText="1"/>
    </xf>
    <xf numFmtId="0" fontId="8" fillId="0" borderId="48" xfId="0" applyFont="1" applyFill="1" applyBorder="1" applyAlignment="1">
      <alignment horizontal="center" wrapText="1"/>
    </xf>
    <xf numFmtId="0" fontId="8" fillId="0" borderId="48" xfId="0" applyFont="1" applyFill="1" applyBorder="1" applyAlignment="1">
      <alignment horizontal="center"/>
    </xf>
    <xf numFmtId="0" fontId="8" fillId="0" borderId="3" xfId="0" applyFont="1" applyFill="1" applyBorder="1" applyAlignment="1">
      <alignment horizontal="center" wrapText="1"/>
    </xf>
    <xf numFmtId="0" fontId="8" fillId="0" borderId="4" xfId="0" applyFont="1" applyFill="1" applyBorder="1" applyAlignment="1">
      <alignment horizontal="center" wrapText="1"/>
    </xf>
    <xf numFmtId="0" fontId="8" fillId="0" borderId="5" xfId="0" applyFont="1" applyFill="1" applyBorder="1" applyAlignment="1">
      <alignment horizontal="center" wrapText="1"/>
    </xf>
    <xf numFmtId="0" fontId="8" fillId="0" borderId="1" xfId="0" applyFont="1" applyFill="1" applyBorder="1" applyAlignment="1">
      <alignment horizont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5" xfId="0" applyFont="1" applyFill="1" applyBorder="1" applyAlignment="1">
      <alignment horizontal="center"/>
    </xf>
    <xf numFmtId="0" fontId="8" fillId="0" borderId="3"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0" fillId="0" borderId="0" xfId="0" applyFill="1"/>
    <xf numFmtId="0" fontId="0" fillId="0" borderId="0" xfId="0" applyFill="1" applyAlignment="1">
      <alignment horizontal="center"/>
    </xf>
    <xf numFmtId="0"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48"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51" xfId="0" applyFont="1" applyFill="1" applyBorder="1" applyAlignment="1">
      <alignment horizontal="center" vertical="center" wrapText="1"/>
    </xf>
    <xf numFmtId="14" fontId="13" fillId="0" borderId="3" xfId="0" applyNumberFormat="1" applyFont="1" applyFill="1" applyBorder="1" applyAlignment="1">
      <alignment horizontal="center" vertical="center" wrapText="1"/>
    </xf>
    <xf numFmtId="0" fontId="13" fillId="0" borderId="4" xfId="0" applyNumberFormat="1" applyFont="1" applyFill="1" applyBorder="1" applyAlignment="1">
      <alignment horizontal="center" vertical="center" wrapText="1"/>
    </xf>
    <xf numFmtId="0" fontId="13" fillId="0" borderId="5" xfId="0" applyNumberFormat="1" applyFont="1" applyFill="1" applyBorder="1" applyAlignment="1">
      <alignment horizontal="center" vertical="center" wrapText="1"/>
    </xf>
    <xf numFmtId="0" fontId="13" fillId="0" borderId="3" xfId="0" applyFont="1" applyFill="1" applyBorder="1" applyAlignment="1">
      <alignment vertical="center" wrapText="1"/>
    </xf>
    <xf numFmtId="0" fontId="13" fillId="0" borderId="4" xfId="0" applyFont="1" applyFill="1" applyBorder="1" applyAlignment="1">
      <alignment vertical="center" wrapText="1"/>
    </xf>
    <xf numFmtId="0" fontId="1" fillId="0" borderId="41"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1" xfId="0" applyFont="1" applyBorder="1" applyAlignment="1">
      <alignment horizontal="center" vertical="top" wrapText="1"/>
    </xf>
    <xf numFmtId="0" fontId="1" fillId="0" borderId="47" xfId="0" applyFont="1" applyBorder="1" applyAlignment="1">
      <alignment horizontal="center" vertical="top" wrapText="1"/>
    </xf>
    <xf numFmtId="0" fontId="1" fillId="0" borderId="45" xfId="0" applyFont="1" applyBorder="1" applyAlignment="1">
      <alignment horizontal="center" vertical="top" wrapText="1"/>
    </xf>
    <xf numFmtId="0" fontId="1" fillId="0" borderId="41" xfId="0" applyFont="1" applyBorder="1" applyAlignment="1">
      <alignment vertical="top" wrapText="1"/>
    </xf>
    <xf numFmtId="0" fontId="1" fillId="0" borderId="47" xfId="0" applyFont="1" applyBorder="1" applyAlignment="1">
      <alignment vertical="top" wrapText="1"/>
    </xf>
    <xf numFmtId="0" fontId="1" fillId="0" borderId="45" xfId="0" applyFont="1" applyBorder="1" applyAlignment="1">
      <alignment vertical="top" wrapText="1"/>
    </xf>
    <xf numFmtId="0" fontId="1" fillId="0" borderId="41" xfId="0" applyFont="1" applyBorder="1" applyAlignment="1">
      <alignment horizontal="center" wrapText="1"/>
    </xf>
    <xf numFmtId="0" fontId="1" fillId="0" borderId="47" xfId="0" applyFont="1" applyBorder="1" applyAlignment="1">
      <alignment horizontal="center" wrapText="1"/>
    </xf>
    <xf numFmtId="0" fontId="1" fillId="0" borderId="45" xfId="0" applyFont="1" applyBorder="1" applyAlignment="1">
      <alignment horizontal="center" wrapText="1"/>
    </xf>
    <xf numFmtId="0" fontId="1" fillId="2" borderId="41" xfId="0" applyFont="1" applyFill="1" applyBorder="1" applyAlignment="1">
      <alignment horizontal="center" vertical="top" wrapText="1"/>
    </xf>
    <xf numFmtId="0" fontId="1" fillId="2" borderId="47" xfId="0" applyFont="1" applyFill="1" applyBorder="1" applyAlignment="1">
      <alignment horizontal="center" vertical="top" wrapText="1"/>
    </xf>
    <xf numFmtId="0" fontId="1" fillId="2" borderId="45" xfId="0" applyFont="1" applyFill="1" applyBorder="1" applyAlignment="1">
      <alignment horizontal="center" vertical="top" wrapText="1"/>
    </xf>
    <xf numFmtId="0" fontId="1" fillId="2" borderId="41" xfId="0" applyFont="1" applyFill="1" applyBorder="1" applyAlignment="1">
      <alignment vertical="top" wrapText="1"/>
    </xf>
    <xf numFmtId="0" fontId="1" fillId="2" borderId="47" xfId="0" applyFont="1" applyFill="1" applyBorder="1" applyAlignment="1">
      <alignment vertical="top" wrapText="1"/>
    </xf>
    <xf numFmtId="0" fontId="1" fillId="2" borderId="45" xfId="0" applyFont="1" applyFill="1" applyBorder="1" applyAlignment="1">
      <alignment vertical="top" wrapText="1"/>
    </xf>
  </cellXfs>
  <cellStyles count="23836">
    <cellStyle name="20% - Accent1" xfId="1"/>
    <cellStyle name="20% - Accent1 10" xfId="2"/>
    <cellStyle name="20% - Accent1 11" xfId="3"/>
    <cellStyle name="20% - Accent1 12" xfId="4"/>
    <cellStyle name="20% - Accent1 2" xfId="5"/>
    <cellStyle name="20% - Accent1 2 10" xfId="6"/>
    <cellStyle name="20% - Accent1 2 11" xfId="7"/>
    <cellStyle name="20% - Accent1 2 12" xfId="8"/>
    <cellStyle name="20% - Accent1 2 2" xfId="9"/>
    <cellStyle name="20% - Accent1 2 2 2" xfId="10"/>
    <cellStyle name="20% - Accent1 2 2 3" xfId="11"/>
    <cellStyle name="20% - Accent1 2 2 4" xfId="12"/>
    <cellStyle name="20% - Accent1 2 2 5" xfId="13"/>
    <cellStyle name="20% - Accent1 2 2 6" xfId="14"/>
    <cellStyle name="20% - Accent1 2 2 7" xfId="15"/>
    <cellStyle name="20% - Accent1 2 2 8" xfId="16"/>
    <cellStyle name="20% - Accent1 2 2 9" xfId="17"/>
    <cellStyle name="20% - Accent1 2 3" xfId="18"/>
    <cellStyle name="20% - Accent1 2 3 2" xfId="19"/>
    <cellStyle name="20% - Accent1 2 3 3" xfId="20"/>
    <cellStyle name="20% - Accent1 2 3 4" xfId="21"/>
    <cellStyle name="20% - Accent1 2 3 5" xfId="22"/>
    <cellStyle name="20% - Accent1 2 3 6" xfId="23"/>
    <cellStyle name="20% - Accent1 2 3 7" xfId="24"/>
    <cellStyle name="20% - Accent1 2 3 8" xfId="25"/>
    <cellStyle name="20% - Accent1 2 3 9" xfId="26"/>
    <cellStyle name="20% - Accent1 2 4" xfId="27"/>
    <cellStyle name="20% - Accent1 2 4 2" xfId="28"/>
    <cellStyle name="20% - Accent1 2 4 3" xfId="29"/>
    <cellStyle name="20% - Accent1 2 4 4" xfId="30"/>
    <cellStyle name="20% - Accent1 2 4 5" xfId="31"/>
    <cellStyle name="20% - Accent1 2 4 6" xfId="32"/>
    <cellStyle name="20% - Accent1 2 4 7" xfId="33"/>
    <cellStyle name="20% - Accent1 2 4 8" xfId="34"/>
    <cellStyle name="20% - Accent1 2 4 9" xfId="35"/>
    <cellStyle name="20% - Accent1 2 5" xfId="36"/>
    <cellStyle name="20% - Accent1 2 6" xfId="37"/>
    <cellStyle name="20% - Accent1 2 7" xfId="38"/>
    <cellStyle name="20% - Accent1 2 8" xfId="39"/>
    <cellStyle name="20% - Accent1 2 9" xfId="40"/>
    <cellStyle name="20% - Accent1 3" xfId="41"/>
    <cellStyle name="20% - Accent1 3 10" xfId="42"/>
    <cellStyle name="20% - Accent1 3 11" xfId="43"/>
    <cellStyle name="20% - Accent1 3 2" xfId="44"/>
    <cellStyle name="20% - Accent1 3 2 2" xfId="45"/>
    <cellStyle name="20% - Accent1 3 2 3" xfId="46"/>
    <cellStyle name="20% - Accent1 3 2 4" xfId="47"/>
    <cellStyle name="20% - Accent1 3 2 5" xfId="48"/>
    <cellStyle name="20% - Accent1 3 2 6" xfId="49"/>
    <cellStyle name="20% - Accent1 3 2 7" xfId="50"/>
    <cellStyle name="20% - Accent1 3 2 8" xfId="51"/>
    <cellStyle name="20% - Accent1 3 2 9" xfId="52"/>
    <cellStyle name="20% - Accent1 3 3" xfId="53"/>
    <cellStyle name="20% - Accent1 3 3 2" xfId="54"/>
    <cellStyle name="20% - Accent1 3 3 3" xfId="55"/>
    <cellStyle name="20% - Accent1 3 3 4" xfId="56"/>
    <cellStyle name="20% - Accent1 3 3 5" xfId="57"/>
    <cellStyle name="20% - Accent1 3 3 6" xfId="58"/>
    <cellStyle name="20% - Accent1 3 3 7" xfId="59"/>
    <cellStyle name="20% - Accent1 3 3 8" xfId="60"/>
    <cellStyle name="20% - Accent1 3 3 9" xfId="61"/>
    <cellStyle name="20% - Accent1 3 4" xfId="62"/>
    <cellStyle name="20% - Accent1 3 5" xfId="63"/>
    <cellStyle name="20% - Accent1 3 6" xfId="64"/>
    <cellStyle name="20% - Accent1 3 7" xfId="65"/>
    <cellStyle name="20% - Accent1 3 8" xfId="66"/>
    <cellStyle name="20% - Accent1 3 9" xfId="67"/>
    <cellStyle name="20% - Accent1 4" xfId="68"/>
    <cellStyle name="20% - Accent1 4 2" xfId="69"/>
    <cellStyle name="20% - Accent1 4 3" xfId="70"/>
    <cellStyle name="20% - Accent1 4 4" xfId="71"/>
    <cellStyle name="20% - Accent1 4 5" xfId="72"/>
    <cellStyle name="20% - Accent1 4 6" xfId="73"/>
    <cellStyle name="20% - Accent1 4 7" xfId="74"/>
    <cellStyle name="20% - Accent1 4 8" xfId="75"/>
    <cellStyle name="20% - Accent1 4 9" xfId="76"/>
    <cellStyle name="20% - Accent1 5" xfId="77"/>
    <cellStyle name="20% - Accent1 6" xfId="78"/>
    <cellStyle name="20% - Accent1 7" xfId="79"/>
    <cellStyle name="20% - Accent1 8" xfId="80"/>
    <cellStyle name="20% - Accent1 9" xfId="81"/>
    <cellStyle name="20% - Accent2" xfId="82"/>
    <cellStyle name="20% - Accent2 10" xfId="83"/>
    <cellStyle name="20% - Accent2 11" xfId="84"/>
    <cellStyle name="20% - Accent2 12" xfId="85"/>
    <cellStyle name="20% - Accent2 13" xfId="86"/>
    <cellStyle name="20% - Accent2 2" xfId="87"/>
    <cellStyle name="20% - Accent2 2 10" xfId="88"/>
    <cellStyle name="20% - Accent2 2 11" xfId="89"/>
    <cellStyle name="20% - Accent2 2 12" xfId="90"/>
    <cellStyle name="20% - Accent2 2 2" xfId="91"/>
    <cellStyle name="20% - Accent2 2 2 10" xfId="92"/>
    <cellStyle name="20% - Accent2 2 2 11" xfId="93"/>
    <cellStyle name="20% - Accent2 2 2 12" xfId="94"/>
    <cellStyle name="20% - Accent2 2 2 2" xfId="95"/>
    <cellStyle name="20% - Accent2 2 2 2 2" xfId="96"/>
    <cellStyle name="20% - Accent2 2 2 2 3" xfId="97"/>
    <cellStyle name="20% - Accent2 2 2 2 4" xfId="98"/>
    <cellStyle name="20% - Accent2 2 2 2 5" xfId="99"/>
    <cellStyle name="20% - Accent2 2 2 2 6" xfId="100"/>
    <cellStyle name="20% - Accent2 2 2 2 7" xfId="101"/>
    <cellStyle name="20% - Accent2 2 2 2 8" xfId="102"/>
    <cellStyle name="20% - Accent2 2 2 2 9" xfId="103"/>
    <cellStyle name="20% - Accent2 2 2 3" xfId="104"/>
    <cellStyle name="20% - Accent2 2 2 3 2" xfId="105"/>
    <cellStyle name="20% - Accent2 2 2 3 3" xfId="106"/>
    <cellStyle name="20% - Accent2 2 2 3 4" xfId="107"/>
    <cellStyle name="20% - Accent2 2 2 3 5" xfId="108"/>
    <cellStyle name="20% - Accent2 2 2 3 6" xfId="109"/>
    <cellStyle name="20% - Accent2 2 2 3 7" xfId="110"/>
    <cellStyle name="20% - Accent2 2 2 3 8" xfId="111"/>
    <cellStyle name="20% - Accent2 2 2 3 9" xfId="112"/>
    <cellStyle name="20% - Accent2 2 2 4" xfId="113"/>
    <cellStyle name="20% - Accent2 2 2 4 2" xfId="114"/>
    <cellStyle name="20% - Accent2 2 2 4 3" xfId="115"/>
    <cellStyle name="20% - Accent2 2 2 4 4" xfId="116"/>
    <cellStyle name="20% - Accent2 2 2 4 5" xfId="117"/>
    <cellStyle name="20% - Accent2 2 2 4 6" xfId="118"/>
    <cellStyle name="20% - Accent2 2 2 4 7" xfId="119"/>
    <cellStyle name="20% - Accent2 2 2 4 8" xfId="120"/>
    <cellStyle name="20% - Accent2 2 2 4 9" xfId="121"/>
    <cellStyle name="20% - Accent2 2 2 5" xfId="122"/>
    <cellStyle name="20% - Accent2 2 2 6" xfId="123"/>
    <cellStyle name="20% - Accent2 2 2 7" xfId="124"/>
    <cellStyle name="20% - Accent2 2 2 8" xfId="125"/>
    <cellStyle name="20% - Accent2 2 2 9" xfId="126"/>
    <cellStyle name="20% - Accent2 2 3" xfId="127"/>
    <cellStyle name="20% - Accent2 2 3 10" xfId="128"/>
    <cellStyle name="20% - Accent2 2 3 11" xfId="129"/>
    <cellStyle name="20% - Accent2 2 3 2" xfId="130"/>
    <cellStyle name="20% - Accent2 2 3 2 2" xfId="131"/>
    <cellStyle name="20% - Accent2 2 3 2 3" xfId="132"/>
    <cellStyle name="20% - Accent2 2 3 2 4" xfId="133"/>
    <cellStyle name="20% - Accent2 2 3 2 5" xfId="134"/>
    <cellStyle name="20% - Accent2 2 3 2 6" xfId="135"/>
    <cellStyle name="20% - Accent2 2 3 2 7" xfId="136"/>
    <cellStyle name="20% - Accent2 2 3 2 8" xfId="137"/>
    <cellStyle name="20% - Accent2 2 3 2 9" xfId="138"/>
    <cellStyle name="20% - Accent2 2 3 3" xfId="139"/>
    <cellStyle name="20% - Accent2 2 3 3 2" xfId="140"/>
    <cellStyle name="20% - Accent2 2 3 3 3" xfId="141"/>
    <cellStyle name="20% - Accent2 2 3 3 4" xfId="142"/>
    <cellStyle name="20% - Accent2 2 3 3 5" xfId="143"/>
    <cellStyle name="20% - Accent2 2 3 3 6" xfId="144"/>
    <cellStyle name="20% - Accent2 2 3 3 7" xfId="145"/>
    <cellStyle name="20% - Accent2 2 3 3 8" xfId="146"/>
    <cellStyle name="20% - Accent2 2 3 3 9" xfId="147"/>
    <cellStyle name="20% - Accent2 2 3 4" xfId="148"/>
    <cellStyle name="20% - Accent2 2 3 5" xfId="149"/>
    <cellStyle name="20% - Accent2 2 3 6" xfId="150"/>
    <cellStyle name="20% - Accent2 2 3 7" xfId="151"/>
    <cellStyle name="20% - Accent2 2 3 8" xfId="152"/>
    <cellStyle name="20% - Accent2 2 3 9" xfId="153"/>
    <cellStyle name="20% - Accent2 2 4" xfId="154"/>
    <cellStyle name="20% - Accent2 2 4 2" xfId="155"/>
    <cellStyle name="20% - Accent2 2 4 3" xfId="156"/>
    <cellStyle name="20% - Accent2 2 4 4" xfId="157"/>
    <cellStyle name="20% - Accent2 2 4 5" xfId="158"/>
    <cellStyle name="20% - Accent2 2 4 6" xfId="159"/>
    <cellStyle name="20% - Accent2 2 4 7" xfId="160"/>
    <cellStyle name="20% - Accent2 2 4 8" xfId="161"/>
    <cellStyle name="20% - Accent2 2 4 9" xfId="162"/>
    <cellStyle name="20% - Accent2 2 5" xfId="163"/>
    <cellStyle name="20% - Accent2 2 6" xfId="164"/>
    <cellStyle name="20% - Accent2 2 7" xfId="165"/>
    <cellStyle name="20% - Accent2 2 8" xfId="166"/>
    <cellStyle name="20% - Accent2 2 9" xfId="167"/>
    <cellStyle name="20% - Accent2 3" xfId="168"/>
    <cellStyle name="20% - Accent2 3 10" xfId="169"/>
    <cellStyle name="20% - Accent2 3 11" xfId="170"/>
    <cellStyle name="20% - Accent2 3 12" xfId="171"/>
    <cellStyle name="20% - Accent2 3 2" xfId="172"/>
    <cellStyle name="20% - Accent2 3 2 2" xfId="173"/>
    <cellStyle name="20% - Accent2 3 2 3" xfId="174"/>
    <cellStyle name="20% - Accent2 3 2 4" xfId="175"/>
    <cellStyle name="20% - Accent2 3 2 5" xfId="176"/>
    <cellStyle name="20% - Accent2 3 2 6" xfId="177"/>
    <cellStyle name="20% - Accent2 3 2 7" xfId="178"/>
    <cellStyle name="20% - Accent2 3 2 8" xfId="179"/>
    <cellStyle name="20% - Accent2 3 2 9" xfId="180"/>
    <cellStyle name="20% - Accent2 3 3" xfId="181"/>
    <cellStyle name="20% - Accent2 3 3 2" xfId="182"/>
    <cellStyle name="20% - Accent2 3 3 3" xfId="183"/>
    <cellStyle name="20% - Accent2 3 3 4" xfId="184"/>
    <cellStyle name="20% - Accent2 3 3 5" xfId="185"/>
    <cellStyle name="20% - Accent2 3 3 6" xfId="186"/>
    <cellStyle name="20% - Accent2 3 3 7" xfId="187"/>
    <cellStyle name="20% - Accent2 3 3 8" xfId="188"/>
    <cellStyle name="20% - Accent2 3 3 9" xfId="189"/>
    <cellStyle name="20% - Accent2 3 4" xfId="190"/>
    <cellStyle name="20% - Accent2 3 4 2" xfId="191"/>
    <cellStyle name="20% - Accent2 3 4 3" xfId="192"/>
    <cellStyle name="20% - Accent2 3 4 4" xfId="193"/>
    <cellStyle name="20% - Accent2 3 4 5" xfId="194"/>
    <cellStyle name="20% - Accent2 3 4 6" xfId="195"/>
    <cellStyle name="20% - Accent2 3 4 7" xfId="196"/>
    <cellStyle name="20% - Accent2 3 4 8" xfId="197"/>
    <cellStyle name="20% - Accent2 3 4 9" xfId="198"/>
    <cellStyle name="20% - Accent2 3 5" xfId="199"/>
    <cellStyle name="20% - Accent2 3 6" xfId="200"/>
    <cellStyle name="20% - Accent2 3 7" xfId="201"/>
    <cellStyle name="20% - Accent2 3 8" xfId="202"/>
    <cellStyle name="20% - Accent2 3 9" xfId="203"/>
    <cellStyle name="20% - Accent2 4" xfId="204"/>
    <cellStyle name="20% - Accent2 4 10" xfId="205"/>
    <cellStyle name="20% - Accent2 4 11" xfId="206"/>
    <cellStyle name="20% - Accent2 4 2" xfId="207"/>
    <cellStyle name="20% - Accent2 4 2 2" xfId="208"/>
    <cellStyle name="20% - Accent2 4 2 3" xfId="209"/>
    <cellStyle name="20% - Accent2 4 2 4" xfId="210"/>
    <cellStyle name="20% - Accent2 4 2 5" xfId="211"/>
    <cellStyle name="20% - Accent2 4 2 6" xfId="212"/>
    <cellStyle name="20% - Accent2 4 2 7" xfId="213"/>
    <cellStyle name="20% - Accent2 4 2 8" xfId="214"/>
    <cellStyle name="20% - Accent2 4 2 9" xfId="215"/>
    <cellStyle name="20% - Accent2 4 3" xfId="216"/>
    <cellStyle name="20% - Accent2 4 3 2" xfId="217"/>
    <cellStyle name="20% - Accent2 4 3 3" xfId="218"/>
    <cellStyle name="20% - Accent2 4 3 4" xfId="219"/>
    <cellStyle name="20% - Accent2 4 3 5" xfId="220"/>
    <cellStyle name="20% - Accent2 4 3 6" xfId="221"/>
    <cellStyle name="20% - Accent2 4 3 7" xfId="222"/>
    <cellStyle name="20% - Accent2 4 3 8" xfId="223"/>
    <cellStyle name="20% - Accent2 4 3 9" xfId="224"/>
    <cellStyle name="20% - Accent2 4 4" xfId="225"/>
    <cellStyle name="20% - Accent2 4 5" xfId="226"/>
    <cellStyle name="20% - Accent2 4 6" xfId="227"/>
    <cellStyle name="20% - Accent2 4 7" xfId="228"/>
    <cellStyle name="20% - Accent2 4 8" xfId="229"/>
    <cellStyle name="20% - Accent2 4 9" xfId="230"/>
    <cellStyle name="20% - Accent2 5" xfId="231"/>
    <cellStyle name="20% - Accent2 5 2" xfId="232"/>
    <cellStyle name="20% - Accent2 5 3" xfId="233"/>
    <cellStyle name="20% - Accent2 5 4" xfId="234"/>
    <cellStyle name="20% - Accent2 5 5" xfId="235"/>
    <cellStyle name="20% - Accent2 5 6" xfId="236"/>
    <cellStyle name="20% - Accent2 5 7" xfId="237"/>
    <cellStyle name="20% - Accent2 5 8" xfId="238"/>
    <cellStyle name="20% - Accent2 5 9" xfId="239"/>
    <cellStyle name="20% - Accent2 6" xfId="240"/>
    <cellStyle name="20% - Accent2 7" xfId="241"/>
    <cellStyle name="20% - Accent2 8" xfId="242"/>
    <cellStyle name="20% - Accent2 9" xfId="243"/>
    <cellStyle name="20% - Accent3" xfId="244"/>
    <cellStyle name="20% - Accent3 10" xfId="245"/>
    <cellStyle name="20% - Accent3 11" xfId="246"/>
    <cellStyle name="20% - Accent3 12" xfId="247"/>
    <cellStyle name="20% - Accent3 2" xfId="248"/>
    <cellStyle name="20% - Accent3 2 10" xfId="249"/>
    <cellStyle name="20% - Accent3 2 11" xfId="250"/>
    <cellStyle name="20% - Accent3 2 12" xfId="251"/>
    <cellStyle name="20% - Accent3 2 2" xfId="252"/>
    <cellStyle name="20% - Accent3 2 2 2" xfId="253"/>
    <cellStyle name="20% - Accent3 2 2 3" xfId="254"/>
    <cellStyle name="20% - Accent3 2 2 4" xfId="255"/>
    <cellStyle name="20% - Accent3 2 2 5" xfId="256"/>
    <cellStyle name="20% - Accent3 2 2 6" xfId="257"/>
    <cellStyle name="20% - Accent3 2 2 7" xfId="258"/>
    <cellStyle name="20% - Accent3 2 2 8" xfId="259"/>
    <cellStyle name="20% - Accent3 2 2 9" xfId="260"/>
    <cellStyle name="20% - Accent3 2 3" xfId="261"/>
    <cellStyle name="20% - Accent3 2 3 2" xfId="262"/>
    <cellStyle name="20% - Accent3 2 3 3" xfId="263"/>
    <cellStyle name="20% - Accent3 2 3 4" xfId="264"/>
    <cellStyle name="20% - Accent3 2 3 5" xfId="265"/>
    <cellStyle name="20% - Accent3 2 3 6" xfId="266"/>
    <cellStyle name="20% - Accent3 2 3 7" xfId="267"/>
    <cellStyle name="20% - Accent3 2 3 8" xfId="268"/>
    <cellStyle name="20% - Accent3 2 3 9" xfId="269"/>
    <cellStyle name="20% - Accent3 2 4" xfId="270"/>
    <cellStyle name="20% - Accent3 2 4 2" xfId="271"/>
    <cellStyle name="20% - Accent3 2 4 3" xfId="272"/>
    <cellStyle name="20% - Accent3 2 4 4" xfId="273"/>
    <cellStyle name="20% - Accent3 2 4 5" xfId="274"/>
    <cellStyle name="20% - Accent3 2 4 6" xfId="275"/>
    <cellStyle name="20% - Accent3 2 4 7" xfId="276"/>
    <cellStyle name="20% - Accent3 2 4 8" xfId="277"/>
    <cellStyle name="20% - Accent3 2 4 9" xfId="278"/>
    <cellStyle name="20% - Accent3 2 5" xfId="279"/>
    <cellStyle name="20% - Accent3 2 6" xfId="280"/>
    <cellStyle name="20% - Accent3 2 7" xfId="281"/>
    <cellStyle name="20% - Accent3 2 8" xfId="282"/>
    <cellStyle name="20% - Accent3 2 9" xfId="283"/>
    <cellStyle name="20% - Accent3 3" xfId="284"/>
    <cellStyle name="20% - Accent3 3 10" xfId="285"/>
    <cellStyle name="20% - Accent3 3 11" xfId="286"/>
    <cellStyle name="20% - Accent3 3 2" xfId="287"/>
    <cellStyle name="20% - Accent3 3 2 2" xfId="288"/>
    <cellStyle name="20% - Accent3 3 2 3" xfId="289"/>
    <cellStyle name="20% - Accent3 3 2 4" xfId="290"/>
    <cellStyle name="20% - Accent3 3 2 5" xfId="291"/>
    <cellStyle name="20% - Accent3 3 2 6" xfId="292"/>
    <cellStyle name="20% - Accent3 3 2 7" xfId="293"/>
    <cellStyle name="20% - Accent3 3 2 8" xfId="294"/>
    <cellStyle name="20% - Accent3 3 2 9" xfId="295"/>
    <cellStyle name="20% - Accent3 3 3" xfId="296"/>
    <cellStyle name="20% - Accent3 3 3 2" xfId="297"/>
    <cellStyle name="20% - Accent3 3 3 3" xfId="298"/>
    <cellStyle name="20% - Accent3 3 3 4" xfId="299"/>
    <cellStyle name="20% - Accent3 3 3 5" xfId="300"/>
    <cellStyle name="20% - Accent3 3 3 6" xfId="301"/>
    <cellStyle name="20% - Accent3 3 3 7" xfId="302"/>
    <cellStyle name="20% - Accent3 3 3 8" xfId="303"/>
    <cellStyle name="20% - Accent3 3 3 9" xfId="304"/>
    <cellStyle name="20% - Accent3 3 4" xfId="305"/>
    <cellStyle name="20% - Accent3 3 5" xfId="306"/>
    <cellStyle name="20% - Accent3 3 6" xfId="307"/>
    <cellStyle name="20% - Accent3 3 7" xfId="308"/>
    <cellStyle name="20% - Accent3 3 8" xfId="309"/>
    <cellStyle name="20% - Accent3 3 9" xfId="310"/>
    <cellStyle name="20% - Accent3 4" xfId="311"/>
    <cellStyle name="20% - Accent3 4 2" xfId="312"/>
    <cellStyle name="20% - Accent3 4 3" xfId="313"/>
    <cellStyle name="20% - Accent3 4 4" xfId="314"/>
    <cellStyle name="20% - Accent3 4 5" xfId="315"/>
    <cellStyle name="20% - Accent3 4 6" xfId="316"/>
    <cellStyle name="20% - Accent3 4 7" xfId="317"/>
    <cellStyle name="20% - Accent3 4 8" xfId="318"/>
    <cellStyle name="20% - Accent3 4 9" xfId="319"/>
    <cellStyle name="20% - Accent3 5" xfId="320"/>
    <cellStyle name="20% - Accent3 6" xfId="321"/>
    <cellStyle name="20% - Accent3 7" xfId="322"/>
    <cellStyle name="20% - Accent3 8" xfId="323"/>
    <cellStyle name="20% - Accent3 9" xfId="324"/>
    <cellStyle name="20% - Accent4" xfId="325"/>
    <cellStyle name="20% - Accent4 10" xfId="326"/>
    <cellStyle name="20% - Accent4 11" xfId="327"/>
    <cellStyle name="20% - Accent4 12" xfId="328"/>
    <cellStyle name="20% - Accent4 2" xfId="329"/>
    <cellStyle name="20% - Accent4 2 10" xfId="330"/>
    <cellStyle name="20% - Accent4 2 11" xfId="331"/>
    <cellStyle name="20% - Accent4 2 12" xfId="332"/>
    <cellStyle name="20% - Accent4 2 2" xfId="333"/>
    <cellStyle name="20% - Accent4 2 2 2" xfId="334"/>
    <cellStyle name="20% - Accent4 2 2 3" xfId="335"/>
    <cellStyle name="20% - Accent4 2 2 4" xfId="336"/>
    <cellStyle name="20% - Accent4 2 2 5" xfId="337"/>
    <cellStyle name="20% - Accent4 2 2 6" xfId="338"/>
    <cellStyle name="20% - Accent4 2 2 7" xfId="339"/>
    <cellStyle name="20% - Accent4 2 2 8" xfId="340"/>
    <cellStyle name="20% - Accent4 2 2 9" xfId="341"/>
    <cellStyle name="20% - Accent4 2 3" xfId="342"/>
    <cellStyle name="20% - Accent4 2 3 2" xfId="343"/>
    <cellStyle name="20% - Accent4 2 3 3" xfId="344"/>
    <cellStyle name="20% - Accent4 2 3 4" xfId="345"/>
    <cellStyle name="20% - Accent4 2 3 5" xfId="346"/>
    <cellStyle name="20% - Accent4 2 3 6" xfId="347"/>
    <cellStyle name="20% - Accent4 2 3 7" xfId="348"/>
    <cellStyle name="20% - Accent4 2 3 8" xfId="349"/>
    <cellStyle name="20% - Accent4 2 3 9" xfId="350"/>
    <cellStyle name="20% - Accent4 2 4" xfId="351"/>
    <cellStyle name="20% - Accent4 2 4 2" xfId="352"/>
    <cellStyle name="20% - Accent4 2 4 3" xfId="353"/>
    <cellStyle name="20% - Accent4 2 4 4" xfId="354"/>
    <cellStyle name="20% - Accent4 2 4 5" xfId="355"/>
    <cellStyle name="20% - Accent4 2 4 6" xfId="356"/>
    <cellStyle name="20% - Accent4 2 4 7" xfId="357"/>
    <cellStyle name="20% - Accent4 2 4 8" xfId="358"/>
    <cellStyle name="20% - Accent4 2 4 9" xfId="359"/>
    <cellStyle name="20% - Accent4 2 5" xfId="360"/>
    <cellStyle name="20% - Accent4 2 6" xfId="361"/>
    <cellStyle name="20% - Accent4 2 7" xfId="362"/>
    <cellStyle name="20% - Accent4 2 8" xfId="363"/>
    <cellStyle name="20% - Accent4 2 9" xfId="364"/>
    <cellStyle name="20% - Accent4 3" xfId="365"/>
    <cellStyle name="20% - Accent4 3 10" xfId="366"/>
    <cellStyle name="20% - Accent4 3 11" xfId="367"/>
    <cellStyle name="20% - Accent4 3 2" xfId="368"/>
    <cellStyle name="20% - Accent4 3 2 2" xfId="369"/>
    <cellStyle name="20% - Accent4 3 2 3" xfId="370"/>
    <cellStyle name="20% - Accent4 3 2 4" xfId="371"/>
    <cellStyle name="20% - Accent4 3 2 5" xfId="372"/>
    <cellStyle name="20% - Accent4 3 2 6" xfId="373"/>
    <cellStyle name="20% - Accent4 3 2 7" xfId="374"/>
    <cellStyle name="20% - Accent4 3 2 8" xfId="375"/>
    <cellStyle name="20% - Accent4 3 2 9" xfId="376"/>
    <cellStyle name="20% - Accent4 3 3" xfId="377"/>
    <cellStyle name="20% - Accent4 3 3 2" xfId="378"/>
    <cellStyle name="20% - Accent4 3 3 3" xfId="379"/>
    <cellStyle name="20% - Accent4 3 3 4" xfId="380"/>
    <cellStyle name="20% - Accent4 3 3 5" xfId="381"/>
    <cellStyle name="20% - Accent4 3 3 6" xfId="382"/>
    <cellStyle name="20% - Accent4 3 3 7" xfId="383"/>
    <cellStyle name="20% - Accent4 3 3 8" xfId="384"/>
    <cellStyle name="20% - Accent4 3 3 9" xfId="385"/>
    <cellStyle name="20% - Accent4 3 4" xfId="386"/>
    <cellStyle name="20% - Accent4 3 5" xfId="387"/>
    <cellStyle name="20% - Accent4 3 6" xfId="388"/>
    <cellStyle name="20% - Accent4 3 7" xfId="389"/>
    <cellStyle name="20% - Accent4 3 8" xfId="390"/>
    <cellStyle name="20% - Accent4 3 9" xfId="391"/>
    <cellStyle name="20% - Accent4 4" xfId="392"/>
    <cellStyle name="20% - Accent4 4 2" xfId="393"/>
    <cellStyle name="20% - Accent4 4 3" xfId="394"/>
    <cellStyle name="20% - Accent4 4 4" xfId="395"/>
    <cellStyle name="20% - Accent4 4 5" xfId="396"/>
    <cellStyle name="20% - Accent4 4 6" xfId="397"/>
    <cellStyle name="20% - Accent4 4 7" xfId="398"/>
    <cellStyle name="20% - Accent4 4 8" xfId="399"/>
    <cellStyle name="20% - Accent4 4 9" xfId="400"/>
    <cellStyle name="20% - Accent4 5" xfId="401"/>
    <cellStyle name="20% - Accent4 6" xfId="402"/>
    <cellStyle name="20% - Accent4 7" xfId="403"/>
    <cellStyle name="20% - Accent4 8" xfId="404"/>
    <cellStyle name="20% - Accent4 9" xfId="405"/>
    <cellStyle name="20% - Accent5" xfId="406"/>
    <cellStyle name="20% - Accent5 10" xfId="407"/>
    <cellStyle name="20% - Accent5 11" xfId="408"/>
    <cellStyle name="20% - Accent5 12" xfId="409"/>
    <cellStyle name="20% - Accent5 2" xfId="410"/>
    <cellStyle name="20% - Accent5 2 10" xfId="411"/>
    <cellStyle name="20% - Accent5 2 11" xfId="412"/>
    <cellStyle name="20% - Accent5 2 12" xfId="413"/>
    <cellStyle name="20% - Accent5 2 2" xfId="414"/>
    <cellStyle name="20% - Accent5 2 2 2" xfId="415"/>
    <cellStyle name="20% - Accent5 2 2 3" xfId="416"/>
    <cellStyle name="20% - Accent5 2 2 4" xfId="417"/>
    <cellStyle name="20% - Accent5 2 2 5" xfId="418"/>
    <cellStyle name="20% - Accent5 2 2 6" xfId="419"/>
    <cellStyle name="20% - Accent5 2 2 7" xfId="420"/>
    <cellStyle name="20% - Accent5 2 2 8" xfId="421"/>
    <cellStyle name="20% - Accent5 2 2 9" xfId="422"/>
    <cellStyle name="20% - Accent5 2 3" xfId="423"/>
    <cellStyle name="20% - Accent5 2 3 2" xfId="424"/>
    <cellStyle name="20% - Accent5 2 3 3" xfId="425"/>
    <cellStyle name="20% - Accent5 2 3 4" xfId="426"/>
    <cellStyle name="20% - Accent5 2 3 5" xfId="427"/>
    <cellStyle name="20% - Accent5 2 3 6" xfId="428"/>
    <cellStyle name="20% - Accent5 2 3 7" xfId="429"/>
    <cellStyle name="20% - Accent5 2 3 8" xfId="430"/>
    <cellStyle name="20% - Accent5 2 3 9" xfId="431"/>
    <cellStyle name="20% - Accent5 2 4" xfId="432"/>
    <cellStyle name="20% - Accent5 2 4 2" xfId="433"/>
    <cellStyle name="20% - Accent5 2 4 3" xfId="434"/>
    <cellStyle name="20% - Accent5 2 4 4" xfId="435"/>
    <cellStyle name="20% - Accent5 2 4 5" xfId="436"/>
    <cellStyle name="20% - Accent5 2 4 6" xfId="437"/>
    <cellStyle name="20% - Accent5 2 4 7" xfId="438"/>
    <cellStyle name="20% - Accent5 2 4 8" xfId="439"/>
    <cellStyle name="20% - Accent5 2 4 9" xfId="440"/>
    <cellStyle name="20% - Accent5 2 5" xfId="441"/>
    <cellStyle name="20% - Accent5 2 6" xfId="442"/>
    <cellStyle name="20% - Accent5 2 7" xfId="443"/>
    <cellStyle name="20% - Accent5 2 8" xfId="444"/>
    <cellStyle name="20% - Accent5 2 9" xfId="445"/>
    <cellStyle name="20% - Accent5 3" xfId="446"/>
    <cellStyle name="20% - Accent5 3 10" xfId="447"/>
    <cellStyle name="20% - Accent5 3 11" xfId="448"/>
    <cellStyle name="20% - Accent5 3 2" xfId="449"/>
    <cellStyle name="20% - Accent5 3 2 2" xfId="450"/>
    <cellStyle name="20% - Accent5 3 2 3" xfId="451"/>
    <cellStyle name="20% - Accent5 3 2 4" xfId="452"/>
    <cellStyle name="20% - Accent5 3 2 5" xfId="453"/>
    <cellStyle name="20% - Accent5 3 2 6" xfId="454"/>
    <cellStyle name="20% - Accent5 3 2 7" xfId="455"/>
    <cellStyle name="20% - Accent5 3 2 8" xfId="456"/>
    <cellStyle name="20% - Accent5 3 2 9" xfId="457"/>
    <cellStyle name="20% - Accent5 3 3" xfId="458"/>
    <cellStyle name="20% - Accent5 3 3 2" xfId="459"/>
    <cellStyle name="20% - Accent5 3 3 3" xfId="460"/>
    <cellStyle name="20% - Accent5 3 3 4" xfId="461"/>
    <cellStyle name="20% - Accent5 3 3 5" xfId="462"/>
    <cellStyle name="20% - Accent5 3 3 6" xfId="463"/>
    <cellStyle name="20% - Accent5 3 3 7" xfId="464"/>
    <cellStyle name="20% - Accent5 3 3 8" xfId="465"/>
    <cellStyle name="20% - Accent5 3 3 9" xfId="466"/>
    <cellStyle name="20% - Accent5 3 4" xfId="467"/>
    <cellStyle name="20% - Accent5 3 5" xfId="468"/>
    <cellStyle name="20% - Accent5 3 6" xfId="469"/>
    <cellStyle name="20% - Accent5 3 7" xfId="470"/>
    <cellStyle name="20% - Accent5 3 8" xfId="471"/>
    <cellStyle name="20% - Accent5 3 9" xfId="472"/>
    <cellStyle name="20% - Accent5 4" xfId="473"/>
    <cellStyle name="20% - Accent5 4 2" xfId="474"/>
    <cellStyle name="20% - Accent5 4 3" xfId="475"/>
    <cellStyle name="20% - Accent5 4 4" xfId="476"/>
    <cellStyle name="20% - Accent5 4 5" xfId="477"/>
    <cellStyle name="20% - Accent5 4 6" xfId="478"/>
    <cellStyle name="20% - Accent5 4 7" xfId="479"/>
    <cellStyle name="20% - Accent5 4 8" xfId="480"/>
    <cellStyle name="20% - Accent5 4 9" xfId="481"/>
    <cellStyle name="20% - Accent5 5" xfId="482"/>
    <cellStyle name="20% - Accent5 6" xfId="483"/>
    <cellStyle name="20% - Accent5 7" xfId="484"/>
    <cellStyle name="20% - Accent5 8" xfId="485"/>
    <cellStyle name="20% - Accent5 9" xfId="486"/>
    <cellStyle name="20% - Accent6" xfId="487"/>
    <cellStyle name="20% - Accent6 10" xfId="488"/>
    <cellStyle name="20% - Accent6 11" xfId="489"/>
    <cellStyle name="20% - Accent6 12" xfId="490"/>
    <cellStyle name="20% - Accent6 2" xfId="491"/>
    <cellStyle name="20% - Accent6 2 10" xfId="492"/>
    <cellStyle name="20% - Accent6 2 11" xfId="493"/>
    <cellStyle name="20% - Accent6 2 12" xfId="494"/>
    <cellStyle name="20% - Accent6 2 2" xfId="495"/>
    <cellStyle name="20% - Accent6 2 2 2" xfId="496"/>
    <cellStyle name="20% - Accent6 2 2 3" xfId="497"/>
    <cellStyle name="20% - Accent6 2 2 4" xfId="498"/>
    <cellStyle name="20% - Accent6 2 2 5" xfId="499"/>
    <cellStyle name="20% - Accent6 2 2 6" xfId="500"/>
    <cellStyle name="20% - Accent6 2 2 7" xfId="501"/>
    <cellStyle name="20% - Accent6 2 2 8" xfId="502"/>
    <cellStyle name="20% - Accent6 2 2 9" xfId="503"/>
    <cellStyle name="20% - Accent6 2 3" xfId="504"/>
    <cellStyle name="20% - Accent6 2 3 2" xfId="505"/>
    <cellStyle name="20% - Accent6 2 3 3" xfId="506"/>
    <cellStyle name="20% - Accent6 2 3 4" xfId="507"/>
    <cellStyle name="20% - Accent6 2 3 5" xfId="508"/>
    <cellStyle name="20% - Accent6 2 3 6" xfId="509"/>
    <cellStyle name="20% - Accent6 2 3 7" xfId="510"/>
    <cellStyle name="20% - Accent6 2 3 8" xfId="511"/>
    <cellStyle name="20% - Accent6 2 3 9" xfId="512"/>
    <cellStyle name="20% - Accent6 2 4" xfId="513"/>
    <cellStyle name="20% - Accent6 2 4 2" xfId="514"/>
    <cellStyle name="20% - Accent6 2 4 3" xfId="515"/>
    <cellStyle name="20% - Accent6 2 4 4" xfId="516"/>
    <cellStyle name="20% - Accent6 2 4 5" xfId="517"/>
    <cellStyle name="20% - Accent6 2 4 6" xfId="518"/>
    <cellStyle name="20% - Accent6 2 4 7" xfId="519"/>
    <cellStyle name="20% - Accent6 2 4 8" xfId="520"/>
    <cellStyle name="20% - Accent6 2 4 9" xfId="521"/>
    <cellStyle name="20% - Accent6 2 5" xfId="522"/>
    <cellStyle name="20% - Accent6 2 6" xfId="523"/>
    <cellStyle name="20% - Accent6 2 7" xfId="524"/>
    <cellStyle name="20% - Accent6 2 8" xfId="525"/>
    <cellStyle name="20% - Accent6 2 9" xfId="526"/>
    <cellStyle name="20% - Accent6 3" xfId="527"/>
    <cellStyle name="20% - Accent6 3 10" xfId="528"/>
    <cellStyle name="20% - Accent6 3 11" xfId="529"/>
    <cellStyle name="20% - Accent6 3 2" xfId="530"/>
    <cellStyle name="20% - Accent6 3 2 2" xfId="531"/>
    <cellStyle name="20% - Accent6 3 2 3" xfId="532"/>
    <cellStyle name="20% - Accent6 3 2 4" xfId="533"/>
    <cellStyle name="20% - Accent6 3 2 5" xfId="534"/>
    <cellStyle name="20% - Accent6 3 2 6" xfId="535"/>
    <cellStyle name="20% - Accent6 3 2 7" xfId="536"/>
    <cellStyle name="20% - Accent6 3 2 8" xfId="537"/>
    <cellStyle name="20% - Accent6 3 2 9" xfId="538"/>
    <cellStyle name="20% - Accent6 3 3" xfId="539"/>
    <cellStyle name="20% - Accent6 3 3 2" xfId="540"/>
    <cellStyle name="20% - Accent6 3 3 3" xfId="541"/>
    <cellStyle name="20% - Accent6 3 3 4" xfId="542"/>
    <cellStyle name="20% - Accent6 3 3 5" xfId="543"/>
    <cellStyle name="20% - Accent6 3 3 6" xfId="544"/>
    <cellStyle name="20% - Accent6 3 3 7" xfId="545"/>
    <cellStyle name="20% - Accent6 3 3 8" xfId="546"/>
    <cellStyle name="20% - Accent6 3 3 9" xfId="547"/>
    <cellStyle name="20% - Accent6 3 4" xfId="548"/>
    <cellStyle name="20% - Accent6 3 5" xfId="549"/>
    <cellStyle name="20% - Accent6 3 6" xfId="550"/>
    <cellStyle name="20% - Accent6 3 7" xfId="551"/>
    <cellStyle name="20% - Accent6 3 8" xfId="552"/>
    <cellStyle name="20% - Accent6 3 9" xfId="553"/>
    <cellStyle name="20% - Accent6 4" xfId="554"/>
    <cellStyle name="20% - Accent6 4 2" xfId="555"/>
    <cellStyle name="20% - Accent6 4 3" xfId="556"/>
    <cellStyle name="20% - Accent6 4 4" xfId="557"/>
    <cellStyle name="20% - Accent6 4 5" xfId="558"/>
    <cellStyle name="20% - Accent6 4 6" xfId="559"/>
    <cellStyle name="20% - Accent6 4 7" xfId="560"/>
    <cellStyle name="20% - Accent6 4 8" xfId="561"/>
    <cellStyle name="20% - Accent6 4 9" xfId="562"/>
    <cellStyle name="20% - Accent6 5" xfId="563"/>
    <cellStyle name="20% - Accent6 6" xfId="564"/>
    <cellStyle name="20% - Accent6 7" xfId="565"/>
    <cellStyle name="20% - Accent6 8" xfId="566"/>
    <cellStyle name="20% - Accent6 9" xfId="567"/>
    <cellStyle name="20% - Акцент1 2" xfId="568"/>
    <cellStyle name="20% - Акцент1 2 2" xfId="569"/>
    <cellStyle name="20% - Акцент1 2 2 2" xfId="570"/>
    <cellStyle name="20% - Акцент1 2 2 2 2" xfId="571"/>
    <cellStyle name="20% - Акцент1 2 2 2 3" xfId="572"/>
    <cellStyle name="20% - Акцент1 2 2 3" xfId="573"/>
    <cellStyle name="20% - Акцент1 2 2 4" xfId="574"/>
    <cellStyle name="20% - Акцент1 2 2 4 2" xfId="575"/>
    <cellStyle name="20% - Акцент1 2 2 4 3" xfId="576"/>
    <cellStyle name="20% - Акцент1 2 2 4 4" xfId="577"/>
    <cellStyle name="20% - Акцент1 2 2 4 5" xfId="578"/>
    <cellStyle name="20% - Акцент1 2 2 5" xfId="579"/>
    <cellStyle name="20% - Акцент1 2 2 6" xfId="580"/>
    <cellStyle name="20% - Акцент1 2 2 7" xfId="581"/>
    <cellStyle name="20% - Акцент1 2 2 8" xfId="582"/>
    <cellStyle name="20% - Акцент1 2 3" xfId="583"/>
    <cellStyle name="20% - Акцент1 2 3 2" xfId="584"/>
    <cellStyle name="20% - Акцент1 2 3 3" xfId="585"/>
    <cellStyle name="20% - Акцент1 2 4" xfId="586"/>
    <cellStyle name="20% - Акцент1 2 5" xfId="587"/>
    <cellStyle name="20% - Акцент1 2 5 2" xfId="588"/>
    <cellStyle name="20% - Акцент1 2 5 3" xfId="589"/>
    <cellStyle name="20% - Акцент1 2 5 4" xfId="590"/>
    <cellStyle name="20% - Акцент1 2 5 5" xfId="591"/>
    <cellStyle name="20% - Акцент1 2 6" xfId="592"/>
    <cellStyle name="20% - Акцент1 2 7" xfId="593"/>
    <cellStyle name="20% - Акцент1 2 8" xfId="594"/>
    <cellStyle name="20% - Акцент1 2 9" xfId="595"/>
    <cellStyle name="20% - Акцент1 2_Расчет программы" xfId="596"/>
    <cellStyle name="20% - Акцент2 2" xfId="597"/>
    <cellStyle name="20% - Акцент2 2 2" xfId="598"/>
    <cellStyle name="20% - Акцент2 2 2 2" xfId="599"/>
    <cellStyle name="20% - Акцент2 2 2 2 2" xfId="600"/>
    <cellStyle name="20% - Акцент2 2 2 2 3" xfId="601"/>
    <cellStyle name="20% - Акцент2 2 2 3" xfId="602"/>
    <cellStyle name="20% - Акцент2 2 2 4" xfId="603"/>
    <cellStyle name="20% - Акцент2 2 2 4 2" xfId="604"/>
    <cellStyle name="20% - Акцент2 2 2 4 3" xfId="605"/>
    <cellStyle name="20% - Акцент2 2 2 4 4" xfId="606"/>
    <cellStyle name="20% - Акцент2 2 2 4 5" xfId="607"/>
    <cellStyle name="20% - Акцент2 2 2 5" xfId="608"/>
    <cellStyle name="20% - Акцент2 2 2 6" xfId="609"/>
    <cellStyle name="20% - Акцент2 2 2 7" xfId="610"/>
    <cellStyle name="20% - Акцент2 2 2 8" xfId="611"/>
    <cellStyle name="20% - Акцент2 2 3" xfId="612"/>
    <cellStyle name="20% - Акцент2 2 3 2" xfId="613"/>
    <cellStyle name="20% - Акцент2 2 3 3" xfId="614"/>
    <cellStyle name="20% - Акцент2 2 4" xfId="615"/>
    <cellStyle name="20% - Акцент2 2 5" xfId="616"/>
    <cellStyle name="20% - Акцент2 2 5 2" xfId="617"/>
    <cellStyle name="20% - Акцент2 2 5 3" xfId="618"/>
    <cellStyle name="20% - Акцент2 2 5 4" xfId="619"/>
    <cellStyle name="20% - Акцент2 2 5 5" xfId="620"/>
    <cellStyle name="20% - Акцент2 2 6" xfId="621"/>
    <cellStyle name="20% - Акцент2 2 7" xfId="622"/>
    <cellStyle name="20% - Акцент2 2 8" xfId="623"/>
    <cellStyle name="20% - Акцент2 2 9" xfId="624"/>
    <cellStyle name="20% - Акцент2 2_Расчет программы" xfId="625"/>
    <cellStyle name="20% - Акцент3 2" xfId="626"/>
    <cellStyle name="20% - Акцент3 2 2" xfId="627"/>
    <cellStyle name="20% - Акцент3 2 2 2" xfId="628"/>
    <cellStyle name="20% - Акцент3 2 2 2 2" xfId="629"/>
    <cellStyle name="20% - Акцент3 2 2 2 3" xfId="630"/>
    <cellStyle name="20% - Акцент3 2 2 3" xfId="631"/>
    <cellStyle name="20% - Акцент3 2 2 4" xfId="632"/>
    <cellStyle name="20% - Акцент3 2 2 4 2" xfId="633"/>
    <cellStyle name="20% - Акцент3 2 2 4 3" xfId="634"/>
    <cellStyle name="20% - Акцент3 2 2 4 4" xfId="635"/>
    <cellStyle name="20% - Акцент3 2 2 4 5" xfId="636"/>
    <cellStyle name="20% - Акцент3 2 2 5" xfId="637"/>
    <cellStyle name="20% - Акцент3 2 2 6" xfId="638"/>
    <cellStyle name="20% - Акцент3 2 2 7" xfId="639"/>
    <cellStyle name="20% - Акцент3 2 2 8" xfId="640"/>
    <cellStyle name="20% - Акцент3 2 3" xfId="641"/>
    <cellStyle name="20% - Акцент3 2 3 2" xfId="642"/>
    <cellStyle name="20% - Акцент3 2 3 3" xfId="643"/>
    <cellStyle name="20% - Акцент3 2 4" xfId="644"/>
    <cellStyle name="20% - Акцент3 2 5" xfId="645"/>
    <cellStyle name="20% - Акцент3 2 5 2" xfId="646"/>
    <cellStyle name="20% - Акцент3 2 5 3" xfId="647"/>
    <cellStyle name="20% - Акцент3 2 5 4" xfId="648"/>
    <cellStyle name="20% - Акцент3 2 5 5" xfId="649"/>
    <cellStyle name="20% - Акцент3 2 6" xfId="650"/>
    <cellStyle name="20% - Акцент3 2 7" xfId="651"/>
    <cellStyle name="20% - Акцент3 2 8" xfId="652"/>
    <cellStyle name="20% - Акцент3 2 9" xfId="653"/>
    <cellStyle name="20% - Акцент3 2_Расчет программы" xfId="654"/>
    <cellStyle name="20% - Акцент4 2" xfId="655"/>
    <cellStyle name="20% - Акцент4 2 2" xfId="656"/>
    <cellStyle name="20% - Акцент4 2 2 2" xfId="657"/>
    <cellStyle name="20% - Акцент4 2 2 2 2" xfId="658"/>
    <cellStyle name="20% - Акцент4 2 2 2 3" xfId="659"/>
    <cellStyle name="20% - Акцент4 2 2 3" xfId="660"/>
    <cellStyle name="20% - Акцент4 2 2 4" xfId="661"/>
    <cellStyle name="20% - Акцент4 2 2 4 2" xfId="662"/>
    <cellStyle name="20% - Акцент4 2 2 4 3" xfId="663"/>
    <cellStyle name="20% - Акцент4 2 2 4 4" xfId="664"/>
    <cellStyle name="20% - Акцент4 2 2 4 5" xfId="665"/>
    <cellStyle name="20% - Акцент4 2 2 5" xfId="666"/>
    <cellStyle name="20% - Акцент4 2 2 6" xfId="667"/>
    <cellStyle name="20% - Акцент4 2 2 7" xfId="668"/>
    <cellStyle name="20% - Акцент4 2 2 8" xfId="669"/>
    <cellStyle name="20% - Акцент4 2 3" xfId="670"/>
    <cellStyle name="20% - Акцент4 2 3 2" xfId="671"/>
    <cellStyle name="20% - Акцент4 2 3 3" xfId="672"/>
    <cellStyle name="20% - Акцент4 2 4" xfId="673"/>
    <cellStyle name="20% - Акцент4 2 5" xfId="674"/>
    <cellStyle name="20% - Акцент4 2 5 2" xfId="675"/>
    <cellStyle name="20% - Акцент4 2 5 3" xfId="676"/>
    <cellStyle name="20% - Акцент4 2 5 4" xfId="677"/>
    <cellStyle name="20% - Акцент4 2 5 5" xfId="678"/>
    <cellStyle name="20% - Акцент4 2 6" xfId="679"/>
    <cellStyle name="20% - Акцент4 2 7" xfId="680"/>
    <cellStyle name="20% - Акцент4 2 8" xfId="681"/>
    <cellStyle name="20% - Акцент4 2 9" xfId="682"/>
    <cellStyle name="20% - Акцент4 2_Расчет программы" xfId="683"/>
    <cellStyle name="20% - Акцент5 2" xfId="684"/>
    <cellStyle name="20% - Акцент5 2 2" xfId="685"/>
    <cellStyle name="20% - Акцент5 2 2 2" xfId="686"/>
    <cellStyle name="20% - Акцент5 2 2 2 2" xfId="687"/>
    <cellStyle name="20% - Акцент5 2 2 2 3" xfId="688"/>
    <cellStyle name="20% - Акцент5 2 2 3" xfId="689"/>
    <cellStyle name="20% - Акцент5 2 2 4" xfId="690"/>
    <cellStyle name="20% - Акцент5 2 2 4 2" xfId="691"/>
    <cellStyle name="20% - Акцент5 2 2 4 3" xfId="692"/>
    <cellStyle name="20% - Акцент5 2 2 4 4" xfId="693"/>
    <cellStyle name="20% - Акцент5 2 2 4 5" xfId="694"/>
    <cellStyle name="20% - Акцент5 2 2 5" xfId="695"/>
    <cellStyle name="20% - Акцент5 2 2 6" xfId="696"/>
    <cellStyle name="20% - Акцент5 2 2 7" xfId="697"/>
    <cellStyle name="20% - Акцент5 2 2 8" xfId="698"/>
    <cellStyle name="20% - Акцент5 2 3" xfId="699"/>
    <cellStyle name="20% - Акцент5 2 3 2" xfId="700"/>
    <cellStyle name="20% - Акцент5 2 3 3" xfId="701"/>
    <cellStyle name="20% - Акцент5 2 4" xfId="702"/>
    <cellStyle name="20% - Акцент5 2 5" xfId="703"/>
    <cellStyle name="20% - Акцент5 2 5 2" xfId="704"/>
    <cellStyle name="20% - Акцент5 2 5 3" xfId="705"/>
    <cellStyle name="20% - Акцент5 2 5 4" xfId="706"/>
    <cellStyle name="20% - Акцент5 2 5 5" xfId="707"/>
    <cellStyle name="20% - Акцент5 2 6" xfId="708"/>
    <cellStyle name="20% - Акцент5 2 7" xfId="709"/>
    <cellStyle name="20% - Акцент5 2 8" xfId="710"/>
    <cellStyle name="20% - Акцент5 2 9" xfId="711"/>
    <cellStyle name="20% - Акцент5 2_Расчет программы" xfId="712"/>
    <cellStyle name="20% - Акцент6 2" xfId="713"/>
    <cellStyle name="20% - Акцент6 2 2" xfId="714"/>
    <cellStyle name="20% - Акцент6 2 2 2" xfId="715"/>
    <cellStyle name="20% - Акцент6 2 2 2 2" xfId="716"/>
    <cellStyle name="20% - Акцент6 2 2 2 3" xfId="717"/>
    <cellStyle name="20% - Акцент6 2 2 3" xfId="718"/>
    <cellStyle name="20% - Акцент6 2 2 4" xfId="719"/>
    <cellStyle name="20% - Акцент6 2 2 4 2" xfId="720"/>
    <cellStyle name="20% - Акцент6 2 2 4 3" xfId="721"/>
    <cellStyle name="20% - Акцент6 2 2 4 4" xfId="722"/>
    <cellStyle name="20% - Акцент6 2 2 4 5" xfId="723"/>
    <cellStyle name="20% - Акцент6 2 2 5" xfId="724"/>
    <cellStyle name="20% - Акцент6 2 2 6" xfId="725"/>
    <cellStyle name="20% - Акцент6 2 2 7" xfId="726"/>
    <cellStyle name="20% - Акцент6 2 2 8" xfId="727"/>
    <cellStyle name="20% - Акцент6 2 3" xfId="728"/>
    <cellStyle name="20% - Акцент6 2 3 2" xfId="729"/>
    <cellStyle name="20% - Акцент6 2 3 3" xfId="730"/>
    <cellStyle name="20% - Акцент6 2 4" xfId="731"/>
    <cellStyle name="20% - Акцент6 2 5" xfId="732"/>
    <cellStyle name="20% - Акцент6 2 5 2" xfId="733"/>
    <cellStyle name="20% - Акцент6 2 5 3" xfId="734"/>
    <cellStyle name="20% - Акцент6 2 5 4" xfId="735"/>
    <cellStyle name="20% - Акцент6 2 5 5" xfId="736"/>
    <cellStyle name="20% - Акцент6 2 6" xfId="737"/>
    <cellStyle name="20% - Акцент6 2 7" xfId="738"/>
    <cellStyle name="20% - Акцент6 2 8" xfId="739"/>
    <cellStyle name="20% - Акцент6 2 9" xfId="740"/>
    <cellStyle name="20% - Акцент6 2_Расчет программы" xfId="741"/>
    <cellStyle name="40% - Accent1" xfId="742"/>
    <cellStyle name="40% - Accent1 10" xfId="743"/>
    <cellStyle name="40% - Accent1 11" xfId="744"/>
    <cellStyle name="40% - Accent1 12" xfId="745"/>
    <cellStyle name="40% - Accent1 2" xfId="746"/>
    <cellStyle name="40% - Accent1 2 10" xfId="747"/>
    <cellStyle name="40% - Accent1 2 11" xfId="748"/>
    <cellStyle name="40% - Accent1 2 12" xfId="749"/>
    <cellStyle name="40% - Accent1 2 2" xfId="750"/>
    <cellStyle name="40% - Accent1 2 2 2" xfId="751"/>
    <cellStyle name="40% - Accent1 2 2 3" xfId="752"/>
    <cellStyle name="40% - Accent1 2 2 4" xfId="753"/>
    <cellStyle name="40% - Accent1 2 2 5" xfId="754"/>
    <cellStyle name="40% - Accent1 2 2 6" xfId="755"/>
    <cellStyle name="40% - Accent1 2 2 7" xfId="756"/>
    <cellStyle name="40% - Accent1 2 2 8" xfId="757"/>
    <cellStyle name="40% - Accent1 2 2 9" xfId="758"/>
    <cellStyle name="40% - Accent1 2 3" xfId="759"/>
    <cellStyle name="40% - Accent1 2 3 2" xfId="760"/>
    <cellStyle name="40% - Accent1 2 3 3" xfId="761"/>
    <cellStyle name="40% - Accent1 2 3 4" xfId="762"/>
    <cellStyle name="40% - Accent1 2 3 5" xfId="763"/>
    <cellStyle name="40% - Accent1 2 3 6" xfId="764"/>
    <cellStyle name="40% - Accent1 2 3 7" xfId="765"/>
    <cellStyle name="40% - Accent1 2 3 8" xfId="766"/>
    <cellStyle name="40% - Accent1 2 3 9" xfId="767"/>
    <cellStyle name="40% - Accent1 2 4" xfId="768"/>
    <cellStyle name="40% - Accent1 2 4 2" xfId="769"/>
    <cellStyle name="40% - Accent1 2 4 3" xfId="770"/>
    <cellStyle name="40% - Accent1 2 4 4" xfId="771"/>
    <cellStyle name="40% - Accent1 2 4 5" xfId="772"/>
    <cellStyle name="40% - Accent1 2 4 6" xfId="773"/>
    <cellStyle name="40% - Accent1 2 4 7" xfId="774"/>
    <cellStyle name="40% - Accent1 2 4 8" xfId="775"/>
    <cellStyle name="40% - Accent1 2 4 9" xfId="776"/>
    <cellStyle name="40% - Accent1 2 5" xfId="777"/>
    <cellStyle name="40% - Accent1 2 6" xfId="778"/>
    <cellStyle name="40% - Accent1 2 7" xfId="779"/>
    <cellStyle name="40% - Accent1 2 8" xfId="780"/>
    <cellStyle name="40% - Accent1 2 9" xfId="781"/>
    <cellStyle name="40% - Accent1 3" xfId="782"/>
    <cellStyle name="40% - Accent1 3 10" xfId="783"/>
    <cellStyle name="40% - Accent1 3 11" xfId="784"/>
    <cellStyle name="40% - Accent1 3 2" xfId="785"/>
    <cellStyle name="40% - Accent1 3 2 2" xfId="786"/>
    <cellStyle name="40% - Accent1 3 2 3" xfId="787"/>
    <cellStyle name="40% - Accent1 3 2 4" xfId="788"/>
    <cellStyle name="40% - Accent1 3 2 5" xfId="789"/>
    <cellStyle name="40% - Accent1 3 2 6" xfId="790"/>
    <cellStyle name="40% - Accent1 3 2 7" xfId="791"/>
    <cellStyle name="40% - Accent1 3 2 8" xfId="792"/>
    <cellStyle name="40% - Accent1 3 2 9" xfId="793"/>
    <cellStyle name="40% - Accent1 3 3" xfId="794"/>
    <cellStyle name="40% - Accent1 3 3 2" xfId="795"/>
    <cellStyle name="40% - Accent1 3 3 3" xfId="796"/>
    <cellStyle name="40% - Accent1 3 3 4" xfId="797"/>
    <cellStyle name="40% - Accent1 3 3 5" xfId="798"/>
    <cellStyle name="40% - Accent1 3 3 6" xfId="799"/>
    <cellStyle name="40% - Accent1 3 3 7" xfId="800"/>
    <cellStyle name="40% - Accent1 3 3 8" xfId="801"/>
    <cellStyle name="40% - Accent1 3 3 9" xfId="802"/>
    <cellStyle name="40% - Accent1 3 4" xfId="803"/>
    <cellStyle name="40% - Accent1 3 5" xfId="804"/>
    <cellStyle name="40% - Accent1 3 6" xfId="805"/>
    <cellStyle name="40% - Accent1 3 7" xfId="806"/>
    <cellStyle name="40% - Accent1 3 8" xfId="807"/>
    <cellStyle name="40% - Accent1 3 9" xfId="808"/>
    <cellStyle name="40% - Accent1 4" xfId="809"/>
    <cellStyle name="40% - Accent1 4 2" xfId="810"/>
    <cellStyle name="40% - Accent1 4 3" xfId="811"/>
    <cellStyle name="40% - Accent1 4 4" xfId="812"/>
    <cellStyle name="40% - Accent1 4 5" xfId="813"/>
    <cellStyle name="40% - Accent1 4 6" xfId="814"/>
    <cellStyle name="40% - Accent1 4 7" xfId="815"/>
    <cellStyle name="40% - Accent1 4 8" xfId="816"/>
    <cellStyle name="40% - Accent1 4 9" xfId="817"/>
    <cellStyle name="40% - Accent1 5" xfId="818"/>
    <cellStyle name="40% - Accent1 6" xfId="819"/>
    <cellStyle name="40% - Accent1 7" xfId="820"/>
    <cellStyle name="40% - Accent1 8" xfId="821"/>
    <cellStyle name="40% - Accent1 9" xfId="822"/>
    <cellStyle name="40% - Accent2" xfId="823"/>
    <cellStyle name="40% - Accent2 10" xfId="824"/>
    <cellStyle name="40% - Accent2 11" xfId="825"/>
    <cellStyle name="40% - Accent2 12" xfId="826"/>
    <cellStyle name="40% - Accent2 2" xfId="827"/>
    <cellStyle name="40% - Accent2 2 10" xfId="828"/>
    <cellStyle name="40% - Accent2 2 11" xfId="829"/>
    <cellStyle name="40% - Accent2 2 12" xfId="830"/>
    <cellStyle name="40% - Accent2 2 2" xfId="831"/>
    <cellStyle name="40% - Accent2 2 2 2" xfId="832"/>
    <cellStyle name="40% - Accent2 2 2 3" xfId="833"/>
    <cellStyle name="40% - Accent2 2 2 4" xfId="834"/>
    <cellStyle name="40% - Accent2 2 2 5" xfId="835"/>
    <cellStyle name="40% - Accent2 2 2 6" xfId="836"/>
    <cellStyle name="40% - Accent2 2 2 7" xfId="837"/>
    <cellStyle name="40% - Accent2 2 2 8" xfId="838"/>
    <cellStyle name="40% - Accent2 2 2 9" xfId="839"/>
    <cellStyle name="40% - Accent2 2 3" xfId="840"/>
    <cellStyle name="40% - Accent2 2 3 2" xfId="841"/>
    <cellStyle name="40% - Accent2 2 3 3" xfId="842"/>
    <cellStyle name="40% - Accent2 2 3 4" xfId="843"/>
    <cellStyle name="40% - Accent2 2 3 5" xfId="844"/>
    <cellStyle name="40% - Accent2 2 3 6" xfId="845"/>
    <cellStyle name="40% - Accent2 2 3 7" xfId="846"/>
    <cellStyle name="40% - Accent2 2 3 8" xfId="847"/>
    <cellStyle name="40% - Accent2 2 3 9" xfId="848"/>
    <cellStyle name="40% - Accent2 2 4" xfId="849"/>
    <cellStyle name="40% - Accent2 2 4 2" xfId="850"/>
    <cellStyle name="40% - Accent2 2 4 3" xfId="851"/>
    <cellStyle name="40% - Accent2 2 4 4" xfId="852"/>
    <cellStyle name="40% - Accent2 2 4 5" xfId="853"/>
    <cellStyle name="40% - Accent2 2 4 6" xfId="854"/>
    <cellStyle name="40% - Accent2 2 4 7" xfId="855"/>
    <cellStyle name="40% - Accent2 2 4 8" xfId="856"/>
    <cellStyle name="40% - Accent2 2 4 9" xfId="857"/>
    <cellStyle name="40% - Accent2 2 5" xfId="858"/>
    <cellStyle name="40% - Accent2 2 6" xfId="859"/>
    <cellStyle name="40% - Accent2 2 7" xfId="860"/>
    <cellStyle name="40% - Accent2 2 8" xfId="861"/>
    <cellStyle name="40% - Accent2 2 9" xfId="862"/>
    <cellStyle name="40% - Accent2 3" xfId="863"/>
    <cellStyle name="40% - Accent2 3 10" xfId="864"/>
    <cellStyle name="40% - Accent2 3 11" xfId="865"/>
    <cellStyle name="40% - Accent2 3 2" xfId="866"/>
    <cellStyle name="40% - Accent2 3 2 2" xfId="867"/>
    <cellStyle name="40% - Accent2 3 2 3" xfId="868"/>
    <cellStyle name="40% - Accent2 3 2 4" xfId="869"/>
    <cellStyle name="40% - Accent2 3 2 5" xfId="870"/>
    <cellStyle name="40% - Accent2 3 2 6" xfId="871"/>
    <cellStyle name="40% - Accent2 3 2 7" xfId="872"/>
    <cellStyle name="40% - Accent2 3 2 8" xfId="873"/>
    <cellStyle name="40% - Accent2 3 2 9" xfId="874"/>
    <cellStyle name="40% - Accent2 3 3" xfId="875"/>
    <cellStyle name="40% - Accent2 3 3 2" xfId="876"/>
    <cellStyle name="40% - Accent2 3 3 3" xfId="877"/>
    <cellStyle name="40% - Accent2 3 3 4" xfId="878"/>
    <cellStyle name="40% - Accent2 3 3 5" xfId="879"/>
    <cellStyle name="40% - Accent2 3 3 6" xfId="880"/>
    <cellStyle name="40% - Accent2 3 3 7" xfId="881"/>
    <cellStyle name="40% - Accent2 3 3 8" xfId="882"/>
    <cellStyle name="40% - Accent2 3 3 9" xfId="883"/>
    <cellStyle name="40% - Accent2 3 4" xfId="884"/>
    <cellStyle name="40% - Accent2 3 5" xfId="885"/>
    <cellStyle name="40% - Accent2 3 6" xfId="886"/>
    <cellStyle name="40% - Accent2 3 7" xfId="887"/>
    <cellStyle name="40% - Accent2 3 8" xfId="888"/>
    <cellStyle name="40% - Accent2 3 9" xfId="889"/>
    <cellStyle name="40% - Accent2 4" xfId="890"/>
    <cellStyle name="40% - Accent2 4 2" xfId="891"/>
    <cellStyle name="40% - Accent2 4 3" xfId="892"/>
    <cellStyle name="40% - Accent2 4 4" xfId="893"/>
    <cellStyle name="40% - Accent2 4 5" xfId="894"/>
    <cellStyle name="40% - Accent2 4 6" xfId="895"/>
    <cellStyle name="40% - Accent2 4 7" xfId="896"/>
    <cellStyle name="40% - Accent2 4 8" xfId="897"/>
    <cellStyle name="40% - Accent2 4 9" xfId="898"/>
    <cellStyle name="40% - Accent2 5" xfId="899"/>
    <cellStyle name="40% - Accent2 6" xfId="900"/>
    <cellStyle name="40% - Accent2 7" xfId="901"/>
    <cellStyle name="40% - Accent2 8" xfId="902"/>
    <cellStyle name="40% - Accent2 9" xfId="903"/>
    <cellStyle name="40% - Accent3" xfId="904"/>
    <cellStyle name="40% - Accent3 10" xfId="905"/>
    <cellStyle name="40% - Accent3 11" xfId="906"/>
    <cellStyle name="40% - Accent3 12" xfId="907"/>
    <cellStyle name="40% - Accent3 13" xfId="908"/>
    <cellStyle name="40% - Accent3 2" xfId="909"/>
    <cellStyle name="40% - Accent3 2 10" xfId="910"/>
    <cellStyle name="40% - Accent3 2 11" xfId="911"/>
    <cellStyle name="40% - Accent3 2 12" xfId="912"/>
    <cellStyle name="40% - Accent3 2 2" xfId="913"/>
    <cellStyle name="40% - Accent3 2 2 10" xfId="914"/>
    <cellStyle name="40% - Accent3 2 2 11" xfId="915"/>
    <cellStyle name="40% - Accent3 2 2 12" xfId="916"/>
    <cellStyle name="40% - Accent3 2 2 2" xfId="917"/>
    <cellStyle name="40% - Accent3 2 2 2 2" xfId="918"/>
    <cellStyle name="40% - Accent3 2 2 2 3" xfId="919"/>
    <cellStyle name="40% - Accent3 2 2 2 4" xfId="920"/>
    <cellStyle name="40% - Accent3 2 2 2 5" xfId="921"/>
    <cellStyle name="40% - Accent3 2 2 2 6" xfId="922"/>
    <cellStyle name="40% - Accent3 2 2 2 7" xfId="923"/>
    <cellStyle name="40% - Accent3 2 2 2 8" xfId="924"/>
    <cellStyle name="40% - Accent3 2 2 2 9" xfId="925"/>
    <cellStyle name="40% - Accent3 2 2 3" xfId="926"/>
    <cellStyle name="40% - Accent3 2 2 3 2" xfId="927"/>
    <cellStyle name="40% - Accent3 2 2 3 3" xfId="928"/>
    <cellStyle name="40% - Accent3 2 2 3 4" xfId="929"/>
    <cellStyle name="40% - Accent3 2 2 3 5" xfId="930"/>
    <cellStyle name="40% - Accent3 2 2 3 6" xfId="931"/>
    <cellStyle name="40% - Accent3 2 2 3 7" xfId="932"/>
    <cellStyle name="40% - Accent3 2 2 3 8" xfId="933"/>
    <cellStyle name="40% - Accent3 2 2 3 9" xfId="934"/>
    <cellStyle name="40% - Accent3 2 2 4" xfId="935"/>
    <cellStyle name="40% - Accent3 2 2 4 2" xfId="936"/>
    <cellStyle name="40% - Accent3 2 2 4 3" xfId="937"/>
    <cellStyle name="40% - Accent3 2 2 4 4" xfId="938"/>
    <cellStyle name="40% - Accent3 2 2 4 5" xfId="939"/>
    <cellStyle name="40% - Accent3 2 2 4 6" xfId="940"/>
    <cellStyle name="40% - Accent3 2 2 4 7" xfId="941"/>
    <cellStyle name="40% - Accent3 2 2 4 8" xfId="942"/>
    <cellStyle name="40% - Accent3 2 2 4 9" xfId="943"/>
    <cellStyle name="40% - Accent3 2 2 5" xfId="944"/>
    <cellStyle name="40% - Accent3 2 2 6" xfId="945"/>
    <cellStyle name="40% - Accent3 2 2 7" xfId="946"/>
    <cellStyle name="40% - Accent3 2 2 8" xfId="947"/>
    <cellStyle name="40% - Accent3 2 2 9" xfId="948"/>
    <cellStyle name="40% - Accent3 2 3" xfId="949"/>
    <cellStyle name="40% - Accent3 2 3 10" xfId="950"/>
    <cellStyle name="40% - Accent3 2 3 11" xfId="951"/>
    <cellStyle name="40% - Accent3 2 3 2" xfId="952"/>
    <cellStyle name="40% - Accent3 2 3 2 2" xfId="953"/>
    <cellStyle name="40% - Accent3 2 3 2 3" xfId="954"/>
    <cellStyle name="40% - Accent3 2 3 2 4" xfId="955"/>
    <cellStyle name="40% - Accent3 2 3 2 5" xfId="956"/>
    <cellStyle name="40% - Accent3 2 3 2 6" xfId="957"/>
    <cellStyle name="40% - Accent3 2 3 2 7" xfId="958"/>
    <cellStyle name="40% - Accent3 2 3 2 8" xfId="959"/>
    <cellStyle name="40% - Accent3 2 3 2 9" xfId="960"/>
    <cellStyle name="40% - Accent3 2 3 3" xfId="961"/>
    <cellStyle name="40% - Accent3 2 3 3 2" xfId="962"/>
    <cellStyle name="40% - Accent3 2 3 3 3" xfId="963"/>
    <cellStyle name="40% - Accent3 2 3 3 4" xfId="964"/>
    <cellStyle name="40% - Accent3 2 3 3 5" xfId="965"/>
    <cellStyle name="40% - Accent3 2 3 3 6" xfId="966"/>
    <cellStyle name="40% - Accent3 2 3 3 7" xfId="967"/>
    <cellStyle name="40% - Accent3 2 3 3 8" xfId="968"/>
    <cellStyle name="40% - Accent3 2 3 3 9" xfId="969"/>
    <cellStyle name="40% - Accent3 2 3 4" xfId="970"/>
    <cellStyle name="40% - Accent3 2 3 5" xfId="971"/>
    <cellStyle name="40% - Accent3 2 3 6" xfId="972"/>
    <cellStyle name="40% - Accent3 2 3 7" xfId="973"/>
    <cellStyle name="40% - Accent3 2 3 8" xfId="974"/>
    <cellStyle name="40% - Accent3 2 3 9" xfId="975"/>
    <cellStyle name="40% - Accent3 2 4" xfId="976"/>
    <cellStyle name="40% - Accent3 2 4 2" xfId="977"/>
    <cellStyle name="40% - Accent3 2 4 3" xfId="978"/>
    <cellStyle name="40% - Accent3 2 4 4" xfId="979"/>
    <cellStyle name="40% - Accent3 2 4 5" xfId="980"/>
    <cellStyle name="40% - Accent3 2 4 6" xfId="981"/>
    <cellStyle name="40% - Accent3 2 4 7" xfId="982"/>
    <cellStyle name="40% - Accent3 2 4 8" xfId="983"/>
    <cellStyle name="40% - Accent3 2 4 9" xfId="984"/>
    <cellStyle name="40% - Accent3 2 5" xfId="985"/>
    <cellStyle name="40% - Accent3 2 6" xfId="986"/>
    <cellStyle name="40% - Accent3 2 7" xfId="987"/>
    <cellStyle name="40% - Accent3 2 8" xfId="988"/>
    <cellStyle name="40% - Accent3 2 9" xfId="989"/>
    <cellStyle name="40% - Accent3 3" xfId="990"/>
    <cellStyle name="40% - Accent3 3 10" xfId="991"/>
    <cellStyle name="40% - Accent3 3 11" xfId="992"/>
    <cellStyle name="40% - Accent3 3 12" xfId="993"/>
    <cellStyle name="40% - Accent3 3 2" xfId="994"/>
    <cellStyle name="40% - Accent3 3 2 2" xfId="995"/>
    <cellStyle name="40% - Accent3 3 2 3" xfId="996"/>
    <cellStyle name="40% - Accent3 3 2 4" xfId="997"/>
    <cellStyle name="40% - Accent3 3 2 5" xfId="998"/>
    <cellStyle name="40% - Accent3 3 2 6" xfId="999"/>
    <cellStyle name="40% - Accent3 3 2 7" xfId="1000"/>
    <cellStyle name="40% - Accent3 3 2 8" xfId="1001"/>
    <cellStyle name="40% - Accent3 3 2 9" xfId="1002"/>
    <cellStyle name="40% - Accent3 3 3" xfId="1003"/>
    <cellStyle name="40% - Accent3 3 3 2" xfId="1004"/>
    <cellStyle name="40% - Accent3 3 3 3" xfId="1005"/>
    <cellStyle name="40% - Accent3 3 3 4" xfId="1006"/>
    <cellStyle name="40% - Accent3 3 3 5" xfId="1007"/>
    <cellStyle name="40% - Accent3 3 3 6" xfId="1008"/>
    <cellStyle name="40% - Accent3 3 3 7" xfId="1009"/>
    <cellStyle name="40% - Accent3 3 3 8" xfId="1010"/>
    <cellStyle name="40% - Accent3 3 3 9" xfId="1011"/>
    <cellStyle name="40% - Accent3 3 4" xfId="1012"/>
    <cellStyle name="40% - Accent3 3 4 2" xfId="1013"/>
    <cellStyle name="40% - Accent3 3 4 3" xfId="1014"/>
    <cellStyle name="40% - Accent3 3 4 4" xfId="1015"/>
    <cellStyle name="40% - Accent3 3 4 5" xfId="1016"/>
    <cellStyle name="40% - Accent3 3 4 6" xfId="1017"/>
    <cellStyle name="40% - Accent3 3 4 7" xfId="1018"/>
    <cellStyle name="40% - Accent3 3 4 8" xfId="1019"/>
    <cellStyle name="40% - Accent3 3 4 9" xfId="1020"/>
    <cellStyle name="40% - Accent3 3 5" xfId="1021"/>
    <cellStyle name="40% - Accent3 3 6" xfId="1022"/>
    <cellStyle name="40% - Accent3 3 7" xfId="1023"/>
    <cellStyle name="40% - Accent3 3 8" xfId="1024"/>
    <cellStyle name="40% - Accent3 3 9" xfId="1025"/>
    <cellStyle name="40% - Accent3 4" xfId="1026"/>
    <cellStyle name="40% - Accent3 4 10" xfId="1027"/>
    <cellStyle name="40% - Accent3 4 11" xfId="1028"/>
    <cellStyle name="40% - Accent3 4 2" xfId="1029"/>
    <cellStyle name="40% - Accent3 4 2 2" xfId="1030"/>
    <cellStyle name="40% - Accent3 4 2 3" xfId="1031"/>
    <cellStyle name="40% - Accent3 4 2 4" xfId="1032"/>
    <cellStyle name="40% - Accent3 4 2 5" xfId="1033"/>
    <cellStyle name="40% - Accent3 4 2 6" xfId="1034"/>
    <cellStyle name="40% - Accent3 4 2 7" xfId="1035"/>
    <cellStyle name="40% - Accent3 4 2 8" xfId="1036"/>
    <cellStyle name="40% - Accent3 4 2 9" xfId="1037"/>
    <cellStyle name="40% - Accent3 4 3" xfId="1038"/>
    <cellStyle name="40% - Accent3 4 3 2" xfId="1039"/>
    <cellStyle name="40% - Accent3 4 3 3" xfId="1040"/>
    <cellStyle name="40% - Accent3 4 3 4" xfId="1041"/>
    <cellStyle name="40% - Accent3 4 3 5" xfId="1042"/>
    <cellStyle name="40% - Accent3 4 3 6" xfId="1043"/>
    <cellStyle name="40% - Accent3 4 3 7" xfId="1044"/>
    <cellStyle name="40% - Accent3 4 3 8" xfId="1045"/>
    <cellStyle name="40% - Accent3 4 3 9" xfId="1046"/>
    <cellStyle name="40% - Accent3 4 4" xfId="1047"/>
    <cellStyle name="40% - Accent3 4 5" xfId="1048"/>
    <cellStyle name="40% - Accent3 4 6" xfId="1049"/>
    <cellStyle name="40% - Accent3 4 7" xfId="1050"/>
    <cellStyle name="40% - Accent3 4 8" xfId="1051"/>
    <cellStyle name="40% - Accent3 4 9" xfId="1052"/>
    <cellStyle name="40% - Accent3 5" xfId="1053"/>
    <cellStyle name="40% - Accent3 5 2" xfId="1054"/>
    <cellStyle name="40% - Accent3 5 3" xfId="1055"/>
    <cellStyle name="40% - Accent3 5 4" xfId="1056"/>
    <cellStyle name="40% - Accent3 5 5" xfId="1057"/>
    <cellStyle name="40% - Accent3 5 6" xfId="1058"/>
    <cellStyle name="40% - Accent3 5 7" xfId="1059"/>
    <cellStyle name="40% - Accent3 5 8" xfId="1060"/>
    <cellStyle name="40% - Accent3 5 9" xfId="1061"/>
    <cellStyle name="40% - Accent3 6" xfId="1062"/>
    <cellStyle name="40% - Accent3 7" xfId="1063"/>
    <cellStyle name="40% - Accent3 8" xfId="1064"/>
    <cellStyle name="40% - Accent3 9" xfId="1065"/>
    <cellStyle name="40% - Accent4" xfId="1066"/>
    <cellStyle name="40% - Accent4 10" xfId="1067"/>
    <cellStyle name="40% - Accent4 11" xfId="1068"/>
    <cellStyle name="40% - Accent4 12" xfId="1069"/>
    <cellStyle name="40% - Accent4 2" xfId="1070"/>
    <cellStyle name="40% - Accent4 2 10" xfId="1071"/>
    <cellStyle name="40% - Accent4 2 11" xfId="1072"/>
    <cellStyle name="40% - Accent4 2 12" xfId="1073"/>
    <cellStyle name="40% - Accent4 2 2" xfId="1074"/>
    <cellStyle name="40% - Accent4 2 2 2" xfId="1075"/>
    <cellStyle name="40% - Accent4 2 2 3" xfId="1076"/>
    <cellStyle name="40% - Accent4 2 2 4" xfId="1077"/>
    <cellStyle name="40% - Accent4 2 2 5" xfId="1078"/>
    <cellStyle name="40% - Accent4 2 2 6" xfId="1079"/>
    <cellStyle name="40% - Accent4 2 2 7" xfId="1080"/>
    <cellStyle name="40% - Accent4 2 2 8" xfId="1081"/>
    <cellStyle name="40% - Accent4 2 2 9" xfId="1082"/>
    <cellStyle name="40% - Accent4 2 3" xfId="1083"/>
    <cellStyle name="40% - Accent4 2 3 2" xfId="1084"/>
    <cellStyle name="40% - Accent4 2 3 3" xfId="1085"/>
    <cellStyle name="40% - Accent4 2 3 4" xfId="1086"/>
    <cellStyle name="40% - Accent4 2 3 5" xfId="1087"/>
    <cellStyle name="40% - Accent4 2 3 6" xfId="1088"/>
    <cellStyle name="40% - Accent4 2 3 7" xfId="1089"/>
    <cellStyle name="40% - Accent4 2 3 8" xfId="1090"/>
    <cellStyle name="40% - Accent4 2 3 9" xfId="1091"/>
    <cellStyle name="40% - Accent4 2 4" xfId="1092"/>
    <cellStyle name="40% - Accent4 2 4 2" xfId="1093"/>
    <cellStyle name="40% - Accent4 2 4 3" xfId="1094"/>
    <cellStyle name="40% - Accent4 2 4 4" xfId="1095"/>
    <cellStyle name="40% - Accent4 2 4 5" xfId="1096"/>
    <cellStyle name="40% - Accent4 2 4 6" xfId="1097"/>
    <cellStyle name="40% - Accent4 2 4 7" xfId="1098"/>
    <cellStyle name="40% - Accent4 2 4 8" xfId="1099"/>
    <cellStyle name="40% - Accent4 2 4 9" xfId="1100"/>
    <cellStyle name="40% - Accent4 2 5" xfId="1101"/>
    <cellStyle name="40% - Accent4 2 6" xfId="1102"/>
    <cellStyle name="40% - Accent4 2 7" xfId="1103"/>
    <cellStyle name="40% - Accent4 2 8" xfId="1104"/>
    <cellStyle name="40% - Accent4 2 9" xfId="1105"/>
    <cellStyle name="40% - Accent4 3" xfId="1106"/>
    <cellStyle name="40% - Accent4 3 10" xfId="1107"/>
    <cellStyle name="40% - Accent4 3 11" xfId="1108"/>
    <cellStyle name="40% - Accent4 3 2" xfId="1109"/>
    <cellStyle name="40% - Accent4 3 2 2" xfId="1110"/>
    <cellStyle name="40% - Accent4 3 2 3" xfId="1111"/>
    <cellStyle name="40% - Accent4 3 2 4" xfId="1112"/>
    <cellStyle name="40% - Accent4 3 2 5" xfId="1113"/>
    <cellStyle name="40% - Accent4 3 2 6" xfId="1114"/>
    <cellStyle name="40% - Accent4 3 2 7" xfId="1115"/>
    <cellStyle name="40% - Accent4 3 2 8" xfId="1116"/>
    <cellStyle name="40% - Accent4 3 2 9" xfId="1117"/>
    <cellStyle name="40% - Accent4 3 3" xfId="1118"/>
    <cellStyle name="40% - Accent4 3 3 2" xfId="1119"/>
    <cellStyle name="40% - Accent4 3 3 3" xfId="1120"/>
    <cellStyle name="40% - Accent4 3 3 4" xfId="1121"/>
    <cellStyle name="40% - Accent4 3 3 5" xfId="1122"/>
    <cellStyle name="40% - Accent4 3 3 6" xfId="1123"/>
    <cellStyle name="40% - Accent4 3 3 7" xfId="1124"/>
    <cellStyle name="40% - Accent4 3 3 8" xfId="1125"/>
    <cellStyle name="40% - Accent4 3 3 9" xfId="1126"/>
    <cellStyle name="40% - Accent4 3 4" xfId="1127"/>
    <cellStyle name="40% - Accent4 3 5" xfId="1128"/>
    <cellStyle name="40% - Accent4 3 6" xfId="1129"/>
    <cellStyle name="40% - Accent4 3 7" xfId="1130"/>
    <cellStyle name="40% - Accent4 3 8" xfId="1131"/>
    <cellStyle name="40% - Accent4 3 9" xfId="1132"/>
    <cellStyle name="40% - Accent4 4" xfId="1133"/>
    <cellStyle name="40% - Accent4 4 2" xfId="1134"/>
    <cellStyle name="40% - Accent4 4 3" xfId="1135"/>
    <cellStyle name="40% - Accent4 4 4" xfId="1136"/>
    <cellStyle name="40% - Accent4 4 5" xfId="1137"/>
    <cellStyle name="40% - Accent4 4 6" xfId="1138"/>
    <cellStyle name="40% - Accent4 4 7" xfId="1139"/>
    <cellStyle name="40% - Accent4 4 8" xfId="1140"/>
    <cellStyle name="40% - Accent4 4 9" xfId="1141"/>
    <cellStyle name="40% - Accent4 5" xfId="1142"/>
    <cellStyle name="40% - Accent4 6" xfId="1143"/>
    <cellStyle name="40% - Accent4 7" xfId="1144"/>
    <cellStyle name="40% - Accent4 8" xfId="1145"/>
    <cellStyle name="40% - Accent4 9" xfId="1146"/>
    <cellStyle name="40% - Accent5" xfId="1147"/>
    <cellStyle name="40% - Accent5 10" xfId="1148"/>
    <cellStyle name="40% - Accent5 11" xfId="1149"/>
    <cellStyle name="40% - Accent5 12" xfId="1150"/>
    <cellStyle name="40% - Accent5 2" xfId="1151"/>
    <cellStyle name="40% - Accent5 2 10" xfId="1152"/>
    <cellStyle name="40% - Accent5 2 11" xfId="1153"/>
    <cellStyle name="40% - Accent5 2 12" xfId="1154"/>
    <cellStyle name="40% - Accent5 2 2" xfId="1155"/>
    <cellStyle name="40% - Accent5 2 2 2" xfId="1156"/>
    <cellStyle name="40% - Accent5 2 2 3" xfId="1157"/>
    <cellStyle name="40% - Accent5 2 2 4" xfId="1158"/>
    <cellStyle name="40% - Accent5 2 2 5" xfId="1159"/>
    <cellStyle name="40% - Accent5 2 2 6" xfId="1160"/>
    <cellStyle name="40% - Accent5 2 2 7" xfId="1161"/>
    <cellStyle name="40% - Accent5 2 2 8" xfId="1162"/>
    <cellStyle name="40% - Accent5 2 2 9" xfId="1163"/>
    <cellStyle name="40% - Accent5 2 3" xfId="1164"/>
    <cellStyle name="40% - Accent5 2 3 2" xfId="1165"/>
    <cellStyle name="40% - Accent5 2 3 3" xfId="1166"/>
    <cellStyle name="40% - Accent5 2 3 4" xfId="1167"/>
    <cellStyle name="40% - Accent5 2 3 5" xfId="1168"/>
    <cellStyle name="40% - Accent5 2 3 6" xfId="1169"/>
    <cellStyle name="40% - Accent5 2 3 7" xfId="1170"/>
    <cellStyle name="40% - Accent5 2 3 8" xfId="1171"/>
    <cellStyle name="40% - Accent5 2 3 9" xfId="1172"/>
    <cellStyle name="40% - Accent5 2 4" xfId="1173"/>
    <cellStyle name="40% - Accent5 2 4 2" xfId="1174"/>
    <cellStyle name="40% - Accent5 2 4 3" xfId="1175"/>
    <cellStyle name="40% - Accent5 2 4 4" xfId="1176"/>
    <cellStyle name="40% - Accent5 2 4 5" xfId="1177"/>
    <cellStyle name="40% - Accent5 2 4 6" xfId="1178"/>
    <cellStyle name="40% - Accent5 2 4 7" xfId="1179"/>
    <cellStyle name="40% - Accent5 2 4 8" xfId="1180"/>
    <cellStyle name="40% - Accent5 2 4 9" xfId="1181"/>
    <cellStyle name="40% - Accent5 2 5" xfId="1182"/>
    <cellStyle name="40% - Accent5 2 6" xfId="1183"/>
    <cellStyle name="40% - Accent5 2 7" xfId="1184"/>
    <cellStyle name="40% - Accent5 2 8" xfId="1185"/>
    <cellStyle name="40% - Accent5 2 9" xfId="1186"/>
    <cellStyle name="40% - Accent5 3" xfId="1187"/>
    <cellStyle name="40% - Accent5 3 10" xfId="1188"/>
    <cellStyle name="40% - Accent5 3 11" xfId="1189"/>
    <cellStyle name="40% - Accent5 3 2" xfId="1190"/>
    <cellStyle name="40% - Accent5 3 2 2" xfId="1191"/>
    <cellStyle name="40% - Accent5 3 2 3" xfId="1192"/>
    <cellStyle name="40% - Accent5 3 2 4" xfId="1193"/>
    <cellStyle name="40% - Accent5 3 2 5" xfId="1194"/>
    <cellStyle name="40% - Accent5 3 2 6" xfId="1195"/>
    <cellStyle name="40% - Accent5 3 2 7" xfId="1196"/>
    <cellStyle name="40% - Accent5 3 2 8" xfId="1197"/>
    <cellStyle name="40% - Accent5 3 2 9" xfId="1198"/>
    <cellStyle name="40% - Accent5 3 3" xfId="1199"/>
    <cellStyle name="40% - Accent5 3 3 2" xfId="1200"/>
    <cellStyle name="40% - Accent5 3 3 3" xfId="1201"/>
    <cellStyle name="40% - Accent5 3 3 4" xfId="1202"/>
    <cellStyle name="40% - Accent5 3 3 5" xfId="1203"/>
    <cellStyle name="40% - Accent5 3 3 6" xfId="1204"/>
    <cellStyle name="40% - Accent5 3 3 7" xfId="1205"/>
    <cellStyle name="40% - Accent5 3 3 8" xfId="1206"/>
    <cellStyle name="40% - Accent5 3 3 9" xfId="1207"/>
    <cellStyle name="40% - Accent5 3 4" xfId="1208"/>
    <cellStyle name="40% - Accent5 3 5" xfId="1209"/>
    <cellStyle name="40% - Accent5 3 6" xfId="1210"/>
    <cellStyle name="40% - Accent5 3 7" xfId="1211"/>
    <cellStyle name="40% - Accent5 3 8" xfId="1212"/>
    <cellStyle name="40% - Accent5 3 9" xfId="1213"/>
    <cellStyle name="40% - Accent5 4" xfId="1214"/>
    <cellStyle name="40% - Accent5 4 2" xfId="1215"/>
    <cellStyle name="40% - Accent5 4 3" xfId="1216"/>
    <cellStyle name="40% - Accent5 4 4" xfId="1217"/>
    <cellStyle name="40% - Accent5 4 5" xfId="1218"/>
    <cellStyle name="40% - Accent5 4 6" xfId="1219"/>
    <cellStyle name="40% - Accent5 4 7" xfId="1220"/>
    <cellStyle name="40% - Accent5 4 8" xfId="1221"/>
    <cellStyle name="40% - Accent5 4 9" xfId="1222"/>
    <cellStyle name="40% - Accent5 5" xfId="1223"/>
    <cellStyle name="40% - Accent5 6" xfId="1224"/>
    <cellStyle name="40% - Accent5 7" xfId="1225"/>
    <cellStyle name="40% - Accent5 8" xfId="1226"/>
    <cellStyle name="40% - Accent5 9" xfId="1227"/>
    <cellStyle name="40% - Accent6" xfId="1228"/>
    <cellStyle name="40% - Accent6 10" xfId="1229"/>
    <cellStyle name="40% - Accent6 11" xfId="1230"/>
    <cellStyle name="40% - Accent6 12" xfId="1231"/>
    <cellStyle name="40% - Accent6 2" xfId="1232"/>
    <cellStyle name="40% - Accent6 2 10" xfId="1233"/>
    <cellStyle name="40% - Accent6 2 11" xfId="1234"/>
    <cellStyle name="40% - Accent6 2 12" xfId="1235"/>
    <cellStyle name="40% - Accent6 2 2" xfId="1236"/>
    <cellStyle name="40% - Accent6 2 2 2" xfId="1237"/>
    <cellStyle name="40% - Accent6 2 2 3" xfId="1238"/>
    <cellStyle name="40% - Accent6 2 2 4" xfId="1239"/>
    <cellStyle name="40% - Accent6 2 2 5" xfId="1240"/>
    <cellStyle name="40% - Accent6 2 2 6" xfId="1241"/>
    <cellStyle name="40% - Accent6 2 2 7" xfId="1242"/>
    <cellStyle name="40% - Accent6 2 2 8" xfId="1243"/>
    <cellStyle name="40% - Accent6 2 2 9" xfId="1244"/>
    <cellStyle name="40% - Accent6 2 3" xfId="1245"/>
    <cellStyle name="40% - Accent6 2 3 2" xfId="1246"/>
    <cellStyle name="40% - Accent6 2 3 3" xfId="1247"/>
    <cellStyle name="40% - Accent6 2 3 4" xfId="1248"/>
    <cellStyle name="40% - Accent6 2 3 5" xfId="1249"/>
    <cellStyle name="40% - Accent6 2 3 6" xfId="1250"/>
    <cellStyle name="40% - Accent6 2 3 7" xfId="1251"/>
    <cellStyle name="40% - Accent6 2 3 8" xfId="1252"/>
    <cellStyle name="40% - Accent6 2 3 9" xfId="1253"/>
    <cellStyle name="40% - Accent6 2 4" xfId="1254"/>
    <cellStyle name="40% - Accent6 2 4 2" xfId="1255"/>
    <cellStyle name="40% - Accent6 2 4 3" xfId="1256"/>
    <cellStyle name="40% - Accent6 2 4 4" xfId="1257"/>
    <cellStyle name="40% - Accent6 2 4 5" xfId="1258"/>
    <cellStyle name="40% - Accent6 2 4 6" xfId="1259"/>
    <cellStyle name="40% - Accent6 2 4 7" xfId="1260"/>
    <cellStyle name="40% - Accent6 2 4 8" xfId="1261"/>
    <cellStyle name="40% - Accent6 2 4 9" xfId="1262"/>
    <cellStyle name="40% - Accent6 2 5" xfId="1263"/>
    <cellStyle name="40% - Accent6 2 6" xfId="1264"/>
    <cellStyle name="40% - Accent6 2 7" xfId="1265"/>
    <cellStyle name="40% - Accent6 2 8" xfId="1266"/>
    <cellStyle name="40% - Accent6 2 9" xfId="1267"/>
    <cellStyle name="40% - Accent6 3" xfId="1268"/>
    <cellStyle name="40% - Accent6 3 10" xfId="1269"/>
    <cellStyle name="40% - Accent6 3 11" xfId="1270"/>
    <cellStyle name="40% - Accent6 3 2" xfId="1271"/>
    <cellStyle name="40% - Accent6 3 2 2" xfId="1272"/>
    <cellStyle name="40% - Accent6 3 2 3" xfId="1273"/>
    <cellStyle name="40% - Accent6 3 2 4" xfId="1274"/>
    <cellStyle name="40% - Accent6 3 2 5" xfId="1275"/>
    <cellStyle name="40% - Accent6 3 2 6" xfId="1276"/>
    <cellStyle name="40% - Accent6 3 2 7" xfId="1277"/>
    <cellStyle name="40% - Accent6 3 2 8" xfId="1278"/>
    <cellStyle name="40% - Accent6 3 2 9" xfId="1279"/>
    <cellStyle name="40% - Accent6 3 3" xfId="1280"/>
    <cellStyle name="40% - Accent6 3 3 2" xfId="1281"/>
    <cellStyle name="40% - Accent6 3 3 3" xfId="1282"/>
    <cellStyle name="40% - Accent6 3 3 4" xfId="1283"/>
    <cellStyle name="40% - Accent6 3 3 5" xfId="1284"/>
    <cellStyle name="40% - Accent6 3 3 6" xfId="1285"/>
    <cellStyle name="40% - Accent6 3 3 7" xfId="1286"/>
    <cellStyle name="40% - Accent6 3 3 8" xfId="1287"/>
    <cellStyle name="40% - Accent6 3 3 9" xfId="1288"/>
    <cellStyle name="40% - Accent6 3 4" xfId="1289"/>
    <cellStyle name="40% - Accent6 3 5" xfId="1290"/>
    <cellStyle name="40% - Accent6 3 6" xfId="1291"/>
    <cellStyle name="40% - Accent6 3 7" xfId="1292"/>
    <cellStyle name="40% - Accent6 3 8" xfId="1293"/>
    <cellStyle name="40% - Accent6 3 9" xfId="1294"/>
    <cellStyle name="40% - Accent6 4" xfId="1295"/>
    <cellStyle name="40% - Accent6 4 2" xfId="1296"/>
    <cellStyle name="40% - Accent6 4 3" xfId="1297"/>
    <cellStyle name="40% - Accent6 4 4" xfId="1298"/>
    <cellStyle name="40% - Accent6 4 5" xfId="1299"/>
    <cellStyle name="40% - Accent6 4 6" xfId="1300"/>
    <cellStyle name="40% - Accent6 4 7" xfId="1301"/>
    <cellStyle name="40% - Accent6 4 8" xfId="1302"/>
    <cellStyle name="40% - Accent6 4 9" xfId="1303"/>
    <cellStyle name="40% - Accent6 5" xfId="1304"/>
    <cellStyle name="40% - Accent6 6" xfId="1305"/>
    <cellStyle name="40% - Accent6 7" xfId="1306"/>
    <cellStyle name="40% - Accent6 8" xfId="1307"/>
    <cellStyle name="40% - Accent6 9" xfId="1308"/>
    <cellStyle name="40% - Акцент1 2" xfId="1309"/>
    <cellStyle name="40% - Акцент1 2 2" xfId="1310"/>
    <cellStyle name="40% - Акцент1 2 2 2" xfId="1311"/>
    <cellStyle name="40% - Акцент1 2 2 2 2" xfId="1312"/>
    <cellStyle name="40% - Акцент1 2 2 2 3" xfId="1313"/>
    <cellStyle name="40% - Акцент1 2 2 3" xfId="1314"/>
    <cellStyle name="40% - Акцент1 2 2 4" xfId="1315"/>
    <cellStyle name="40% - Акцент1 2 2 4 2" xfId="1316"/>
    <cellStyle name="40% - Акцент1 2 2 4 3" xfId="1317"/>
    <cellStyle name="40% - Акцент1 2 2 4 4" xfId="1318"/>
    <cellStyle name="40% - Акцент1 2 2 4 5" xfId="1319"/>
    <cellStyle name="40% - Акцент1 2 2 5" xfId="1320"/>
    <cellStyle name="40% - Акцент1 2 2 6" xfId="1321"/>
    <cellStyle name="40% - Акцент1 2 2 7" xfId="1322"/>
    <cellStyle name="40% - Акцент1 2 2 8" xfId="1323"/>
    <cellStyle name="40% - Акцент1 2 3" xfId="1324"/>
    <cellStyle name="40% - Акцент1 2 3 2" xfId="1325"/>
    <cellStyle name="40% - Акцент1 2 3 3" xfId="1326"/>
    <cellStyle name="40% - Акцент1 2 4" xfId="1327"/>
    <cellStyle name="40% - Акцент1 2 5" xfId="1328"/>
    <cellStyle name="40% - Акцент1 2 5 2" xfId="1329"/>
    <cellStyle name="40% - Акцент1 2 5 3" xfId="1330"/>
    <cellStyle name="40% - Акцент1 2 5 4" xfId="1331"/>
    <cellStyle name="40% - Акцент1 2 5 5" xfId="1332"/>
    <cellStyle name="40% - Акцент1 2 6" xfId="1333"/>
    <cellStyle name="40% - Акцент1 2 7" xfId="1334"/>
    <cellStyle name="40% - Акцент1 2 8" xfId="1335"/>
    <cellStyle name="40% - Акцент1 2 9" xfId="1336"/>
    <cellStyle name="40% - Акцент1 2_Расчет программы" xfId="1337"/>
    <cellStyle name="40% - Акцент2 2" xfId="1338"/>
    <cellStyle name="40% - Акцент2 2 2" xfId="1339"/>
    <cellStyle name="40% - Акцент2 2 2 2" xfId="1340"/>
    <cellStyle name="40% - Акцент2 2 2 2 2" xfId="1341"/>
    <cellStyle name="40% - Акцент2 2 2 2 3" xfId="1342"/>
    <cellStyle name="40% - Акцент2 2 2 3" xfId="1343"/>
    <cellStyle name="40% - Акцент2 2 2 4" xfId="1344"/>
    <cellStyle name="40% - Акцент2 2 2 4 2" xfId="1345"/>
    <cellStyle name="40% - Акцент2 2 2 4 3" xfId="1346"/>
    <cellStyle name="40% - Акцент2 2 2 4 4" xfId="1347"/>
    <cellStyle name="40% - Акцент2 2 2 4 5" xfId="1348"/>
    <cellStyle name="40% - Акцент2 2 2 5" xfId="1349"/>
    <cellStyle name="40% - Акцент2 2 2 6" xfId="1350"/>
    <cellStyle name="40% - Акцент2 2 2 7" xfId="1351"/>
    <cellStyle name="40% - Акцент2 2 2 8" xfId="1352"/>
    <cellStyle name="40% - Акцент2 2 3" xfId="1353"/>
    <cellStyle name="40% - Акцент2 2 3 2" xfId="1354"/>
    <cellStyle name="40% - Акцент2 2 3 3" xfId="1355"/>
    <cellStyle name="40% - Акцент2 2 4" xfId="1356"/>
    <cellStyle name="40% - Акцент2 2 5" xfId="1357"/>
    <cellStyle name="40% - Акцент2 2 5 2" xfId="1358"/>
    <cellStyle name="40% - Акцент2 2 5 3" xfId="1359"/>
    <cellStyle name="40% - Акцент2 2 5 4" xfId="1360"/>
    <cellStyle name="40% - Акцент2 2 5 5" xfId="1361"/>
    <cellStyle name="40% - Акцент2 2 6" xfId="1362"/>
    <cellStyle name="40% - Акцент2 2 7" xfId="1363"/>
    <cellStyle name="40% - Акцент2 2 8" xfId="1364"/>
    <cellStyle name="40% - Акцент2 2 9" xfId="1365"/>
    <cellStyle name="40% - Акцент2 2_Расчет программы" xfId="1366"/>
    <cellStyle name="40% - Акцент3 2" xfId="1367"/>
    <cellStyle name="40% - Акцент3 2 2" xfId="1368"/>
    <cellStyle name="40% - Акцент3 2 2 2" xfId="1369"/>
    <cellStyle name="40% - Акцент3 2 2 2 2" xfId="1370"/>
    <cellStyle name="40% - Акцент3 2 2 2 3" xfId="1371"/>
    <cellStyle name="40% - Акцент3 2 2 3" xfId="1372"/>
    <cellStyle name="40% - Акцент3 2 2 4" xfId="1373"/>
    <cellStyle name="40% - Акцент3 2 2 4 2" xfId="1374"/>
    <cellStyle name="40% - Акцент3 2 2 4 3" xfId="1375"/>
    <cellStyle name="40% - Акцент3 2 2 4 4" xfId="1376"/>
    <cellStyle name="40% - Акцент3 2 2 4 5" xfId="1377"/>
    <cellStyle name="40% - Акцент3 2 2 5" xfId="1378"/>
    <cellStyle name="40% - Акцент3 2 2 6" xfId="1379"/>
    <cellStyle name="40% - Акцент3 2 2 7" xfId="1380"/>
    <cellStyle name="40% - Акцент3 2 2 8" xfId="1381"/>
    <cellStyle name="40% - Акцент3 2 3" xfId="1382"/>
    <cellStyle name="40% - Акцент3 2 3 2" xfId="1383"/>
    <cellStyle name="40% - Акцент3 2 3 3" xfId="1384"/>
    <cellStyle name="40% - Акцент3 2 4" xfId="1385"/>
    <cellStyle name="40% - Акцент3 2 5" xfId="1386"/>
    <cellStyle name="40% - Акцент3 2 5 2" xfId="1387"/>
    <cellStyle name="40% - Акцент3 2 5 3" xfId="1388"/>
    <cellStyle name="40% - Акцент3 2 5 4" xfId="1389"/>
    <cellStyle name="40% - Акцент3 2 5 5" xfId="1390"/>
    <cellStyle name="40% - Акцент3 2 6" xfId="1391"/>
    <cellStyle name="40% - Акцент3 2 7" xfId="1392"/>
    <cellStyle name="40% - Акцент3 2 8" xfId="1393"/>
    <cellStyle name="40% - Акцент3 2 9" xfId="1394"/>
    <cellStyle name="40% - Акцент3 2_Расчет программы" xfId="1395"/>
    <cellStyle name="40% - Акцент4 2" xfId="1396"/>
    <cellStyle name="40% - Акцент4 2 2" xfId="1397"/>
    <cellStyle name="40% - Акцент4 2 2 2" xfId="1398"/>
    <cellStyle name="40% - Акцент4 2 2 2 2" xfId="1399"/>
    <cellStyle name="40% - Акцент4 2 2 2 3" xfId="1400"/>
    <cellStyle name="40% - Акцент4 2 2 3" xfId="1401"/>
    <cellStyle name="40% - Акцент4 2 2 4" xfId="1402"/>
    <cellStyle name="40% - Акцент4 2 2 4 2" xfId="1403"/>
    <cellStyle name="40% - Акцент4 2 2 4 3" xfId="1404"/>
    <cellStyle name="40% - Акцент4 2 2 4 4" xfId="1405"/>
    <cellStyle name="40% - Акцент4 2 2 4 5" xfId="1406"/>
    <cellStyle name="40% - Акцент4 2 2 5" xfId="1407"/>
    <cellStyle name="40% - Акцент4 2 2 6" xfId="1408"/>
    <cellStyle name="40% - Акцент4 2 2 7" xfId="1409"/>
    <cellStyle name="40% - Акцент4 2 2 8" xfId="1410"/>
    <cellStyle name="40% - Акцент4 2 3" xfId="1411"/>
    <cellStyle name="40% - Акцент4 2 3 2" xfId="1412"/>
    <cellStyle name="40% - Акцент4 2 3 3" xfId="1413"/>
    <cellStyle name="40% - Акцент4 2 4" xfId="1414"/>
    <cellStyle name="40% - Акцент4 2 5" xfId="1415"/>
    <cellStyle name="40% - Акцент4 2 5 2" xfId="1416"/>
    <cellStyle name="40% - Акцент4 2 5 3" xfId="1417"/>
    <cellStyle name="40% - Акцент4 2 5 4" xfId="1418"/>
    <cellStyle name="40% - Акцент4 2 5 5" xfId="1419"/>
    <cellStyle name="40% - Акцент4 2 6" xfId="1420"/>
    <cellStyle name="40% - Акцент4 2 7" xfId="1421"/>
    <cellStyle name="40% - Акцент4 2 8" xfId="1422"/>
    <cellStyle name="40% - Акцент4 2 9" xfId="1423"/>
    <cellStyle name="40% - Акцент4 2_Расчет программы" xfId="1424"/>
    <cellStyle name="40% - Акцент5 2" xfId="1425"/>
    <cellStyle name="40% - Акцент5 2 2" xfId="1426"/>
    <cellStyle name="40% - Акцент5 2 2 2" xfId="1427"/>
    <cellStyle name="40% - Акцент5 2 2 2 2" xfId="1428"/>
    <cellStyle name="40% - Акцент5 2 2 2 3" xfId="1429"/>
    <cellStyle name="40% - Акцент5 2 2 3" xfId="1430"/>
    <cellStyle name="40% - Акцент5 2 2 4" xfId="1431"/>
    <cellStyle name="40% - Акцент5 2 2 4 2" xfId="1432"/>
    <cellStyle name="40% - Акцент5 2 2 4 3" xfId="1433"/>
    <cellStyle name="40% - Акцент5 2 2 4 4" xfId="1434"/>
    <cellStyle name="40% - Акцент5 2 2 4 5" xfId="1435"/>
    <cellStyle name="40% - Акцент5 2 2 5" xfId="1436"/>
    <cellStyle name="40% - Акцент5 2 2 6" xfId="1437"/>
    <cellStyle name="40% - Акцент5 2 2 7" xfId="1438"/>
    <cellStyle name="40% - Акцент5 2 2 8" xfId="1439"/>
    <cellStyle name="40% - Акцент5 2 3" xfId="1440"/>
    <cellStyle name="40% - Акцент5 2 3 2" xfId="1441"/>
    <cellStyle name="40% - Акцент5 2 3 3" xfId="1442"/>
    <cellStyle name="40% - Акцент5 2 4" xfId="1443"/>
    <cellStyle name="40% - Акцент5 2 5" xfId="1444"/>
    <cellStyle name="40% - Акцент5 2 5 2" xfId="1445"/>
    <cellStyle name="40% - Акцент5 2 5 3" xfId="1446"/>
    <cellStyle name="40% - Акцент5 2 5 4" xfId="1447"/>
    <cellStyle name="40% - Акцент5 2 5 5" xfId="1448"/>
    <cellStyle name="40% - Акцент5 2 6" xfId="1449"/>
    <cellStyle name="40% - Акцент5 2 7" xfId="1450"/>
    <cellStyle name="40% - Акцент5 2 8" xfId="1451"/>
    <cellStyle name="40% - Акцент5 2 9" xfId="1452"/>
    <cellStyle name="40% - Акцент5 2_Расчет программы" xfId="1453"/>
    <cellStyle name="40% - Акцент6 2" xfId="1454"/>
    <cellStyle name="40% - Акцент6 2 2" xfId="1455"/>
    <cellStyle name="40% - Акцент6 2 2 2" xfId="1456"/>
    <cellStyle name="40% - Акцент6 2 2 2 2" xfId="1457"/>
    <cellStyle name="40% - Акцент6 2 2 2 3" xfId="1458"/>
    <cellStyle name="40% - Акцент6 2 2 3" xfId="1459"/>
    <cellStyle name="40% - Акцент6 2 2 4" xfId="1460"/>
    <cellStyle name="40% - Акцент6 2 2 4 2" xfId="1461"/>
    <cellStyle name="40% - Акцент6 2 2 4 3" xfId="1462"/>
    <cellStyle name="40% - Акцент6 2 2 4 4" xfId="1463"/>
    <cellStyle name="40% - Акцент6 2 2 4 5" xfId="1464"/>
    <cellStyle name="40% - Акцент6 2 2 5" xfId="1465"/>
    <cellStyle name="40% - Акцент6 2 2 6" xfId="1466"/>
    <cellStyle name="40% - Акцент6 2 2 7" xfId="1467"/>
    <cellStyle name="40% - Акцент6 2 2 8" xfId="1468"/>
    <cellStyle name="40% - Акцент6 2 3" xfId="1469"/>
    <cellStyle name="40% - Акцент6 2 3 2" xfId="1470"/>
    <cellStyle name="40% - Акцент6 2 3 3" xfId="1471"/>
    <cellStyle name="40% - Акцент6 2 4" xfId="1472"/>
    <cellStyle name="40% - Акцент6 2 5" xfId="1473"/>
    <cellStyle name="40% - Акцент6 2 5 2" xfId="1474"/>
    <cellStyle name="40% - Акцент6 2 5 3" xfId="1475"/>
    <cellStyle name="40% - Акцент6 2 5 4" xfId="1476"/>
    <cellStyle name="40% - Акцент6 2 5 5" xfId="1477"/>
    <cellStyle name="40% - Акцент6 2 6" xfId="1478"/>
    <cellStyle name="40% - Акцент6 2 7" xfId="1479"/>
    <cellStyle name="40% - Акцент6 2 8" xfId="1480"/>
    <cellStyle name="40% - Акцент6 2 9" xfId="1481"/>
    <cellStyle name="40% - Акцент6 2_Расчет программы" xfId="1482"/>
    <cellStyle name="60% - Accent1" xfId="1483"/>
    <cellStyle name="60% - Accent1 2" xfId="1484"/>
    <cellStyle name="60% - Accent1 2 2" xfId="1485"/>
    <cellStyle name="60% - Accent1 2 2 2" xfId="1486"/>
    <cellStyle name="60% - Accent1 2 2 3" xfId="1487"/>
    <cellStyle name="60% - Accent1 2 2 4" xfId="1488"/>
    <cellStyle name="60% - Accent1 2 2 5" xfId="1489"/>
    <cellStyle name="60% - Accent1 2 2 6" xfId="1490"/>
    <cellStyle name="60% - Accent1 2 3" xfId="1491"/>
    <cellStyle name="60% - Accent1 2 3 2" xfId="1492"/>
    <cellStyle name="60% - Accent1 2 3 3" xfId="1493"/>
    <cellStyle name="60% - Accent1 2 3 4" xfId="1494"/>
    <cellStyle name="60% - Accent1 2 3 5" xfId="1495"/>
    <cellStyle name="60% - Accent1 2 3 6" xfId="1496"/>
    <cellStyle name="60% - Accent1 2 4" xfId="1497"/>
    <cellStyle name="60% - Accent1 2 5" xfId="1498"/>
    <cellStyle name="60% - Accent1 2 6" xfId="1499"/>
    <cellStyle name="60% - Accent1 2 7" xfId="1500"/>
    <cellStyle name="60% - Accent1 2 8" xfId="1501"/>
    <cellStyle name="60% - Accent1 3" xfId="1502"/>
    <cellStyle name="60% - Accent1 3 2" xfId="1503"/>
    <cellStyle name="60% - Accent1 3 3" xfId="1504"/>
    <cellStyle name="60% - Accent1 3 4" xfId="1505"/>
    <cellStyle name="60% - Accent1 3 5" xfId="1506"/>
    <cellStyle name="60% - Accent1 3 6" xfId="1507"/>
    <cellStyle name="60% - Accent1 4" xfId="1508"/>
    <cellStyle name="60% - Accent1 4 2" xfId="1509"/>
    <cellStyle name="60% - Accent1 4 3" xfId="1510"/>
    <cellStyle name="60% - Accent1 4 4" xfId="1511"/>
    <cellStyle name="60% - Accent1 4 5" xfId="1512"/>
    <cellStyle name="60% - Accent1 5" xfId="1513"/>
    <cellStyle name="60% - Accent1 6" xfId="1514"/>
    <cellStyle name="60% - Accent1 7" xfId="1515"/>
    <cellStyle name="60% - Accent1 8" xfId="1516"/>
    <cellStyle name="60% - Accent2" xfId="1517"/>
    <cellStyle name="60% - Accent2 2" xfId="1518"/>
    <cellStyle name="60% - Accent2 2 2" xfId="1519"/>
    <cellStyle name="60% - Accent2 2 2 2" xfId="1520"/>
    <cellStyle name="60% - Accent2 2 2 3" xfId="1521"/>
    <cellStyle name="60% - Accent2 2 2 4" xfId="1522"/>
    <cellStyle name="60% - Accent2 2 2 5" xfId="1523"/>
    <cellStyle name="60% - Accent2 2 2 6" xfId="1524"/>
    <cellStyle name="60% - Accent2 2 3" xfId="1525"/>
    <cellStyle name="60% - Accent2 2 3 2" xfId="1526"/>
    <cellStyle name="60% - Accent2 2 3 3" xfId="1527"/>
    <cellStyle name="60% - Accent2 2 3 4" xfId="1528"/>
    <cellStyle name="60% - Accent2 2 3 5" xfId="1529"/>
    <cellStyle name="60% - Accent2 2 3 6" xfId="1530"/>
    <cellStyle name="60% - Accent2 2 4" xfId="1531"/>
    <cellStyle name="60% - Accent2 2 5" xfId="1532"/>
    <cellStyle name="60% - Accent2 2 6" xfId="1533"/>
    <cellStyle name="60% - Accent2 2 7" xfId="1534"/>
    <cellStyle name="60% - Accent2 2 8" xfId="1535"/>
    <cellStyle name="60% - Accent2 3" xfId="1536"/>
    <cellStyle name="60% - Accent2 3 2" xfId="1537"/>
    <cellStyle name="60% - Accent2 3 3" xfId="1538"/>
    <cellStyle name="60% - Accent2 3 4" xfId="1539"/>
    <cellStyle name="60% - Accent2 3 5" xfId="1540"/>
    <cellStyle name="60% - Accent2 3 6" xfId="1541"/>
    <cellStyle name="60% - Accent2 4" xfId="1542"/>
    <cellStyle name="60% - Accent2 4 2" xfId="1543"/>
    <cellStyle name="60% - Accent2 4 3" xfId="1544"/>
    <cellStyle name="60% - Accent2 4 4" xfId="1545"/>
    <cellStyle name="60% - Accent2 4 5" xfId="1546"/>
    <cellStyle name="60% - Accent2 5" xfId="1547"/>
    <cellStyle name="60% - Accent2 6" xfId="1548"/>
    <cellStyle name="60% - Accent2 7" xfId="1549"/>
    <cellStyle name="60% - Accent2 8" xfId="1550"/>
    <cellStyle name="60% - Accent3" xfId="1551"/>
    <cellStyle name="60% - Accent3 2" xfId="1552"/>
    <cellStyle name="60% - Accent3 2 2" xfId="1553"/>
    <cellStyle name="60% - Accent3 2 2 2" xfId="1554"/>
    <cellStyle name="60% - Accent3 2 2 3" xfId="1555"/>
    <cellStyle name="60% - Accent3 2 2 4" xfId="1556"/>
    <cellStyle name="60% - Accent3 2 2 5" xfId="1557"/>
    <cellStyle name="60% - Accent3 2 2 6" xfId="1558"/>
    <cellStyle name="60% - Accent3 2 3" xfId="1559"/>
    <cellStyle name="60% - Accent3 2 3 2" xfId="1560"/>
    <cellStyle name="60% - Accent3 2 3 3" xfId="1561"/>
    <cellStyle name="60% - Accent3 2 3 4" xfId="1562"/>
    <cellStyle name="60% - Accent3 2 3 5" xfId="1563"/>
    <cellStyle name="60% - Accent3 2 3 6" xfId="1564"/>
    <cellStyle name="60% - Accent3 2 4" xfId="1565"/>
    <cellStyle name="60% - Accent3 2 5" xfId="1566"/>
    <cellStyle name="60% - Accent3 2 6" xfId="1567"/>
    <cellStyle name="60% - Accent3 2 7" xfId="1568"/>
    <cellStyle name="60% - Accent3 2 8" xfId="1569"/>
    <cellStyle name="60% - Accent3 3" xfId="1570"/>
    <cellStyle name="60% - Accent3 3 2" xfId="1571"/>
    <cellStyle name="60% - Accent3 3 3" xfId="1572"/>
    <cellStyle name="60% - Accent3 3 4" xfId="1573"/>
    <cellStyle name="60% - Accent3 3 5" xfId="1574"/>
    <cellStyle name="60% - Accent3 3 6" xfId="1575"/>
    <cellStyle name="60% - Accent3 4" xfId="1576"/>
    <cellStyle name="60% - Accent3 4 2" xfId="1577"/>
    <cellStyle name="60% - Accent3 4 3" xfId="1578"/>
    <cellStyle name="60% - Accent3 4 4" xfId="1579"/>
    <cellStyle name="60% - Accent3 4 5" xfId="1580"/>
    <cellStyle name="60% - Accent3 5" xfId="1581"/>
    <cellStyle name="60% - Accent3 6" xfId="1582"/>
    <cellStyle name="60% - Accent3 7" xfId="1583"/>
    <cellStyle name="60% - Accent3 8" xfId="1584"/>
    <cellStyle name="60% - Accent4" xfId="1585"/>
    <cellStyle name="60% - Accent4 2" xfId="1586"/>
    <cellStyle name="60% - Accent4 2 2" xfId="1587"/>
    <cellStyle name="60% - Accent4 2 2 2" xfId="1588"/>
    <cellStyle name="60% - Accent4 2 2 3" xfId="1589"/>
    <cellStyle name="60% - Accent4 2 2 4" xfId="1590"/>
    <cellStyle name="60% - Accent4 2 2 5" xfId="1591"/>
    <cellStyle name="60% - Accent4 2 2 6" xfId="1592"/>
    <cellStyle name="60% - Accent4 2 3" xfId="1593"/>
    <cellStyle name="60% - Accent4 2 3 2" xfId="1594"/>
    <cellStyle name="60% - Accent4 2 3 3" xfId="1595"/>
    <cellStyle name="60% - Accent4 2 3 4" xfId="1596"/>
    <cellStyle name="60% - Accent4 2 3 5" xfId="1597"/>
    <cellStyle name="60% - Accent4 2 3 6" xfId="1598"/>
    <cellStyle name="60% - Accent4 2 4" xfId="1599"/>
    <cellStyle name="60% - Accent4 2 5" xfId="1600"/>
    <cellStyle name="60% - Accent4 2 6" xfId="1601"/>
    <cellStyle name="60% - Accent4 2 7" xfId="1602"/>
    <cellStyle name="60% - Accent4 2 8" xfId="1603"/>
    <cellStyle name="60% - Accent4 3" xfId="1604"/>
    <cellStyle name="60% - Accent4 3 2" xfId="1605"/>
    <cellStyle name="60% - Accent4 3 3" xfId="1606"/>
    <cellStyle name="60% - Accent4 3 4" xfId="1607"/>
    <cellStyle name="60% - Accent4 3 5" xfId="1608"/>
    <cellStyle name="60% - Accent4 3 6" xfId="1609"/>
    <cellStyle name="60% - Accent4 4" xfId="1610"/>
    <cellStyle name="60% - Accent4 4 2" xfId="1611"/>
    <cellStyle name="60% - Accent4 4 3" xfId="1612"/>
    <cellStyle name="60% - Accent4 4 4" xfId="1613"/>
    <cellStyle name="60% - Accent4 4 5" xfId="1614"/>
    <cellStyle name="60% - Accent4 5" xfId="1615"/>
    <cellStyle name="60% - Accent4 6" xfId="1616"/>
    <cellStyle name="60% - Accent4 7" xfId="1617"/>
    <cellStyle name="60% - Accent4 8" xfId="1618"/>
    <cellStyle name="60% - Accent5" xfId="1619"/>
    <cellStyle name="60% - Accent5 2" xfId="1620"/>
    <cellStyle name="60% - Accent5 2 2" xfId="1621"/>
    <cellStyle name="60% - Accent5 2 2 2" xfId="1622"/>
    <cellStyle name="60% - Accent5 2 2 3" xfId="1623"/>
    <cellStyle name="60% - Accent5 2 2 4" xfId="1624"/>
    <cellStyle name="60% - Accent5 2 2 5" xfId="1625"/>
    <cellStyle name="60% - Accent5 2 2 6" xfId="1626"/>
    <cellStyle name="60% - Accent5 2 3" xfId="1627"/>
    <cellStyle name="60% - Accent5 2 3 2" xfId="1628"/>
    <cellStyle name="60% - Accent5 2 3 3" xfId="1629"/>
    <cellStyle name="60% - Accent5 2 3 4" xfId="1630"/>
    <cellStyle name="60% - Accent5 2 3 5" xfId="1631"/>
    <cellStyle name="60% - Accent5 2 3 6" xfId="1632"/>
    <cellStyle name="60% - Accent5 2 4" xfId="1633"/>
    <cellStyle name="60% - Accent5 2 5" xfId="1634"/>
    <cellStyle name="60% - Accent5 2 6" xfId="1635"/>
    <cellStyle name="60% - Accent5 2 7" xfId="1636"/>
    <cellStyle name="60% - Accent5 2 8" xfId="1637"/>
    <cellStyle name="60% - Accent5 3" xfId="1638"/>
    <cellStyle name="60% - Accent5 3 2" xfId="1639"/>
    <cellStyle name="60% - Accent5 3 3" xfId="1640"/>
    <cellStyle name="60% - Accent5 3 4" xfId="1641"/>
    <cellStyle name="60% - Accent5 3 5" xfId="1642"/>
    <cellStyle name="60% - Accent5 3 6" xfId="1643"/>
    <cellStyle name="60% - Accent5 4" xfId="1644"/>
    <cellStyle name="60% - Accent5 4 2" xfId="1645"/>
    <cellStyle name="60% - Accent5 4 3" xfId="1646"/>
    <cellStyle name="60% - Accent5 4 4" xfId="1647"/>
    <cellStyle name="60% - Accent5 4 5" xfId="1648"/>
    <cellStyle name="60% - Accent5 5" xfId="1649"/>
    <cellStyle name="60% - Accent5 6" xfId="1650"/>
    <cellStyle name="60% - Accent5 7" xfId="1651"/>
    <cellStyle name="60% - Accent5 8" xfId="1652"/>
    <cellStyle name="60% - Accent6" xfId="1653"/>
    <cellStyle name="60% - Accent6 2" xfId="1654"/>
    <cellStyle name="60% - Accent6 2 2" xfId="1655"/>
    <cellStyle name="60% - Accent6 2 2 2" xfId="1656"/>
    <cellStyle name="60% - Accent6 2 2 3" xfId="1657"/>
    <cellStyle name="60% - Accent6 2 2 4" xfId="1658"/>
    <cellStyle name="60% - Accent6 2 2 5" xfId="1659"/>
    <cellStyle name="60% - Accent6 2 2 6" xfId="1660"/>
    <cellStyle name="60% - Accent6 2 3" xfId="1661"/>
    <cellStyle name="60% - Accent6 2 3 2" xfId="1662"/>
    <cellStyle name="60% - Accent6 2 3 3" xfId="1663"/>
    <cellStyle name="60% - Accent6 2 3 4" xfId="1664"/>
    <cellStyle name="60% - Accent6 2 3 5" xfId="1665"/>
    <cellStyle name="60% - Accent6 2 3 6" xfId="1666"/>
    <cellStyle name="60% - Accent6 2 4" xfId="1667"/>
    <cellStyle name="60% - Accent6 2 5" xfId="1668"/>
    <cellStyle name="60% - Accent6 2 6" xfId="1669"/>
    <cellStyle name="60% - Accent6 2 7" xfId="1670"/>
    <cellStyle name="60% - Accent6 2 8" xfId="1671"/>
    <cellStyle name="60% - Accent6 3" xfId="1672"/>
    <cellStyle name="60% - Accent6 3 2" xfId="1673"/>
    <cellStyle name="60% - Accent6 3 3" xfId="1674"/>
    <cellStyle name="60% - Accent6 3 4" xfId="1675"/>
    <cellStyle name="60% - Accent6 3 5" xfId="1676"/>
    <cellStyle name="60% - Accent6 3 6" xfId="1677"/>
    <cellStyle name="60% - Accent6 4" xfId="1678"/>
    <cellStyle name="60% - Accent6 4 2" xfId="1679"/>
    <cellStyle name="60% - Accent6 4 3" xfId="1680"/>
    <cellStyle name="60% - Accent6 4 4" xfId="1681"/>
    <cellStyle name="60% - Accent6 4 5" xfId="1682"/>
    <cellStyle name="60% - Accent6 5" xfId="1683"/>
    <cellStyle name="60% - Accent6 6" xfId="1684"/>
    <cellStyle name="60% - Accent6 7" xfId="1685"/>
    <cellStyle name="60% - Accent6 8" xfId="1686"/>
    <cellStyle name="60% - Акцент1 2" xfId="1687"/>
    <cellStyle name="60% - Акцент1 2 2" xfId="1688"/>
    <cellStyle name="60% - Акцент1 2 2 2" xfId="1689"/>
    <cellStyle name="60% - Акцент1 2 2 3" xfId="1690"/>
    <cellStyle name="60% - Акцент1 2 3" xfId="1691"/>
    <cellStyle name="60% - Акцент1 2 4" xfId="1692"/>
    <cellStyle name="60% - Акцент1 2 4 2" xfId="1693"/>
    <cellStyle name="60% - Акцент1 2 4 3" xfId="1694"/>
    <cellStyle name="60% - Акцент1 2 4 4" xfId="1695"/>
    <cellStyle name="60% - Акцент1 2 4 5" xfId="1696"/>
    <cellStyle name="60% - Акцент1 2 5" xfId="1697"/>
    <cellStyle name="60% - Акцент1 2 6" xfId="1698"/>
    <cellStyle name="60% - Акцент1 2 7" xfId="1699"/>
    <cellStyle name="60% - Акцент1 2 8" xfId="1700"/>
    <cellStyle name="60% - Акцент2 2" xfId="1701"/>
    <cellStyle name="60% - Акцент2 2 2" xfId="1702"/>
    <cellStyle name="60% - Акцент2 2 2 2" xfId="1703"/>
    <cellStyle name="60% - Акцент2 2 2 3" xfId="1704"/>
    <cellStyle name="60% - Акцент2 2 3" xfId="1705"/>
    <cellStyle name="60% - Акцент2 2 4" xfId="1706"/>
    <cellStyle name="60% - Акцент2 2 4 2" xfId="1707"/>
    <cellStyle name="60% - Акцент2 2 4 3" xfId="1708"/>
    <cellStyle name="60% - Акцент2 2 4 4" xfId="1709"/>
    <cellStyle name="60% - Акцент2 2 4 5" xfId="1710"/>
    <cellStyle name="60% - Акцент2 2 5" xfId="1711"/>
    <cellStyle name="60% - Акцент2 2 6" xfId="1712"/>
    <cellStyle name="60% - Акцент2 2 7" xfId="1713"/>
    <cellStyle name="60% - Акцент2 2 8" xfId="1714"/>
    <cellStyle name="60% - Акцент3 2" xfId="1715"/>
    <cellStyle name="60% - Акцент3 2 2" xfId="1716"/>
    <cellStyle name="60% - Акцент3 2 2 2" xfId="1717"/>
    <cellStyle name="60% - Акцент3 2 2 3" xfId="1718"/>
    <cellStyle name="60% - Акцент3 2 3" xfId="1719"/>
    <cellStyle name="60% - Акцент3 2 4" xfId="1720"/>
    <cellStyle name="60% - Акцент3 2 4 2" xfId="1721"/>
    <cellStyle name="60% - Акцент3 2 4 3" xfId="1722"/>
    <cellStyle name="60% - Акцент3 2 4 4" xfId="1723"/>
    <cellStyle name="60% - Акцент3 2 4 5" xfId="1724"/>
    <cellStyle name="60% - Акцент3 2 5" xfId="1725"/>
    <cellStyle name="60% - Акцент3 2 6" xfId="1726"/>
    <cellStyle name="60% - Акцент3 2 7" xfId="1727"/>
    <cellStyle name="60% - Акцент3 2 8" xfId="1728"/>
    <cellStyle name="60% - Акцент4 2" xfId="1729"/>
    <cellStyle name="60% - Акцент4 2 10" xfId="1730"/>
    <cellStyle name="60% - Акцент4 2 11" xfId="1731"/>
    <cellStyle name="60% - Акцент4 2 12" xfId="1732"/>
    <cellStyle name="60% - Акцент4 2 13" xfId="1733"/>
    <cellStyle name="60% - Акцент4 2 14" xfId="1734"/>
    <cellStyle name="60% - Акцент4 2 15" xfId="1735"/>
    <cellStyle name="60% - Акцент4 2 16" xfId="1736"/>
    <cellStyle name="60% - Акцент4 2 17" xfId="1737"/>
    <cellStyle name="60% - Акцент4 2 2" xfId="1738"/>
    <cellStyle name="60% - Акцент4 2 2 2" xfId="1739"/>
    <cellStyle name="60% - Акцент4 2 2 3" xfId="1740"/>
    <cellStyle name="60% - Акцент4 2 3" xfId="1741"/>
    <cellStyle name="60% - Акцент4 2 4" xfId="1742"/>
    <cellStyle name="60% - Акцент4 2 4 2" xfId="1743"/>
    <cellStyle name="60% - Акцент4 2 4 3" xfId="1744"/>
    <cellStyle name="60% - Акцент4 2 4 4" xfId="1745"/>
    <cellStyle name="60% - Акцент4 2 4 5" xfId="1746"/>
    <cellStyle name="60% - Акцент4 2 5" xfId="1747"/>
    <cellStyle name="60% - Акцент4 2 5 2" xfId="1748"/>
    <cellStyle name="60% - Акцент4 2 5 3" xfId="1749"/>
    <cellStyle name="60% - Акцент4 2 5 4" xfId="1750"/>
    <cellStyle name="60% - Акцент4 2 5 5" xfId="1751"/>
    <cellStyle name="60% - Акцент4 2 6" xfId="1752"/>
    <cellStyle name="60% - Акцент4 2 6 2" xfId="1753"/>
    <cellStyle name="60% - Акцент4 2 6 3" xfId="1754"/>
    <cellStyle name="60% - Акцент4 2 6 4" xfId="1755"/>
    <cellStyle name="60% - Акцент4 2 6 5" xfId="1756"/>
    <cellStyle name="60% - Акцент4 2 7" xfId="1757"/>
    <cellStyle name="60% - Акцент4 2 7 2" xfId="1758"/>
    <cellStyle name="60% - Акцент4 2 7 3" xfId="1759"/>
    <cellStyle name="60% - Акцент4 2 7 4" xfId="1760"/>
    <cellStyle name="60% - Акцент4 2 7 5" xfId="1761"/>
    <cellStyle name="60% - Акцент4 2 8" xfId="1762"/>
    <cellStyle name="60% - Акцент4 2 8 2" xfId="1763"/>
    <cellStyle name="60% - Акцент4 2 8 3" xfId="1764"/>
    <cellStyle name="60% - Акцент4 2 8 4" xfId="1765"/>
    <cellStyle name="60% - Акцент4 2 8 5" xfId="1766"/>
    <cellStyle name="60% - Акцент4 2 9" xfId="1767"/>
    <cellStyle name="60% - Акцент4 2 9 2" xfId="1768"/>
    <cellStyle name="60% - Акцент4 2 9 3" xfId="1769"/>
    <cellStyle name="60% - Акцент4 2 9 4" xfId="1770"/>
    <cellStyle name="60% - Акцент4 2 9 5" xfId="1771"/>
    <cellStyle name="60% - Акцент5 2" xfId="1772"/>
    <cellStyle name="60% - Акцент5 2 2" xfId="1773"/>
    <cellStyle name="60% - Акцент5 2 2 2" xfId="1774"/>
    <cellStyle name="60% - Акцент5 2 2 3" xfId="1775"/>
    <cellStyle name="60% - Акцент5 2 3" xfId="1776"/>
    <cellStyle name="60% - Акцент5 2 4" xfId="1777"/>
    <cellStyle name="60% - Акцент5 2 4 2" xfId="1778"/>
    <cellStyle name="60% - Акцент5 2 4 3" xfId="1779"/>
    <cellStyle name="60% - Акцент5 2 4 4" xfId="1780"/>
    <cellStyle name="60% - Акцент5 2 4 5" xfId="1781"/>
    <cellStyle name="60% - Акцент5 2 5" xfId="1782"/>
    <cellStyle name="60% - Акцент5 2 6" xfId="1783"/>
    <cellStyle name="60% - Акцент5 2 7" xfId="1784"/>
    <cellStyle name="60% - Акцент5 2 8" xfId="1785"/>
    <cellStyle name="60% - Акцент6 2" xfId="1786"/>
    <cellStyle name="60% - Акцент6 2 2" xfId="1787"/>
    <cellStyle name="60% - Акцент6 2 2 2" xfId="1788"/>
    <cellStyle name="60% - Акцент6 2 2 3" xfId="1789"/>
    <cellStyle name="60% - Акцент6 2 3" xfId="1790"/>
    <cellStyle name="60% - Акцент6 2 4" xfId="1791"/>
    <cellStyle name="60% - Акцент6 2 4 2" xfId="1792"/>
    <cellStyle name="60% - Акцент6 2 4 3" xfId="1793"/>
    <cellStyle name="60% - Акцент6 2 4 4" xfId="1794"/>
    <cellStyle name="60% - Акцент6 2 4 5" xfId="1795"/>
    <cellStyle name="60% - Акцент6 2 5" xfId="1796"/>
    <cellStyle name="60% - Акцент6 2 6" xfId="1797"/>
    <cellStyle name="60% - Акцент6 2 7" xfId="1798"/>
    <cellStyle name="60% - Акцент6 2 8" xfId="1799"/>
    <cellStyle name="Accent1" xfId="1800"/>
    <cellStyle name="Accent1 2" xfId="1801"/>
    <cellStyle name="Accent1 2 2" xfId="1802"/>
    <cellStyle name="Accent1 2 2 2" xfId="1803"/>
    <cellStyle name="Accent1 2 2 3" xfId="1804"/>
    <cellStyle name="Accent1 2 2 4" xfId="1805"/>
    <cellStyle name="Accent1 2 2 5" xfId="1806"/>
    <cellStyle name="Accent1 2 2 6" xfId="1807"/>
    <cellStyle name="Accent1 2 3" xfId="1808"/>
    <cellStyle name="Accent1 2 3 2" xfId="1809"/>
    <cellStyle name="Accent1 2 3 3" xfId="1810"/>
    <cellStyle name="Accent1 2 3 4" xfId="1811"/>
    <cellStyle name="Accent1 2 3 5" xfId="1812"/>
    <cellStyle name="Accent1 2 3 6" xfId="1813"/>
    <cellStyle name="Accent1 2 4" xfId="1814"/>
    <cellStyle name="Accent1 2 5" xfId="1815"/>
    <cellStyle name="Accent1 2 6" xfId="1816"/>
    <cellStyle name="Accent1 2 7" xfId="1817"/>
    <cellStyle name="Accent1 2 8" xfId="1818"/>
    <cellStyle name="Accent1 3" xfId="1819"/>
    <cellStyle name="Accent1 3 2" xfId="1820"/>
    <cellStyle name="Accent1 3 3" xfId="1821"/>
    <cellStyle name="Accent1 3 4" xfId="1822"/>
    <cellStyle name="Accent1 3 5" xfId="1823"/>
    <cellStyle name="Accent1 3 6" xfId="1824"/>
    <cellStyle name="Accent1 4" xfId="1825"/>
    <cellStyle name="Accent1 4 2" xfId="1826"/>
    <cellStyle name="Accent1 4 3" xfId="1827"/>
    <cellStyle name="Accent1 4 4" xfId="1828"/>
    <cellStyle name="Accent1 4 5" xfId="1829"/>
    <cellStyle name="Accent1 5" xfId="1830"/>
    <cellStyle name="Accent1 6" xfId="1831"/>
    <cellStyle name="Accent1 7" xfId="1832"/>
    <cellStyle name="Accent1 8" xfId="1833"/>
    <cellStyle name="Accent2" xfId="1834"/>
    <cellStyle name="Accent2 2" xfId="1835"/>
    <cellStyle name="Accent2 2 2" xfId="1836"/>
    <cellStyle name="Accent2 2 2 2" xfId="1837"/>
    <cellStyle name="Accent2 2 2 3" xfId="1838"/>
    <cellStyle name="Accent2 2 2 4" xfId="1839"/>
    <cellStyle name="Accent2 2 2 5" xfId="1840"/>
    <cellStyle name="Accent2 2 2 6" xfId="1841"/>
    <cellStyle name="Accent2 2 3" xfId="1842"/>
    <cellStyle name="Accent2 2 3 2" xfId="1843"/>
    <cellStyle name="Accent2 2 3 3" xfId="1844"/>
    <cellStyle name="Accent2 2 3 4" xfId="1845"/>
    <cellStyle name="Accent2 2 3 5" xfId="1846"/>
    <cellStyle name="Accent2 2 3 6" xfId="1847"/>
    <cellStyle name="Accent2 2 4" xfId="1848"/>
    <cellStyle name="Accent2 2 5" xfId="1849"/>
    <cellStyle name="Accent2 2 6" xfId="1850"/>
    <cellStyle name="Accent2 2 7" xfId="1851"/>
    <cellStyle name="Accent2 2 8" xfId="1852"/>
    <cellStyle name="Accent2 3" xfId="1853"/>
    <cellStyle name="Accent2 3 2" xfId="1854"/>
    <cellStyle name="Accent2 3 3" xfId="1855"/>
    <cellStyle name="Accent2 3 4" xfId="1856"/>
    <cellStyle name="Accent2 3 5" xfId="1857"/>
    <cellStyle name="Accent2 3 6" xfId="1858"/>
    <cellStyle name="Accent2 4" xfId="1859"/>
    <cellStyle name="Accent2 4 2" xfId="1860"/>
    <cellStyle name="Accent2 4 3" xfId="1861"/>
    <cellStyle name="Accent2 4 4" xfId="1862"/>
    <cellStyle name="Accent2 4 5" xfId="1863"/>
    <cellStyle name="Accent2 5" xfId="1864"/>
    <cellStyle name="Accent2 6" xfId="1865"/>
    <cellStyle name="Accent2 7" xfId="1866"/>
    <cellStyle name="Accent2 8" xfId="1867"/>
    <cellStyle name="Accent3" xfId="1868"/>
    <cellStyle name="Accent3 2" xfId="1869"/>
    <cellStyle name="Accent3 2 2" xfId="1870"/>
    <cellStyle name="Accent3 2 2 2" xfId="1871"/>
    <cellStyle name="Accent3 2 2 3" xfId="1872"/>
    <cellStyle name="Accent3 2 2 4" xfId="1873"/>
    <cellStyle name="Accent3 2 2 5" xfId="1874"/>
    <cellStyle name="Accent3 2 2 6" xfId="1875"/>
    <cellStyle name="Accent3 2 3" xfId="1876"/>
    <cellStyle name="Accent3 2 3 2" xfId="1877"/>
    <cellStyle name="Accent3 2 3 3" xfId="1878"/>
    <cellStyle name="Accent3 2 3 4" xfId="1879"/>
    <cellStyle name="Accent3 2 3 5" xfId="1880"/>
    <cellStyle name="Accent3 2 3 6" xfId="1881"/>
    <cellStyle name="Accent3 2 4" xfId="1882"/>
    <cellStyle name="Accent3 2 5" xfId="1883"/>
    <cellStyle name="Accent3 2 6" xfId="1884"/>
    <cellStyle name="Accent3 2 7" xfId="1885"/>
    <cellStyle name="Accent3 2 8" xfId="1886"/>
    <cellStyle name="Accent3 3" xfId="1887"/>
    <cellStyle name="Accent3 3 2" xfId="1888"/>
    <cellStyle name="Accent3 3 3" xfId="1889"/>
    <cellStyle name="Accent3 3 4" xfId="1890"/>
    <cellStyle name="Accent3 3 5" xfId="1891"/>
    <cellStyle name="Accent3 3 6" xfId="1892"/>
    <cellStyle name="Accent3 4" xfId="1893"/>
    <cellStyle name="Accent3 4 2" xfId="1894"/>
    <cellStyle name="Accent3 4 3" xfId="1895"/>
    <cellStyle name="Accent3 4 4" xfId="1896"/>
    <cellStyle name="Accent3 4 5" xfId="1897"/>
    <cellStyle name="Accent3 5" xfId="1898"/>
    <cellStyle name="Accent3 6" xfId="1899"/>
    <cellStyle name="Accent3 7" xfId="1900"/>
    <cellStyle name="Accent3 8" xfId="1901"/>
    <cellStyle name="Accent4" xfId="1902"/>
    <cellStyle name="Accent4 2" xfId="1903"/>
    <cellStyle name="Accent4 2 2" xfId="1904"/>
    <cellStyle name="Accent4 2 2 2" xfId="1905"/>
    <cellStyle name="Accent4 2 2 3" xfId="1906"/>
    <cellStyle name="Accent4 2 2 4" xfId="1907"/>
    <cellStyle name="Accent4 2 2 5" xfId="1908"/>
    <cellStyle name="Accent4 2 2 6" xfId="1909"/>
    <cellStyle name="Accent4 2 3" xfId="1910"/>
    <cellStyle name="Accent4 2 3 2" xfId="1911"/>
    <cellStyle name="Accent4 2 3 3" xfId="1912"/>
    <cellStyle name="Accent4 2 3 4" xfId="1913"/>
    <cellStyle name="Accent4 2 3 5" xfId="1914"/>
    <cellStyle name="Accent4 2 3 6" xfId="1915"/>
    <cellStyle name="Accent4 2 4" xfId="1916"/>
    <cellStyle name="Accent4 2 5" xfId="1917"/>
    <cellStyle name="Accent4 2 6" xfId="1918"/>
    <cellStyle name="Accent4 2 7" xfId="1919"/>
    <cellStyle name="Accent4 2 8" xfId="1920"/>
    <cellStyle name="Accent4 3" xfId="1921"/>
    <cellStyle name="Accent4 3 2" xfId="1922"/>
    <cellStyle name="Accent4 3 3" xfId="1923"/>
    <cellStyle name="Accent4 3 4" xfId="1924"/>
    <cellStyle name="Accent4 3 5" xfId="1925"/>
    <cellStyle name="Accent4 3 6" xfId="1926"/>
    <cellStyle name="Accent4 4" xfId="1927"/>
    <cellStyle name="Accent4 4 2" xfId="1928"/>
    <cellStyle name="Accent4 4 3" xfId="1929"/>
    <cellStyle name="Accent4 4 4" xfId="1930"/>
    <cellStyle name="Accent4 4 5" xfId="1931"/>
    <cellStyle name="Accent4 5" xfId="1932"/>
    <cellStyle name="Accent4 6" xfId="1933"/>
    <cellStyle name="Accent4 7" xfId="1934"/>
    <cellStyle name="Accent4 8" xfId="1935"/>
    <cellStyle name="Accent5" xfId="1936"/>
    <cellStyle name="Accent5 2" xfId="1937"/>
    <cellStyle name="Accent5 2 2" xfId="1938"/>
    <cellStyle name="Accent5 2 2 2" xfId="1939"/>
    <cellStyle name="Accent5 2 2 3" xfId="1940"/>
    <cellStyle name="Accent5 2 2 4" xfId="1941"/>
    <cellStyle name="Accent5 2 2 5" xfId="1942"/>
    <cellStyle name="Accent5 2 2 6" xfId="1943"/>
    <cellStyle name="Accent5 2 3" xfId="1944"/>
    <cellStyle name="Accent5 2 3 2" xfId="1945"/>
    <cellStyle name="Accent5 2 3 3" xfId="1946"/>
    <cellStyle name="Accent5 2 3 4" xfId="1947"/>
    <cellStyle name="Accent5 2 3 5" xfId="1948"/>
    <cellStyle name="Accent5 2 3 6" xfId="1949"/>
    <cellStyle name="Accent5 2 4" xfId="1950"/>
    <cellStyle name="Accent5 2 5" xfId="1951"/>
    <cellStyle name="Accent5 2 6" xfId="1952"/>
    <cellStyle name="Accent5 2 7" xfId="1953"/>
    <cellStyle name="Accent5 2 8" xfId="1954"/>
    <cellStyle name="Accent5 3" xfId="1955"/>
    <cellStyle name="Accent5 3 2" xfId="1956"/>
    <cellStyle name="Accent5 3 3" xfId="1957"/>
    <cellStyle name="Accent5 3 4" xfId="1958"/>
    <cellStyle name="Accent5 3 5" xfId="1959"/>
    <cellStyle name="Accent5 3 6" xfId="1960"/>
    <cellStyle name="Accent5 4" xfId="1961"/>
    <cellStyle name="Accent5 4 2" xfId="1962"/>
    <cellStyle name="Accent5 4 3" xfId="1963"/>
    <cellStyle name="Accent5 4 4" xfId="1964"/>
    <cellStyle name="Accent5 4 5" xfId="1965"/>
    <cellStyle name="Accent5 5" xfId="1966"/>
    <cellStyle name="Accent5 6" xfId="1967"/>
    <cellStyle name="Accent5 7" xfId="1968"/>
    <cellStyle name="Accent5 8" xfId="1969"/>
    <cellStyle name="Accent6" xfId="1970"/>
    <cellStyle name="Accent6 2" xfId="1971"/>
    <cellStyle name="Accent6 2 2" xfId="1972"/>
    <cellStyle name="Accent6 2 2 2" xfId="1973"/>
    <cellStyle name="Accent6 2 2 3" xfId="1974"/>
    <cellStyle name="Accent6 2 2 4" xfId="1975"/>
    <cellStyle name="Accent6 2 2 5" xfId="1976"/>
    <cellStyle name="Accent6 2 2 6" xfId="1977"/>
    <cellStyle name="Accent6 2 3" xfId="1978"/>
    <cellStyle name="Accent6 2 3 2" xfId="1979"/>
    <cellStyle name="Accent6 2 3 3" xfId="1980"/>
    <cellStyle name="Accent6 2 3 4" xfId="1981"/>
    <cellStyle name="Accent6 2 3 5" xfId="1982"/>
    <cellStyle name="Accent6 2 3 6" xfId="1983"/>
    <cellStyle name="Accent6 2 4" xfId="1984"/>
    <cellStyle name="Accent6 2 5" xfId="1985"/>
    <cellStyle name="Accent6 2 6" xfId="1986"/>
    <cellStyle name="Accent6 2 7" xfId="1987"/>
    <cellStyle name="Accent6 2 8" xfId="1988"/>
    <cellStyle name="Accent6 3" xfId="1989"/>
    <cellStyle name="Accent6 3 2" xfId="1990"/>
    <cellStyle name="Accent6 3 3" xfId="1991"/>
    <cellStyle name="Accent6 3 4" xfId="1992"/>
    <cellStyle name="Accent6 3 5" xfId="1993"/>
    <cellStyle name="Accent6 3 6" xfId="1994"/>
    <cellStyle name="Accent6 4" xfId="1995"/>
    <cellStyle name="Accent6 4 2" xfId="1996"/>
    <cellStyle name="Accent6 4 3" xfId="1997"/>
    <cellStyle name="Accent6 4 4" xfId="1998"/>
    <cellStyle name="Accent6 4 5" xfId="1999"/>
    <cellStyle name="Accent6 5" xfId="2000"/>
    <cellStyle name="Accent6 6" xfId="2001"/>
    <cellStyle name="Accent6 7" xfId="2002"/>
    <cellStyle name="Accent6 8" xfId="2003"/>
    <cellStyle name="Bad" xfId="2004"/>
    <cellStyle name="Bad 2" xfId="2005"/>
    <cellStyle name="Bad 2 2" xfId="2006"/>
    <cellStyle name="Bad 2 2 2" xfId="2007"/>
    <cellStyle name="Bad 2 2 3" xfId="2008"/>
    <cellStyle name="Bad 2 2 4" xfId="2009"/>
    <cellStyle name="Bad 2 2 5" xfId="2010"/>
    <cellStyle name="Bad 2 2 6" xfId="2011"/>
    <cellStyle name="Bad 2 3" xfId="2012"/>
    <cellStyle name="Bad 2 3 2" xfId="2013"/>
    <cellStyle name="Bad 2 3 3" xfId="2014"/>
    <cellStyle name="Bad 2 3 4" xfId="2015"/>
    <cellStyle name="Bad 2 3 5" xfId="2016"/>
    <cellStyle name="Bad 2 3 6" xfId="2017"/>
    <cellStyle name="Bad 2 4" xfId="2018"/>
    <cellStyle name="Bad 2 5" xfId="2019"/>
    <cellStyle name="Bad 2 6" xfId="2020"/>
    <cellStyle name="Bad 2 7" xfId="2021"/>
    <cellStyle name="Bad 2 8" xfId="2022"/>
    <cellStyle name="Bad 3" xfId="2023"/>
    <cellStyle name="Bad 3 2" xfId="2024"/>
    <cellStyle name="Bad 3 3" xfId="2025"/>
    <cellStyle name="Bad 3 4" xfId="2026"/>
    <cellStyle name="Bad 3 5" xfId="2027"/>
    <cellStyle name="Bad 3 6" xfId="2028"/>
    <cellStyle name="Bad 4" xfId="2029"/>
    <cellStyle name="Bad 4 2" xfId="2030"/>
    <cellStyle name="Bad 4 3" xfId="2031"/>
    <cellStyle name="Bad 4 4" xfId="2032"/>
    <cellStyle name="Bad 4 5" xfId="2033"/>
    <cellStyle name="Bad 5" xfId="2034"/>
    <cellStyle name="Bad 6" xfId="2035"/>
    <cellStyle name="Bad 7" xfId="2036"/>
    <cellStyle name="Bad 8" xfId="2037"/>
    <cellStyle name="br" xfId="2038"/>
    <cellStyle name="br 10" xfId="2039"/>
    <cellStyle name="br 2" xfId="2040"/>
    <cellStyle name="br 2 2" xfId="2041"/>
    <cellStyle name="br 2 2 2" xfId="2042"/>
    <cellStyle name="br 2 2 3" xfId="2043"/>
    <cellStyle name="br 2 3" xfId="2044"/>
    <cellStyle name="br 2 4" xfId="2045"/>
    <cellStyle name="br 2 4 2" xfId="2046"/>
    <cellStyle name="br 2 4 3" xfId="2047"/>
    <cellStyle name="br 2 4 4" xfId="2048"/>
    <cellStyle name="br 2 4 5" xfId="2049"/>
    <cellStyle name="br 2 5" xfId="2050"/>
    <cellStyle name="br 2 6" xfId="2051"/>
    <cellStyle name="br 2 7" xfId="2052"/>
    <cellStyle name="br 2 8" xfId="2053"/>
    <cellStyle name="br 3" xfId="2054"/>
    <cellStyle name="br 3 2" xfId="2055"/>
    <cellStyle name="br 3 2 2" xfId="2056"/>
    <cellStyle name="br 3 2 3" xfId="2057"/>
    <cellStyle name="br 3 3" xfId="2058"/>
    <cellStyle name="br 3 4" xfId="2059"/>
    <cellStyle name="br 3 4 2" xfId="2060"/>
    <cellStyle name="br 3 4 3" xfId="2061"/>
    <cellStyle name="br 3 4 4" xfId="2062"/>
    <cellStyle name="br 3 4 5" xfId="2063"/>
    <cellStyle name="br 3 5" xfId="2064"/>
    <cellStyle name="br 3 6" xfId="2065"/>
    <cellStyle name="br 3 7" xfId="2066"/>
    <cellStyle name="br 3 8" xfId="2067"/>
    <cellStyle name="br 4" xfId="2068"/>
    <cellStyle name="br 4 2" xfId="2069"/>
    <cellStyle name="br 4 3" xfId="2070"/>
    <cellStyle name="br 5" xfId="2071"/>
    <cellStyle name="br 6" xfId="2072"/>
    <cellStyle name="br 6 2" xfId="2073"/>
    <cellStyle name="br 6 3" xfId="2074"/>
    <cellStyle name="br 6 4" xfId="2075"/>
    <cellStyle name="br 6 5" xfId="2076"/>
    <cellStyle name="br 7" xfId="2077"/>
    <cellStyle name="br 8" xfId="2078"/>
    <cellStyle name="br 9" xfId="2079"/>
    <cellStyle name="Calculation" xfId="2080"/>
    <cellStyle name="Calculation 2" xfId="2081"/>
    <cellStyle name="Calculation 2 2" xfId="2082"/>
    <cellStyle name="Calculation 2 2 2" xfId="2083"/>
    <cellStyle name="Calculation 2 2 3" xfId="2084"/>
    <cellStyle name="Calculation 2 2 4" xfId="2085"/>
    <cellStyle name="Calculation 2 2 5" xfId="2086"/>
    <cellStyle name="Calculation 2 2 6" xfId="2087"/>
    <cellStyle name="Calculation 2 3" xfId="2088"/>
    <cellStyle name="Calculation 2 3 2" xfId="2089"/>
    <cellStyle name="Calculation 2 3 3" xfId="2090"/>
    <cellStyle name="Calculation 2 3 4" xfId="2091"/>
    <cellStyle name="Calculation 2 3 5" xfId="2092"/>
    <cellStyle name="Calculation 2 3 6" xfId="2093"/>
    <cellStyle name="Calculation 2 4" xfId="2094"/>
    <cellStyle name="Calculation 2 5" xfId="2095"/>
    <cellStyle name="Calculation 2 6" xfId="2096"/>
    <cellStyle name="Calculation 2 7" xfId="2097"/>
    <cellStyle name="Calculation 2 8" xfId="2098"/>
    <cellStyle name="Calculation 3" xfId="2099"/>
    <cellStyle name="Calculation 3 2" xfId="2100"/>
    <cellStyle name="Calculation 3 3" xfId="2101"/>
    <cellStyle name="Calculation 3 4" xfId="2102"/>
    <cellStyle name="Calculation 3 5" xfId="2103"/>
    <cellStyle name="Calculation 3 6" xfId="2104"/>
    <cellStyle name="Calculation 4" xfId="2105"/>
    <cellStyle name="Calculation 4 2" xfId="2106"/>
    <cellStyle name="Calculation 4 3" xfId="2107"/>
    <cellStyle name="Calculation 4 4" xfId="2108"/>
    <cellStyle name="Calculation 4 5" xfId="2109"/>
    <cellStyle name="Calculation 5" xfId="2110"/>
    <cellStyle name="Calculation 6" xfId="2111"/>
    <cellStyle name="Calculation 7" xfId="2112"/>
    <cellStyle name="Calculation 8" xfId="2113"/>
    <cellStyle name="Check Cell" xfId="2114"/>
    <cellStyle name="Check Cell 2" xfId="2115"/>
    <cellStyle name="Check Cell 2 2" xfId="2116"/>
    <cellStyle name="Check Cell 2 2 2" xfId="2117"/>
    <cellStyle name="Check Cell 2 2 3" xfId="2118"/>
    <cellStyle name="Check Cell 2 2 4" xfId="2119"/>
    <cellStyle name="Check Cell 2 2 5" xfId="2120"/>
    <cellStyle name="Check Cell 2 2 6" xfId="2121"/>
    <cellStyle name="Check Cell 2 3" xfId="2122"/>
    <cellStyle name="Check Cell 2 3 2" xfId="2123"/>
    <cellStyle name="Check Cell 2 3 3" xfId="2124"/>
    <cellStyle name="Check Cell 2 3 4" xfId="2125"/>
    <cellStyle name="Check Cell 2 3 5" xfId="2126"/>
    <cellStyle name="Check Cell 2 3 6" xfId="2127"/>
    <cellStyle name="Check Cell 2 4" xfId="2128"/>
    <cellStyle name="Check Cell 2 5" xfId="2129"/>
    <cellStyle name="Check Cell 2 6" xfId="2130"/>
    <cellStyle name="Check Cell 2 7" xfId="2131"/>
    <cellStyle name="Check Cell 2 8" xfId="2132"/>
    <cellStyle name="Check Cell 3" xfId="2133"/>
    <cellStyle name="Check Cell 3 2" xfId="2134"/>
    <cellStyle name="Check Cell 3 3" xfId="2135"/>
    <cellStyle name="Check Cell 3 4" xfId="2136"/>
    <cellStyle name="Check Cell 3 5" xfId="2137"/>
    <cellStyle name="Check Cell 3 6" xfId="2138"/>
    <cellStyle name="Check Cell 4" xfId="2139"/>
    <cellStyle name="Check Cell 4 2" xfId="2140"/>
    <cellStyle name="Check Cell 4 3" xfId="2141"/>
    <cellStyle name="Check Cell 4 4" xfId="2142"/>
    <cellStyle name="Check Cell 4 5" xfId="2143"/>
    <cellStyle name="Check Cell 5" xfId="2144"/>
    <cellStyle name="Check Cell 6" xfId="2145"/>
    <cellStyle name="Check Cell 7" xfId="2146"/>
    <cellStyle name="Check Cell 8" xfId="2147"/>
    <cellStyle name="col" xfId="2148"/>
    <cellStyle name="col 10" xfId="2149"/>
    <cellStyle name="col 2" xfId="2150"/>
    <cellStyle name="col 2 2" xfId="2151"/>
    <cellStyle name="col 2 2 2" xfId="2152"/>
    <cellStyle name="col 2 2 3" xfId="2153"/>
    <cellStyle name="col 2 3" xfId="2154"/>
    <cellStyle name="col 2 4" xfId="2155"/>
    <cellStyle name="col 2 4 2" xfId="2156"/>
    <cellStyle name="col 2 4 3" xfId="2157"/>
    <cellStyle name="col 2 4 4" xfId="2158"/>
    <cellStyle name="col 2 4 5" xfId="2159"/>
    <cellStyle name="col 2 5" xfId="2160"/>
    <cellStyle name="col 2 6" xfId="2161"/>
    <cellStyle name="col 2 7" xfId="2162"/>
    <cellStyle name="col 2 8" xfId="2163"/>
    <cellStyle name="col 3" xfId="2164"/>
    <cellStyle name="col 3 2" xfId="2165"/>
    <cellStyle name="col 3 2 2" xfId="2166"/>
    <cellStyle name="col 3 2 3" xfId="2167"/>
    <cellStyle name="col 3 3" xfId="2168"/>
    <cellStyle name="col 3 4" xfId="2169"/>
    <cellStyle name="col 3 4 2" xfId="2170"/>
    <cellStyle name="col 3 4 3" xfId="2171"/>
    <cellStyle name="col 3 4 4" xfId="2172"/>
    <cellStyle name="col 3 4 5" xfId="2173"/>
    <cellStyle name="col 3 5" xfId="2174"/>
    <cellStyle name="col 3 6" xfId="2175"/>
    <cellStyle name="col 3 7" xfId="2176"/>
    <cellStyle name="col 3 8" xfId="2177"/>
    <cellStyle name="col 4" xfId="2178"/>
    <cellStyle name="col 4 2" xfId="2179"/>
    <cellStyle name="col 4 3" xfId="2180"/>
    <cellStyle name="col 5" xfId="2181"/>
    <cellStyle name="col 6" xfId="2182"/>
    <cellStyle name="col 6 2" xfId="2183"/>
    <cellStyle name="col 6 3" xfId="2184"/>
    <cellStyle name="col 6 4" xfId="2185"/>
    <cellStyle name="col 6 5" xfId="2186"/>
    <cellStyle name="col 7" xfId="2187"/>
    <cellStyle name="col 8" xfId="2188"/>
    <cellStyle name="col 9" xfId="2189"/>
    <cellStyle name="ex58" xfId="2190"/>
    <cellStyle name="ex58 2" xfId="2191"/>
    <cellStyle name="ex58 2 2" xfId="2192"/>
    <cellStyle name="ex58 2 3" xfId="2193"/>
    <cellStyle name="ex58 3" xfId="2194"/>
    <cellStyle name="ex58 4" xfId="2195"/>
    <cellStyle name="ex58 4 2" xfId="2196"/>
    <cellStyle name="ex58 4 3" xfId="2197"/>
    <cellStyle name="ex58 4 4" xfId="2198"/>
    <cellStyle name="ex58 4 5" xfId="2199"/>
    <cellStyle name="ex58 5" xfId="2200"/>
    <cellStyle name="ex58 6" xfId="2201"/>
    <cellStyle name="ex58 7" xfId="2202"/>
    <cellStyle name="ex58 8" xfId="2203"/>
    <cellStyle name="ex59" xfId="2204"/>
    <cellStyle name="ex59 10" xfId="2205"/>
    <cellStyle name="ex59 10 2" xfId="2206"/>
    <cellStyle name="ex59 10 2 2" xfId="2207"/>
    <cellStyle name="ex59 10 2 3" xfId="2208"/>
    <cellStyle name="ex59 10 3" xfId="2209"/>
    <cellStyle name="ex59 10 4" xfId="2210"/>
    <cellStyle name="ex59 10 4 2" xfId="2211"/>
    <cellStyle name="ex59 10 4 3" xfId="2212"/>
    <cellStyle name="ex59 10 4 4" xfId="2213"/>
    <cellStyle name="ex59 10 4 5" xfId="2214"/>
    <cellStyle name="ex59 10 5" xfId="2215"/>
    <cellStyle name="ex59 10 6" xfId="2216"/>
    <cellStyle name="ex59 10 7" xfId="2217"/>
    <cellStyle name="ex59 10 8" xfId="2218"/>
    <cellStyle name="ex59 11" xfId="2219"/>
    <cellStyle name="ex59 11 2" xfId="2220"/>
    <cellStyle name="ex59 11 2 2" xfId="2221"/>
    <cellStyle name="ex59 11 2 3" xfId="2222"/>
    <cellStyle name="ex59 11 3" xfId="2223"/>
    <cellStyle name="ex59 11 4" xfId="2224"/>
    <cellStyle name="ex59 11 4 2" xfId="2225"/>
    <cellStyle name="ex59 11 4 3" xfId="2226"/>
    <cellStyle name="ex59 11 4 4" xfId="2227"/>
    <cellStyle name="ex59 11 4 5" xfId="2228"/>
    <cellStyle name="ex59 11 5" xfId="2229"/>
    <cellStyle name="ex59 11 6" xfId="2230"/>
    <cellStyle name="ex59 11 7" xfId="2231"/>
    <cellStyle name="ex59 11 8" xfId="2232"/>
    <cellStyle name="ex59 12" xfId="2233"/>
    <cellStyle name="ex59 12 2" xfId="2234"/>
    <cellStyle name="ex59 12 3" xfId="2235"/>
    <cellStyle name="ex59 13" xfId="2236"/>
    <cellStyle name="ex59 14" xfId="2237"/>
    <cellStyle name="ex59 14 2" xfId="2238"/>
    <cellStyle name="ex59 14 3" xfId="2239"/>
    <cellStyle name="ex59 14 4" xfId="2240"/>
    <cellStyle name="ex59 14 5" xfId="2241"/>
    <cellStyle name="ex59 15" xfId="2242"/>
    <cellStyle name="ex59 16" xfId="2243"/>
    <cellStyle name="ex59 17" xfId="2244"/>
    <cellStyle name="ex59 18" xfId="2245"/>
    <cellStyle name="ex59 2" xfId="2246"/>
    <cellStyle name="ex59 2 10" xfId="2247"/>
    <cellStyle name="ex59 2 10 2" xfId="2248"/>
    <cellStyle name="ex59 2 10 2 2" xfId="2249"/>
    <cellStyle name="ex59 2 10 2 3" xfId="2250"/>
    <cellStyle name="ex59 2 10 3" xfId="2251"/>
    <cellStyle name="ex59 2 10 4" xfId="2252"/>
    <cellStyle name="ex59 2 10 4 2" xfId="2253"/>
    <cellStyle name="ex59 2 10 4 3" xfId="2254"/>
    <cellStyle name="ex59 2 10 4 4" xfId="2255"/>
    <cellStyle name="ex59 2 10 4 5" xfId="2256"/>
    <cellStyle name="ex59 2 10 5" xfId="2257"/>
    <cellStyle name="ex59 2 10 6" xfId="2258"/>
    <cellStyle name="ex59 2 10 7" xfId="2259"/>
    <cellStyle name="ex59 2 10 8" xfId="2260"/>
    <cellStyle name="ex59 2 11" xfId="2261"/>
    <cellStyle name="ex59 2 11 2" xfId="2262"/>
    <cellStyle name="ex59 2 11 3" xfId="2263"/>
    <cellStyle name="ex59 2 12" xfId="2264"/>
    <cellStyle name="ex59 2 13" xfId="2265"/>
    <cellStyle name="ex59 2 13 2" xfId="2266"/>
    <cellStyle name="ex59 2 13 3" xfId="2267"/>
    <cellStyle name="ex59 2 13 4" xfId="2268"/>
    <cellStyle name="ex59 2 13 5" xfId="2269"/>
    <cellStyle name="ex59 2 14" xfId="2270"/>
    <cellStyle name="ex59 2 15" xfId="2271"/>
    <cellStyle name="ex59 2 16" xfId="2272"/>
    <cellStyle name="ex59 2 17" xfId="2273"/>
    <cellStyle name="ex59 2 2" xfId="2274"/>
    <cellStyle name="ex59 2 2 2" xfId="2275"/>
    <cellStyle name="ex59 2 2 2 2" xfId="2276"/>
    <cellStyle name="ex59 2 2 2 3" xfId="2277"/>
    <cellStyle name="ex59 2 2 3" xfId="2278"/>
    <cellStyle name="ex59 2 2 4" xfId="2279"/>
    <cellStyle name="ex59 2 2 4 2" xfId="2280"/>
    <cellStyle name="ex59 2 2 4 3" xfId="2281"/>
    <cellStyle name="ex59 2 2 4 4" xfId="2282"/>
    <cellStyle name="ex59 2 2 4 5" xfId="2283"/>
    <cellStyle name="ex59 2 2 5" xfId="2284"/>
    <cellStyle name="ex59 2 2 6" xfId="2285"/>
    <cellStyle name="ex59 2 2 7" xfId="2286"/>
    <cellStyle name="ex59 2 2 8" xfId="2287"/>
    <cellStyle name="ex59 2 3" xfId="2288"/>
    <cellStyle name="ex59 2 3 2" xfId="2289"/>
    <cellStyle name="ex59 2 3 2 2" xfId="2290"/>
    <cellStyle name="ex59 2 3 2 3" xfId="2291"/>
    <cellStyle name="ex59 2 3 3" xfId="2292"/>
    <cellStyle name="ex59 2 3 4" xfId="2293"/>
    <cellStyle name="ex59 2 3 4 2" xfId="2294"/>
    <cellStyle name="ex59 2 3 4 3" xfId="2295"/>
    <cellStyle name="ex59 2 3 4 4" xfId="2296"/>
    <cellStyle name="ex59 2 3 4 5" xfId="2297"/>
    <cellStyle name="ex59 2 3 5" xfId="2298"/>
    <cellStyle name="ex59 2 3 6" xfId="2299"/>
    <cellStyle name="ex59 2 3 7" xfId="2300"/>
    <cellStyle name="ex59 2 3 8" xfId="2301"/>
    <cellStyle name="ex59 2 4" xfId="2302"/>
    <cellStyle name="ex59 2 4 2" xfId="2303"/>
    <cellStyle name="ex59 2 4 2 2" xfId="2304"/>
    <cellStyle name="ex59 2 4 2 3" xfId="2305"/>
    <cellStyle name="ex59 2 4 3" xfId="2306"/>
    <cellStyle name="ex59 2 4 4" xfId="2307"/>
    <cellStyle name="ex59 2 4 4 2" xfId="2308"/>
    <cellStyle name="ex59 2 4 4 3" xfId="2309"/>
    <cellStyle name="ex59 2 4 4 4" xfId="2310"/>
    <cellStyle name="ex59 2 4 4 5" xfId="2311"/>
    <cellStyle name="ex59 2 4 5" xfId="2312"/>
    <cellStyle name="ex59 2 4 6" xfId="2313"/>
    <cellStyle name="ex59 2 4 7" xfId="2314"/>
    <cellStyle name="ex59 2 4 8" xfId="2315"/>
    <cellStyle name="ex59 2 5" xfId="2316"/>
    <cellStyle name="ex59 2 5 2" xfId="2317"/>
    <cellStyle name="ex59 2 5 2 2" xfId="2318"/>
    <cellStyle name="ex59 2 5 2 3" xfId="2319"/>
    <cellStyle name="ex59 2 5 3" xfId="2320"/>
    <cellStyle name="ex59 2 5 4" xfId="2321"/>
    <cellStyle name="ex59 2 5 4 2" xfId="2322"/>
    <cellStyle name="ex59 2 5 4 3" xfId="2323"/>
    <cellStyle name="ex59 2 5 4 4" xfId="2324"/>
    <cellStyle name="ex59 2 5 4 5" xfId="2325"/>
    <cellStyle name="ex59 2 5 5" xfId="2326"/>
    <cellStyle name="ex59 2 5 6" xfId="2327"/>
    <cellStyle name="ex59 2 5 7" xfId="2328"/>
    <cellStyle name="ex59 2 5 8" xfId="2329"/>
    <cellStyle name="ex59 2 6" xfId="2330"/>
    <cellStyle name="ex59 2 6 2" xfId="2331"/>
    <cellStyle name="ex59 2 6 2 2" xfId="2332"/>
    <cellStyle name="ex59 2 6 2 3" xfId="2333"/>
    <cellStyle name="ex59 2 6 3" xfId="2334"/>
    <cellStyle name="ex59 2 6 4" xfId="2335"/>
    <cellStyle name="ex59 2 6 4 2" xfId="2336"/>
    <cellStyle name="ex59 2 6 4 3" xfId="2337"/>
    <cellStyle name="ex59 2 6 4 4" xfId="2338"/>
    <cellStyle name="ex59 2 6 4 5" xfId="2339"/>
    <cellStyle name="ex59 2 6 5" xfId="2340"/>
    <cellStyle name="ex59 2 6 6" xfId="2341"/>
    <cellStyle name="ex59 2 6 7" xfId="2342"/>
    <cellStyle name="ex59 2 6 8" xfId="2343"/>
    <cellStyle name="ex59 2 7" xfId="2344"/>
    <cellStyle name="ex59 2 7 2" xfId="2345"/>
    <cellStyle name="ex59 2 7 2 2" xfId="2346"/>
    <cellStyle name="ex59 2 7 2 3" xfId="2347"/>
    <cellStyle name="ex59 2 7 3" xfId="2348"/>
    <cellStyle name="ex59 2 7 4" xfId="2349"/>
    <cellStyle name="ex59 2 7 4 2" xfId="2350"/>
    <cellStyle name="ex59 2 7 4 3" xfId="2351"/>
    <cellStyle name="ex59 2 7 4 4" xfId="2352"/>
    <cellStyle name="ex59 2 7 4 5" xfId="2353"/>
    <cellStyle name="ex59 2 7 5" xfId="2354"/>
    <cellStyle name="ex59 2 7 6" xfId="2355"/>
    <cellStyle name="ex59 2 7 7" xfId="2356"/>
    <cellStyle name="ex59 2 7 8" xfId="2357"/>
    <cellStyle name="ex59 2 8" xfId="2358"/>
    <cellStyle name="ex59 2 8 2" xfId="2359"/>
    <cellStyle name="ex59 2 8 2 2" xfId="2360"/>
    <cellStyle name="ex59 2 8 2 3" xfId="2361"/>
    <cellStyle name="ex59 2 8 3" xfId="2362"/>
    <cellStyle name="ex59 2 8 4" xfId="2363"/>
    <cellStyle name="ex59 2 8 4 2" xfId="2364"/>
    <cellStyle name="ex59 2 8 4 3" xfId="2365"/>
    <cellStyle name="ex59 2 8 4 4" xfId="2366"/>
    <cellStyle name="ex59 2 8 4 5" xfId="2367"/>
    <cellStyle name="ex59 2 8 5" xfId="2368"/>
    <cellStyle name="ex59 2 8 6" xfId="2369"/>
    <cellStyle name="ex59 2 8 7" xfId="2370"/>
    <cellStyle name="ex59 2 8 8" xfId="2371"/>
    <cellStyle name="ex59 2 9" xfId="2372"/>
    <cellStyle name="ex59 2 9 2" xfId="2373"/>
    <cellStyle name="ex59 2 9 2 2" xfId="2374"/>
    <cellStyle name="ex59 2 9 2 3" xfId="2375"/>
    <cellStyle name="ex59 2 9 3" xfId="2376"/>
    <cellStyle name="ex59 2 9 4" xfId="2377"/>
    <cellStyle name="ex59 2 9 4 2" xfId="2378"/>
    <cellStyle name="ex59 2 9 4 3" xfId="2379"/>
    <cellStyle name="ex59 2 9 4 4" xfId="2380"/>
    <cellStyle name="ex59 2 9 4 5" xfId="2381"/>
    <cellStyle name="ex59 2 9 5" xfId="2382"/>
    <cellStyle name="ex59 2 9 6" xfId="2383"/>
    <cellStyle name="ex59 2 9 7" xfId="2384"/>
    <cellStyle name="ex59 2 9 8" xfId="2385"/>
    <cellStyle name="ex59 3" xfId="2386"/>
    <cellStyle name="ex59 3 2" xfId="2387"/>
    <cellStyle name="ex59 3 2 2" xfId="2388"/>
    <cellStyle name="ex59 3 2 3" xfId="2389"/>
    <cellStyle name="ex59 3 3" xfId="2390"/>
    <cellStyle name="ex59 3 4" xfId="2391"/>
    <cellStyle name="ex59 3 4 2" xfId="2392"/>
    <cellStyle name="ex59 3 4 3" xfId="2393"/>
    <cellStyle name="ex59 3 4 4" xfId="2394"/>
    <cellStyle name="ex59 3 4 5" xfId="2395"/>
    <cellStyle name="ex59 3 5" xfId="2396"/>
    <cellStyle name="ex59 3 6" xfId="2397"/>
    <cellStyle name="ex59 3 7" xfId="2398"/>
    <cellStyle name="ex59 3 8" xfId="2399"/>
    <cellStyle name="ex59 4" xfId="2400"/>
    <cellStyle name="ex59 4 2" xfId="2401"/>
    <cellStyle name="ex59 4 2 2" xfId="2402"/>
    <cellStyle name="ex59 4 2 3" xfId="2403"/>
    <cellStyle name="ex59 4 3" xfId="2404"/>
    <cellStyle name="ex59 4 4" xfId="2405"/>
    <cellStyle name="ex59 4 4 2" xfId="2406"/>
    <cellStyle name="ex59 4 4 3" xfId="2407"/>
    <cellStyle name="ex59 4 4 4" xfId="2408"/>
    <cellStyle name="ex59 4 4 5" xfId="2409"/>
    <cellStyle name="ex59 4 5" xfId="2410"/>
    <cellStyle name="ex59 4 6" xfId="2411"/>
    <cellStyle name="ex59 4 7" xfId="2412"/>
    <cellStyle name="ex59 4 8" xfId="2413"/>
    <cellStyle name="ex59 5" xfId="2414"/>
    <cellStyle name="ex59 5 2" xfId="2415"/>
    <cellStyle name="ex59 5 2 2" xfId="2416"/>
    <cellStyle name="ex59 5 2 3" xfId="2417"/>
    <cellStyle name="ex59 5 3" xfId="2418"/>
    <cellStyle name="ex59 5 4" xfId="2419"/>
    <cellStyle name="ex59 5 4 2" xfId="2420"/>
    <cellStyle name="ex59 5 4 3" xfId="2421"/>
    <cellStyle name="ex59 5 4 4" xfId="2422"/>
    <cellStyle name="ex59 5 4 5" xfId="2423"/>
    <cellStyle name="ex59 5 5" xfId="2424"/>
    <cellStyle name="ex59 5 6" xfId="2425"/>
    <cellStyle name="ex59 5 7" xfId="2426"/>
    <cellStyle name="ex59 5 8" xfId="2427"/>
    <cellStyle name="ex59 6" xfId="2428"/>
    <cellStyle name="ex59 6 2" xfId="2429"/>
    <cellStyle name="ex59 6 2 2" xfId="2430"/>
    <cellStyle name="ex59 6 2 3" xfId="2431"/>
    <cellStyle name="ex59 6 3" xfId="2432"/>
    <cellStyle name="ex59 6 4" xfId="2433"/>
    <cellStyle name="ex59 6 4 2" xfId="2434"/>
    <cellStyle name="ex59 6 4 3" xfId="2435"/>
    <cellStyle name="ex59 6 4 4" xfId="2436"/>
    <cellStyle name="ex59 6 4 5" xfId="2437"/>
    <cellStyle name="ex59 6 5" xfId="2438"/>
    <cellStyle name="ex59 6 6" xfId="2439"/>
    <cellStyle name="ex59 6 7" xfId="2440"/>
    <cellStyle name="ex59 6 8" xfId="2441"/>
    <cellStyle name="ex59 7" xfId="2442"/>
    <cellStyle name="ex59 7 2" xfId="2443"/>
    <cellStyle name="ex59 7 2 2" xfId="2444"/>
    <cellStyle name="ex59 7 2 3" xfId="2445"/>
    <cellStyle name="ex59 7 3" xfId="2446"/>
    <cellStyle name="ex59 7 4" xfId="2447"/>
    <cellStyle name="ex59 7 4 2" xfId="2448"/>
    <cellStyle name="ex59 7 4 3" xfId="2449"/>
    <cellStyle name="ex59 7 4 4" xfId="2450"/>
    <cellStyle name="ex59 7 4 5" xfId="2451"/>
    <cellStyle name="ex59 7 5" xfId="2452"/>
    <cellStyle name="ex59 7 6" xfId="2453"/>
    <cellStyle name="ex59 7 7" xfId="2454"/>
    <cellStyle name="ex59 7 8" xfId="2455"/>
    <cellStyle name="ex59 8" xfId="2456"/>
    <cellStyle name="ex59 8 2" xfId="2457"/>
    <cellStyle name="ex59 8 2 2" xfId="2458"/>
    <cellStyle name="ex59 8 2 3" xfId="2459"/>
    <cellStyle name="ex59 8 3" xfId="2460"/>
    <cellStyle name="ex59 8 4" xfId="2461"/>
    <cellStyle name="ex59 8 4 2" xfId="2462"/>
    <cellStyle name="ex59 8 4 3" xfId="2463"/>
    <cellStyle name="ex59 8 4 4" xfId="2464"/>
    <cellStyle name="ex59 8 4 5" xfId="2465"/>
    <cellStyle name="ex59 8 5" xfId="2466"/>
    <cellStyle name="ex59 8 6" xfId="2467"/>
    <cellStyle name="ex59 8 7" xfId="2468"/>
    <cellStyle name="ex59 8 8" xfId="2469"/>
    <cellStyle name="ex59 9" xfId="2470"/>
    <cellStyle name="ex59 9 2" xfId="2471"/>
    <cellStyle name="ex59 9 2 2" xfId="2472"/>
    <cellStyle name="ex59 9 2 3" xfId="2473"/>
    <cellStyle name="ex59 9 3" xfId="2474"/>
    <cellStyle name="ex59 9 4" xfId="2475"/>
    <cellStyle name="ex59 9 4 2" xfId="2476"/>
    <cellStyle name="ex59 9 4 3" xfId="2477"/>
    <cellStyle name="ex59 9 4 4" xfId="2478"/>
    <cellStyle name="ex59 9 4 5" xfId="2479"/>
    <cellStyle name="ex59 9 5" xfId="2480"/>
    <cellStyle name="ex59 9 6" xfId="2481"/>
    <cellStyle name="ex59 9 7" xfId="2482"/>
    <cellStyle name="ex59 9 8" xfId="2483"/>
    <cellStyle name="ex60" xfId="2484"/>
    <cellStyle name="ex60 10" xfId="2485"/>
    <cellStyle name="ex60 10 2" xfId="2486"/>
    <cellStyle name="ex60 10 2 2" xfId="2487"/>
    <cellStyle name="ex60 10 2 3" xfId="2488"/>
    <cellStyle name="ex60 10 3" xfId="2489"/>
    <cellStyle name="ex60 10 4" xfId="2490"/>
    <cellStyle name="ex60 10 4 2" xfId="2491"/>
    <cellStyle name="ex60 10 4 3" xfId="2492"/>
    <cellStyle name="ex60 10 4 4" xfId="2493"/>
    <cellStyle name="ex60 10 4 5" xfId="2494"/>
    <cellStyle name="ex60 10 5" xfId="2495"/>
    <cellStyle name="ex60 10 6" xfId="2496"/>
    <cellStyle name="ex60 10 7" xfId="2497"/>
    <cellStyle name="ex60 10 8" xfId="2498"/>
    <cellStyle name="ex60 11" xfId="2499"/>
    <cellStyle name="ex60 11 2" xfId="2500"/>
    <cellStyle name="ex60 11 3" xfId="2501"/>
    <cellStyle name="ex60 12" xfId="2502"/>
    <cellStyle name="ex60 13" xfId="2503"/>
    <cellStyle name="ex60 13 2" xfId="2504"/>
    <cellStyle name="ex60 13 3" xfId="2505"/>
    <cellStyle name="ex60 13 4" xfId="2506"/>
    <cellStyle name="ex60 13 5" xfId="2507"/>
    <cellStyle name="ex60 14" xfId="2508"/>
    <cellStyle name="ex60 15" xfId="2509"/>
    <cellStyle name="ex60 16" xfId="2510"/>
    <cellStyle name="ex60 17" xfId="2511"/>
    <cellStyle name="ex60 2" xfId="2512"/>
    <cellStyle name="ex60 2 10" xfId="2513"/>
    <cellStyle name="ex60 2 10 2" xfId="2514"/>
    <cellStyle name="ex60 2 10 2 2" xfId="2515"/>
    <cellStyle name="ex60 2 10 2 3" xfId="2516"/>
    <cellStyle name="ex60 2 10 3" xfId="2517"/>
    <cellStyle name="ex60 2 10 4" xfId="2518"/>
    <cellStyle name="ex60 2 10 4 2" xfId="2519"/>
    <cellStyle name="ex60 2 10 4 3" xfId="2520"/>
    <cellStyle name="ex60 2 10 4 4" xfId="2521"/>
    <cellStyle name="ex60 2 10 4 5" xfId="2522"/>
    <cellStyle name="ex60 2 10 5" xfId="2523"/>
    <cellStyle name="ex60 2 10 6" xfId="2524"/>
    <cellStyle name="ex60 2 10 7" xfId="2525"/>
    <cellStyle name="ex60 2 10 8" xfId="2526"/>
    <cellStyle name="ex60 2 11" xfId="2527"/>
    <cellStyle name="ex60 2 11 2" xfId="2528"/>
    <cellStyle name="ex60 2 11 3" xfId="2529"/>
    <cellStyle name="ex60 2 12" xfId="2530"/>
    <cellStyle name="ex60 2 13" xfId="2531"/>
    <cellStyle name="ex60 2 13 2" xfId="2532"/>
    <cellStyle name="ex60 2 13 3" xfId="2533"/>
    <cellStyle name="ex60 2 13 4" xfId="2534"/>
    <cellStyle name="ex60 2 13 5" xfId="2535"/>
    <cellStyle name="ex60 2 14" xfId="2536"/>
    <cellStyle name="ex60 2 15" xfId="2537"/>
    <cellStyle name="ex60 2 16" xfId="2538"/>
    <cellStyle name="ex60 2 17" xfId="2539"/>
    <cellStyle name="ex60 2 2" xfId="2540"/>
    <cellStyle name="ex60 2 2 2" xfId="2541"/>
    <cellStyle name="ex60 2 2 2 2" xfId="2542"/>
    <cellStyle name="ex60 2 2 2 3" xfId="2543"/>
    <cellStyle name="ex60 2 2 3" xfId="2544"/>
    <cellStyle name="ex60 2 2 4" xfId="2545"/>
    <cellStyle name="ex60 2 2 4 2" xfId="2546"/>
    <cellStyle name="ex60 2 2 4 3" xfId="2547"/>
    <cellStyle name="ex60 2 2 4 4" xfId="2548"/>
    <cellStyle name="ex60 2 2 4 5" xfId="2549"/>
    <cellStyle name="ex60 2 2 5" xfId="2550"/>
    <cellStyle name="ex60 2 2 6" xfId="2551"/>
    <cellStyle name="ex60 2 2 7" xfId="2552"/>
    <cellStyle name="ex60 2 2 8" xfId="2553"/>
    <cellStyle name="ex60 2 3" xfId="2554"/>
    <cellStyle name="ex60 2 3 2" xfId="2555"/>
    <cellStyle name="ex60 2 3 2 2" xfId="2556"/>
    <cellStyle name="ex60 2 3 2 3" xfId="2557"/>
    <cellStyle name="ex60 2 3 3" xfId="2558"/>
    <cellStyle name="ex60 2 3 4" xfId="2559"/>
    <cellStyle name="ex60 2 3 4 2" xfId="2560"/>
    <cellStyle name="ex60 2 3 4 3" xfId="2561"/>
    <cellStyle name="ex60 2 3 4 4" xfId="2562"/>
    <cellStyle name="ex60 2 3 4 5" xfId="2563"/>
    <cellStyle name="ex60 2 3 5" xfId="2564"/>
    <cellStyle name="ex60 2 3 6" xfId="2565"/>
    <cellStyle name="ex60 2 3 7" xfId="2566"/>
    <cellStyle name="ex60 2 3 8" xfId="2567"/>
    <cellStyle name="ex60 2 4" xfId="2568"/>
    <cellStyle name="ex60 2 4 2" xfId="2569"/>
    <cellStyle name="ex60 2 4 2 2" xfId="2570"/>
    <cellStyle name="ex60 2 4 2 3" xfId="2571"/>
    <cellStyle name="ex60 2 4 3" xfId="2572"/>
    <cellStyle name="ex60 2 4 4" xfId="2573"/>
    <cellStyle name="ex60 2 4 4 2" xfId="2574"/>
    <cellStyle name="ex60 2 4 4 3" xfId="2575"/>
    <cellStyle name="ex60 2 4 4 4" xfId="2576"/>
    <cellStyle name="ex60 2 4 4 5" xfId="2577"/>
    <cellStyle name="ex60 2 4 5" xfId="2578"/>
    <cellStyle name="ex60 2 4 6" xfId="2579"/>
    <cellStyle name="ex60 2 4 7" xfId="2580"/>
    <cellStyle name="ex60 2 4 8" xfId="2581"/>
    <cellStyle name="ex60 2 5" xfId="2582"/>
    <cellStyle name="ex60 2 5 2" xfId="2583"/>
    <cellStyle name="ex60 2 5 2 2" xfId="2584"/>
    <cellStyle name="ex60 2 5 2 3" xfId="2585"/>
    <cellStyle name="ex60 2 5 3" xfId="2586"/>
    <cellStyle name="ex60 2 5 4" xfId="2587"/>
    <cellStyle name="ex60 2 5 4 2" xfId="2588"/>
    <cellStyle name="ex60 2 5 4 3" xfId="2589"/>
    <cellStyle name="ex60 2 5 4 4" xfId="2590"/>
    <cellStyle name="ex60 2 5 4 5" xfId="2591"/>
    <cellStyle name="ex60 2 5 5" xfId="2592"/>
    <cellStyle name="ex60 2 5 6" xfId="2593"/>
    <cellStyle name="ex60 2 5 7" xfId="2594"/>
    <cellStyle name="ex60 2 5 8" xfId="2595"/>
    <cellStyle name="ex60 2 6" xfId="2596"/>
    <cellStyle name="ex60 2 6 2" xfId="2597"/>
    <cellStyle name="ex60 2 6 2 2" xfId="2598"/>
    <cellStyle name="ex60 2 6 2 3" xfId="2599"/>
    <cellStyle name="ex60 2 6 3" xfId="2600"/>
    <cellStyle name="ex60 2 6 4" xfId="2601"/>
    <cellStyle name="ex60 2 6 4 2" xfId="2602"/>
    <cellStyle name="ex60 2 6 4 3" xfId="2603"/>
    <cellStyle name="ex60 2 6 4 4" xfId="2604"/>
    <cellStyle name="ex60 2 6 4 5" xfId="2605"/>
    <cellStyle name="ex60 2 6 5" xfId="2606"/>
    <cellStyle name="ex60 2 6 6" xfId="2607"/>
    <cellStyle name="ex60 2 6 7" xfId="2608"/>
    <cellStyle name="ex60 2 6 8" xfId="2609"/>
    <cellStyle name="ex60 2 7" xfId="2610"/>
    <cellStyle name="ex60 2 7 2" xfId="2611"/>
    <cellStyle name="ex60 2 7 2 2" xfId="2612"/>
    <cellStyle name="ex60 2 7 2 3" xfId="2613"/>
    <cellStyle name="ex60 2 7 3" xfId="2614"/>
    <cellStyle name="ex60 2 7 4" xfId="2615"/>
    <cellStyle name="ex60 2 7 4 2" xfId="2616"/>
    <cellStyle name="ex60 2 7 4 3" xfId="2617"/>
    <cellStyle name="ex60 2 7 4 4" xfId="2618"/>
    <cellStyle name="ex60 2 7 4 5" xfId="2619"/>
    <cellStyle name="ex60 2 7 5" xfId="2620"/>
    <cellStyle name="ex60 2 7 6" xfId="2621"/>
    <cellStyle name="ex60 2 7 7" xfId="2622"/>
    <cellStyle name="ex60 2 7 8" xfId="2623"/>
    <cellStyle name="ex60 2 8" xfId="2624"/>
    <cellStyle name="ex60 2 8 2" xfId="2625"/>
    <cellStyle name="ex60 2 8 2 2" xfId="2626"/>
    <cellStyle name="ex60 2 8 2 3" xfId="2627"/>
    <cellStyle name="ex60 2 8 3" xfId="2628"/>
    <cellStyle name="ex60 2 8 4" xfId="2629"/>
    <cellStyle name="ex60 2 8 4 2" xfId="2630"/>
    <cellStyle name="ex60 2 8 4 3" xfId="2631"/>
    <cellStyle name="ex60 2 8 4 4" xfId="2632"/>
    <cellStyle name="ex60 2 8 4 5" xfId="2633"/>
    <cellStyle name="ex60 2 8 5" xfId="2634"/>
    <cellStyle name="ex60 2 8 6" xfId="2635"/>
    <cellStyle name="ex60 2 8 7" xfId="2636"/>
    <cellStyle name="ex60 2 8 8" xfId="2637"/>
    <cellStyle name="ex60 2 9" xfId="2638"/>
    <cellStyle name="ex60 2 9 2" xfId="2639"/>
    <cellStyle name="ex60 2 9 2 2" xfId="2640"/>
    <cellStyle name="ex60 2 9 2 3" xfId="2641"/>
    <cellStyle name="ex60 2 9 3" xfId="2642"/>
    <cellStyle name="ex60 2 9 4" xfId="2643"/>
    <cellStyle name="ex60 2 9 4 2" xfId="2644"/>
    <cellStyle name="ex60 2 9 4 3" xfId="2645"/>
    <cellStyle name="ex60 2 9 4 4" xfId="2646"/>
    <cellStyle name="ex60 2 9 4 5" xfId="2647"/>
    <cellStyle name="ex60 2 9 5" xfId="2648"/>
    <cellStyle name="ex60 2 9 6" xfId="2649"/>
    <cellStyle name="ex60 2 9 7" xfId="2650"/>
    <cellStyle name="ex60 2 9 8" xfId="2651"/>
    <cellStyle name="ex60 3" xfId="2652"/>
    <cellStyle name="ex60 3 2" xfId="2653"/>
    <cellStyle name="ex60 3 2 2" xfId="2654"/>
    <cellStyle name="ex60 3 2 3" xfId="2655"/>
    <cellStyle name="ex60 3 3" xfId="2656"/>
    <cellStyle name="ex60 3 4" xfId="2657"/>
    <cellStyle name="ex60 3 4 2" xfId="2658"/>
    <cellStyle name="ex60 3 4 3" xfId="2659"/>
    <cellStyle name="ex60 3 4 4" xfId="2660"/>
    <cellStyle name="ex60 3 4 5" xfId="2661"/>
    <cellStyle name="ex60 3 5" xfId="2662"/>
    <cellStyle name="ex60 3 6" xfId="2663"/>
    <cellStyle name="ex60 3 7" xfId="2664"/>
    <cellStyle name="ex60 3 8" xfId="2665"/>
    <cellStyle name="ex60 4" xfId="2666"/>
    <cellStyle name="ex60 4 2" xfId="2667"/>
    <cellStyle name="ex60 4 2 2" xfId="2668"/>
    <cellStyle name="ex60 4 2 3" xfId="2669"/>
    <cellStyle name="ex60 4 3" xfId="2670"/>
    <cellStyle name="ex60 4 4" xfId="2671"/>
    <cellStyle name="ex60 4 4 2" xfId="2672"/>
    <cellStyle name="ex60 4 4 3" xfId="2673"/>
    <cellStyle name="ex60 4 4 4" xfId="2674"/>
    <cellStyle name="ex60 4 4 5" xfId="2675"/>
    <cellStyle name="ex60 4 5" xfId="2676"/>
    <cellStyle name="ex60 4 6" xfId="2677"/>
    <cellStyle name="ex60 4 7" xfId="2678"/>
    <cellStyle name="ex60 4 8" xfId="2679"/>
    <cellStyle name="ex60 5" xfId="2680"/>
    <cellStyle name="ex60 5 2" xfId="2681"/>
    <cellStyle name="ex60 5 2 2" xfId="2682"/>
    <cellStyle name="ex60 5 2 3" xfId="2683"/>
    <cellStyle name="ex60 5 3" xfId="2684"/>
    <cellStyle name="ex60 5 4" xfId="2685"/>
    <cellStyle name="ex60 5 4 2" xfId="2686"/>
    <cellStyle name="ex60 5 4 3" xfId="2687"/>
    <cellStyle name="ex60 5 4 4" xfId="2688"/>
    <cellStyle name="ex60 5 4 5" xfId="2689"/>
    <cellStyle name="ex60 5 5" xfId="2690"/>
    <cellStyle name="ex60 5 6" xfId="2691"/>
    <cellStyle name="ex60 5 7" xfId="2692"/>
    <cellStyle name="ex60 5 8" xfId="2693"/>
    <cellStyle name="ex60 6" xfId="2694"/>
    <cellStyle name="ex60 6 2" xfId="2695"/>
    <cellStyle name="ex60 6 2 2" xfId="2696"/>
    <cellStyle name="ex60 6 2 3" xfId="2697"/>
    <cellStyle name="ex60 6 3" xfId="2698"/>
    <cellStyle name="ex60 6 4" xfId="2699"/>
    <cellStyle name="ex60 6 4 2" xfId="2700"/>
    <cellStyle name="ex60 6 4 3" xfId="2701"/>
    <cellStyle name="ex60 6 4 4" xfId="2702"/>
    <cellStyle name="ex60 6 4 5" xfId="2703"/>
    <cellStyle name="ex60 6 5" xfId="2704"/>
    <cellStyle name="ex60 6 6" xfId="2705"/>
    <cellStyle name="ex60 6 7" xfId="2706"/>
    <cellStyle name="ex60 6 8" xfId="2707"/>
    <cellStyle name="ex60 7" xfId="2708"/>
    <cellStyle name="ex60 7 2" xfId="2709"/>
    <cellStyle name="ex60 7 2 2" xfId="2710"/>
    <cellStyle name="ex60 7 2 3" xfId="2711"/>
    <cellStyle name="ex60 7 3" xfId="2712"/>
    <cellStyle name="ex60 7 4" xfId="2713"/>
    <cellStyle name="ex60 7 4 2" xfId="2714"/>
    <cellStyle name="ex60 7 4 3" xfId="2715"/>
    <cellStyle name="ex60 7 4 4" xfId="2716"/>
    <cellStyle name="ex60 7 4 5" xfId="2717"/>
    <cellStyle name="ex60 7 5" xfId="2718"/>
    <cellStyle name="ex60 7 6" xfId="2719"/>
    <cellStyle name="ex60 7 7" xfId="2720"/>
    <cellStyle name="ex60 7 8" xfId="2721"/>
    <cellStyle name="ex60 8" xfId="2722"/>
    <cellStyle name="ex60 8 2" xfId="2723"/>
    <cellStyle name="ex60 8 2 2" xfId="2724"/>
    <cellStyle name="ex60 8 2 3" xfId="2725"/>
    <cellStyle name="ex60 8 3" xfId="2726"/>
    <cellStyle name="ex60 8 4" xfId="2727"/>
    <cellStyle name="ex60 8 4 2" xfId="2728"/>
    <cellStyle name="ex60 8 4 3" xfId="2729"/>
    <cellStyle name="ex60 8 4 4" xfId="2730"/>
    <cellStyle name="ex60 8 4 5" xfId="2731"/>
    <cellStyle name="ex60 8 5" xfId="2732"/>
    <cellStyle name="ex60 8 6" xfId="2733"/>
    <cellStyle name="ex60 8 7" xfId="2734"/>
    <cellStyle name="ex60 8 8" xfId="2735"/>
    <cellStyle name="ex60 9" xfId="2736"/>
    <cellStyle name="ex60 9 2" xfId="2737"/>
    <cellStyle name="ex60 9 2 2" xfId="2738"/>
    <cellStyle name="ex60 9 2 3" xfId="2739"/>
    <cellStyle name="ex60 9 3" xfId="2740"/>
    <cellStyle name="ex60 9 4" xfId="2741"/>
    <cellStyle name="ex60 9 4 2" xfId="2742"/>
    <cellStyle name="ex60 9 4 3" xfId="2743"/>
    <cellStyle name="ex60 9 4 4" xfId="2744"/>
    <cellStyle name="ex60 9 4 5" xfId="2745"/>
    <cellStyle name="ex60 9 5" xfId="2746"/>
    <cellStyle name="ex60 9 6" xfId="2747"/>
    <cellStyle name="ex60 9 7" xfId="2748"/>
    <cellStyle name="ex60 9 8" xfId="2749"/>
    <cellStyle name="ex61" xfId="2750"/>
    <cellStyle name="ex61 10" xfId="2751"/>
    <cellStyle name="ex61 10 2" xfId="2752"/>
    <cellStyle name="ex61 10 2 2" xfId="2753"/>
    <cellStyle name="ex61 10 2 3" xfId="2754"/>
    <cellStyle name="ex61 10 3" xfId="2755"/>
    <cellStyle name="ex61 10 4" xfId="2756"/>
    <cellStyle name="ex61 10 4 2" xfId="2757"/>
    <cellStyle name="ex61 10 4 3" xfId="2758"/>
    <cellStyle name="ex61 10 4 4" xfId="2759"/>
    <cellStyle name="ex61 10 4 5" xfId="2760"/>
    <cellStyle name="ex61 10 5" xfId="2761"/>
    <cellStyle name="ex61 10 6" xfId="2762"/>
    <cellStyle name="ex61 10 7" xfId="2763"/>
    <cellStyle name="ex61 10 8" xfId="2764"/>
    <cellStyle name="ex61 11" xfId="2765"/>
    <cellStyle name="ex61 11 2" xfId="2766"/>
    <cellStyle name="ex61 11 3" xfId="2767"/>
    <cellStyle name="ex61 12" xfId="2768"/>
    <cellStyle name="ex61 13" xfId="2769"/>
    <cellStyle name="ex61 13 2" xfId="2770"/>
    <cellStyle name="ex61 13 3" xfId="2771"/>
    <cellStyle name="ex61 13 4" xfId="2772"/>
    <cellStyle name="ex61 13 5" xfId="2773"/>
    <cellStyle name="ex61 14" xfId="2774"/>
    <cellStyle name="ex61 15" xfId="2775"/>
    <cellStyle name="ex61 16" xfId="2776"/>
    <cellStyle name="ex61 17" xfId="2777"/>
    <cellStyle name="ex61 2" xfId="2778"/>
    <cellStyle name="ex61 2 2" xfId="2779"/>
    <cellStyle name="ex61 2 2 2" xfId="2780"/>
    <cellStyle name="ex61 2 2 2 2" xfId="2781"/>
    <cellStyle name="ex61 2 2 2 3" xfId="2782"/>
    <cellStyle name="ex61 2 2 3" xfId="2783"/>
    <cellStyle name="ex61 2 2 4" xfId="2784"/>
    <cellStyle name="ex61 2 2 4 2" xfId="2785"/>
    <cellStyle name="ex61 2 2 4 3" xfId="2786"/>
    <cellStyle name="ex61 2 2 4 4" xfId="2787"/>
    <cellStyle name="ex61 2 2 4 5" xfId="2788"/>
    <cellStyle name="ex61 2 2 5" xfId="2789"/>
    <cellStyle name="ex61 2 2 6" xfId="2790"/>
    <cellStyle name="ex61 2 2 7" xfId="2791"/>
    <cellStyle name="ex61 2 2 8" xfId="2792"/>
    <cellStyle name="ex61 2 3" xfId="2793"/>
    <cellStyle name="ex61 2 3 2" xfId="2794"/>
    <cellStyle name="ex61 2 3 3" xfId="2795"/>
    <cellStyle name="ex61 2 4" xfId="2796"/>
    <cellStyle name="ex61 2 5" xfId="2797"/>
    <cellStyle name="ex61 2 5 2" xfId="2798"/>
    <cellStyle name="ex61 2 5 3" xfId="2799"/>
    <cellStyle name="ex61 2 5 4" xfId="2800"/>
    <cellStyle name="ex61 2 5 5" xfId="2801"/>
    <cellStyle name="ex61 2 6" xfId="2802"/>
    <cellStyle name="ex61 2 7" xfId="2803"/>
    <cellStyle name="ex61 2 8" xfId="2804"/>
    <cellStyle name="ex61 2 9" xfId="2805"/>
    <cellStyle name="ex61 3" xfId="2806"/>
    <cellStyle name="ex61 3 2" xfId="2807"/>
    <cellStyle name="ex61 3 2 2" xfId="2808"/>
    <cellStyle name="ex61 3 2 3" xfId="2809"/>
    <cellStyle name="ex61 3 3" xfId="2810"/>
    <cellStyle name="ex61 3 4" xfId="2811"/>
    <cellStyle name="ex61 3 4 2" xfId="2812"/>
    <cellStyle name="ex61 3 4 3" xfId="2813"/>
    <cellStyle name="ex61 3 4 4" xfId="2814"/>
    <cellStyle name="ex61 3 4 5" xfId="2815"/>
    <cellStyle name="ex61 3 5" xfId="2816"/>
    <cellStyle name="ex61 3 6" xfId="2817"/>
    <cellStyle name="ex61 3 7" xfId="2818"/>
    <cellStyle name="ex61 3 8" xfId="2819"/>
    <cellStyle name="ex61 4" xfId="2820"/>
    <cellStyle name="ex61 4 2" xfId="2821"/>
    <cellStyle name="ex61 4 2 2" xfId="2822"/>
    <cellStyle name="ex61 4 2 3" xfId="2823"/>
    <cellStyle name="ex61 4 3" xfId="2824"/>
    <cellStyle name="ex61 4 4" xfId="2825"/>
    <cellStyle name="ex61 4 4 2" xfId="2826"/>
    <cellStyle name="ex61 4 4 3" xfId="2827"/>
    <cellStyle name="ex61 4 4 4" xfId="2828"/>
    <cellStyle name="ex61 4 4 5" xfId="2829"/>
    <cellStyle name="ex61 4 5" xfId="2830"/>
    <cellStyle name="ex61 4 6" xfId="2831"/>
    <cellStyle name="ex61 4 7" xfId="2832"/>
    <cellStyle name="ex61 4 8" xfId="2833"/>
    <cellStyle name="ex61 5" xfId="2834"/>
    <cellStyle name="ex61 5 2" xfId="2835"/>
    <cellStyle name="ex61 5 2 2" xfId="2836"/>
    <cellStyle name="ex61 5 2 3" xfId="2837"/>
    <cellStyle name="ex61 5 3" xfId="2838"/>
    <cellStyle name="ex61 5 4" xfId="2839"/>
    <cellStyle name="ex61 5 4 2" xfId="2840"/>
    <cellStyle name="ex61 5 4 3" xfId="2841"/>
    <cellStyle name="ex61 5 4 4" xfId="2842"/>
    <cellStyle name="ex61 5 4 5" xfId="2843"/>
    <cellStyle name="ex61 5 5" xfId="2844"/>
    <cellStyle name="ex61 5 6" xfId="2845"/>
    <cellStyle name="ex61 5 7" xfId="2846"/>
    <cellStyle name="ex61 5 8" xfId="2847"/>
    <cellStyle name="ex61 6" xfId="2848"/>
    <cellStyle name="ex61 6 2" xfId="2849"/>
    <cellStyle name="ex61 6 2 2" xfId="2850"/>
    <cellStyle name="ex61 6 2 3" xfId="2851"/>
    <cellStyle name="ex61 6 3" xfId="2852"/>
    <cellStyle name="ex61 6 4" xfId="2853"/>
    <cellStyle name="ex61 6 4 2" xfId="2854"/>
    <cellStyle name="ex61 6 4 3" xfId="2855"/>
    <cellStyle name="ex61 6 4 4" xfId="2856"/>
    <cellStyle name="ex61 6 4 5" xfId="2857"/>
    <cellStyle name="ex61 6 5" xfId="2858"/>
    <cellStyle name="ex61 6 6" xfId="2859"/>
    <cellStyle name="ex61 6 7" xfId="2860"/>
    <cellStyle name="ex61 6 8" xfId="2861"/>
    <cellStyle name="ex61 7" xfId="2862"/>
    <cellStyle name="ex61 7 2" xfId="2863"/>
    <cellStyle name="ex61 7 2 2" xfId="2864"/>
    <cellStyle name="ex61 7 2 3" xfId="2865"/>
    <cellStyle name="ex61 7 3" xfId="2866"/>
    <cellStyle name="ex61 7 4" xfId="2867"/>
    <cellStyle name="ex61 7 4 2" xfId="2868"/>
    <cellStyle name="ex61 7 4 3" xfId="2869"/>
    <cellStyle name="ex61 7 4 4" xfId="2870"/>
    <cellStyle name="ex61 7 4 5" xfId="2871"/>
    <cellStyle name="ex61 7 5" xfId="2872"/>
    <cellStyle name="ex61 7 6" xfId="2873"/>
    <cellStyle name="ex61 7 7" xfId="2874"/>
    <cellStyle name="ex61 7 8" xfId="2875"/>
    <cellStyle name="ex61 8" xfId="2876"/>
    <cellStyle name="ex61 8 2" xfId="2877"/>
    <cellStyle name="ex61 8 2 2" xfId="2878"/>
    <cellStyle name="ex61 8 2 3" xfId="2879"/>
    <cellStyle name="ex61 8 3" xfId="2880"/>
    <cellStyle name="ex61 8 4" xfId="2881"/>
    <cellStyle name="ex61 8 4 2" xfId="2882"/>
    <cellStyle name="ex61 8 4 3" xfId="2883"/>
    <cellStyle name="ex61 8 4 4" xfId="2884"/>
    <cellStyle name="ex61 8 4 5" xfId="2885"/>
    <cellStyle name="ex61 8 5" xfId="2886"/>
    <cellStyle name="ex61 8 6" xfId="2887"/>
    <cellStyle name="ex61 8 7" xfId="2888"/>
    <cellStyle name="ex61 8 8" xfId="2889"/>
    <cellStyle name="ex61 9" xfId="2890"/>
    <cellStyle name="ex61 9 2" xfId="2891"/>
    <cellStyle name="ex61 9 2 2" xfId="2892"/>
    <cellStyle name="ex61 9 2 3" xfId="2893"/>
    <cellStyle name="ex61 9 3" xfId="2894"/>
    <cellStyle name="ex61 9 4" xfId="2895"/>
    <cellStyle name="ex61 9 4 2" xfId="2896"/>
    <cellStyle name="ex61 9 4 3" xfId="2897"/>
    <cellStyle name="ex61 9 4 4" xfId="2898"/>
    <cellStyle name="ex61 9 4 5" xfId="2899"/>
    <cellStyle name="ex61 9 5" xfId="2900"/>
    <cellStyle name="ex61 9 6" xfId="2901"/>
    <cellStyle name="ex61 9 7" xfId="2902"/>
    <cellStyle name="ex61 9 8" xfId="2903"/>
    <cellStyle name="ex62" xfId="2904"/>
    <cellStyle name="ex62 10" xfId="2905"/>
    <cellStyle name="ex62 10 2" xfId="2906"/>
    <cellStyle name="ex62 10 2 2" xfId="2907"/>
    <cellStyle name="ex62 10 2 3" xfId="2908"/>
    <cellStyle name="ex62 10 3" xfId="2909"/>
    <cellStyle name="ex62 10 4" xfId="2910"/>
    <cellStyle name="ex62 10 4 2" xfId="2911"/>
    <cellStyle name="ex62 10 4 3" xfId="2912"/>
    <cellStyle name="ex62 10 4 4" xfId="2913"/>
    <cellStyle name="ex62 10 4 5" xfId="2914"/>
    <cellStyle name="ex62 10 5" xfId="2915"/>
    <cellStyle name="ex62 10 6" xfId="2916"/>
    <cellStyle name="ex62 10 7" xfId="2917"/>
    <cellStyle name="ex62 10 8" xfId="2918"/>
    <cellStyle name="ex62 11" xfId="2919"/>
    <cellStyle name="ex62 11 2" xfId="2920"/>
    <cellStyle name="ex62 11 3" xfId="2921"/>
    <cellStyle name="ex62 12" xfId="2922"/>
    <cellStyle name="ex62 13" xfId="2923"/>
    <cellStyle name="ex62 13 2" xfId="2924"/>
    <cellStyle name="ex62 13 3" xfId="2925"/>
    <cellStyle name="ex62 13 4" xfId="2926"/>
    <cellStyle name="ex62 13 5" xfId="2927"/>
    <cellStyle name="ex62 14" xfId="2928"/>
    <cellStyle name="ex62 15" xfId="2929"/>
    <cellStyle name="ex62 16" xfId="2930"/>
    <cellStyle name="ex62 17" xfId="2931"/>
    <cellStyle name="ex62 2" xfId="2932"/>
    <cellStyle name="ex62 2 2" xfId="2933"/>
    <cellStyle name="ex62 2 2 2" xfId="2934"/>
    <cellStyle name="ex62 2 2 2 2" xfId="2935"/>
    <cellStyle name="ex62 2 2 2 3" xfId="2936"/>
    <cellStyle name="ex62 2 2 3" xfId="2937"/>
    <cellStyle name="ex62 2 2 4" xfId="2938"/>
    <cellStyle name="ex62 2 2 4 2" xfId="2939"/>
    <cellStyle name="ex62 2 2 4 3" xfId="2940"/>
    <cellStyle name="ex62 2 2 4 4" xfId="2941"/>
    <cellStyle name="ex62 2 2 4 5" xfId="2942"/>
    <cellStyle name="ex62 2 2 5" xfId="2943"/>
    <cellStyle name="ex62 2 2 6" xfId="2944"/>
    <cellStyle name="ex62 2 2 7" xfId="2945"/>
    <cellStyle name="ex62 2 2 8" xfId="2946"/>
    <cellStyle name="ex62 2 3" xfId="2947"/>
    <cellStyle name="ex62 2 3 2" xfId="2948"/>
    <cellStyle name="ex62 2 3 3" xfId="2949"/>
    <cellStyle name="ex62 2 4" xfId="2950"/>
    <cellStyle name="ex62 2 5" xfId="2951"/>
    <cellStyle name="ex62 2 5 2" xfId="2952"/>
    <cellStyle name="ex62 2 5 3" xfId="2953"/>
    <cellStyle name="ex62 2 5 4" xfId="2954"/>
    <cellStyle name="ex62 2 5 5" xfId="2955"/>
    <cellStyle name="ex62 2 6" xfId="2956"/>
    <cellStyle name="ex62 2 7" xfId="2957"/>
    <cellStyle name="ex62 2 8" xfId="2958"/>
    <cellStyle name="ex62 2 9" xfId="2959"/>
    <cellStyle name="ex62 3" xfId="2960"/>
    <cellStyle name="ex62 3 2" xfId="2961"/>
    <cellStyle name="ex62 3 2 2" xfId="2962"/>
    <cellStyle name="ex62 3 2 3" xfId="2963"/>
    <cellStyle name="ex62 3 3" xfId="2964"/>
    <cellStyle name="ex62 3 4" xfId="2965"/>
    <cellStyle name="ex62 3 4 2" xfId="2966"/>
    <cellStyle name="ex62 3 4 3" xfId="2967"/>
    <cellStyle name="ex62 3 4 4" xfId="2968"/>
    <cellStyle name="ex62 3 4 5" xfId="2969"/>
    <cellStyle name="ex62 3 5" xfId="2970"/>
    <cellStyle name="ex62 3 6" xfId="2971"/>
    <cellStyle name="ex62 3 7" xfId="2972"/>
    <cellStyle name="ex62 3 8" xfId="2973"/>
    <cellStyle name="ex62 4" xfId="2974"/>
    <cellStyle name="ex62 4 2" xfId="2975"/>
    <cellStyle name="ex62 4 2 2" xfId="2976"/>
    <cellStyle name="ex62 4 2 3" xfId="2977"/>
    <cellStyle name="ex62 4 3" xfId="2978"/>
    <cellStyle name="ex62 4 4" xfId="2979"/>
    <cellStyle name="ex62 4 4 2" xfId="2980"/>
    <cellStyle name="ex62 4 4 3" xfId="2981"/>
    <cellStyle name="ex62 4 4 4" xfId="2982"/>
    <cellStyle name="ex62 4 4 5" xfId="2983"/>
    <cellStyle name="ex62 4 5" xfId="2984"/>
    <cellStyle name="ex62 4 6" xfId="2985"/>
    <cellStyle name="ex62 4 7" xfId="2986"/>
    <cellStyle name="ex62 4 8" xfId="2987"/>
    <cellStyle name="ex62 5" xfId="2988"/>
    <cellStyle name="ex62 5 2" xfId="2989"/>
    <cellStyle name="ex62 5 2 2" xfId="2990"/>
    <cellStyle name="ex62 5 2 3" xfId="2991"/>
    <cellStyle name="ex62 5 3" xfId="2992"/>
    <cellStyle name="ex62 5 4" xfId="2993"/>
    <cellStyle name="ex62 5 4 2" xfId="2994"/>
    <cellStyle name="ex62 5 4 3" xfId="2995"/>
    <cellStyle name="ex62 5 4 4" xfId="2996"/>
    <cellStyle name="ex62 5 4 5" xfId="2997"/>
    <cellStyle name="ex62 5 5" xfId="2998"/>
    <cellStyle name="ex62 5 6" xfId="2999"/>
    <cellStyle name="ex62 5 7" xfId="3000"/>
    <cellStyle name="ex62 5 8" xfId="3001"/>
    <cellStyle name="ex62 6" xfId="3002"/>
    <cellStyle name="ex62 6 2" xfId="3003"/>
    <cellStyle name="ex62 6 2 2" xfId="3004"/>
    <cellStyle name="ex62 6 2 3" xfId="3005"/>
    <cellStyle name="ex62 6 3" xfId="3006"/>
    <cellStyle name="ex62 6 4" xfId="3007"/>
    <cellStyle name="ex62 6 4 2" xfId="3008"/>
    <cellStyle name="ex62 6 4 3" xfId="3009"/>
    <cellStyle name="ex62 6 4 4" xfId="3010"/>
    <cellStyle name="ex62 6 4 5" xfId="3011"/>
    <cellStyle name="ex62 6 5" xfId="3012"/>
    <cellStyle name="ex62 6 6" xfId="3013"/>
    <cellStyle name="ex62 6 7" xfId="3014"/>
    <cellStyle name="ex62 6 8" xfId="3015"/>
    <cellStyle name="ex62 7" xfId="3016"/>
    <cellStyle name="ex62 7 2" xfId="3017"/>
    <cellStyle name="ex62 7 2 2" xfId="3018"/>
    <cellStyle name="ex62 7 2 3" xfId="3019"/>
    <cellStyle name="ex62 7 3" xfId="3020"/>
    <cellStyle name="ex62 7 4" xfId="3021"/>
    <cellStyle name="ex62 7 4 2" xfId="3022"/>
    <cellStyle name="ex62 7 4 3" xfId="3023"/>
    <cellStyle name="ex62 7 4 4" xfId="3024"/>
    <cellStyle name="ex62 7 4 5" xfId="3025"/>
    <cellStyle name="ex62 7 5" xfId="3026"/>
    <cellStyle name="ex62 7 6" xfId="3027"/>
    <cellStyle name="ex62 7 7" xfId="3028"/>
    <cellStyle name="ex62 7 8" xfId="3029"/>
    <cellStyle name="ex62 8" xfId="3030"/>
    <cellStyle name="ex62 8 2" xfId="3031"/>
    <cellStyle name="ex62 8 2 2" xfId="3032"/>
    <cellStyle name="ex62 8 2 3" xfId="3033"/>
    <cellStyle name="ex62 8 3" xfId="3034"/>
    <cellStyle name="ex62 8 4" xfId="3035"/>
    <cellStyle name="ex62 8 4 2" xfId="3036"/>
    <cellStyle name="ex62 8 4 3" xfId="3037"/>
    <cellStyle name="ex62 8 4 4" xfId="3038"/>
    <cellStyle name="ex62 8 4 5" xfId="3039"/>
    <cellStyle name="ex62 8 5" xfId="3040"/>
    <cellStyle name="ex62 8 6" xfId="3041"/>
    <cellStyle name="ex62 8 7" xfId="3042"/>
    <cellStyle name="ex62 8 8" xfId="3043"/>
    <cellStyle name="ex62 9" xfId="3044"/>
    <cellStyle name="ex62 9 2" xfId="3045"/>
    <cellStyle name="ex62 9 2 2" xfId="3046"/>
    <cellStyle name="ex62 9 2 3" xfId="3047"/>
    <cellStyle name="ex62 9 3" xfId="3048"/>
    <cellStyle name="ex62 9 4" xfId="3049"/>
    <cellStyle name="ex62 9 4 2" xfId="3050"/>
    <cellStyle name="ex62 9 4 3" xfId="3051"/>
    <cellStyle name="ex62 9 4 4" xfId="3052"/>
    <cellStyle name="ex62 9 4 5" xfId="3053"/>
    <cellStyle name="ex62 9 5" xfId="3054"/>
    <cellStyle name="ex62 9 6" xfId="3055"/>
    <cellStyle name="ex62 9 7" xfId="3056"/>
    <cellStyle name="ex62 9 8" xfId="3057"/>
    <cellStyle name="ex63" xfId="3058"/>
    <cellStyle name="ex63 10" xfId="3059"/>
    <cellStyle name="ex63 10 2" xfId="3060"/>
    <cellStyle name="ex63 10 2 2" xfId="3061"/>
    <cellStyle name="ex63 10 2 3" xfId="3062"/>
    <cellStyle name="ex63 10 3" xfId="3063"/>
    <cellStyle name="ex63 10 4" xfId="3064"/>
    <cellStyle name="ex63 10 4 2" xfId="3065"/>
    <cellStyle name="ex63 10 4 3" xfId="3066"/>
    <cellStyle name="ex63 10 4 4" xfId="3067"/>
    <cellStyle name="ex63 10 4 5" xfId="3068"/>
    <cellStyle name="ex63 10 5" xfId="3069"/>
    <cellStyle name="ex63 10 6" xfId="3070"/>
    <cellStyle name="ex63 10 7" xfId="3071"/>
    <cellStyle name="ex63 10 8" xfId="3072"/>
    <cellStyle name="ex63 11" xfId="3073"/>
    <cellStyle name="ex63 11 2" xfId="3074"/>
    <cellStyle name="ex63 11 3" xfId="3075"/>
    <cellStyle name="ex63 12" xfId="3076"/>
    <cellStyle name="ex63 13" xfId="3077"/>
    <cellStyle name="ex63 13 2" xfId="3078"/>
    <cellStyle name="ex63 13 3" xfId="3079"/>
    <cellStyle name="ex63 13 4" xfId="3080"/>
    <cellStyle name="ex63 13 5" xfId="3081"/>
    <cellStyle name="ex63 14" xfId="3082"/>
    <cellStyle name="ex63 15" xfId="3083"/>
    <cellStyle name="ex63 16" xfId="3084"/>
    <cellStyle name="ex63 17" xfId="3085"/>
    <cellStyle name="ex63 2" xfId="3086"/>
    <cellStyle name="ex63 2 2" xfId="3087"/>
    <cellStyle name="ex63 2 2 2" xfId="3088"/>
    <cellStyle name="ex63 2 2 3" xfId="3089"/>
    <cellStyle name="ex63 2 3" xfId="3090"/>
    <cellStyle name="ex63 2 4" xfId="3091"/>
    <cellStyle name="ex63 2 4 2" xfId="3092"/>
    <cellStyle name="ex63 2 4 3" xfId="3093"/>
    <cellStyle name="ex63 2 4 4" xfId="3094"/>
    <cellStyle name="ex63 2 4 5" xfId="3095"/>
    <cellStyle name="ex63 2 5" xfId="3096"/>
    <cellStyle name="ex63 2 6" xfId="3097"/>
    <cellStyle name="ex63 2 7" xfId="3098"/>
    <cellStyle name="ex63 2 8" xfId="3099"/>
    <cellStyle name="ex63 3" xfId="3100"/>
    <cellStyle name="ex63 3 2" xfId="3101"/>
    <cellStyle name="ex63 3 2 2" xfId="3102"/>
    <cellStyle name="ex63 3 2 3" xfId="3103"/>
    <cellStyle name="ex63 3 3" xfId="3104"/>
    <cellStyle name="ex63 3 4" xfId="3105"/>
    <cellStyle name="ex63 3 4 2" xfId="3106"/>
    <cellStyle name="ex63 3 4 3" xfId="3107"/>
    <cellStyle name="ex63 3 4 4" xfId="3108"/>
    <cellStyle name="ex63 3 4 5" xfId="3109"/>
    <cellStyle name="ex63 3 5" xfId="3110"/>
    <cellStyle name="ex63 3 6" xfId="3111"/>
    <cellStyle name="ex63 3 7" xfId="3112"/>
    <cellStyle name="ex63 3 8" xfId="3113"/>
    <cellStyle name="ex63 4" xfId="3114"/>
    <cellStyle name="ex63 4 2" xfId="3115"/>
    <cellStyle name="ex63 4 2 2" xfId="3116"/>
    <cellStyle name="ex63 4 2 3" xfId="3117"/>
    <cellStyle name="ex63 4 3" xfId="3118"/>
    <cellStyle name="ex63 4 4" xfId="3119"/>
    <cellStyle name="ex63 4 4 2" xfId="3120"/>
    <cellStyle name="ex63 4 4 3" xfId="3121"/>
    <cellStyle name="ex63 4 4 4" xfId="3122"/>
    <cellStyle name="ex63 4 4 5" xfId="3123"/>
    <cellStyle name="ex63 4 5" xfId="3124"/>
    <cellStyle name="ex63 4 6" xfId="3125"/>
    <cellStyle name="ex63 4 7" xfId="3126"/>
    <cellStyle name="ex63 4 8" xfId="3127"/>
    <cellStyle name="ex63 5" xfId="3128"/>
    <cellStyle name="ex63 5 2" xfId="3129"/>
    <cellStyle name="ex63 5 2 2" xfId="3130"/>
    <cellStyle name="ex63 5 2 3" xfId="3131"/>
    <cellStyle name="ex63 5 3" xfId="3132"/>
    <cellStyle name="ex63 5 4" xfId="3133"/>
    <cellStyle name="ex63 5 4 2" xfId="3134"/>
    <cellStyle name="ex63 5 4 3" xfId="3135"/>
    <cellStyle name="ex63 5 4 4" xfId="3136"/>
    <cellStyle name="ex63 5 4 5" xfId="3137"/>
    <cellStyle name="ex63 5 5" xfId="3138"/>
    <cellStyle name="ex63 5 6" xfId="3139"/>
    <cellStyle name="ex63 5 7" xfId="3140"/>
    <cellStyle name="ex63 5 8" xfId="3141"/>
    <cellStyle name="ex63 6" xfId="3142"/>
    <cellStyle name="ex63 6 2" xfId="3143"/>
    <cellStyle name="ex63 6 2 2" xfId="3144"/>
    <cellStyle name="ex63 6 2 3" xfId="3145"/>
    <cellStyle name="ex63 6 3" xfId="3146"/>
    <cellStyle name="ex63 6 4" xfId="3147"/>
    <cellStyle name="ex63 6 4 2" xfId="3148"/>
    <cellStyle name="ex63 6 4 3" xfId="3149"/>
    <cellStyle name="ex63 6 4 4" xfId="3150"/>
    <cellStyle name="ex63 6 4 5" xfId="3151"/>
    <cellStyle name="ex63 6 5" xfId="3152"/>
    <cellStyle name="ex63 6 6" xfId="3153"/>
    <cellStyle name="ex63 6 7" xfId="3154"/>
    <cellStyle name="ex63 6 8" xfId="3155"/>
    <cellStyle name="ex63 7" xfId="3156"/>
    <cellStyle name="ex63 7 2" xfId="3157"/>
    <cellStyle name="ex63 7 2 2" xfId="3158"/>
    <cellStyle name="ex63 7 2 3" xfId="3159"/>
    <cellStyle name="ex63 7 3" xfId="3160"/>
    <cellStyle name="ex63 7 4" xfId="3161"/>
    <cellStyle name="ex63 7 4 2" xfId="3162"/>
    <cellStyle name="ex63 7 4 3" xfId="3163"/>
    <cellStyle name="ex63 7 4 4" xfId="3164"/>
    <cellStyle name="ex63 7 4 5" xfId="3165"/>
    <cellStyle name="ex63 7 5" xfId="3166"/>
    <cellStyle name="ex63 7 6" xfId="3167"/>
    <cellStyle name="ex63 7 7" xfId="3168"/>
    <cellStyle name="ex63 7 8" xfId="3169"/>
    <cellStyle name="ex63 8" xfId="3170"/>
    <cellStyle name="ex63 8 2" xfId="3171"/>
    <cellStyle name="ex63 8 2 2" xfId="3172"/>
    <cellStyle name="ex63 8 2 3" xfId="3173"/>
    <cellStyle name="ex63 8 3" xfId="3174"/>
    <cellStyle name="ex63 8 4" xfId="3175"/>
    <cellStyle name="ex63 8 4 2" xfId="3176"/>
    <cellStyle name="ex63 8 4 3" xfId="3177"/>
    <cellStyle name="ex63 8 4 4" xfId="3178"/>
    <cellStyle name="ex63 8 4 5" xfId="3179"/>
    <cellStyle name="ex63 8 5" xfId="3180"/>
    <cellStyle name="ex63 8 6" xfId="3181"/>
    <cellStyle name="ex63 8 7" xfId="3182"/>
    <cellStyle name="ex63 8 8" xfId="3183"/>
    <cellStyle name="ex63 9" xfId="3184"/>
    <cellStyle name="ex63 9 2" xfId="3185"/>
    <cellStyle name="ex63 9 2 2" xfId="3186"/>
    <cellStyle name="ex63 9 2 3" xfId="3187"/>
    <cellStyle name="ex63 9 3" xfId="3188"/>
    <cellStyle name="ex63 9 4" xfId="3189"/>
    <cellStyle name="ex63 9 4 2" xfId="3190"/>
    <cellStyle name="ex63 9 4 3" xfId="3191"/>
    <cellStyle name="ex63 9 4 4" xfId="3192"/>
    <cellStyle name="ex63 9 4 5" xfId="3193"/>
    <cellStyle name="ex63 9 5" xfId="3194"/>
    <cellStyle name="ex63 9 6" xfId="3195"/>
    <cellStyle name="ex63 9 7" xfId="3196"/>
    <cellStyle name="ex63 9 8" xfId="3197"/>
    <cellStyle name="ex64" xfId="3198"/>
    <cellStyle name="ex64 10" xfId="3199"/>
    <cellStyle name="ex64 10 2" xfId="3200"/>
    <cellStyle name="ex64 10 2 2" xfId="3201"/>
    <cellStyle name="ex64 10 2 3" xfId="3202"/>
    <cellStyle name="ex64 10 3" xfId="3203"/>
    <cellStyle name="ex64 10 4" xfId="3204"/>
    <cellStyle name="ex64 10 4 2" xfId="3205"/>
    <cellStyle name="ex64 10 4 3" xfId="3206"/>
    <cellStyle name="ex64 10 4 4" xfId="3207"/>
    <cellStyle name="ex64 10 4 5" xfId="3208"/>
    <cellStyle name="ex64 10 5" xfId="3209"/>
    <cellStyle name="ex64 10 6" xfId="3210"/>
    <cellStyle name="ex64 10 7" xfId="3211"/>
    <cellStyle name="ex64 10 8" xfId="3212"/>
    <cellStyle name="ex64 11" xfId="3213"/>
    <cellStyle name="ex64 11 2" xfId="3214"/>
    <cellStyle name="ex64 11 2 2" xfId="3215"/>
    <cellStyle name="ex64 11 2 3" xfId="3216"/>
    <cellStyle name="ex64 11 3" xfId="3217"/>
    <cellStyle name="ex64 11 4" xfId="3218"/>
    <cellStyle name="ex64 11 4 2" xfId="3219"/>
    <cellStyle name="ex64 11 4 3" xfId="3220"/>
    <cellStyle name="ex64 11 4 4" xfId="3221"/>
    <cellStyle name="ex64 11 4 5" xfId="3222"/>
    <cellStyle name="ex64 11 5" xfId="3223"/>
    <cellStyle name="ex64 11 6" xfId="3224"/>
    <cellStyle name="ex64 11 7" xfId="3225"/>
    <cellStyle name="ex64 11 8" xfId="3226"/>
    <cellStyle name="ex64 12" xfId="3227"/>
    <cellStyle name="ex64 12 2" xfId="3228"/>
    <cellStyle name="ex64 12 3" xfId="3229"/>
    <cellStyle name="ex64 13" xfId="3230"/>
    <cellStyle name="ex64 14" xfId="3231"/>
    <cellStyle name="ex64 14 2" xfId="3232"/>
    <cellStyle name="ex64 14 3" xfId="3233"/>
    <cellStyle name="ex64 14 4" xfId="3234"/>
    <cellStyle name="ex64 14 5" xfId="3235"/>
    <cellStyle name="ex64 15" xfId="3236"/>
    <cellStyle name="ex64 16" xfId="3237"/>
    <cellStyle name="ex64 17" xfId="3238"/>
    <cellStyle name="ex64 18" xfId="3239"/>
    <cellStyle name="ex64 2" xfId="3240"/>
    <cellStyle name="ex64 2 10" xfId="3241"/>
    <cellStyle name="ex64 2 10 2" xfId="3242"/>
    <cellStyle name="ex64 2 10 2 2" xfId="3243"/>
    <cellStyle name="ex64 2 10 2 3" xfId="3244"/>
    <cellStyle name="ex64 2 10 3" xfId="3245"/>
    <cellStyle name="ex64 2 10 4" xfId="3246"/>
    <cellStyle name="ex64 2 10 4 2" xfId="3247"/>
    <cellStyle name="ex64 2 10 4 3" xfId="3248"/>
    <cellStyle name="ex64 2 10 4 4" xfId="3249"/>
    <cellStyle name="ex64 2 10 4 5" xfId="3250"/>
    <cellStyle name="ex64 2 10 5" xfId="3251"/>
    <cellStyle name="ex64 2 10 6" xfId="3252"/>
    <cellStyle name="ex64 2 10 7" xfId="3253"/>
    <cellStyle name="ex64 2 10 8" xfId="3254"/>
    <cellStyle name="ex64 2 11" xfId="3255"/>
    <cellStyle name="ex64 2 11 2" xfId="3256"/>
    <cellStyle name="ex64 2 11 3" xfId="3257"/>
    <cellStyle name="ex64 2 12" xfId="3258"/>
    <cellStyle name="ex64 2 13" xfId="3259"/>
    <cellStyle name="ex64 2 13 2" xfId="3260"/>
    <cellStyle name="ex64 2 13 3" xfId="3261"/>
    <cellStyle name="ex64 2 13 4" xfId="3262"/>
    <cellStyle name="ex64 2 13 5" xfId="3263"/>
    <cellStyle name="ex64 2 14" xfId="3264"/>
    <cellStyle name="ex64 2 15" xfId="3265"/>
    <cellStyle name="ex64 2 16" xfId="3266"/>
    <cellStyle name="ex64 2 17" xfId="3267"/>
    <cellStyle name="ex64 2 2" xfId="3268"/>
    <cellStyle name="ex64 2 2 2" xfId="3269"/>
    <cellStyle name="ex64 2 2 2 2" xfId="3270"/>
    <cellStyle name="ex64 2 2 2 3" xfId="3271"/>
    <cellStyle name="ex64 2 2 3" xfId="3272"/>
    <cellStyle name="ex64 2 2 4" xfId="3273"/>
    <cellStyle name="ex64 2 2 4 2" xfId="3274"/>
    <cellStyle name="ex64 2 2 4 3" xfId="3275"/>
    <cellStyle name="ex64 2 2 4 4" xfId="3276"/>
    <cellStyle name="ex64 2 2 4 5" xfId="3277"/>
    <cellStyle name="ex64 2 2 5" xfId="3278"/>
    <cellStyle name="ex64 2 2 6" xfId="3279"/>
    <cellStyle name="ex64 2 2 7" xfId="3280"/>
    <cellStyle name="ex64 2 2 8" xfId="3281"/>
    <cellStyle name="ex64 2 3" xfId="3282"/>
    <cellStyle name="ex64 2 3 2" xfId="3283"/>
    <cellStyle name="ex64 2 3 2 2" xfId="3284"/>
    <cellStyle name="ex64 2 3 2 3" xfId="3285"/>
    <cellStyle name="ex64 2 3 3" xfId="3286"/>
    <cellStyle name="ex64 2 3 4" xfId="3287"/>
    <cellStyle name="ex64 2 3 4 2" xfId="3288"/>
    <cellStyle name="ex64 2 3 4 3" xfId="3289"/>
    <cellStyle name="ex64 2 3 4 4" xfId="3290"/>
    <cellStyle name="ex64 2 3 4 5" xfId="3291"/>
    <cellStyle name="ex64 2 3 5" xfId="3292"/>
    <cellStyle name="ex64 2 3 6" xfId="3293"/>
    <cellStyle name="ex64 2 3 7" xfId="3294"/>
    <cellStyle name="ex64 2 3 8" xfId="3295"/>
    <cellStyle name="ex64 2 4" xfId="3296"/>
    <cellStyle name="ex64 2 4 2" xfId="3297"/>
    <cellStyle name="ex64 2 4 2 2" xfId="3298"/>
    <cellStyle name="ex64 2 4 2 3" xfId="3299"/>
    <cellStyle name="ex64 2 4 3" xfId="3300"/>
    <cellStyle name="ex64 2 4 4" xfId="3301"/>
    <cellStyle name="ex64 2 4 4 2" xfId="3302"/>
    <cellStyle name="ex64 2 4 4 3" xfId="3303"/>
    <cellStyle name="ex64 2 4 4 4" xfId="3304"/>
    <cellStyle name="ex64 2 4 4 5" xfId="3305"/>
    <cellStyle name="ex64 2 4 5" xfId="3306"/>
    <cellStyle name="ex64 2 4 6" xfId="3307"/>
    <cellStyle name="ex64 2 4 7" xfId="3308"/>
    <cellStyle name="ex64 2 4 8" xfId="3309"/>
    <cellStyle name="ex64 2 5" xfId="3310"/>
    <cellStyle name="ex64 2 5 2" xfId="3311"/>
    <cellStyle name="ex64 2 5 2 2" xfId="3312"/>
    <cellStyle name="ex64 2 5 2 3" xfId="3313"/>
    <cellStyle name="ex64 2 5 3" xfId="3314"/>
    <cellStyle name="ex64 2 5 4" xfId="3315"/>
    <cellStyle name="ex64 2 5 4 2" xfId="3316"/>
    <cellStyle name="ex64 2 5 4 3" xfId="3317"/>
    <cellStyle name="ex64 2 5 4 4" xfId="3318"/>
    <cellStyle name="ex64 2 5 4 5" xfId="3319"/>
    <cellStyle name="ex64 2 5 5" xfId="3320"/>
    <cellStyle name="ex64 2 5 6" xfId="3321"/>
    <cellStyle name="ex64 2 5 7" xfId="3322"/>
    <cellStyle name="ex64 2 5 8" xfId="3323"/>
    <cellStyle name="ex64 2 6" xfId="3324"/>
    <cellStyle name="ex64 2 6 2" xfId="3325"/>
    <cellStyle name="ex64 2 6 2 2" xfId="3326"/>
    <cellStyle name="ex64 2 6 2 3" xfId="3327"/>
    <cellStyle name="ex64 2 6 3" xfId="3328"/>
    <cellStyle name="ex64 2 6 4" xfId="3329"/>
    <cellStyle name="ex64 2 6 4 2" xfId="3330"/>
    <cellStyle name="ex64 2 6 4 3" xfId="3331"/>
    <cellStyle name="ex64 2 6 4 4" xfId="3332"/>
    <cellStyle name="ex64 2 6 4 5" xfId="3333"/>
    <cellStyle name="ex64 2 6 5" xfId="3334"/>
    <cellStyle name="ex64 2 6 6" xfId="3335"/>
    <cellStyle name="ex64 2 6 7" xfId="3336"/>
    <cellStyle name="ex64 2 6 8" xfId="3337"/>
    <cellStyle name="ex64 2 7" xfId="3338"/>
    <cellStyle name="ex64 2 7 2" xfId="3339"/>
    <cellStyle name="ex64 2 7 2 2" xfId="3340"/>
    <cellStyle name="ex64 2 7 2 3" xfId="3341"/>
    <cellStyle name="ex64 2 7 3" xfId="3342"/>
    <cellStyle name="ex64 2 7 4" xfId="3343"/>
    <cellStyle name="ex64 2 7 4 2" xfId="3344"/>
    <cellStyle name="ex64 2 7 4 3" xfId="3345"/>
    <cellStyle name="ex64 2 7 4 4" xfId="3346"/>
    <cellStyle name="ex64 2 7 4 5" xfId="3347"/>
    <cellStyle name="ex64 2 7 5" xfId="3348"/>
    <cellStyle name="ex64 2 7 6" xfId="3349"/>
    <cellStyle name="ex64 2 7 7" xfId="3350"/>
    <cellStyle name="ex64 2 7 8" xfId="3351"/>
    <cellStyle name="ex64 2 8" xfId="3352"/>
    <cellStyle name="ex64 2 8 2" xfId="3353"/>
    <cellStyle name="ex64 2 8 2 2" xfId="3354"/>
    <cellStyle name="ex64 2 8 2 3" xfId="3355"/>
    <cellStyle name="ex64 2 8 3" xfId="3356"/>
    <cellStyle name="ex64 2 8 4" xfId="3357"/>
    <cellStyle name="ex64 2 8 4 2" xfId="3358"/>
    <cellStyle name="ex64 2 8 4 3" xfId="3359"/>
    <cellStyle name="ex64 2 8 4 4" xfId="3360"/>
    <cellStyle name="ex64 2 8 4 5" xfId="3361"/>
    <cellStyle name="ex64 2 8 5" xfId="3362"/>
    <cellStyle name="ex64 2 8 6" xfId="3363"/>
    <cellStyle name="ex64 2 8 7" xfId="3364"/>
    <cellStyle name="ex64 2 8 8" xfId="3365"/>
    <cellStyle name="ex64 2 9" xfId="3366"/>
    <cellStyle name="ex64 2 9 2" xfId="3367"/>
    <cellStyle name="ex64 2 9 2 2" xfId="3368"/>
    <cellStyle name="ex64 2 9 2 3" xfId="3369"/>
    <cellStyle name="ex64 2 9 3" xfId="3370"/>
    <cellStyle name="ex64 2 9 4" xfId="3371"/>
    <cellStyle name="ex64 2 9 4 2" xfId="3372"/>
    <cellStyle name="ex64 2 9 4 3" xfId="3373"/>
    <cellStyle name="ex64 2 9 4 4" xfId="3374"/>
    <cellStyle name="ex64 2 9 4 5" xfId="3375"/>
    <cellStyle name="ex64 2 9 5" xfId="3376"/>
    <cellStyle name="ex64 2 9 6" xfId="3377"/>
    <cellStyle name="ex64 2 9 7" xfId="3378"/>
    <cellStyle name="ex64 2 9 8" xfId="3379"/>
    <cellStyle name="ex64 3" xfId="3380"/>
    <cellStyle name="ex64 3 2" xfId="3381"/>
    <cellStyle name="ex64 3 2 2" xfId="3382"/>
    <cellStyle name="ex64 3 2 3" xfId="3383"/>
    <cellStyle name="ex64 3 3" xfId="3384"/>
    <cellStyle name="ex64 3 4" xfId="3385"/>
    <cellStyle name="ex64 3 4 2" xfId="3386"/>
    <cellStyle name="ex64 3 4 3" xfId="3387"/>
    <cellStyle name="ex64 3 4 4" xfId="3388"/>
    <cellStyle name="ex64 3 4 5" xfId="3389"/>
    <cellStyle name="ex64 3 5" xfId="3390"/>
    <cellStyle name="ex64 3 6" xfId="3391"/>
    <cellStyle name="ex64 3 7" xfId="3392"/>
    <cellStyle name="ex64 3 8" xfId="3393"/>
    <cellStyle name="ex64 4" xfId="3394"/>
    <cellStyle name="ex64 4 2" xfId="3395"/>
    <cellStyle name="ex64 4 2 2" xfId="3396"/>
    <cellStyle name="ex64 4 2 3" xfId="3397"/>
    <cellStyle name="ex64 4 3" xfId="3398"/>
    <cellStyle name="ex64 4 4" xfId="3399"/>
    <cellStyle name="ex64 4 4 2" xfId="3400"/>
    <cellStyle name="ex64 4 4 3" xfId="3401"/>
    <cellStyle name="ex64 4 4 4" xfId="3402"/>
    <cellStyle name="ex64 4 4 5" xfId="3403"/>
    <cellStyle name="ex64 4 5" xfId="3404"/>
    <cellStyle name="ex64 4 6" xfId="3405"/>
    <cellStyle name="ex64 4 7" xfId="3406"/>
    <cellStyle name="ex64 4 8" xfId="3407"/>
    <cellStyle name="ex64 5" xfId="3408"/>
    <cellStyle name="ex64 5 2" xfId="3409"/>
    <cellStyle name="ex64 5 2 2" xfId="3410"/>
    <cellStyle name="ex64 5 2 3" xfId="3411"/>
    <cellStyle name="ex64 5 3" xfId="3412"/>
    <cellStyle name="ex64 5 4" xfId="3413"/>
    <cellStyle name="ex64 5 4 2" xfId="3414"/>
    <cellStyle name="ex64 5 4 3" xfId="3415"/>
    <cellStyle name="ex64 5 4 4" xfId="3416"/>
    <cellStyle name="ex64 5 4 5" xfId="3417"/>
    <cellStyle name="ex64 5 5" xfId="3418"/>
    <cellStyle name="ex64 5 6" xfId="3419"/>
    <cellStyle name="ex64 5 7" xfId="3420"/>
    <cellStyle name="ex64 5 8" xfId="3421"/>
    <cellStyle name="ex64 6" xfId="3422"/>
    <cellStyle name="ex64 6 2" xfId="3423"/>
    <cellStyle name="ex64 6 2 2" xfId="3424"/>
    <cellStyle name="ex64 6 2 3" xfId="3425"/>
    <cellStyle name="ex64 6 3" xfId="3426"/>
    <cellStyle name="ex64 6 4" xfId="3427"/>
    <cellStyle name="ex64 6 4 2" xfId="3428"/>
    <cellStyle name="ex64 6 4 3" xfId="3429"/>
    <cellStyle name="ex64 6 4 4" xfId="3430"/>
    <cellStyle name="ex64 6 4 5" xfId="3431"/>
    <cellStyle name="ex64 6 5" xfId="3432"/>
    <cellStyle name="ex64 6 6" xfId="3433"/>
    <cellStyle name="ex64 6 7" xfId="3434"/>
    <cellStyle name="ex64 6 8" xfId="3435"/>
    <cellStyle name="ex64 7" xfId="3436"/>
    <cellStyle name="ex64 7 2" xfId="3437"/>
    <cellStyle name="ex64 7 2 2" xfId="3438"/>
    <cellStyle name="ex64 7 2 3" xfId="3439"/>
    <cellStyle name="ex64 7 3" xfId="3440"/>
    <cellStyle name="ex64 7 4" xfId="3441"/>
    <cellStyle name="ex64 7 4 2" xfId="3442"/>
    <cellStyle name="ex64 7 4 3" xfId="3443"/>
    <cellStyle name="ex64 7 4 4" xfId="3444"/>
    <cellStyle name="ex64 7 4 5" xfId="3445"/>
    <cellStyle name="ex64 7 5" xfId="3446"/>
    <cellStyle name="ex64 7 6" xfId="3447"/>
    <cellStyle name="ex64 7 7" xfId="3448"/>
    <cellStyle name="ex64 7 8" xfId="3449"/>
    <cellStyle name="ex64 8" xfId="3450"/>
    <cellStyle name="ex64 8 2" xfId="3451"/>
    <cellStyle name="ex64 8 2 2" xfId="3452"/>
    <cellStyle name="ex64 8 2 3" xfId="3453"/>
    <cellStyle name="ex64 8 3" xfId="3454"/>
    <cellStyle name="ex64 8 4" xfId="3455"/>
    <cellStyle name="ex64 8 4 2" xfId="3456"/>
    <cellStyle name="ex64 8 4 3" xfId="3457"/>
    <cellStyle name="ex64 8 4 4" xfId="3458"/>
    <cellStyle name="ex64 8 4 5" xfId="3459"/>
    <cellStyle name="ex64 8 5" xfId="3460"/>
    <cellStyle name="ex64 8 6" xfId="3461"/>
    <cellStyle name="ex64 8 7" xfId="3462"/>
    <cellStyle name="ex64 8 8" xfId="3463"/>
    <cellStyle name="ex64 9" xfId="3464"/>
    <cellStyle name="ex64 9 2" xfId="3465"/>
    <cellStyle name="ex64 9 2 2" xfId="3466"/>
    <cellStyle name="ex64 9 2 3" xfId="3467"/>
    <cellStyle name="ex64 9 3" xfId="3468"/>
    <cellStyle name="ex64 9 4" xfId="3469"/>
    <cellStyle name="ex64 9 4 2" xfId="3470"/>
    <cellStyle name="ex64 9 4 3" xfId="3471"/>
    <cellStyle name="ex64 9 4 4" xfId="3472"/>
    <cellStyle name="ex64 9 4 5" xfId="3473"/>
    <cellStyle name="ex64 9 5" xfId="3474"/>
    <cellStyle name="ex64 9 6" xfId="3475"/>
    <cellStyle name="ex64 9 7" xfId="3476"/>
    <cellStyle name="ex64 9 8" xfId="3477"/>
    <cellStyle name="ex65" xfId="3478"/>
    <cellStyle name="ex65 10" xfId="3479"/>
    <cellStyle name="ex65 10 2" xfId="3480"/>
    <cellStyle name="ex65 10 2 2" xfId="3481"/>
    <cellStyle name="ex65 10 2 3" xfId="3482"/>
    <cellStyle name="ex65 10 3" xfId="3483"/>
    <cellStyle name="ex65 10 4" xfId="3484"/>
    <cellStyle name="ex65 10 4 2" xfId="3485"/>
    <cellStyle name="ex65 10 4 3" xfId="3486"/>
    <cellStyle name="ex65 10 4 4" xfId="3487"/>
    <cellStyle name="ex65 10 4 5" xfId="3488"/>
    <cellStyle name="ex65 10 5" xfId="3489"/>
    <cellStyle name="ex65 10 6" xfId="3490"/>
    <cellStyle name="ex65 10 7" xfId="3491"/>
    <cellStyle name="ex65 10 8" xfId="3492"/>
    <cellStyle name="ex65 11" xfId="3493"/>
    <cellStyle name="ex65 11 2" xfId="3494"/>
    <cellStyle name="ex65 11 3" xfId="3495"/>
    <cellStyle name="ex65 12" xfId="3496"/>
    <cellStyle name="ex65 13" xfId="3497"/>
    <cellStyle name="ex65 2" xfId="3498"/>
    <cellStyle name="ex65 2 10" xfId="3499"/>
    <cellStyle name="ex65 2 10 2" xfId="3500"/>
    <cellStyle name="ex65 2 10 2 2" xfId="3501"/>
    <cellStyle name="ex65 2 10 2 3" xfId="3502"/>
    <cellStyle name="ex65 2 10 3" xfId="3503"/>
    <cellStyle name="ex65 2 10 4" xfId="3504"/>
    <cellStyle name="ex65 2 10 4 2" xfId="3505"/>
    <cellStyle name="ex65 2 10 4 3" xfId="3506"/>
    <cellStyle name="ex65 2 10 4 4" xfId="3507"/>
    <cellStyle name="ex65 2 10 4 5" xfId="3508"/>
    <cellStyle name="ex65 2 10 5" xfId="3509"/>
    <cellStyle name="ex65 2 10 6" xfId="3510"/>
    <cellStyle name="ex65 2 10 7" xfId="3511"/>
    <cellStyle name="ex65 2 10 8" xfId="3512"/>
    <cellStyle name="ex65 2 11" xfId="3513"/>
    <cellStyle name="ex65 2 11 2" xfId="3514"/>
    <cellStyle name="ex65 2 11 3" xfId="3515"/>
    <cellStyle name="ex65 2 12" xfId="3516"/>
    <cellStyle name="ex65 2 13" xfId="3517"/>
    <cellStyle name="ex65 2 13 2" xfId="3518"/>
    <cellStyle name="ex65 2 13 3" xfId="3519"/>
    <cellStyle name="ex65 2 13 4" xfId="3520"/>
    <cellStyle name="ex65 2 13 5" xfId="3521"/>
    <cellStyle name="ex65 2 14" xfId="3522"/>
    <cellStyle name="ex65 2 15" xfId="3523"/>
    <cellStyle name="ex65 2 16" xfId="3524"/>
    <cellStyle name="ex65 2 17" xfId="3525"/>
    <cellStyle name="ex65 2 2" xfId="3526"/>
    <cellStyle name="ex65 2 2 2" xfId="3527"/>
    <cellStyle name="ex65 2 2 2 2" xfId="3528"/>
    <cellStyle name="ex65 2 2 2 3" xfId="3529"/>
    <cellStyle name="ex65 2 2 3" xfId="3530"/>
    <cellStyle name="ex65 2 2 4" xfId="3531"/>
    <cellStyle name="ex65 2 2 4 2" xfId="3532"/>
    <cellStyle name="ex65 2 2 4 3" xfId="3533"/>
    <cellStyle name="ex65 2 2 4 4" xfId="3534"/>
    <cellStyle name="ex65 2 2 4 5" xfId="3535"/>
    <cellStyle name="ex65 2 2 5" xfId="3536"/>
    <cellStyle name="ex65 2 2 6" xfId="3537"/>
    <cellStyle name="ex65 2 2 7" xfId="3538"/>
    <cellStyle name="ex65 2 2 8" xfId="3539"/>
    <cellStyle name="ex65 2 3" xfId="3540"/>
    <cellStyle name="ex65 2 3 2" xfId="3541"/>
    <cellStyle name="ex65 2 3 2 2" xfId="3542"/>
    <cellStyle name="ex65 2 3 2 3" xfId="3543"/>
    <cellStyle name="ex65 2 3 3" xfId="3544"/>
    <cellStyle name="ex65 2 3 4" xfId="3545"/>
    <cellStyle name="ex65 2 3 4 2" xfId="3546"/>
    <cellStyle name="ex65 2 3 4 3" xfId="3547"/>
    <cellStyle name="ex65 2 3 4 4" xfId="3548"/>
    <cellStyle name="ex65 2 3 4 5" xfId="3549"/>
    <cellStyle name="ex65 2 3 5" xfId="3550"/>
    <cellStyle name="ex65 2 3 6" xfId="3551"/>
    <cellStyle name="ex65 2 3 7" xfId="3552"/>
    <cellStyle name="ex65 2 3 8" xfId="3553"/>
    <cellStyle name="ex65 2 4" xfId="3554"/>
    <cellStyle name="ex65 2 4 2" xfId="3555"/>
    <cellStyle name="ex65 2 4 2 2" xfId="3556"/>
    <cellStyle name="ex65 2 4 2 3" xfId="3557"/>
    <cellStyle name="ex65 2 4 3" xfId="3558"/>
    <cellStyle name="ex65 2 4 4" xfId="3559"/>
    <cellStyle name="ex65 2 4 4 2" xfId="3560"/>
    <cellStyle name="ex65 2 4 4 3" xfId="3561"/>
    <cellStyle name="ex65 2 4 4 4" xfId="3562"/>
    <cellStyle name="ex65 2 4 4 5" xfId="3563"/>
    <cellStyle name="ex65 2 4 5" xfId="3564"/>
    <cellStyle name="ex65 2 4 6" xfId="3565"/>
    <cellStyle name="ex65 2 4 7" xfId="3566"/>
    <cellStyle name="ex65 2 4 8" xfId="3567"/>
    <cellStyle name="ex65 2 5" xfId="3568"/>
    <cellStyle name="ex65 2 5 2" xfId="3569"/>
    <cellStyle name="ex65 2 5 2 2" xfId="3570"/>
    <cellStyle name="ex65 2 5 2 3" xfId="3571"/>
    <cellStyle name="ex65 2 5 3" xfId="3572"/>
    <cellStyle name="ex65 2 5 4" xfId="3573"/>
    <cellStyle name="ex65 2 5 4 2" xfId="3574"/>
    <cellStyle name="ex65 2 5 4 3" xfId="3575"/>
    <cellStyle name="ex65 2 5 4 4" xfId="3576"/>
    <cellStyle name="ex65 2 5 4 5" xfId="3577"/>
    <cellStyle name="ex65 2 5 5" xfId="3578"/>
    <cellStyle name="ex65 2 5 6" xfId="3579"/>
    <cellStyle name="ex65 2 5 7" xfId="3580"/>
    <cellStyle name="ex65 2 5 8" xfId="3581"/>
    <cellStyle name="ex65 2 6" xfId="3582"/>
    <cellStyle name="ex65 2 6 2" xfId="3583"/>
    <cellStyle name="ex65 2 6 2 2" xfId="3584"/>
    <cellStyle name="ex65 2 6 2 3" xfId="3585"/>
    <cellStyle name="ex65 2 6 3" xfId="3586"/>
    <cellStyle name="ex65 2 6 4" xfId="3587"/>
    <cellStyle name="ex65 2 6 4 2" xfId="3588"/>
    <cellStyle name="ex65 2 6 4 3" xfId="3589"/>
    <cellStyle name="ex65 2 6 4 4" xfId="3590"/>
    <cellStyle name="ex65 2 6 4 5" xfId="3591"/>
    <cellStyle name="ex65 2 6 5" xfId="3592"/>
    <cellStyle name="ex65 2 6 6" xfId="3593"/>
    <cellStyle name="ex65 2 6 7" xfId="3594"/>
    <cellStyle name="ex65 2 6 8" xfId="3595"/>
    <cellStyle name="ex65 2 7" xfId="3596"/>
    <cellStyle name="ex65 2 7 2" xfId="3597"/>
    <cellStyle name="ex65 2 7 2 2" xfId="3598"/>
    <cellStyle name="ex65 2 7 2 3" xfId="3599"/>
    <cellStyle name="ex65 2 7 3" xfId="3600"/>
    <cellStyle name="ex65 2 7 4" xfId="3601"/>
    <cellStyle name="ex65 2 7 4 2" xfId="3602"/>
    <cellStyle name="ex65 2 7 4 3" xfId="3603"/>
    <cellStyle name="ex65 2 7 4 4" xfId="3604"/>
    <cellStyle name="ex65 2 7 4 5" xfId="3605"/>
    <cellStyle name="ex65 2 7 5" xfId="3606"/>
    <cellStyle name="ex65 2 7 6" xfId="3607"/>
    <cellStyle name="ex65 2 7 7" xfId="3608"/>
    <cellStyle name="ex65 2 7 8" xfId="3609"/>
    <cellStyle name="ex65 2 8" xfId="3610"/>
    <cellStyle name="ex65 2 8 2" xfId="3611"/>
    <cellStyle name="ex65 2 8 2 2" xfId="3612"/>
    <cellStyle name="ex65 2 8 2 3" xfId="3613"/>
    <cellStyle name="ex65 2 8 3" xfId="3614"/>
    <cellStyle name="ex65 2 8 4" xfId="3615"/>
    <cellStyle name="ex65 2 8 4 2" xfId="3616"/>
    <cellStyle name="ex65 2 8 4 3" xfId="3617"/>
    <cellStyle name="ex65 2 8 4 4" xfId="3618"/>
    <cellStyle name="ex65 2 8 4 5" xfId="3619"/>
    <cellStyle name="ex65 2 8 5" xfId="3620"/>
    <cellStyle name="ex65 2 8 6" xfId="3621"/>
    <cellStyle name="ex65 2 8 7" xfId="3622"/>
    <cellStyle name="ex65 2 8 8" xfId="3623"/>
    <cellStyle name="ex65 2 9" xfId="3624"/>
    <cellStyle name="ex65 2 9 2" xfId="3625"/>
    <cellStyle name="ex65 2 9 2 2" xfId="3626"/>
    <cellStyle name="ex65 2 9 2 3" xfId="3627"/>
    <cellStyle name="ex65 2 9 3" xfId="3628"/>
    <cellStyle name="ex65 2 9 4" xfId="3629"/>
    <cellStyle name="ex65 2 9 4 2" xfId="3630"/>
    <cellStyle name="ex65 2 9 4 3" xfId="3631"/>
    <cellStyle name="ex65 2 9 4 4" xfId="3632"/>
    <cellStyle name="ex65 2 9 4 5" xfId="3633"/>
    <cellStyle name="ex65 2 9 5" xfId="3634"/>
    <cellStyle name="ex65 2 9 6" xfId="3635"/>
    <cellStyle name="ex65 2 9 7" xfId="3636"/>
    <cellStyle name="ex65 2 9 8" xfId="3637"/>
    <cellStyle name="ex65 3" xfId="3638"/>
    <cellStyle name="ex65 3 2" xfId="3639"/>
    <cellStyle name="ex65 3 2 2" xfId="3640"/>
    <cellStyle name="ex65 3 2 3" xfId="3641"/>
    <cellStyle name="ex65 3 3" xfId="3642"/>
    <cellStyle name="ex65 3 4" xfId="3643"/>
    <cellStyle name="ex65 3 4 2" xfId="3644"/>
    <cellStyle name="ex65 3 4 3" xfId="3645"/>
    <cellStyle name="ex65 3 4 4" xfId="3646"/>
    <cellStyle name="ex65 3 4 5" xfId="3647"/>
    <cellStyle name="ex65 3 5" xfId="3648"/>
    <cellStyle name="ex65 3 6" xfId="3649"/>
    <cellStyle name="ex65 3 7" xfId="3650"/>
    <cellStyle name="ex65 3 8" xfId="3651"/>
    <cellStyle name="ex65 4" xfId="3652"/>
    <cellStyle name="ex65 4 2" xfId="3653"/>
    <cellStyle name="ex65 4 2 2" xfId="3654"/>
    <cellStyle name="ex65 4 2 3" xfId="3655"/>
    <cellStyle name="ex65 4 3" xfId="3656"/>
    <cellStyle name="ex65 4 4" xfId="3657"/>
    <cellStyle name="ex65 4 4 2" xfId="3658"/>
    <cellStyle name="ex65 4 4 3" xfId="3659"/>
    <cellStyle name="ex65 4 4 4" xfId="3660"/>
    <cellStyle name="ex65 4 4 5" xfId="3661"/>
    <cellStyle name="ex65 4 5" xfId="3662"/>
    <cellStyle name="ex65 4 6" xfId="3663"/>
    <cellStyle name="ex65 4 7" xfId="3664"/>
    <cellStyle name="ex65 4 8" xfId="3665"/>
    <cellStyle name="ex65 5" xfId="3666"/>
    <cellStyle name="ex65 5 2" xfId="3667"/>
    <cellStyle name="ex65 5 2 2" xfId="3668"/>
    <cellStyle name="ex65 5 2 3" xfId="3669"/>
    <cellStyle name="ex65 5 3" xfId="3670"/>
    <cellStyle name="ex65 5 4" xfId="3671"/>
    <cellStyle name="ex65 5 4 2" xfId="3672"/>
    <cellStyle name="ex65 5 4 3" xfId="3673"/>
    <cellStyle name="ex65 5 4 4" xfId="3674"/>
    <cellStyle name="ex65 5 4 5" xfId="3675"/>
    <cellStyle name="ex65 5 5" xfId="3676"/>
    <cellStyle name="ex65 5 6" xfId="3677"/>
    <cellStyle name="ex65 5 7" xfId="3678"/>
    <cellStyle name="ex65 5 8" xfId="3679"/>
    <cellStyle name="ex65 6" xfId="3680"/>
    <cellStyle name="ex65 6 2" xfId="3681"/>
    <cellStyle name="ex65 6 2 2" xfId="3682"/>
    <cellStyle name="ex65 6 2 3" xfId="3683"/>
    <cellStyle name="ex65 6 3" xfId="3684"/>
    <cellStyle name="ex65 6 4" xfId="3685"/>
    <cellStyle name="ex65 6 4 2" xfId="3686"/>
    <cellStyle name="ex65 6 4 3" xfId="3687"/>
    <cellStyle name="ex65 6 4 4" xfId="3688"/>
    <cellStyle name="ex65 6 4 5" xfId="3689"/>
    <cellStyle name="ex65 6 5" xfId="3690"/>
    <cellStyle name="ex65 6 6" xfId="3691"/>
    <cellStyle name="ex65 6 7" xfId="3692"/>
    <cellStyle name="ex65 6 8" xfId="3693"/>
    <cellStyle name="ex65 7" xfId="3694"/>
    <cellStyle name="ex65 7 2" xfId="3695"/>
    <cellStyle name="ex65 7 2 2" xfId="3696"/>
    <cellStyle name="ex65 7 2 3" xfId="3697"/>
    <cellStyle name="ex65 7 3" xfId="3698"/>
    <cellStyle name="ex65 7 4" xfId="3699"/>
    <cellStyle name="ex65 7 4 2" xfId="3700"/>
    <cellStyle name="ex65 7 4 3" xfId="3701"/>
    <cellStyle name="ex65 7 4 4" xfId="3702"/>
    <cellStyle name="ex65 7 4 5" xfId="3703"/>
    <cellStyle name="ex65 7 5" xfId="3704"/>
    <cellStyle name="ex65 7 6" xfId="3705"/>
    <cellStyle name="ex65 7 7" xfId="3706"/>
    <cellStyle name="ex65 7 8" xfId="3707"/>
    <cellStyle name="ex65 8" xfId="3708"/>
    <cellStyle name="ex65 8 2" xfId="3709"/>
    <cellStyle name="ex65 8 2 2" xfId="3710"/>
    <cellStyle name="ex65 8 2 3" xfId="3711"/>
    <cellStyle name="ex65 8 3" xfId="3712"/>
    <cellStyle name="ex65 8 4" xfId="3713"/>
    <cellStyle name="ex65 8 4 2" xfId="3714"/>
    <cellStyle name="ex65 8 4 3" xfId="3715"/>
    <cellStyle name="ex65 8 4 4" xfId="3716"/>
    <cellStyle name="ex65 8 4 5" xfId="3717"/>
    <cellStyle name="ex65 8 5" xfId="3718"/>
    <cellStyle name="ex65 8 6" xfId="3719"/>
    <cellStyle name="ex65 8 7" xfId="3720"/>
    <cellStyle name="ex65 8 8" xfId="3721"/>
    <cellStyle name="ex65 9" xfId="3722"/>
    <cellStyle name="ex65 9 2" xfId="3723"/>
    <cellStyle name="ex65 9 2 2" xfId="3724"/>
    <cellStyle name="ex65 9 2 3" xfId="3725"/>
    <cellStyle name="ex65 9 3" xfId="3726"/>
    <cellStyle name="ex65 9 4" xfId="3727"/>
    <cellStyle name="ex65 9 4 2" xfId="3728"/>
    <cellStyle name="ex65 9 4 3" xfId="3729"/>
    <cellStyle name="ex65 9 4 4" xfId="3730"/>
    <cellStyle name="ex65 9 4 5" xfId="3731"/>
    <cellStyle name="ex65 9 5" xfId="3732"/>
    <cellStyle name="ex65 9 6" xfId="3733"/>
    <cellStyle name="ex65 9 7" xfId="3734"/>
    <cellStyle name="ex65 9 8" xfId="3735"/>
    <cellStyle name="ex66" xfId="3736"/>
    <cellStyle name="ex66 10" xfId="3737"/>
    <cellStyle name="ex66 10 2" xfId="3738"/>
    <cellStyle name="ex66 10 2 2" xfId="3739"/>
    <cellStyle name="ex66 10 2 3" xfId="3740"/>
    <cellStyle name="ex66 10 3" xfId="3741"/>
    <cellStyle name="ex66 10 4" xfId="3742"/>
    <cellStyle name="ex66 10 4 2" xfId="3743"/>
    <cellStyle name="ex66 10 4 3" xfId="3744"/>
    <cellStyle name="ex66 10 4 4" xfId="3745"/>
    <cellStyle name="ex66 10 4 5" xfId="3746"/>
    <cellStyle name="ex66 10 5" xfId="3747"/>
    <cellStyle name="ex66 10 6" xfId="3748"/>
    <cellStyle name="ex66 10 7" xfId="3749"/>
    <cellStyle name="ex66 10 8" xfId="3750"/>
    <cellStyle name="ex66 11" xfId="3751"/>
    <cellStyle name="ex66 11 2" xfId="3752"/>
    <cellStyle name="ex66 11 2 2" xfId="3753"/>
    <cellStyle name="ex66 11 2 2 2" xfId="3754"/>
    <cellStyle name="ex66 11 2 2 3" xfId="3755"/>
    <cellStyle name="ex66 11 2 2 4" xfId="3756"/>
    <cellStyle name="ex66 11 2 2 5" xfId="3757"/>
    <cellStyle name="ex66 11 2 2 6" xfId="3758"/>
    <cellStyle name="ex66 11 2 3" xfId="3759"/>
    <cellStyle name="ex66 11 2 3 2" xfId="3760"/>
    <cellStyle name="ex66 11 2 3 3" xfId="3761"/>
    <cellStyle name="ex66 11 2 3 4" xfId="3762"/>
    <cellStyle name="ex66 11 2 3 5" xfId="3763"/>
    <cellStyle name="ex66 11 2 3 6" xfId="3764"/>
    <cellStyle name="ex66 11 2 4" xfId="3765"/>
    <cellStyle name="ex66 11 2 5" xfId="3766"/>
    <cellStyle name="ex66 11 2 6" xfId="3767"/>
    <cellStyle name="ex66 11 2 7" xfId="3768"/>
    <cellStyle name="ex66 11 2 8" xfId="3769"/>
    <cellStyle name="ex66 11 3" xfId="3770"/>
    <cellStyle name="ex66 11 3 2" xfId="3771"/>
    <cellStyle name="ex66 11 3 3" xfId="3772"/>
    <cellStyle name="ex66 11 3 4" xfId="3773"/>
    <cellStyle name="ex66 11 3 5" xfId="3774"/>
    <cellStyle name="ex66 11 3 6" xfId="3775"/>
    <cellStyle name="ex66 11 4" xfId="3776"/>
    <cellStyle name="ex66 11 4 2" xfId="3777"/>
    <cellStyle name="ex66 11 4 3" xfId="3778"/>
    <cellStyle name="ex66 11 4 4" xfId="3779"/>
    <cellStyle name="ex66 11 4 5" xfId="3780"/>
    <cellStyle name="ex66 11 5" xfId="3781"/>
    <cellStyle name="ex66 11 6" xfId="3782"/>
    <cellStyle name="ex66 11 7" xfId="3783"/>
    <cellStyle name="ex66 11 8" xfId="3784"/>
    <cellStyle name="ex66 12" xfId="3785"/>
    <cellStyle name="ex66 12 2" xfId="3786"/>
    <cellStyle name="ex66 12 2 2" xfId="3787"/>
    <cellStyle name="ex66 12 2 2 2" xfId="3788"/>
    <cellStyle name="ex66 12 2 2 3" xfId="3789"/>
    <cellStyle name="ex66 12 2 2 4" xfId="3790"/>
    <cellStyle name="ex66 12 2 2 5" xfId="3791"/>
    <cellStyle name="ex66 12 2 2 6" xfId="3792"/>
    <cellStyle name="ex66 12 2 3" xfId="3793"/>
    <cellStyle name="ex66 12 2 3 2" xfId="3794"/>
    <cellStyle name="ex66 12 2 3 3" xfId="3795"/>
    <cellStyle name="ex66 12 2 3 4" xfId="3796"/>
    <cellStyle name="ex66 12 2 3 5" xfId="3797"/>
    <cellStyle name="ex66 12 2 3 6" xfId="3798"/>
    <cellStyle name="ex66 12 2 4" xfId="3799"/>
    <cellStyle name="ex66 12 2 5" xfId="3800"/>
    <cellStyle name="ex66 12 2 6" xfId="3801"/>
    <cellStyle name="ex66 12 2 7" xfId="3802"/>
    <cellStyle name="ex66 12 2 8" xfId="3803"/>
    <cellStyle name="ex66 12 3" xfId="3804"/>
    <cellStyle name="ex66 12 3 2" xfId="3805"/>
    <cellStyle name="ex66 12 3 3" xfId="3806"/>
    <cellStyle name="ex66 12 3 4" xfId="3807"/>
    <cellStyle name="ex66 12 3 5" xfId="3808"/>
    <cellStyle name="ex66 12 3 6" xfId="3809"/>
    <cellStyle name="ex66 12 4" xfId="3810"/>
    <cellStyle name="ex66 12 4 2" xfId="3811"/>
    <cellStyle name="ex66 12 4 3" xfId="3812"/>
    <cellStyle name="ex66 12 4 4" xfId="3813"/>
    <cellStyle name="ex66 12 4 5" xfId="3814"/>
    <cellStyle name="ex66 12 5" xfId="3815"/>
    <cellStyle name="ex66 12 6" xfId="3816"/>
    <cellStyle name="ex66 12 7" xfId="3817"/>
    <cellStyle name="ex66 12 8" xfId="3818"/>
    <cellStyle name="ex66 13" xfId="3819"/>
    <cellStyle name="ex66 13 2" xfId="3820"/>
    <cellStyle name="ex66 13 3" xfId="3821"/>
    <cellStyle name="ex66 14" xfId="3822"/>
    <cellStyle name="ex66 15" xfId="3823"/>
    <cellStyle name="ex66 15 2" xfId="3824"/>
    <cellStyle name="ex66 15 3" xfId="3825"/>
    <cellStyle name="ex66 15 4" xfId="3826"/>
    <cellStyle name="ex66 15 5" xfId="3827"/>
    <cellStyle name="ex66 16" xfId="3828"/>
    <cellStyle name="ex66 17" xfId="3829"/>
    <cellStyle name="ex66 18" xfId="3830"/>
    <cellStyle name="ex66 19" xfId="3831"/>
    <cellStyle name="ex66 2" xfId="3832"/>
    <cellStyle name="ex66 2 2" xfId="3833"/>
    <cellStyle name="ex66 2 2 2" xfId="3834"/>
    <cellStyle name="ex66 2 2 2 2" xfId="3835"/>
    <cellStyle name="ex66 2 2 2 3" xfId="3836"/>
    <cellStyle name="ex66 2 2 3" xfId="3837"/>
    <cellStyle name="ex66 2 2 4" xfId="3838"/>
    <cellStyle name="ex66 2 2 4 2" xfId="3839"/>
    <cellStyle name="ex66 2 2 4 3" xfId="3840"/>
    <cellStyle name="ex66 2 2 4 4" xfId="3841"/>
    <cellStyle name="ex66 2 2 4 5" xfId="3842"/>
    <cellStyle name="ex66 2 2 5" xfId="3843"/>
    <cellStyle name="ex66 2 2 6" xfId="3844"/>
    <cellStyle name="ex66 2 2 7" xfId="3845"/>
    <cellStyle name="ex66 2 2 8" xfId="3846"/>
    <cellStyle name="ex66 2 3" xfId="3847"/>
    <cellStyle name="ex66 2 3 2" xfId="3848"/>
    <cellStyle name="ex66 2 3 3" xfId="3849"/>
    <cellStyle name="ex66 2 4" xfId="3850"/>
    <cellStyle name="ex66 2 5" xfId="3851"/>
    <cellStyle name="ex66 2 5 2" xfId="3852"/>
    <cellStyle name="ex66 2 5 3" xfId="3853"/>
    <cellStyle name="ex66 2 5 4" xfId="3854"/>
    <cellStyle name="ex66 2 5 5" xfId="3855"/>
    <cellStyle name="ex66 2 6" xfId="3856"/>
    <cellStyle name="ex66 2 7" xfId="3857"/>
    <cellStyle name="ex66 2 8" xfId="3858"/>
    <cellStyle name="ex66 2 9" xfId="3859"/>
    <cellStyle name="ex66 3" xfId="3860"/>
    <cellStyle name="ex66 3 2" xfId="3861"/>
    <cellStyle name="ex66 3 2 2" xfId="3862"/>
    <cellStyle name="ex66 3 2 3" xfId="3863"/>
    <cellStyle name="ex66 3 3" xfId="3864"/>
    <cellStyle name="ex66 3 4" xfId="3865"/>
    <cellStyle name="ex66 3 4 2" xfId="3866"/>
    <cellStyle name="ex66 3 4 3" xfId="3867"/>
    <cellStyle name="ex66 3 4 4" xfId="3868"/>
    <cellStyle name="ex66 3 4 5" xfId="3869"/>
    <cellStyle name="ex66 3 5" xfId="3870"/>
    <cellStyle name="ex66 3 6" xfId="3871"/>
    <cellStyle name="ex66 3 7" xfId="3872"/>
    <cellStyle name="ex66 3 8" xfId="3873"/>
    <cellStyle name="ex66 4" xfId="3874"/>
    <cellStyle name="ex66 4 2" xfId="3875"/>
    <cellStyle name="ex66 4 2 2" xfId="3876"/>
    <cellStyle name="ex66 4 2 3" xfId="3877"/>
    <cellStyle name="ex66 4 3" xfId="3878"/>
    <cellStyle name="ex66 4 4" xfId="3879"/>
    <cellStyle name="ex66 4 4 2" xfId="3880"/>
    <cellStyle name="ex66 4 4 3" xfId="3881"/>
    <cellStyle name="ex66 4 4 4" xfId="3882"/>
    <cellStyle name="ex66 4 4 5" xfId="3883"/>
    <cellStyle name="ex66 4 5" xfId="3884"/>
    <cellStyle name="ex66 4 6" xfId="3885"/>
    <cellStyle name="ex66 4 7" xfId="3886"/>
    <cellStyle name="ex66 4 8" xfId="3887"/>
    <cellStyle name="ex66 5" xfId="3888"/>
    <cellStyle name="ex66 5 2" xfId="3889"/>
    <cellStyle name="ex66 5 2 2" xfId="3890"/>
    <cellStyle name="ex66 5 2 3" xfId="3891"/>
    <cellStyle name="ex66 5 3" xfId="3892"/>
    <cellStyle name="ex66 5 4" xfId="3893"/>
    <cellStyle name="ex66 5 4 2" xfId="3894"/>
    <cellStyle name="ex66 5 4 3" xfId="3895"/>
    <cellStyle name="ex66 5 4 4" xfId="3896"/>
    <cellStyle name="ex66 5 4 5" xfId="3897"/>
    <cellStyle name="ex66 5 5" xfId="3898"/>
    <cellStyle name="ex66 5 6" xfId="3899"/>
    <cellStyle name="ex66 5 7" xfId="3900"/>
    <cellStyle name="ex66 5 8" xfId="3901"/>
    <cellStyle name="ex66 6" xfId="3902"/>
    <cellStyle name="ex66 6 2" xfId="3903"/>
    <cellStyle name="ex66 6 2 2" xfId="3904"/>
    <cellStyle name="ex66 6 2 3" xfId="3905"/>
    <cellStyle name="ex66 6 3" xfId="3906"/>
    <cellStyle name="ex66 6 4" xfId="3907"/>
    <cellStyle name="ex66 6 4 2" xfId="3908"/>
    <cellStyle name="ex66 6 4 3" xfId="3909"/>
    <cellStyle name="ex66 6 4 4" xfId="3910"/>
    <cellStyle name="ex66 6 4 5" xfId="3911"/>
    <cellStyle name="ex66 6 5" xfId="3912"/>
    <cellStyle name="ex66 6 6" xfId="3913"/>
    <cellStyle name="ex66 6 7" xfId="3914"/>
    <cellStyle name="ex66 6 8" xfId="3915"/>
    <cellStyle name="ex66 7" xfId="3916"/>
    <cellStyle name="ex66 7 2" xfId="3917"/>
    <cellStyle name="ex66 7 2 2" xfId="3918"/>
    <cellStyle name="ex66 7 2 3" xfId="3919"/>
    <cellStyle name="ex66 7 3" xfId="3920"/>
    <cellStyle name="ex66 7 4" xfId="3921"/>
    <cellStyle name="ex66 7 4 2" xfId="3922"/>
    <cellStyle name="ex66 7 4 3" xfId="3923"/>
    <cellStyle name="ex66 7 4 4" xfId="3924"/>
    <cellStyle name="ex66 7 4 5" xfId="3925"/>
    <cellStyle name="ex66 7 5" xfId="3926"/>
    <cellStyle name="ex66 7 6" xfId="3927"/>
    <cellStyle name="ex66 7 7" xfId="3928"/>
    <cellStyle name="ex66 7 8" xfId="3929"/>
    <cellStyle name="ex66 8" xfId="3930"/>
    <cellStyle name="ex66 8 2" xfId="3931"/>
    <cellStyle name="ex66 8 2 2" xfId="3932"/>
    <cellStyle name="ex66 8 2 3" xfId="3933"/>
    <cellStyle name="ex66 8 3" xfId="3934"/>
    <cellStyle name="ex66 8 4" xfId="3935"/>
    <cellStyle name="ex66 8 4 2" xfId="3936"/>
    <cellStyle name="ex66 8 4 3" xfId="3937"/>
    <cellStyle name="ex66 8 4 4" xfId="3938"/>
    <cellStyle name="ex66 8 4 5" xfId="3939"/>
    <cellStyle name="ex66 8 5" xfId="3940"/>
    <cellStyle name="ex66 8 6" xfId="3941"/>
    <cellStyle name="ex66 8 7" xfId="3942"/>
    <cellStyle name="ex66 8 8" xfId="3943"/>
    <cellStyle name="ex66 9" xfId="3944"/>
    <cellStyle name="ex66 9 2" xfId="3945"/>
    <cellStyle name="ex66 9 2 2" xfId="3946"/>
    <cellStyle name="ex66 9 2 3" xfId="3947"/>
    <cellStyle name="ex66 9 3" xfId="3948"/>
    <cellStyle name="ex66 9 4" xfId="3949"/>
    <cellStyle name="ex66 9 4 2" xfId="3950"/>
    <cellStyle name="ex66 9 4 3" xfId="3951"/>
    <cellStyle name="ex66 9 4 4" xfId="3952"/>
    <cellStyle name="ex66 9 4 5" xfId="3953"/>
    <cellStyle name="ex66 9 5" xfId="3954"/>
    <cellStyle name="ex66 9 6" xfId="3955"/>
    <cellStyle name="ex66 9 7" xfId="3956"/>
    <cellStyle name="ex66 9 8" xfId="3957"/>
    <cellStyle name="ex67" xfId="3958"/>
    <cellStyle name="ex67 10" xfId="3959"/>
    <cellStyle name="ex67 10 2" xfId="3960"/>
    <cellStyle name="ex67 10 2 2" xfId="3961"/>
    <cellStyle name="ex67 10 2 3" xfId="3962"/>
    <cellStyle name="ex67 10 3" xfId="3963"/>
    <cellStyle name="ex67 10 4" xfId="3964"/>
    <cellStyle name="ex67 10 4 2" xfId="3965"/>
    <cellStyle name="ex67 10 4 3" xfId="3966"/>
    <cellStyle name="ex67 10 4 4" xfId="3967"/>
    <cellStyle name="ex67 10 4 5" xfId="3968"/>
    <cellStyle name="ex67 10 5" xfId="3969"/>
    <cellStyle name="ex67 10 6" xfId="3970"/>
    <cellStyle name="ex67 10 7" xfId="3971"/>
    <cellStyle name="ex67 10 8" xfId="3972"/>
    <cellStyle name="ex67 11" xfId="3973"/>
    <cellStyle name="ex67 11 2" xfId="3974"/>
    <cellStyle name="ex67 11 2 2" xfId="3975"/>
    <cellStyle name="ex67 11 2 2 2" xfId="3976"/>
    <cellStyle name="ex67 11 2 2 3" xfId="3977"/>
    <cellStyle name="ex67 11 2 2 4" xfId="3978"/>
    <cellStyle name="ex67 11 2 2 5" xfId="3979"/>
    <cellStyle name="ex67 11 2 2 6" xfId="3980"/>
    <cellStyle name="ex67 11 2 3" xfId="3981"/>
    <cellStyle name="ex67 11 2 3 2" xfId="3982"/>
    <cellStyle name="ex67 11 2 3 3" xfId="3983"/>
    <cellStyle name="ex67 11 2 3 4" xfId="3984"/>
    <cellStyle name="ex67 11 2 3 5" xfId="3985"/>
    <cellStyle name="ex67 11 2 3 6" xfId="3986"/>
    <cellStyle name="ex67 11 2 4" xfId="3987"/>
    <cellStyle name="ex67 11 2 5" xfId="3988"/>
    <cellStyle name="ex67 11 2 6" xfId="3989"/>
    <cellStyle name="ex67 11 2 7" xfId="3990"/>
    <cellStyle name="ex67 11 2 8" xfId="3991"/>
    <cellStyle name="ex67 11 3" xfId="3992"/>
    <cellStyle name="ex67 11 3 2" xfId="3993"/>
    <cellStyle name="ex67 11 3 3" xfId="3994"/>
    <cellStyle name="ex67 11 3 4" xfId="3995"/>
    <cellStyle name="ex67 11 3 5" xfId="3996"/>
    <cellStyle name="ex67 11 3 6" xfId="3997"/>
    <cellStyle name="ex67 11 4" xfId="3998"/>
    <cellStyle name="ex67 11 4 2" xfId="3999"/>
    <cellStyle name="ex67 11 4 3" xfId="4000"/>
    <cellStyle name="ex67 11 4 4" xfId="4001"/>
    <cellStyle name="ex67 11 4 5" xfId="4002"/>
    <cellStyle name="ex67 11 5" xfId="4003"/>
    <cellStyle name="ex67 11 6" xfId="4004"/>
    <cellStyle name="ex67 11 7" xfId="4005"/>
    <cellStyle name="ex67 11 8" xfId="4006"/>
    <cellStyle name="ex67 12" xfId="4007"/>
    <cellStyle name="ex67 12 2" xfId="4008"/>
    <cellStyle name="ex67 12 2 2" xfId="4009"/>
    <cellStyle name="ex67 12 2 2 2" xfId="4010"/>
    <cellStyle name="ex67 12 2 2 3" xfId="4011"/>
    <cellStyle name="ex67 12 2 2 4" xfId="4012"/>
    <cellStyle name="ex67 12 2 2 5" xfId="4013"/>
    <cellStyle name="ex67 12 2 2 6" xfId="4014"/>
    <cellStyle name="ex67 12 2 3" xfId="4015"/>
    <cellStyle name="ex67 12 2 3 2" xfId="4016"/>
    <cellStyle name="ex67 12 2 3 3" xfId="4017"/>
    <cellStyle name="ex67 12 2 3 4" xfId="4018"/>
    <cellStyle name="ex67 12 2 3 5" xfId="4019"/>
    <cellStyle name="ex67 12 2 3 6" xfId="4020"/>
    <cellStyle name="ex67 12 2 4" xfId="4021"/>
    <cellStyle name="ex67 12 2 5" xfId="4022"/>
    <cellStyle name="ex67 12 2 6" xfId="4023"/>
    <cellStyle name="ex67 12 2 7" xfId="4024"/>
    <cellStyle name="ex67 12 2 8" xfId="4025"/>
    <cellStyle name="ex67 12 3" xfId="4026"/>
    <cellStyle name="ex67 12 3 2" xfId="4027"/>
    <cellStyle name="ex67 12 3 3" xfId="4028"/>
    <cellStyle name="ex67 12 3 4" xfId="4029"/>
    <cellStyle name="ex67 12 3 5" xfId="4030"/>
    <cellStyle name="ex67 12 3 6" xfId="4031"/>
    <cellStyle name="ex67 12 4" xfId="4032"/>
    <cellStyle name="ex67 12 4 2" xfId="4033"/>
    <cellStyle name="ex67 12 4 3" xfId="4034"/>
    <cellStyle name="ex67 12 4 4" xfId="4035"/>
    <cellStyle name="ex67 12 4 5" xfId="4036"/>
    <cellStyle name="ex67 12 5" xfId="4037"/>
    <cellStyle name="ex67 12 6" xfId="4038"/>
    <cellStyle name="ex67 12 7" xfId="4039"/>
    <cellStyle name="ex67 12 8" xfId="4040"/>
    <cellStyle name="ex67 13" xfId="4041"/>
    <cellStyle name="ex67 13 2" xfId="4042"/>
    <cellStyle name="ex67 13 3" xfId="4043"/>
    <cellStyle name="ex67 14" xfId="4044"/>
    <cellStyle name="ex67 15" xfId="4045"/>
    <cellStyle name="ex67 15 2" xfId="4046"/>
    <cellStyle name="ex67 15 3" xfId="4047"/>
    <cellStyle name="ex67 15 4" xfId="4048"/>
    <cellStyle name="ex67 15 5" xfId="4049"/>
    <cellStyle name="ex67 16" xfId="4050"/>
    <cellStyle name="ex67 17" xfId="4051"/>
    <cellStyle name="ex67 18" xfId="4052"/>
    <cellStyle name="ex67 19" xfId="4053"/>
    <cellStyle name="ex67 2" xfId="4054"/>
    <cellStyle name="ex67 2 2" xfId="4055"/>
    <cellStyle name="ex67 2 2 2" xfId="4056"/>
    <cellStyle name="ex67 2 2 2 2" xfId="4057"/>
    <cellStyle name="ex67 2 2 2 3" xfId="4058"/>
    <cellStyle name="ex67 2 2 3" xfId="4059"/>
    <cellStyle name="ex67 2 2 4" xfId="4060"/>
    <cellStyle name="ex67 2 2 4 2" xfId="4061"/>
    <cellStyle name="ex67 2 2 4 3" xfId="4062"/>
    <cellStyle name="ex67 2 2 4 4" xfId="4063"/>
    <cellStyle name="ex67 2 2 4 5" xfId="4064"/>
    <cellStyle name="ex67 2 2 5" xfId="4065"/>
    <cellStyle name="ex67 2 2 6" xfId="4066"/>
    <cellStyle name="ex67 2 2 7" xfId="4067"/>
    <cellStyle name="ex67 2 2 8" xfId="4068"/>
    <cellStyle name="ex67 2 3" xfId="4069"/>
    <cellStyle name="ex67 2 3 2" xfId="4070"/>
    <cellStyle name="ex67 2 3 3" xfId="4071"/>
    <cellStyle name="ex67 2 4" xfId="4072"/>
    <cellStyle name="ex67 2 5" xfId="4073"/>
    <cellStyle name="ex67 2 5 2" xfId="4074"/>
    <cellStyle name="ex67 2 5 3" xfId="4075"/>
    <cellStyle name="ex67 2 5 4" xfId="4076"/>
    <cellStyle name="ex67 2 5 5" xfId="4077"/>
    <cellStyle name="ex67 2 6" xfId="4078"/>
    <cellStyle name="ex67 2 7" xfId="4079"/>
    <cellStyle name="ex67 2 8" xfId="4080"/>
    <cellStyle name="ex67 2 9" xfId="4081"/>
    <cellStyle name="ex67 3" xfId="4082"/>
    <cellStyle name="ex67 3 2" xfId="4083"/>
    <cellStyle name="ex67 3 2 2" xfId="4084"/>
    <cellStyle name="ex67 3 2 3" xfId="4085"/>
    <cellStyle name="ex67 3 3" xfId="4086"/>
    <cellStyle name="ex67 3 4" xfId="4087"/>
    <cellStyle name="ex67 3 4 2" xfId="4088"/>
    <cellStyle name="ex67 3 4 3" xfId="4089"/>
    <cellStyle name="ex67 3 4 4" xfId="4090"/>
    <cellStyle name="ex67 3 4 5" xfId="4091"/>
    <cellStyle name="ex67 3 5" xfId="4092"/>
    <cellStyle name="ex67 3 6" xfId="4093"/>
    <cellStyle name="ex67 3 7" xfId="4094"/>
    <cellStyle name="ex67 3 8" xfId="4095"/>
    <cellStyle name="ex67 4" xfId="4096"/>
    <cellStyle name="ex67 4 2" xfId="4097"/>
    <cellStyle name="ex67 4 2 2" xfId="4098"/>
    <cellStyle name="ex67 4 2 3" xfId="4099"/>
    <cellStyle name="ex67 4 3" xfId="4100"/>
    <cellStyle name="ex67 4 4" xfId="4101"/>
    <cellStyle name="ex67 4 4 2" xfId="4102"/>
    <cellStyle name="ex67 4 4 3" xfId="4103"/>
    <cellStyle name="ex67 4 4 4" xfId="4104"/>
    <cellStyle name="ex67 4 4 5" xfId="4105"/>
    <cellStyle name="ex67 4 5" xfId="4106"/>
    <cellStyle name="ex67 4 6" xfId="4107"/>
    <cellStyle name="ex67 4 7" xfId="4108"/>
    <cellStyle name="ex67 4 8" xfId="4109"/>
    <cellStyle name="ex67 5" xfId="4110"/>
    <cellStyle name="ex67 5 2" xfId="4111"/>
    <cellStyle name="ex67 5 2 2" xfId="4112"/>
    <cellStyle name="ex67 5 2 3" xfId="4113"/>
    <cellStyle name="ex67 5 3" xfId="4114"/>
    <cellStyle name="ex67 5 4" xfId="4115"/>
    <cellStyle name="ex67 5 4 2" xfId="4116"/>
    <cellStyle name="ex67 5 4 3" xfId="4117"/>
    <cellStyle name="ex67 5 4 4" xfId="4118"/>
    <cellStyle name="ex67 5 4 5" xfId="4119"/>
    <cellStyle name="ex67 5 5" xfId="4120"/>
    <cellStyle name="ex67 5 6" xfId="4121"/>
    <cellStyle name="ex67 5 7" xfId="4122"/>
    <cellStyle name="ex67 5 8" xfId="4123"/>
    <cellStyle name="ex67 6" xfId="4124"/>
    <cellStyle name="ex67 6 2" xfId="4125"/>
    <cellStyle name="ex67 6 2 2" xfId="4126"/>
    <cellStyle name="ex67 6 2 3" xfId="4127"/>
    <cellStyle name="ex67 6 3" xfId="4128"/>
    <cellStyle name="ex67 6 4" xfId="4129"/>
    <cellStyle name="ex67 6 4 2" xfId="4130"/>
    <cellStyle name="ex67 6 4 3" xfId="4131"/>
    <cellStyle name="ex67 6 4 4" xfId="4132"/>
    <cellStyle name="ex67 6 4 5" xfId="4133"/>
    <cellStyle name="ex67 6 5" xfId="4134"/>
    <cellStyle name="ex67 6 6" xfId="4135"/>
    <cellStyle name="ex67 6 7" xfId="4136"/>
    <cellStyle name="ex67 6 8" xfId="4137"/>
    <cellStyle name="ex67 7" xfId="4138"/>
    <cellStyle name="ex67 7 2" xfId="4139"/>
    <cellStyle name="ex67 7 2 2" xfId="4140"/>
    <cellStyle name="ex67 7 2 3" xfId="4141"/>
    <cellStyle name="ex67 7 3" xfId="4142"/>
    <cellStyle name="ex67 7 4" xfId="4143"/>
    <cellStyle name="ex67 7 4 2" xfId="4144"/>
    <cellStyle name="ex67 7 4 3" xfId="4145"/>
    <cellStyle name="ex67 7 4 4" xfId="4146"/>
    <cellStyle name="ex67 7 4 5" xfId="4147"/>
    <cellStyle name="ex67 7 5" xfId="4148"/>
    <cellStyle name="ex67 7 6" xfId="4149"/>
    <cellStyle name="ex67 7 7" xfId="4150"/>
    <cellStyle name="ex67 7 8" xfId="4151"/>
    <cellStyle name="ex67 8" xfId="4152"/>
    <cellStyle name="ex67 8 2" xfId="4153"/>
    <cellStyle name="ex67 8 2 2" xfId="4154"/>
    <cellStyle name="ex67 8 2 3" xfId="4155"/>
    <cellStyle name="ex67 8 3" xfId="4156"/>
    <cellStyle name="ex67 8 4" xfId="4157"/>
    <cellStyle name="ex67 8 4 2" xfId="4158"/>
    <cellStyle name="ex67 8 4 3" xfId="4159"/>
    <cellStyle name="ex67 8 4 4" xfId="4160"/>
    <cellStyle name="ex67 8 4 5" xfId="4161"/>
    <cellStyle name="ex67 8 5" xfId="4162"/>
    <cellStyle name="ex67 8 6" xfId="4163"/>
    <cellStyle name="ex67 8 7" xfId="4164"/>
    <cellStyle name="ex67 8 8" xfId="4165"/>
    <cellStyle name="ex67 9" xfId="4166"/>
    <cellStyle name="ex67 9 2" xfId="4167"/>
    <cellStyle name="ex67 9 2 2" xfId="4168"/>
    <cellStyle name="ex67 9 2 3" xfId="4169"/>
    <cellStyle name="ex67 9 3" xfId="4170"/>
    <cellStyle name="ex67 9 4" xfId="4171"/>
    <cellStyle name="ex67 9 4 2" xfId="4172"/>
    <cellStyle name="ex67 9 4 3" xfId="4173"/>
    <cellStyle name="ex67 9 4 4" xfId="4174"/>
    <cellStyle name="ex67 9 4 5" xfId="4175"/>
    <cellStyle name="ex67 9 5" xfId="4176"/>
    <cellStyle name="ex67 9 6" xfId="4177"/>
    <cellStyle name="ex67 9 7" xfId="4178"/>
    <cellStyle name="ex67 9 8" xfId="4179"/>
    <cellStyle name="ex68" xfId="4180"/>
    <cellStyle name="ex68 10" xfId="4181"/>
    <cellStyle name="ex68 10 2" xfId="4182"/>
    <cellStyle name="ex68 10 2 2" xfId="4183"/>
    <cellStyle name="ex68 10 2 3" xfId="4184"/>
    <cellStyle name="ex68 10 3" xfId="4185"/>
    <cellStyle name="ex68 10 4" xfId="4186"/>
    <cellStyle name="ex68 10 4 2" xfId="4187"/>
    <cellStyle name="ex68 10 4 3" xfId="4188"/>
    <cellStyle name="ex68 10 4 4" xfId="4189"/>
    <cellStyle name="ex68 10 4 5" xfId="4190"/>
    <cellStyle name="ex68 10 5" xfId="4191"/>
    <cellStyle name="ex68 10 6" xfId="4192"/>
    <cellStyle name="ex68 10 7" xfId="4193"/>
    <cellStyle name="ex68 10 8" xfId="4194"/>
    <cellStyle name="ex68 11" xfId="4195"/>
    <cellStyle name="ex68 11 2" xfId="4196"/>
    <cellStyle name="ex68 11 2 2" xfId="4197"/>
    <cellStyle name="ex68 11 2 2 2" xfId="4198"/>
    <cellStyle name="ex68 11 2 2 3" xfId="4199"/>
    <cellStyle name="ex68 11 2 2 4" xfId="4200"/>
    <cellStyle name="ex68 11 2 2 5" xfId="4201"/>
    <cellStyle name="ex68 11 2 2 6" xfId="4202"/>
    <cellStyle name="ex68 11 2 3" xfId="4203"/>
    <cellStyle name="ex68 11 2 3 2" xfId="4204"/>
    <cellStyle name="ex68 11 2 3 3" xfId="4205"/>
    <cellStyle name="ex68 11 2 3 4" xfId="4206"/>
    <cellStyle name="ex68 11 2 3 5" xfId="4207"/>
    <cellStyle name="ex68 11 2 3 6" xfId="4208"/>
    <cellStyle name="ex68 11 2 4" xfId="4209"/>
    <cellStyle name="ex68 11 2 5" xfId="4210"/>
    <cellStyle name="ex68 11 2 6" xfId="4211"/>
    <cellStyle name="ex68 11 2 7" xfId="4212"/>
    <cellStyle name="ex68 11 2 8" xfId="4213"/>
    <cellStyle name="ex68 11 3" xfId="4214"/>
    <cellStyle name="ex68 11 3 2" xfId="4215"/>
    <cellStyle name="ex68 11 3 3" xfId="4216"/>
    <cellStyle name="ex68 11 3 4" xfId="4217"/>
    <cellStyle name="ex68 11 3 5" xfId="4218"/>
    <cellStyle name="ex68 11 3 6" xfId="4219"/>
    <cellStyle name="ex68 11 4" xfId="4220"/>
    <cellStyle name="ex68 11 4 2" xfId="4221"/>
    <cellStyle name="ex68 11 4 3" xfId="4222"/>
    <cellStyle name="ex68 11 4 4" xfId="4223"/>
    <cellStyle name="ex68 11 4 5" xfId="4224"/>
    <cellStyle name="ex68 11 5" xfId="4225"/>
    <cellStyle name="ex68 11 6" xfId="4226"/>
    <cellStyle name="ex68 11 7" xfId="4227"/>
    <cellStyle name="ex68 11 8" xfId="4228"/>
    <cellStyle name="ex68 12" xfId="4229"/>
    <cellStyle name="ex68 12 2" xfId="4230"/>
    <cellStyle name="ex68 12 2 2" xfId="4231"/>
    <cellStyle name="ex68 12 2 2 2" xfId="4232"/>
    <cellStyle name="ex68 12 2 2 3" xfId="4233"/>
    <cellStyle name="ex68 12 2 2 4" xfId="4234"/>
    <cellStyle name="ex68 12 2 2 5" xfId="4235"/>
    <cellStyle name="ex68 12 2 2 6" xfId="4236"/>
    <cellStyle name="ex68 12 2 3" xfId="4237"/>
    <cellStyle name="ex68 12 2 3 2" xfId="4238"/>
    <cellStyle name="ex68 12 2 3 3" xfId="4239"/>
    <cellStyle name="ex68 12 2 3 4" xfId="4240"/>
    <cellStyle name="ex68 12 2 3 5" xfId="4241"/>
    <cellStyle name="ex68 12 2 3 6" xfId="4242"/>
    <cellStyle name="ex68 12 2 4" xfId="4243"/>
    <cellStyle name="ex68 12 2 5" xfId="4244"/>
    <cellStyle name="ex68 12 2 6" xfId="4245"/>
    <cellStyle name="ex68 12 2 7" xfId="4246"/>
    <cellStyle name="ex68 12 2 8" xfId="4247"/>
    <cellStyle name="ex68 12 3" xfId="4248"/>
    <cellStyle name="ex68 12 3 2" xfId="4249"/>
    <cellStyle name="ex68 12 3 3" xfId="4250"/>
    <cellStyle name="ex68 12 3 4" xfId="4251"/>
    <cellStyle name="ex68 12 3 5" xfId="4252"/>
    <cellStyle name="ex68 12 3 6" xfId="4253"/>
    <cellStyle name="ex68 12 4" xfId="4254"/>
    <cellStyle name="ex68 12 4 2" xfId="4255"/>
    <cellStyle name="ex68 12 4 3" xfId="4256"/>
    <cellStyle name="ex68 12 4 4" xfId="4257"/>
    <cellStyle name="ex68 12 4 5" xfId="4258"/>
    <cellStyle name="ex68 12 5" xfId="4259"/>
    <cellStyle name="ex68 12 6" xfId="4260"/>
    <cellStyle name="ex68 12 7" xfId="4261"/>
    <cellStyle name="ex68 12 8" xfId="4262"/>
    <cellStyle name="ex68 13" xfId="4263"/>
    <cellStyle name="ex68 13 2" xfId="4264"/>
    <cellStyle name="ex68 13 3" xfId="4265"/>
    <cellStyle name="ex68 14" xfId="4266"/>
    <cellStyle name="ex68 15" xfId="4267"/>
    <cellStyle name="ex68 15 2" xfId="4268"/>
    <cellStyle name="ex68 15 3" xfId="4269"/>
    <cellStyle name="ex68 15 4" xfId="4270"/>
    <cellStyle name="ex68 15 5" xfId="4271"/>
    <cellStyle name="ex68 16" xfId="4272"/>
    <cellStyle name="ex68 17" xfId="4273"/>
    <cellStyle name="ex68 18" xfId="4274"/>
    <cellStyle name="ex68 19" xfId="4275"/>
    <cellStyle name="ex68 2" xfId="4276"/>
    <cellStyle name="ex68 2 2" xfId="4277"/>
    <cellStyle name="ex68 2 2 2" xfId="4278"/>
    <cellStyle name="ex68 2 2 3" xfId="4279"/>
    <cellStyle name="ex68 2 3" xfId="4280"/>
    <cellStyle name="ex68 2 4" xfId="4281"/>
    <cellStyle name="ex68 2 4 2" xfId="4282"/>
    <cellStyle name="ex68 2 4 3" xfId="4283"/>
    <cellStyle name="ex68 2 4 4" xfId="4284"/>
    <cellStyle name="ex68 2 4 5" xfId="4285"/>
    <cellStyle name="ex68 2 5" xfId="4286"/>
    <cellStyle name="ex68 2 6" xfId="4287"/>
    <cellStyle name="ex68 2 7" xfId="4288"/>
    <cellStyle name="ex68 2 8" xfId="4289"/>
    <cellStyle name="ex68 3" xfId="4290"/>
    <cellStyle name="ex68 3 2" xfId="4291"/>
    <cellStyle name="ex68 3 2 2" xfId="4292"/>
    <cellStyle name="ex68 3 2 3" xfId="4293"/>
    <cellStyle name="ex68 3 3" xfId="4294"/>
    <cellStyle name="ex68 3 4" xfId="4295"/>
    <cellStyle name="ex68 3 4 2" xfId="4296"/>
    <cellStyle name="ex68 3 4 3" xfId="4297"/>
    <cellStyle name="ex68 3 4 4" xfId="4298"/>
    <cellStyle name="ex68 3 4 5" xfId="4299"/>
    <cellStyle name="ex68 3 5" xfId="4300"/>
    <cellStyle name="ex68 3 6" xfId="4301"/>
    <cellStyle name="ex68 3 7" xfId="4302"/>
    <cellStyle name="ex68 3 8" xfId="4303"/>
    <cellStyle name="ex68 4" xfId="4304"/>
    <cellStyle name="ex68 4 2" xfId="4305"/>
    <cellStyle name="ex68 4 2 2" xfId="4306"/>
    <cellStyle name="ex68 4 2 3" xfId="4307"/>
    <cellStyle name="ex68 4 3" xfId="4308"/>
    <cellStyle name="ex68 4 4" xfId="4309"/>
    <cellStyle name="ex68 4 4 2" xfId="4310"/>
    <cellStyle name="ex68 4 4 3" xfId="4311"/>
    <cellStyle name="ex68 4 4 4" xfId="4312"/>
    <cellStyle name="ex68 4 4 5" xfId="4313"/>
    <cellStyle name="ex68 4 5" xfId="4314"/>
    <cellStyle name="ex68 4 6" xfId="4315"/>
    <cellStyle name="ex68 4 7" xfId="4316"/>
    <cellStyle name="ex68 4 8" xfId="4317"/>
    <cellStyle name="ex68 5" xfId="4318"/>
    <cellStyle name="ex68 5 2" xfId="4319"/>
    <cellStyle name="ex68 5 2 2" xfId="4320"/>
    <cellStyle name="ex68 5 2 3" xfId="4321"/>
    <cellStyle name="ex68 5 3" xfId="4322"/>
    <cellStyle name="ex68 5 4" xfId="4323"/>
    <cellStyle name="ex68 5 4 2" xfId="4324"/>
    <cellStyle name="ex68 5 4 3" xfId="4325"/>
    <cellStyle name="ex68 5 4 4" xfId="4326"/>
    <cellStyle name="ex68 5 4 5" xfId="4327"/>
    <cellStyle name="ex68 5 5" xfId="4328"/>
    <cellStyle name="ex68 5 6" xfId="4329"/>
    <cellStyle name="ex68 5 7" xfId="4330"/>
    <cellStyle name="ex68 5 8" xfId="4331"/>
    <cellStyle name="ex68 6" xfId="4332"/>
    <cellStyle name="ex68 6 2" xfId="4333"/>
    <cellStyle name="ex68 6 2 2" xfId="4334"/>
    <cellStyle name="ex68 6 2 3" xfId="4335"/>
    <cellStyle name="ex68 6 3" xfId="4336"/>
    <cellStyle name="ex68 6 4" xfId="4337"/>
    <cellStyle name="ex68 6 4 2" xfId="4338"/>
    <cellStyle name="ex68 6 4 3" xfId="4339"/>
    <cellStyle name="ex68 6 4 4" xfId="4340"/>
    <cellStyle name="ex68 6 4 5" xfId="4341"/>
    <cellStyle name="ex68 6 5" xfId="4342"/>
    <cellStyle name="ex68 6 6" xfId="4343"/>
    <cellStyle name="ex68 6 7" xfId="4344"/>
    <cellStyle name="ex68 6 8" xfId="4345"/>
    <cellStyle name="ex68 7" xfId="4346"/>
    <cellStyle name="ex68 7 2" xfId="4347"/>
    <cellStyle name="ex68 7 2 2" xfId="4348"/>
    <cellStyle name="ex68 7 2 3" xfId="4349"/>
    <cellStyle name="ex68 7 3" xfId="4350"/>
    <cellStyle name="ex68 7 4" xfId="4351"/>
    <cellStyle name="ex68 7 4 2" xfId="4352"/>
    <cellStyle name="ex68 7 4 3" xfId="4353"/>
    <cellStyle name="ex68 7 4 4" xfId="4354"/>
    <cellStyle name="ex68 7 4 5" xfId="4355"/>
    <cellStyle name="ex68 7 5" xfId="4356"/>
    <cellStyle name="ex68 7 6" xfId="4357"/>
    <cellStyle name="ex68 7 7" xfId="4358"/>
    <cellStyle name="ex68 7 8" xfId="4359"/>
    <cellStyle name="ex68 8" xfId="4360"/>
    <cellStyle name="ex68 8 2" xfId="4361"/>
    <cellStyle name="ex68 8 2 2" xfId="4362"/>
    <cellStyle name="ex68 8 2 3" xfId="4363"/>
    <cellStyle name="ex68 8 3" xfId="4364"/>
    <cellStyle name="ex68 8 4" xfId="4365"/>
    <cellStyle name="ex68 8 4 2" xfId="4366"/>
    <cellStyle name="ex68 8 4 3" xfId="4367"/>
    <cellStyle name="ex68 8 4 4" xfId="4368"/>
    <cellStyle name="ex68 8 4 5" xfId="4369"/>
    <cellStyle name="ex68 8 5" xfId="4370"/>
    <cellStyle name="ex68 8 6" xfId="4371"/>
    <cellStyle name="ex68 8 7" xfId="4372"/>
    <cellStyle name="ex68 8 8" xfId="4373"/>
    <cellStyle name="ex68 9" xfId="4374"/>
    <cellStyle name="ex68 9 2" xfId="4375"/>
    <cellStyle name="ex68 9 2 2" xfId="4376"/>
    <cellStyle name="ex68 9 2 3" xfId="4377"/>
    <cellStyle name="ex68 9 3" xfId="4378"/>
    <cellStyle name="ex68 9 4" xfId="4379"/>
    <cellStyle name="ex68 9 4 2" xfId="4380"/>
    <cellStyle name="ex68 9 4 3" xfId="4381"/>
    <cellStyle name="ex68 9 4 4" xfId="4382"/>
    <cellStyle name="ex68 9 4 5" xfId="4383"/>
    <cellStyle name="ex68 9 5" xfId="4384"/>
    <cellStyle name="ex68 9 6" xfId="4385"/>
    <cellStyle name="ex68 9 7" xfId="4386"/>
    <cellStyle name="ex68 9 8" xfId="4387"/>
    <cellStyle name="ex69" xfId="4388"/>
    <cellStyle name="ex69 10" xfId="4389"/>
    <cellStyle name="ex69 10 2" xfId="4390"/>
    <cellStyle name="ex69 10 2 2" xfId="4391"/>
    <cellStyle name="ex69 10 2 3" xfId="4392"/>
    <cellStyle name="ex69 10 3" xfId="4393"/>
    <cellStyle name="ex69 10 4" xfId="4394"/>
    <cellStyle name="ex69 10 4 2" xfId="4395"/>
    <cellStyle name="ex69 10 4 3" xfId="4396"/>
    <cellStyle name="ex69 10 4 4" xfId="4397"/>
    <cellStyle name="ex69 10 4 5" xfId="4398"/>
    <cellStyle name="ex69 10 5" xfId="4399"/>
    <cellStyle name="ex69 10 6" xfId="4400"/>
    <cellStyle name="ex69 10 7" xfId="4401"/>
    <cellStyle name="ex69 10 8" xfId="4402"/>
    <cellStyle name="ex69 11" xfId="4403"/>
    <cellStyle name="ex69 11 2" xfId="4404"/>
    <cellStyle name="ex69 11 2 2" xfId="4405"/>
    <cellStyle name="ex69 11 2 3" xfId="4406"/>
    <cellStyle name="ex69 11 3" xfId="4407"/>
    <cellStyle name="ex69 11 4" xfId="4408"/>
    <cellStyle name="ex69 11 4 2" xfId="4409"/>
    <cellStyle name="ex69 11 4 3" xfId="4410"/>
    <cellStyle name="ex69 11 4 4" xfId="4411"/>
    <cellStyle name="ex69 11 4 5" xfId="4412"/>
    <cellStyle name="ex69 11 5" xfId="4413"/>
    <cellStyle name="ex69 11 6" xfId="4414"/>
    <cellStyle name="ex69 11 7" xfId="4415"/>
    <cellStyle name="ex69 11 8" xfId="4416"/>
    <cellStyle name="ex69 12" xfId="4417"/>
    <cellStyle name="ex69 12 2" xfId="4418"/>
    <cellStyle name="ex69 12 3" xfId="4419"/>
    <cellStyle name="ex69 13" xfId="4420"/>
    <cellStyle name="ex69 14" xfId="4421"/>
    <cellStyle name="ex69 14 2" xfId="4422"/>
    <cellStyle name="ex69 14 3" xfId="4423"/>
    <cellStyle name="ex69 14 4" xfId="4424"/>
    <cellStyle name="ex69 14 5" xfId="4425"/>
    <cellStyle name="ex69 15" xfId="4426"/>
    <cellStyle name="ex69 16" xfId="4427"/>
    <cellStyle name="ex69 17" xfId="4428"/>
    <cellStyle name="ex69 18" xfId="4429"/>
    <cellStyle name="ex69 2" xfId="4430"/>
    <cellStyle name="ex69 2 10" xfId="4431"/>
    <cellStyle name="ex69 2 10 2" xfId="4432"/>
    <cellStyle name="ex69 2 10 2 2" xfId="4433"/>
    <cellStyle name="ex69 2 10 2 3" xfId="4434"/>
    <cellStyle name="ex69 2 10 3" xfId="4435"/>
    <cellStyle name="ex69 2 10 4" xfId="4436"/>
    <cellStyle name="ex69 2 10 4 2" xfId="4437"/>
    <cellStyle name="ex69 2 10 4 3" xfId="4438"/>
    <cellStyle name="ex69 2 10 4 4" xfId="4439"/>
    <cellStyle name="ex69 2 10 4 5" xfId="4440"/>
    <cellStyle name="ex69 2 10 5" xfId="4441"/>
    <cellStyle name="ex69 2 10 6" xfId="4442"/>
    <cellStyle name="ex69 2 10 7" xfId="4443"/>
    <cellStyle name="ex69 2 10 8" xfId="4444"/>
    <cellStyle name="ex69 2 11" xfId="4445"/>
    <cellStyle name="ex69 2 11 2" xfId="4446"/>
    <cellStyle name="ex69 2 11 3" xfId="4447"/>
    <cellStyle name="ex69 2 12" xfId="4448"/>
    <cellStyle name="ex69 2 13" xfId="4449"/>
    <cellStyle name="ex69 2 13 2" xfId="4450"/>
    <cellStyle name="ex69 2 13 3" xfId="4451"/>
    <cellStyle name="ex69 2 13 4" xfId="4452"/>
    <cellStyle name="ex69 2 13 5" xfId="4453"/>
    <cellStyle name="ex69 2 14" xfId="4454"/>
    <cellStyle name="ex69 2 15" xfId="4455"/>
    <cellStyle name="ex69 2 16" xfId="4456"/>
    <cellStyle name="ex69 2 17" xfId="4457"/>
    <cellStyle name="ex69 2 2" xfId="4458"/>
    <cellStyle name="ex69 2 2 2" xfId="4459"/>
    <cellStyle name="ex69 2 2 2 2" xfId="4460"/>
    <cellStyle name="ex69 2 2 2 3" xfId="4461"/>
    <cellStyle name="ex69 2 2 3" xfId="4462"/>
    <cellStyle name="ex69 2 2 4" xfId="4463"/>
    <cellStyle name="ex69 2 2 4 2" xfId="4464"/>
    <cellStyle name="ex69 2 2 4 3" xfId="4465"/>
    <cellStyle name="ex69 2 2 4 4" xfId="4466"/>
    <cellStyle name="ex69 2 2 4 5" xfId="4467"/>
    <cellStyle name="ex69 2 2 5" xfId="4468"/>
    <cellStyle name="ex69 2 2 6" xfId="4469"/>
    <cellStyle name="ex69 2 2 7" xfId="4470"/>
    <cellStyle name="ex69 2 2 8" xfId="4471"/>
    <cellStyle name="ex69 2 3" xfId="4472"/>
    <cellStyle name="ex69 2 3 2" xfId="4473"/>
    <cellStyle name="ex69 2 3 2 2" xfId="4474"/>
    <cellStyle name="ex69 2 3 2 3" xfId="4475"/>
    <cellStyle name="ex69 2 3 3" xfId="4476"/>
    <cellStyle name="ex69 2 3 4" xfId="4477"/>
    <cellStyle name="ex69 2 3 4 2" xfId="4478"/>
    <cellStyle name="ex69 2 3 4 3" xfId="4479"/>
    <cellStyle name="ex69 2 3 4 4" xfId="4480"/>
    <cellStyle name="ex69 2 3 4 5" xfId="4481"/>
    <cellStyle name="ex69 2 3 5" xfId="4482"/>
    <cellStyle name="ex69 2 3 6" xfId="4483"/>
    <cellStyle name="ex69 2 3 7" xfId="4484"/>
    <cellStyle name="ex69 2 3 8" xfId="4485"/>
    <cellStyle name="ex69 2 4" xfId="4486"/>
    <cellStyle name="ex69 2 4 2" xfId="4487"/>
    <cellStyle name="ex69 2 4 2 2" xfId="4488"/>
    <cellStyle name="ex69 2 4 2 3" xfId="4489"/>
    <cellStyle name="ex69 2 4 3" xfId="4490"/>
    <cellStyle name="ex69 2 4 4" xfId="4491"/>
    <cellStyle name="ex69 2 4 4 2" xfId="4492"/>
    <cellStyle name="ex69 2 4 4 3" xfId="4493"/>
    <cellStyle name="ex69 2 4 4 4" xfId="4494"/>
    <cellStyle name="ex69 2 4 4 5" xfId="4495"/>
    <cellStyle name="ex69 2 4 5" xfId="4496"/>
    <cellStyle name="ex69 2 4 6" xfId="4497"/>
    <cellStyle name="ex69 2 4 7" xfId="4498"/>
    <cellStyle name="ex69 2 4 8" xfId="4499"/>
    <cellStyle name="ex69 2 5" xfId="4500"/>
    <cellStyle name="ex69 2 5 2" xfId="4501"/>
    <cellStyle name="ex69 2 5 2 2" xfId="4502"/>
    <cellStyle name="ex69 2 5 2 3" xfId="4503"/>
    <cellStyle name="ex69 2 5 3" xfId="4504"/>
    <cellStyle name="ex69 2 5 4" xfId="4505"/>
    <cellStyle name="ex69 2 5 4 2" xfId="4506"/>
    <cellStyle name="ex69 2 5 4 3" xfId="4507"/>
    <cellStyle name="ex69 2 5 4 4" xfId="4508"/>
    <cellStyle name="ex69 2 5 4 5" xfId="4509"/>
    <cellStyle name="ex69 2 5 5" xfId="4510"/>
    <cellStyle name="ex69 2 5 6" xfId="4511"/>
    <cellStyle name="ex69 2 5 7" xfId="4512"/>
    <cellStyle name="ex69 2 5 8" xfId="4513"/>
    <cellStyle name="ex69 2 6" xfId="4514"/>
    <cellStyle name="ex69 2 6 2" xfId="4515"/>
    <cellStyle name="ex69 2 6 2 2" xfId="4516"/>
    <cellStyle name="ex69 2 6 2 3" xfId="4517"/>
    <cellStyle name="ex69 2 6 3" xfId="4518"/>
    <cellStyle name="ex69 2 6 4" xfId="4519"/>
    <cellStyle name="ex69 2 6 4 2" xfId="4520"/>
    <cellStyle name="ex69 2 6 4 3" xfId="4521"/>
    <cellStyle name="ex69 2 6 4 4" xfId="4522"/>
    <cellStyle name="ex69 2 6 4 5" xfId="4523"/>
    <cellStyle name="ex69 2 6 5" xfId="4524"/>
    <cellStyle name="ex69 2 6 6" xfId="4525"/>
    <cellStyle name="ex69 2 6 7" xfId="4526"/>
    <cellStyle name="ex69 2 6 8" xfId="4527"/>
    <cellStyle name="ex69 2 7" xfId="4528"/>
    <cellStyle name="ex69 2 7 2" xfId="4529"/>
    <cellStyle name="ex69 2 7 2 2" xfId="4530"/>
    <cellStyle name="ex69 2 7 2 3" xfId="4531"/>
    <cellStyle name="ex69 2 7 3" xfId="4532"/>
    <cellStyle name="ex69 2 7 4" xfId="4533"/>
    <cellStyle name="ex69 2 7 4 2" xfId="4534"/>
    <cellStyle name="ex69 2 7 4 3" xfId="4535"/>
    <cellStyle name="ex69 2 7 4 4" xfId="4536"/>
    <cellStyle name="ex69 2 7 4 5" xfId="4537"/>
    <cellStyle name="ex69 2 7 5" xfId="4538"/>
    <cellStyle name="ex69 2 7 6" xfId="4539"/>
    <cellStyle name="ex69 2 7 7" xfId="4540"/>
    <cellStyle name="ex69 2 7 8" xfId="4541"/>
    <cellStyle name="ex69 2 8" xfId="4542"/>
    <cellStyle name="ex69 2 8 2" xfId="4543"/>
    <cellStyle name="ex69 2 8 2 2" xfId="4544"/>
    <cellStyle name="ex69 2 8 2 3" xfId="4545"/>
    <cellStyle name="ex69 2 8 3" xfId="4546"/>
    <cellStyle name="ex69 2 8 4" xfId="4547"/>
    <cellStyle name="ex69 2 8 4 2" xfId="4548"/>
    <cellStyle name="ex69 2 8 4 3" xfId="4549"/>
    <cellStyle name="ex69 2 8 4 4" xfId="4550"/>
    <cellStyle name="ex69 2 8 4 5" xfId="4551"/>
    <cellStyle name="ex69 2 8 5" xfId="4552"/>
    <cellStyle name="ex69 2 8 6" xfId="4553"/>
    <cellStyle name="ex69 2 8 7" xfId="4554"/>
    <cellStyle name="ex69 2 8 8" xfId="4555"/>
    <cellStyle name="ex69 2 9" xfId="4556"/>
    <cellStyle name="ex69 2 9 2" xfId="4557"/>
    <cellStyle name="ex69 2 9 2 2" xfId="4558"/>
    <cellStyle name="ex69 2 9 2 3" xfId="4559"/>
    <cellStyle name="ex69 2 9 3" xfId="4560"/>
    <cellStyle name="ex69 2 9 4" xfId="4561"/>
    <cellStyle name="ex69 2 9 4 2" xfId="4562"/>
    <cellStyle name="ex69 2 9 4 3" xfId="4563"/>
    <cellStyle name="ex69 2 9 4 4" xfId="4564"/>
    <cellStyle name="ex69 2 9 4 5" xfId="4565"/>
    <cellStyle name="ex69 2 9 5" xfId="4566"/>
    <cellStyle name="ex69 2 9 6" xfId="4567"/>
    <cellStyle name="ex69 2 9 7" xfId="4568"/>
    <cellStyle name="ex69 2 9 8" xfId="4569"/>
    <cellStyle name="ex69 3" xfId="4570"/>
    <cellStyle name="ex69 3 2" xfId="4571"/>
    <cellStyle name="ex69 3 2 2" xfId="4572"/>
    <cellStyle name="ex69 3 2 3" xfId="4573"/>
    <cellStyle name="ex69 3 3" xfId="4574"/>
    <cellStyle name="ex69 3 4" xfId="4575"/>
    <cellStyle name="ex69 3 4 2" xfId="4576"/>
    <cellStyle name="ex69 3 4 3" xfId="4577"/>
    <cellStyle name="ex69 3 4 4" xfId="4578"/>
    <cellStyle name="ex69 3 4 5" xfId="4579"/>
    <cellStyle name="ex69 3 5" xfId="4580"/>
    <cellStyle name="ex69 3 6" xfId="4581"/>
    <cellStyle name="ex69 3 7" xfId="4582"/>
    <cellStyle name="ex69 3 8" xfId="4583"/>
    <cellStyle name="ex69 4" xfId="4584"/>
    <cellStyle name="ex69 4 2" xfId="4585"/>
    <cellStyle name="ex69 4 2 2" xfId="4586"/>
    <cellStyle name="ex69 4 2 3" xfId="4587"/>
    <cellStyle name="ex69 4 3" xfId="4588"/>
    <cellStyle name="ex69 4 4" xfId="4589"/>
    <cellStyle name="ex69 4 4 2" xfId="4590"/>
    <cellStyle name="ex69 4 4 3" xfId="4591"/>
    <cellStyle name="ex69 4 4 4" xfId="4592"/>
    <cellStyle name="ex69 4 4 5" xfId="4593"/>
    <cellStyle name="ex69 4 5" xfId="4594"/>
    <cellStyle name="ex69 4 6" xfId="4595"/>
    <cellStyle name="ex69 4 7" xfId="4596"/>
    <cellStyle name="ex69 4 8" xfId="4597"/>
    <cellStyle name="ex69 5" xfId="4598"/>
    <cellStyle name="ex69 5 2" xfId="4599"/>
    <cellStyle name="ex69 5 2 2" xfId="4600"/>
    <cellStyle name="ex69 5 2 3" xfId="4601"/>
    <cellStyle name="ex69 5 3" xfId="4602"/>
    <cellStyle name="ex69 5 4" xfId="4603"/>
    <cellStyle name="ex69 5 4 2" xfId="4604"/>
    <cellStyle name="ex69 5 4 3" xfId="4605"/>
    <cellStyle name="ex69 5 4 4" xfId="4606"/>
    <cellStyle name="ex69 5 4 5" xfId="4607"/>
    <cellStyle name="ex69 5 5" xfId="4608"/>
    <cellStyle name="ex69 5 6" xfId="4609"/>
    <cellStyle name="ex69 5 7" xfId="4610"/>
    <cellStyle name="ex69 5 8" xfId="4611"/>
    <cellStyle name="ex69 6" xfId="4612"/>
    <cellStyle name="ex69 6 2" xfId="4613"/>
    <cellStyle name="ex69 6 2 2" xfId="4614"/>
    <cellStyle name="ex69 6 2 3" xfId="4615"/>
    <cellStyle name="ex69 6 3" xfId="4616"/>
    <cellStyle name="ex69 6 4" xfId="4617"/>
    <cellStyle name="ex69 6 4 2" xfId="4618"/>
    <cellStyle name="ex69 6 4 3" xfId="4619"/>
    <cellStyle name="ex69 6 4 4" xfId="4620"/>
    <cellStyle name="ex69 6 4 5" xfId="4621"/>
    <cellStyle name="ex69 6 5" xfId="4622"/>
    <cellStyle name="ex69 6 6" xfId="4623"/>
    <cellStyle name="ex69 6 7" xfId="4624"/>
    <cellStyle name="ex69 6 8" xfId="4625"/>
    <cellStyle name="ex69 7" xfId="4626"/>
    <cellStyle name="ex69 7 2" xfId="4627"/>
    <cellStyle name="ex69 7 2 2" xfId="4628"/>
    <cellStyle name="ex69 7 2 3" xfId="4629"/>
    <cellStyle name="ex69 7 3" xfId="4630"/>
    <cellStyle name="ex69 7 4" xfId="4631"/>
    <cellStyle name="ex69 7 4 2" xfId="4632"/>
    <cellStyle name="ex69 7 4 3" xfId="4633"/>
    <cellStyle name="ex69 7 4 4" xfId="4634"/>
    <cellStyle name="ex69 7 4 5" xfId="4635"/>
    <cellStyle name="ex69 7 5" xfId="4636"/>
    <cellStyle name="ex69 7 6" xfId="4637"/>
    <cellStyle name="ex69 7 7" xfId="4638"/>
    <cellStyle name="ex69 7 8" xfId="4639"/>
    <cellStyle name="ex69 8" xfId="4640"/>
    <cellStyle name="ex69 8 2" xfId="4641"/>
    <cellStyle name="ex69 8 2 2" xfId="4642"/>
    <cellStyle name="ex69 8 2 3" xfId="4643"/>
    <cellStyle name="ex69 8 3" xfId="4644"/>
    <cellStyle name="ex69 8 4" xfId="4645"/>
    <cellStyle name="ex69 8 4 2" xfId="4646"/>
    <cellStyle name="ex69 8 4 3" xfId="4647"/>
    <cellStyle name="ex69 8 4 4" xfId="4648"/>
    <cellStyle name="ex69 8 4 5" xfId="4649"/>
    <cellStyle name="ex69 8 5" xfId="4650"/>
    <cellStyle name="ex69 8 6" xfId="4651"/>
    <cellStyle name="ex69 8 7" xfId="4652"/>
    <cellStyle name="ex69 8 8" xfId="4653"/>
    <cellStyle name="ex69 9" xfId="4654"/>
    <cellStyle name="ex69 9 2" xfId="4655"/>
    <cellStyle name="ex69 9 2 2" xfId="4656"/>
    <cellStyle name="ex69 9 2 3" xfId="4657"/>
    <cellStyle name="ex69 9 3" xfId="4658"/>
    <cellStyle name="ex69 9 4" xfId="4659"/>
    <cellStyle name="ex69 9 4 2" xfId="4660"/>
    <cellStyle name="ex69 9 4 3" xfId="4661"/>
    <cellStyle name="ex69 9 4 4" xfId="4662"/>
    <cellStyle name="ex69 9 4 5" xfId="4663"/>
    <cellStyle name="ex69 9 5" xfId="4664"/>
    <cellStyle name="ex69 9 6" xfId="4665"/>
    <cellStyle name="ex69 9 7" xfId="4666"/>
    <cellStyle name="ex69 9 8" xfId="4667"/>
    <cellStyle name="ex70" xfId="4668"/>
    <cellStyle name="ex70 2" xfId="4669"/>
    <cellStyle name="ex70 2 2" xfId="4670"/>
    <cellStyle name="ex70 2 2 2" xfId="4671"/>
    <cellStyle name="ex70 2 2 3" xfId="4672"/>
    <cellStyle name="ex70 2 3" xfId="4673"/>
    <cellStyle name="ex70 2 4" xfId="4674"/>
    <cellStyle name="ex70 2 4 2" xfId="4675"/>
    <cellStyle name="ex70 2 4 3" xfId="4676"/>
    <cellStyle name="ex70 2 4 4" xfId="4677"/>
    <cellStyle name="ex70 2 4 5" xfId="4678"/>
    <cellStyle name="ex70 2 5" xfId="4679"/>
    <cellStyle name="ex70 2 6" xfId="4680"/>
    <cellStyle name="ex70 2 7" xfId="4681"/>
    <cellStyle name="ex70 2 8" xfId="4682"/>
    <cellStyle name="ex70 3" xfId="4683"/>
    <cellStyle name="ex70 3 2" xfId="4684"/>
    <cellStyle name="ex70 3 3" xfId="4685"/>
    <cellStyle name="ex70 4" xfId="4686"/>
    <cellStyle name="ex70 5" xfId="4687"/>
    <cellStyle name="ex70 5 2" xfId="4688"/>
    <cellStyle name="ex70 5 3" xfId="4689"/>
    <cellStyle name="ex70 5 4" xfId="4690"/>
    <cellStyle name="ex70 5 5" xfId="4691"/>
    <cellStyle name="ex70 6" xfId="4692"/>
    <cellStyle name="ex70 7" xfId="4693"/>
    <cellStyle name="ex70 8" xfId="4694"/>
    <cellStyle name="ex70 9" xfId="4695"/>
    <cellStyle name="ex71" xfId="4696"/>
    <cellStyle name="ex71 2" xfId="4697"/>
    <cellStyle name="ex71 2 2" xfId="4698"/>
    <cellStyle name="ex71 2 2 2" xfId="4699"/>
    <cellStyle name="ex71 2 2 2 2" xfId="4700"/>
    <cellStyle name="ex71 2 2 2 3" xfId="4701"/>
    <cellStyle name="ex71 2 2 3" xfId="4702"/>
    <cellStyle name="ex71 2 2 4" xfId="4703"/>
    <cellStyle name="ex71 2 2 4 2" xfId="4704"/>
    <cellStyle name="ex71 2 2 4 3" xfId="4705"/>
    <cellStyle name="ex71 2 2 4 4" xfId="4706"/>
    <cellStyle name="ex71 2 2 4 5" xfId="4707"/>
    <cellStyle name="ex71 2 2 5" xfId="4708"/>
    <cellStyle name="ex71 2 2 6" xfId="4709"/>
    <cellStyle name="ex71 2 2 7" xfId="4710"/>
    <cellStyle name="ex71 2 2 8" xfId="4711"/>
    <cellStyle name="ex71 2 3" xfId="4712"/>
    <cellStyle name="ex71 2 3 2" xfId="4713"/>
    <cellStyle name="ex71 2 3 3" xfId="4714"/>
    <cellStyle name="ex71 2 4" xfId="4715"/>
    <cellStyle name="ex71 2 5" xfId="4716"/>
    <cellStyle name="ex71 2 5 2" xfId="4717"/>
    <cellStyle name="ex71 2 5 3" xfId="4718"/>
    <cellStyle name="ex71 2 5 4" xfId="4719"/>
    <cellStyle name="ex71 2 5 5" xfId="4720"/>
    <cellStyle name="ex71 2 6" xfId="4721"/>
    <cellStyle name="ex71 2 7" xfId="4722"/>
    <cellStyle name="ex71 2 8" xfId="4723"/>
    <cellStyle name="ex71 2 9" xfId="4724"/>
    <cellStyle name="ex71 3" xfId="4725"/>
    <cellStyle name="ex71 3 2" xfId="4726"/>
    <cellStyle name="ex71 3 3" xfId="4727"/>
    <cellStyle name="ex71 4" xfId="4728"/>
    <cellStyle name="ex71 5" xfId="4729"/>
    <cellStyle name="ex71 5 2" xfId="4730"/>
    <cellStyle name="ex71 5 3" xfId="4731"/>
    <cellStyle name="ex71 5 4" xfId="4732"/>
    <cellStyle name="ex71 5 5" xfId="4733"/>
    <cellStyle name="ex71 6" xfId="4734"/>
    <cellStyle name="ex71 7" xfId="4735"/>
    <cellStyle name="ex71 8" xfId="4736"/>
    <cellStyle name="ex71 9" xfId="4737"/>
    <cellStyle name="ex72" xfId="4738"/>
    <cellStyle name="ex72 2" xfId="4739"/>
    <cellStyle name="ex72 2 2" xfId="4740"/>
    <cellStyle name="ex72 2 2 2" xfId="4741"/>
    <cellStyle name="ex72 2 2 2 2" xfId="4742"/>
    <cellStyle name="ex72 2 2 2 3" xfId="4743"/>
    <cellStyle name="ex72 2 2 3" xfId="4744"/>
    <cellStyle name="ex72 2 2 4" xfId="4745"/>
    <cellStyle name="ex72 2 2 4 2" xfId="4746"/>
    <cellStyle name="ex72 2 2 4 3" xfId="4747"/>
    <cellStyle name="ex72 2 2 4 4" xfId="4748"/>
    <cellStyle name="ex72 2 2 4 5" xfId="4749"/>
    <cellStyle name="ex72 2 2 5" xfId="4750"/>
    <cellStyle name="ex72 2 2 6" xfId="4751"/>
    <cellStyle name="ex72 2 2 7" xfId="4752"/>
    <cellStyle name="ex72 2 2 8" xfId="4753"/>
    <cellStyle name="ex72 2 3" xfId="4754"/>
    <cellStyle name="ex72 2 3 2" xfId="4755"/>
    <cellStyle name="ex72 2 3 3" xfId="4756"/>
    <cellStyle name="ex72 2 4" xfId="4757"/>
    <cellStyle name="ex72 2 5" xfId="4758"/>
    <cellStyle name="ex72 2 5 2" xfId="4759"/>
    <cellStyle name="ex72 2 5 3" xfId="4760"/>
    <cellStyle name="ex72 2 5 4" xfId="4761"/>
    <cellStyle name="ex72 2 5 5" xfId="4762"/>
    <cellStyle name="ex72 2 6" xfId="4763"/>
    <cellStyle name="ex72 2 7" xfId="4764"/>
    <cellStyle name="ex72 2 8" xfId="4765"/>
    <cellStyle name="ex72 2 9" xfId="4766"/>
    <cellStyle name="ex72 3" xfId="4767"/>
    <cellStyle name="ex72 3 2" xfId="4768"/>
    <cellStyle name="ex72 3 3" xfId="4769"/>
    <cellStyle name="ex72 4" xfId="4770"/>
    <cellStyle name="ex72 5" xfId="4771"/>
    <cellStyle name="ex72 5 2" xfId="4772"/>
    <cellStyle name="ex72 5 3" xfId="4773"/>
    <cellStyle name="ex72 5 4" xfId="4774"/>
    <cellStyle name="ex72 5 5" xfId="4775"/>
    <cellStyle name="ex72 6" xfId="4776"/>
    <cellStyle name="ex72 7" xfId="4777"/>
    <cellStyle name="ex72 8" xfId="4778"/>
    <cellStyle name="ex72 9" xfId="4779"/>
    <cellStyle name="ex73" xfId="4780"/>
    <cellStyle name="ex73 2" xfId="4781"/>
    <cellStyle name="ex73 2 2" xfId="4782"/>
    <cellStyle name="ex73 2 2 2" xfId="4783"/>
    <cellStyle name="ex73 2 2 3" xfId="4784"/>
    <cellStyle name="ex73 2 3" xfId="4785"/>
    <cellStyle name="ex73 2 4" xfId="4786"/>
    <cellStyle name="ex73 2 4 2" xfId="4787"/>
    <cellStyle name="ex73 2 4 3" xfId="4788"/>
    <cellStyle name="ex73 2 4 4" xfId="4789"/>
    <cellStyle name="ex73 2 4 5" xfId="4790"/>
    <cellStyle name="ex73 2 5" xfId="4791"/>
    <cellStyle name="ex73 2 6" xfId="4792"/>
    <cellStyle name="ex73 2 7" xfId="4793"/>
    <cellStyle name="ex73 2 8" xfId="4794"/>
    <cellStyle name="ex73 3" xfId="4795"/>
    <cellStyle name="ex73 3 2" xfId="4796"/>
    <cellStyle name="ex73 3 3" xfId="4797"/>
    <cellStyle name="ex73 4" xfId="4798"/>
    <cellStyle name="ex73 5" xfId="4799"/>
    <cellStyle name="ex73 5 2" xfId="4800"/>
    <cellStyle name="ex73 5 3" xfId="4801"/>
    <cellStyle name="ex73 5 4" xfId="4802"/>
    <cellStyle name="ex73 5 5" xfId="4803"/>
    <cellStyle name="ex73 6" xfId="4804"/>
    <cellStyle name="ex73 7" xfId="4805"/>
    <cellStyle name="ex73 8" xfId="4806"/>
    <cellStyle name="ex73 9" xfId="4807"/>
    <cellStyle name="ex74" xfId="4808"/>
    <cellStyle name="ex74 10" xfId="4809"/>
    <cellStyle name="ex74 2" xfId="4810"/>
    <cellStyle name="ex74 2 2" xfId="4811"/>
    <cellStyle name="ex74 2 2 2" xfId="4812"/>
    <cellStyle name="ex74 2 2 3" xfId="4813"/>
    <cellStyle name="ex74 2 3" xfId="4814"/>
    <cellStyle name="ex74 2 4" xfId="4815"/>
    <cellStyle name="ex74 2 4 2" xfId="4816"/>
    <cellStyle name="ex74 2 4 3" xfId="4817"/>
    <cellStyle name="ex74 2 4 4" xfId="4818"/>
    <cellStyle name="ex74 2 4 5" xfId="4819"/>
    <cellStyle name="ex74 2 5" xfId="4820"/>
    <cellStyle name="ex74 2 6" xfId="4821"/>
    <cellStyle name="ex74 2 7" xfId="4822"/>
    <cellStyle name="ex74 2 8" xfId="4823"/>
    <cellStyle name="ex74 3" xfId="4824"/>
    <cellStyle name="ex74 3 2" xfId="4825"/>
    <cellStyle name="ex74 3 2 2" xfId="4826"/>
    <cellStyle name="ex74 3 2 3" xfId="4827"/>
    <cellStyle name="ex74 3 3" xfId="4828"/>
    <cellStyle name="ex74 3 4" xfId="4829"/>
    <cellStyle name="ex74 3 4 2" xfId="4830"/>
    <cellStyle name="ex74 3 4 3" xfId="4831"/>
    <cellStyle name="ex74 3 4 4" xfId="4832"/>
    <cellStyle name="ex74 3 4 5" xfId="4833"/>
    <cellStyle name="ex74 3 5" xfId="4834"/>
    <cellStyle name="ex74 3 6" xfId="4835"/>
    <cellStyle name="ex74 3 7" xfId="4836"/>
    <cellStyle name="ex74 3 8" xfId="4837"/>
    <cellStyle name="ex74 4" xfId="4838"/>
    <cellStyle name="ex74 4 2" xfId="4839"/>
    <cellStyle name="ex74 4 3" xfId="4840"/>
    <cellStyle name="ex74 5" xfId="4841"/>
    <cellStyle name="ex74 6" xfId="4842"/>
    <cellStyle name="ex74 6 2" xfId="4843"/>
    <cellStyle name="ex74 6 3" xfId="4844"/>
    <cellStyle name="ex74 6 4" xfId="4845"/>
    <cellStyle name="ex74 6 5" xfId="4846"/>
    <cellStyle name="ex74 7" xfId="4847"/>
    <cellStyle name="ex74 8" xfId="4848"/>
    <cellStyle name="ex74 9" xfId="4849"/>
    <cellStyle name="ex75" xfId="4850"/>
    <cellStyle name="ex75 2" xfId="4851"/>
    <cellStyle name="ex75 2 2" xfId="4852"/>
    <cellStyle name="ex75 2 2 2" xfId="4853"/>
    <cellStyle name="ex75 2 2 3" xfId="4854"/>
    <cellStyle name="ex75 2 3" xfId="4855"/>
    <cellStyle name="ex75 2 4" xfId="4856"/>
    <cellStyle name="ex75 3" xfId="4857"/>
    <cellStyle name="ex75 3 2" xfId="4858"/>
    <cellStyle name="ex75 3 3" xfId="4859"/>
    <cellStyle name="ex75 4" xfId="4860"/>
    <cellStyle name="ex75 5" xfId="4861"/>
    <cellStyle name="ex76" xfId="4862"/>
    <cellStyle name="ex76 2" xfId="4863"/>
    <cellStyle name="ex76 2 2" xfId="4864"/>
    <cellStyle name="ex76 2 2 2" xfId="4865"/>
    <cellStyle name="ex76 2 2 2 2" xfId="4866"/>
    <cellStyle name="ex76 2 2 2 3" xfId="4867"/>
    <cellStyle name="ex76 2 2 3" xfId="4868"/>
    <cellStyle name="ex76 2 2 4" xfId="4869"/>
    <cellStyle name="ex76 2 2 4 2" xfId="4870"/>
    <cellStyle name="ex76 2 2 4 3" xfId="4871"/>
    <cellStyle name="ex76 2 2 4 4" xfId="4872"/>
    <cellStyle name="ex76 2 2 4 5" xfId="4873"/>
    <cellStyle name="ex76 2 2 5" xfId="4874"/>
    <cellStyle name="ex76 2 2 6" xfId="4875"/>
    <cellStyle name="ex76 2 2 7" xfId="4876"/>
    <cellStyle name="ex76 2 2 8" xfId="4877"/>
    <cellStyle name="ex76 2 3" xfId="4878"/>
    <cellStyle name="ex76 2 3 2" xfId="4879"/>
    <cellStyle name="ex76 2 3 3" xfId="4880"/>
    <cellStyle name="ex76 2 4" xfId="4881"/>
    <cellStyle name="ex76 2 5" xfId="4882"/>
    <cellStyle name="ex76 2 5 2" xfId="4883"/>
    <cellStyle name="ex76 2 5 3" xfId="4884"/>
    <cellStyle name="ex76 2 5 4" xfId="4885"/>
    <cellStyle name="ex76 2 5 5" xfId="4886"/>
    <cellStyle name="ex76 2 6" xfId="4887"/>
    <cellStyle name="ex76 2 7" xfId="4888"/>
    <cellStyle name="ex76 2 8" xfId="4889"/>
    <cellStyle name="ex76 2 9" xfId="4890"/>
    <cellStyle name="ex76 3" xfId="4891"/>
    <cellStyle name="ex76 3 2" xfId="4892"/>
    <cellStyle name="ex76 3 3" xfId="4893"/>
    <cellStyle name="ex76 4" xfId="4894"/>
    <cellStyle name="ex76 5" xfId="4895"/>
    <cellStyle name="ex76 5 2" xfId="4896"/>
    <cellStyle name="ex76 5 3" xfId="4897"/>
    <cellStyle name="ex76 5 4" xfId="4898"/>
    <cellStyle name="ex76 5 5" xfId="4899"/>
    <cellStyle name="ex76 6" xfId="4900"/>
    <cellStyle name="ex76 7" xfId="4901"/>
    <cellStyle name="ex76 8" xfId="4902"/>
    <cellStyle name="ex76 9" xfId="4903"/>
    <cellStyle name="ex77" xfId="4904"/>
    <cellStyle name="ex77 2" xfId="4905"/>
    <cellStyle name="ex77 2 2" xfId="4906"/>
    <cellStyle name="ex77 2 2 2" xfId="4907"/>
    <cellStyle name="ex77 2 2 2 2" xfId="4908"/>
    <cellStyle name="ex77 2 2 2 3" xfId="4909"/>
    <cellStyle name="ex77 2 2 3" xfId="4910"/>
    <cellStyle name="ex77 2 2 4" xfId="4911"/>
    <cellStyle name="ex77 2 2 4 2" xfId="4912"/>
    <cellStyle name="ex77 2 2 4 3" xfId="4913"/>
    <cellStyle name="ex77 2 2 4 4" xfId="4914"/>
    <cellStyle name="ex77 2 2 4 5" xfId="4915"/>
    <cellStyle name="ex77 2 2 5" xfId="4916"/>
    <cellStyle name="ex77 2 2 6" xfId="4917"/>
    <cellStyle name="ex77 2 2 7" xfId="4918"/>
    <cellStyle name="ex77 2 2 8" xfId="4919"/>
    <cellStyle name="ex77 2 3" xfId="4920"/>
    <cellStyle name="ex77 2 3 2" xfId="4921"/>
    <cellStyle name="ex77 2 3 3" xfId="4922"/>
    <cellStyle name="ex77 2 4" xfId="4923"/>
    <cellStyle name="ex77 2 5" xfId="4924"/>
    <cellStyle name="ex77 2 5 2" xfId="4925"/>
    <cellStyle name="ex77 2 5 3" xfId="4926"/>
    <cellStyle name="ex77 2 5 4" xfId="4927"/>
    <cellStyle name="ex77 2 5 5" xfId="4928"/>
    <cellStyle name="ex77 2 6" xfId="4929"/>
    <cellStyle name="ex77 2 7" xfId="4930"/>
    <cellStyle name="ex77 2 8" xfId="4931"/>
    <cellStyle name="ex77 2 9" xfId="4932"/>
    <cellStyle name="ex77 3" xfId="4933"/>
    <cellStyle name="ex77 3 2" xfId="4934"/>
    <cellStyle name="ex77 3 3" xfId="4935"/>
    <cellStyle name="ex77 4" xfId="4936"/>
    <cellStyle name="ex77 5" xfId="4937"/>
    <cellStyle name="ex77 5 2" xfId="4938"/>
    <cellStyle name="ex77 5 3" xfId="4939"/>
    <cellStyle name="ex77 5 4" xfId="4940"/>
    <cellStyle name="ex77 5 5" xfId="4941"/>
    <cellStyle name="ex77 6" xfId="4942"/>
    <cellStyle name="ex77 7" xfId="4943"/>
    <cellStyle name="ex77 8" xfId="4944"/>
    <cellStyle name="ex77 9" xfId="4945"/>
    <cellStyle name="ex78" xfId="4946"/>
    <cellStyle name="ex78 2" xfId="4947"/>
    <cellStyle name="ex78 2 2" xfId="4948"/>
    <cellStyle name="ex78 2 2 2" xfId="4949"/>
    <cellStyle name="ex78 2 2 3" xfId="4950"/>
    <cellStyle name="ex78 2 3" xfId="4951"/>
    <cellStyle name="ex78 2 4" xfId="4952"/>
    <cellStyle name="ex78 2 4 2" xfId="4953"/>
    <cellStyle name="ex78 2 4 3" xfId="4954"/>
    <cellStyle name="ex78 2 4 4" xfId="4955"/>
    <cellStyle name="ex78 2 4 5" xfId="4956"/>
    <cellStyle name="ex78 2 5" xfId="4957"/>
    <cellStyle name="ex78 2 6" xfId="4958"/>
    <cellStyle name="ex78 2 7" xfId="4959"/>
    <cellStyle name="ex78 2 8" xfId="4960"/>
    <cellStyle name="ex78 3" xfId="4961"/>
    <cellStyle name="ex78 3 2" xfId="4962"/>
    <cellStyle name="ex78 3 3" xfId="4963"/>
    <cellStyle name="ex78 4" xfId="4964"/>
    <cellStyle name="ex78 5" xfId="4965"/>
    <cellStyle name="ex78 5 2" xfId="4966"/>
    <cellStyle name="ex78 5 3" xfId="4967"/>
    <cellStyle name="ex78 5 4" xfId="4968"/>
    <cellStyle name="ex78 5 5" xfId="4969"/>
    <cellStyle name="ex78 6" xfId="4970"/>
    <cellStyle name="ex78 7" xfId="4971"/>
    <cellStyle name="ex78 8" xfId="4972"/>
    <cellStyle name="ex78 9" xfId="4973"/>
    <cellStyle name="ex79" xfId="4974"/>
    <cellStyle name="ex79 10" xfId="4975"/>
    <cellStyle name="ex79 2" xfId="4976"/>
    <cellStyle name="ex79 2 2" xfId="4977"/>
    <cellStyle name="ex79 2 2 2" xfId="4978"/>
    <cellStyle name="ex79 2 2 3" xfId="4979"/>
    <cellStyle name="ex79 2 3" xfId="4980"/>
    <cellStyle name="ex79 2 4" xfId="4981"/>
    <cellStyle name="ex79 2 4 2" xfId="4982"/>
    <cellStyle name="ex79 2 4 3" xfId="4983"/>
    <cellStyle name="ex79 2 4 4" xfId="4984"/>
    <cellStyle name="ex79 2 4 5" xfId="4985"/>
    <cellStyle name="ex79 2 5" xfId="4986"/>
    <cellStyle name="ex79 2 6" xfId="4987"/>
    <cellStyle name="ex79 2 7" xfId="4988"/>
    <cellStyle name="ex79 2 8" xfId="4989"/>
    <cellStyle name="ex79 3" xfId="4990"/>
    <cellStyle name="ex79 3 2" xfId="4991"/>
    <cellStyle name="ex79 3 2 2" xfId="4992"/>
    <cellStyle name="ex79 3 2 3" xfId="4993"/>
    <cellStyle name="ex79 3 3" xfId="4994"/>
    <cellStyle name="ex79 3 4" xfId="4995"/>
    <cellStyle name="ex79 3 4 2" xfId="4996"/>
    <cellStyle name="ex79 3 4 3" xfId="4997"/>
    <cellStyle name="ex79 3 4 4" xfId="4998"/>
    <cellStyle name="ex79 3 4 5" xfId="4999"/>
    <cellStyle name="ex79 3 5" xfId="5000"/>
    <cellStyle name="ex79 3 6" xfId="5001"/>
    <cellStyle name="ex79 3 7" xfId="5002"/>
    <cellStyle name="ex79 3 8" xfId="5003"/>
    <cellStyle name="ex79 4" xfId="5004"/>
    <cellStyle name="ex79 4 2" xfId="5005"/>
    <cellStyle name="ex79 4 3" xfId="5006"/>
    <cellStyle name="ex79 5" xfId="5007"/>
    <cellStyle name="ex79 6" xfId="5008"/>
    <cellStyle name="ex79 6 2" xfId="5009"/>
    <cellStyle name="ex79 6 3" xfId="5010"/>
    <cellStyle name="ex79 6 4" xfId="5011"/>
    <cellStyle name="ex79 6 5" xfId="5012"/>
    <cellStyle name="ex79 7" xfId="5013"/>
    <cellStyle name="ex79 8" xfId="5014"/>
    <cellStyle name="ex79 9" xfId="5015"/>
    <cellStyle name="ex80" xfId="5016"/>
    <cellStyle name="ex80 2" xfId="5017"/>
    <cellStyle name="ex80 2 2" xfId="5018"/>
    <cellStyle name="ex80 2 2 2" xfId="5019"/>
    <cellStyle name="ex80 2 2 3" xfId="5020"/>
    <cellStyle name="ex80 2 3" xfId="5021"/>
    <cellStyle name="ex80 2 4" xfId="5022"/>
    <cellStyle name="ex80 3" xfId="5023"/>
    <cellStyle name="ex80 3 2" xfId="5024"/>
    <cellStyle name="ex80 3 3" xfId="5025"/>
    <cellStyle name="ex80 4" xfId="5026"/>
    <cellStyle name="ex80 5" xfId="5027"/>
    <cellStyle name="ex81" xfId="5028"/>
    <cellStyle name="ex81 2" xfId="5029"/>
    <cellStyle name="ex81 2 2" xfId="5030"/>
    <cellStyle name="ex81 2 2 2" xfId="5031"/>
    <cellStyle name="ex81 2 2 3" xfId="5032"/>
    <cellStyle name="ex81 2 3" xfId="5033"/>
    <cellStyle name="ex81 2 4" xfId="5034"/>
    <cellStyle name="ex81 2 4 2" xfId="5035"/>
    <cellStyle name="ex81 2 4 3" xfId="5036"/>
    <cellStyle name="ex81 2 4 4" xfId="5037"/>
    <cellStyle name="ex81 2 4 5" xfId="5038"/>
    <cellStyle name="ex81 2 5" xfId="5039"/>
    <cellStyle name="ex81 2 6" xfId="5040"/>
    <cellStyle name="ex81 2 7" xfId="5041"/>
    <cellStyle name="ex81 2 8" xfId="5042"/>
    <cellStyle name="ex81 3" xfId="5043"/>
    <cellStyle name="ex81 3 2" xfId="5044"/>
    <cellStyle name="ex81 3 3" xfId="5045"/>
    <cellStyle name="ex81 4" xfId="5046"/>
    <cellStyle name="ex81 5" xfId="5047"/>
    <cellStyle name="ex81 5 2" xfId="5048"/>
    <cellStyle name="ex81 5 3" xfId="5049"/>
    <cellStyle name="ex81 5 4" xfId="5050"/>
    <cellStyle name="ex81 5 5" xfId="5051"/>
    <cellStyle name="ex81 6" xfId="5052"/>
    <cellStyle name="ex81 7" xfId="5053"/>
    <cellStyle name="ex81 8" xfId="5054"/>
    <cellStyle name="ex81 9" xfId="5055"/>
    <cellStyle name="ex82" xfId="5056"/>
    <cellStyle name="ex82 2" xfId="5057"/>
    <cellStyle name="ex82 2 2" xfId="5058"/>
    <cellStyle name="ex82 2 2 2" xfId="5059"/>
    <cellStyle name="ex82 2 2 3" xfId="5060"/>
    <cellStyle name="ex82 2 3" xfId="5061"/>
    <cellStyle name="ex82 2 4" xfId="5062"/>
    <cellStyle name="ex82 2 4 2" xfId="5063"/>
    <cellStyle name="ex82 2 4 3" xfId="5064"/>
    <cellStyle name="ex82 2 4 4" xfId="5065"/>
    <cellStyle name="ex82 2 4 5" xfId="5066"/>
    <cellStyle name="ex82 2 5" xfId="5067"/>
    <cellStyle name="ex82 2 6" xfId="5068"/>
    <cellStyle name="ex82 2 7" xfId="5069"/>
    <cellStyle name="ex82 2 8" xfId="5070"/>
    <cellStyle name="ex82 3" xfId="5071"/>
    <cellStyle name="ex82 3 2" xfId="5072"/>
    <cellStyle name="ex82 3 3" xfId="5073"/>
    <cellStyle name="ex82 4" xfId="5074"/>
    <cellStyle name="ex82 5" xfId="5075"/>
    <cellStyle name="ex82 5 2" xfId="5076"/>
    <cellStyle name="ex82 5 3" xfId="5077"/>
    <cellStyle name="ex82 5 4" xfId="5078"/>
    <cellStyle name="ex82 5 5" xfId="5079"/>
    <cellStyle name="ex82 6" xfId="5080"/>
    <cellStyle name="ex82 7" xfId="5081"/>
    <cellStyle name="ex82 8" xfId="5082"/>
    <cellStyle name="ex82 9" xfId="5083"/>
    <cellStyle name="ex83" xfId="5084"/>
    <cellStyle name="ex83 2" xfId="5085"/>
    <cellStyle name="ex83 2 2" xfId="5086"/>
    <cellStyle name="ex83 2 2 2" xfId="5087"/>
    <cellStyle name="ex83 2 2 3" xfId="5088"/>
    <cellStyle name="ex83 2 3" xfId="5089"/>
    <cellStyle name="ex83 2 4" xfId="5090"/>
    <cellStyle name="ex83 2 4 2" xfId="5091"/>
    <cellStyle name="ex83 2 4 3" xfId="5092"/>
    <cellStyle name="ex83 2 4 4" xfId="5093"/>
    <cellStyle name="ex83 2 4 5" xfId="5094"/>
    <cellStyle name="ex83 2 5" xfId="5095"/>
    <cellStyle name="ex83 2 6" xfId="5096"/>
    <cellStyle name="ex83 2 7" xfId="5097"/>
    <cellStyle name="ex83 2 8" xfId="5098"/>
    <cellStyle name="ex83 3" xfId="5099"/>
    <cellStyle name="ex83 3 2" xfId="5100"/>
    <cellStyle name="ex83 3 3" xfId="5101"/>
    <cellStyle name="ex83 4" xfId="5102"/>
    <cellStyle name="ex83 5" xfId="5103"/>
    <cellStyle name="ex83 5 2" xfId="5104"/>
    <cellStyle name="ex83 5 3" xfId="5105"/>
    <cellStyle name="ex83 5 4" xfId="5106"/>
    <cellStyle name="ex83 5 5" xfId="5107"/>
    <cellStyle name="ex83 6" xfId="5108"/>
    <cellStyle name="ex83 7" xfId="5109"/>
    <cellStyle name="ex83 8" xfId="5110"/>
    <cellStyle name="ex83 9" xfId="5111"/>
    <cellStyle name="ex84" xfId="5112"/>
    <cellStyle name="ex84 2" xfId="5113"/>
    <cellStyle name="ex84 2 2" xfId="5114"/>
    <cellStyle name="ex84 2 2 2" xfId="5115"/>
    <cellStyle name="ex84 2 2 3" xfId="5116"/>
    <cellStyle name="ex84 2 3" xfId="5117"/>
    <cellStyle name="ex84 2 4" xfId="5118"/>
    <cellStyle name="ex84 2 4 2" xfId="5119"/>
    <cellStyle name="ex84 2 4 3" xfId="5120"/>
    <cellStyle name="ex84 2 4 4" xfId="5121"/>
    <cellStyle name="ex84 2 4 5" xfId="5122"/>
    <cellStyle name="ex84 2 5" xfId="5123"/>
    <cellStyle name="ex84 2 6" xfId="5124"/>
    <cellStyle name="ex84 2 7" xfId="5125"/>
    <cellStyle name="ex84 2 8" xfId="5126"/>
    <cellStyle name="ex84 3" xfId="5127"/>
    <cellStyle name="ex84 3 2" xfId="5128"/>
    <cellStyle name="ex84 3 3" xfId="5129"/>
    <cellStyle name="ex84 4" xfId="5130"/>
    <cellStyle name="ex84 5" xfId="5131"/>
    <cellStyle name="ex84 5 2" xfId="5132"/>
    <cellStyle name="ex84 5 3" xfId="5133"/>
    <cellStyle name="ex84 5 4" xfId="5134"/>
    <cellStyle name="ex84 5 5" xfId="5135"/>
    <cellStyle name="ex84 6" xfId="5136"/>
    <cellStyle name="ex84 7" xfId="5137"/>
    <cellStyle name="ex84 8" xfId="5138"/>
    <cellStyle name="ex84 9" xfId="5139"/>
    <cellStyle name="ex85" xfId="5140"/>
    <cellStyle name="ex85 2" xfId="5141"/>
    <cellStyle name="ex85 2 2" xfId="5142"/>
    <cellStyle name="ex85 2 3" xfId="5143"/>
    <cellStyle name="ex85 3" xfId="5144"/>
    <cellStyle name="ex85 4" xfId="5145"/>
    <cellStyle name="ex86" xfId="5146"/>
    <cellStyle name="ex86 2" xfId="5147"/>
    <cellStyle name="ex86 2 2" xfId="5148"/>
    <cellStyle name="ex86 2 3" xfId="5149"/>
    <cellStyle name="ex86 3" xfId="5150"/>
    <cellStyle name="ex86 4" xfId="5151"/>
    <cellStyle name="ex86 4 2" xfId="5152"/>
    <cellStyle name="ex86 4 3" xfId="5153"/>
    <cellStyle name="ex86 4 4" xfId="5154"/>
    <cellStyle name="ex86 4 5" xfId="5155"/>
    <cellStyle name="ex86 5" xfId="5156"/>
    <cellStyle name="ex86 6" xfId="5157"/>
    <cellStyle name="ex86 7" xfId="5158"/>
    <cellStyle name="ex86 8" xfId="5159"/>
    <cellStyle name="ex87" xfId="5160"/>
    <cellStyle name="ex87 2" xfId="5161"/>
    <cellStyle name="ex87 2 2" xfId="5162"/>
    <cellStyle name="ex87 2 3" xfId="5163"/>
    <cellStyle name="ex87 3" xfId="5164"/>
    <cellStyle name="ex87 4" xfId="5165"/>
    <cellStyle name="ex87 4 2" xfId="5166"/>
    <cellStyle name="ex87 4 3" xfId="5167"/>
    <cellStyle name="ex87 4 4" xfId="5168"/>
    <cellStyle name="ex87 4 5" xfId="5169"/>
    <cellStyle name="ex87 5" xfId="5170"/>
    <cellStyle name="ex87 6" xfId="5171"/>
    <cellStyle name="ex87 7" xfId="5172"/>
    <cellStyle name="ex87 8" xfId="5173"/>
    <cellStyle name="ex88" xfId="5174"/>
    <cellStyle name="ex88 2" xfId="5175"/>
    <cellStyle name="ex88 2 2" xfId="5176"/>
    <cellStyle name="ex88 2 3" xfId="5177"/>
    <cellStyle name="ex88 3" xfId="5178"/>
    <cellStyle name="ex88 4" xfId="5179"/>
    <cellStyle name="ex88 4 2" xfId="5180"/>
    <cellStyle name="ex88 4 3" xfId="5181"/>
    <cellStyle name="ex88 4 4" xfId="5182"/>
    <cellStyle name="ex88 4 5" xfId="5183"/>
    <cellStyle name="ex88 5" xfId="5184"/>
    <cellStyle name="ex88 6" xfId="5185"/>
    <cellStyle name="ex88 7" xfId="5186"/>
    <cellStyle name="ex88 8" xfId="5187"/>
    <cellStyle name="ex89" xfId="5188"/>
    <cellStyle name="ex89 2" xfId="5189"/>
    <cellStyle name="ex89 2 2" xfId="5190"/>
    <cellStyle name="ex89 2 3" xfId="5191"/>
    <cellStyle name="ex89 3" xfId="5192"/>
    <cellStyle name="ex89 4" xfId="5193"/>
    <cellStyle name="ex89 4 2" xfId="5194"/>
    <cellStyle name="ex89 4 3" xfId="5195"/>
    <cellStyle name="ex89 4 4" xfId="5196"/>
    <cellStyle name="ex89 4 5" xfId="5197"/>
    <cellStyle name="ex89 5" xfId="5198"/>
    <cellStyle name="ex89 6" xfId="5199"/>
    <cellStyle name="ex89 7" xfId="5200"/>
    <cellStyle name="ex89 8" xfId="5201"/>
    <cellStyle name="Explanatory Text" xfId="5202"/>
    <cellStyle name="Explanatory Text 2" xfId="5203"/>
    <cellStyle name="Explanatory Text 2 2" xfId="5204"/>
    <cellStyle name="Explanatory Text 2 2 2" xfId="5205"/>
    <cellStyle name="Explanatory Text 2 2 3" xfId="5206"/>
    <cellStyle name="Explanatory Text 2 2 4" xfId="5207"/>
    <cellStyle name="Explanatory Text 2 2 5" xfId="5208"/>
    <cellStyle name="Explanatory Text 2 2 6" xfId="5209"/>
    <cellStyle name="Explanatory Text 2 3" xfId="5210"/>
    <cellStyle name="Explanatory Text 2 3 2" xfId="5211"/>
    <cellStyle name="Explanatory Text 2 3 3" xfId="5212"/>
    <cellStyle name="Explanatory Text 2 3 4" xfId="5213"/>
    <cellStyle name="Explanatory Text 2 3 5" xfId="5214"/>
    <cellStyle name="Explanatory Text 2 3 6" xfId="5215"/>
    <cellStyle name="Explanatory Text 2 4" xfId="5216"/>
    <cellStyle name="Explanatory Text 2 5" xfId="5217"/>
    <cellStyle name="Explanatory Text 2 6" xfId="5218"/>
    <cellStyle name="Explanatory Text 2 7" xfId="5219"/>
    <cellStyle name="Explanatory Text 2 8" xfId="5220"/>
    <cellStyle name="Explanatory Text 3" xfId="5221"/>
    <cellStyle name="Explanatory Text 3 2" xfId="5222"/>
    <cellStyle name="Explanatory Text 3 3" xfId="5223"/>
    <cellStyle name="Explanatory Text 3 4" xfId="5224"/>
    <cellStyle name="Explanatory Text 3 5" xfId="5225"/>
    <cellStyle name="Explanatory Text 3 6" xfId="5226"/>
    <cellStyle name="Explanatory Text 4" xfId="5227"/>
    <cellStyle name="Explanatory Text 4 2" xfId="5228"/>
    <cellStyle name="Explanatory Text 4 3" xfId="5229"/>
    <cellStyle name="Explanatory Text 4 4" xfId="5230"/>
    <cellStyle name="Explanatory Text 4 5" xfId="5231"/>
    <cellStyle name="Explanatory Text 5" xfId="5232"/>
    <cellStyle name="Explanatory Text 6" xfId="5233"/>
    <cellStyle name="Explanatory Text 7" xfId="5234"/>
    <cellStyle name="Explanatory Text 8" xfId="5235"/>
    <cellStyle name="Good" xfId="5236"/>
    <cellStyle name="Good 2" xfId="5237"/>
    <cellStyle name="Good 2 2" xfId="5238"/>
    <cellStyle name="Good 2 2 2" xfId="5239"/>
    <cellStyle name="Good 2 2 3" xfId="5240"/>
    <cellStyle name="Good 2 2 4" xfId="5241"/>
    <cellStyle name="Good 2 2 5" xfId="5242"/>
    <cellStyle name="Good 2 2 6" xfId="5243"/>
    <cellStyle name="Good 2 3" xfId="5244"/>
    <cellStyle name="Good 2 3 2" xfId="5245"/>
    <cellStyle name="Good 2 3 3" xfId="5246"/>
    <cellStyle name="Good 2 3 4" xfId="5247"/>
    <cellStyle name="Good 2 3 5" xfId="5248"/>
    <cellStyle name="Good 2 3 6" xfId="5249"/>
    <cellStyle name="Good 2 4" xfId="5250"/>
    <cellStyle name="Good 2 5" xfId="5251"/>
    <cellStyle name="Good 2 6" xfId="5252"/>
    <cellStyle name="Good 2 7" xfId="5253"/>
    <cellStyle name="Good 2 8" xfId="5254"/>
    <cellStyle name="Good 3" xfId="5255"/>
    <cellStyle name="Good 3 2" xfId="5256"/>
    <cellStyle name="Good 3 3" xfId="5257"/>
    <cellStyle name="Good 3 4" xfId="5258"/>
    <cellStyle name="Good 3 5" xfId="5259"/>
    <cellStyle name="Good 3 6" xfId="5260"/>
    <cellStyle name="Good 4" xfId="5261"/>
    <cellStyle name="Good 4 2" xfId="5262"/>
    <cellStyle name="Good 4 3" xfId="5263"/>
    <cellStyle name="Good 4 4" xfId="5264"/>
    <cellStyle name="Good 4 5" xfId="5265"/>
    <cellStyle name="Good 5" xfId="5266"/>
    <cellStyle name="Good 6" xfId="5267"/>
    <cellStyle name="Good 7" xfId="5268"/>
    <cellStyle name="Good 8" xfId="5269"/>
    <cellStyle name="Heading 1" xfId="5270"/>
    <cellStyle name="Heading 1 2" xfId="5271"/>
    <cellStyle name="Heading 1 2 2" xfId="5272"/>
    <cellStyle name="Heading 1 2 2 2" xfId="5273"/>
    <cellStyle name="Heading 1 2 2 3" xfId="5274"/>
    <cellStyle name="Heading 1 2 2 4" xfId="5275"/>
    <cellStyle name="Heading 1 2 2 5" xfId="5276"/>
    <cellStyle name="Heading 1 2 2 6" xfId="5277"/>
    <cellStyle name="Heading 1 2 3" xfId="5278"/>
    <cellStyle name="Heading 1 2 3 2" xfId="5279"/>
    <cellStyle name="Heading 1 2 3 3" xfId="5280"/>
    <cellStyle name="Heading 1 2 3 4" xfId="5281"/>
    <cellStyle name="Heading 1 2 3 5" xfId="5282"/>
    <cellStyle name="Heading 1 2 3 6" xfId="5283"/>
    <cellStyle name="Heading 1 2 4" xfId="5284"/>
    <cellStyle name="Heading 1 2 5" xfId="5285"/>
    <cellStyle name="Heading 1 2 6" xfId="5286"/>
    <cellStyle name="Heading 1 2 7" xfId="5287"/>
    <cellStyle name="Heading 1 2 8" xfId="5288"/>
    <cellStyle name="Heading 1 3" xfId="5289"/>
    <cellStyle name="Heading 1 3 2" xfId="5290"/>
    <cellStyle name="Heading 1 3 3" xfId="5291"/>
    <cellStyle name="Heading 1 3 4" xfId="5292"/>
    <cellStyle name="Heading 1 3 5" xfId="5293"/>
    <cellStyle name="Heading 1 3 6" xfId="5294"/>
    <cellStyle name="Heading 1 4" xfId="5295"/>
    <cellStyle name="Heading 1 4 2" xfId="5296"/>
    <cellStyle name="Heading 1 4 3" xfId="5297"/>
    <cellStyle name="Heading 1 4 4" xfId="5298"/>
    <cellStyle name="Heading 1 4 5" xfId="5299"/>
    <cellStyle name="Heading 1 5" xfId="5300"/>
    <cellStyle name="Heading 1 6" xfId="5301"/>
    <cellStyle name="Heading 1 7" xfId="5302"/>
    <cellStyle name="Heading 1 8" xfId="5303"/>
    <cellStyle name="Heading 2" xfId="5304"/>
    <cellStyle name="Heading 2 2" xfId="5305"/>
    <cellStyle name="Heading 2 2 2" xfId="5306"/>
    <cellStyle name="Heading 2 2 2 2" xfId="5307"/>
    <cellStyle name="Heading 2 2 2 3" xfId="5308"/>
    <cellStyle name="Heading 2 2 2 4" xfId="5309"/>
    <cellStyle name="Heading 2 2 2 5" xfId="5310"/>
    <cellStyle name="Heading 2 2 2 6" xfId="5311"/>
    <cellStyle name="Heading 2 2 3" xfId="5312"/>
    <cellStyle name="Heading 2 2 3 2" xfId="5313"/>
    <cellStyle name="Heading 2 2 3 3" xfId="5314"/>
    <cellStyle name="Heading 2 2 3 4" xfId="5315"/>
    <cellStyle name="Heading 2 2 3 5" xfId="5316"/>
    <cellStyle name="Heading 2 2 3 6" xfId="5317"/>
    <cellStyle name="Heading 2 2 4" xfId="5318"/>
    <cellStyle name="Heading 2 2 5" xfId="5319"/>
    <cellStyle name="Heading 2 2 6" xfId="5320"/>
    <cellStyle name="Heading 2 2 7" xfId="5321"/>
    <cellStyle name="Heading 2 2 8" xfId="5322"/>
    <cellStyle name="Heading 2 3" xfId="5323"/>
    <cellStyle name="Heading 2 3 2" xfId="5324"/>
    <cellStyle name="Heading 2 3 3" xfId="5325"/>
    <cellStyle name="Heading 2 3 4" xfId="5326"/>
    <cellStyle name="Heading 2 3 5" xfId="5327"/>
    <cellStyle name="Heading 2 3 6" xfId="5328"/>
    <cellStyle name="Heading 2 4" xfId="5329"/>
    <cellStyle name="Heading 2 4 2" xfId="5330"/>
    <cellStyle name="Heading 2 4 3" xfId="5331"/>
    <cellStyle name="Heading 2 4 4" xfId="5332"/>
    <cellStyle name="Heading 2 4 5" xfId="5333"/>
    <cellStyle name="Heading 2 5" xfId="5334"/>
    <cellStyle name="Heading 2 6" xfId="5335"/>
    <cellStyle name="Heading 2 7" xfId="5336"/>
    <cellStyle name="Heading 2 8" xfId="5337"/>
    <cellStyle name="Heading 3" xfId="5338"/>
    <cellStyle name="Heading 3 2" xfId="5339"/>
    <cellStyle name="Heading 3 2 2" xfId="5340"/>
    <cellStyle name="Heading 3 2 2 2" xfId="5341"/>
    <cellStyle name="Heading 3 2 2 3" xfId="5342"/>
    <cellStyle name="Heading 3 2 2 4" xfId="5343"/>
    <cellStyle name="Heading 3 2 2 5" xfId="5344"/>
    <cellStyle name="Heading 3 2 2 6" xfId="5345"/>
    <cellStyle name="Heading 3 2 3" xfId="5346"/>
    <cellStyle name="Heading 3 2 3 2" xfId="5347"/>
    <cellStyle name="Heading 3 2 3 3" xfId="5348"/>
    <cellStyle name="Heading 3 2 3 4" xfId="5349"/>
    <cellStyle name="Heading 3 2 3 5" xfId="5350"/>
    <cellStyle name="Heading 3 2 3 6" xfId="5351"/>
    <cellStyle name="Heading 3 2 4" xfId="5352"/>
    <cellStyle name="Heading 3 2 5" xfId="5353"/>
    <cellStyle name="Heading 3 2 6" xfId="5354"/>
    <cellStyle name="Heading 3 2 7" xfId="5355"/>
    <cellStyle name="Heading 3 2 8" xfId="5356"/>
    <cellStyle name="Heading 3 3" xfId="5357"/>
    <cellStyle name="Heading 3 3 2" xfId="5358"/>
    <cellStyle name="Heading 3 3 3" xfId="5359"/>
    <cellStyle name="Heading 3 3 4" xfId="5360"/>
    <cellStyle name="Heading 3 3 5" xfId="5361"/>
    <cellStyle name="Heading 3 3 6" xfId="5362"/>
    <cellStyle name="Heading 3 4" xfId="5363"/>
    <cellStyle name="Heading 3 4 2" xfId="5364"/>
    <cellStyle name="Heading 3 4 3" xfId="5365"/>
    <cellStyle name="Heading 3 4 4" xfId="5366"/>
    <cellStyle name="Heading 3 4 5" xfId="5367"/>
    <cellStyle name="Heading 3 5" xfId="5368"/>
    <cellStyle name="Heading 3 6" xfId="5369"/>
    <cellStyle name="Heading 3 7" xfId="5370"/>
    <cellStyle name="Heading 3 8" xfId="5371"/>
    <cellStyle name="Heading 4" xfId="5372"/>
    <cellStyle name="Heading 4 2" xfId="5373"/>
    <cellStyle name="Heading 4 2 2" xfId="5374"/>
    <cellStyle name="Heading 4 2 2 2" xfId="5375"/>
    <cellStyle name="Heading 4 2 2 3" xfId="5376"/>
    <cellStyle name="Heading 4 2 2 4" xfId="5377"/>
    <cellStyle name="Heading 4 2 2 5" xfId="5378"/>
    <cellStyle name="Heading 4 2 2 6" xfId="5379"/>
    <cellStyle name="Heading 4 2 3" xfId="5380"/>
    <cellStyle name="Heading 4 2 3 2" xfId="5381"/>
    <cellStyle name="Heading 4 2 3 3" xfId="5382"/>
    <cellStyle name="Heading 4 2 3 4" xfId="5383"/>
    <cellStyle name="Heading 4 2 3 5" xfId="5384"/>
    <cellStyle name="Heading 4 2 3 6" xfId="5385"/>
    <cellStyle name="Heading 4 2 4" xfId="5386"/>
    <cellStyle name="Heading 4 2 5" xfId="5387"/>
    <cellStyle name="Heading 4 2 6" xfId="5388"/>
    <cellStyle name="Heading 4 2 7" xfId="5389"/>
    <cellStyle name="Heading 4 2 8" xfId="5390"/>
    <cellStyle name="Heading 4 3" xfId="5391"/>
    <cellStyle name="Heading 4 3 2" xfId="5392"/>
    <cellStyle name="Heading 4 3 3" xfId="5393"/>
    <cellStyle name="Heading 4 3 4" xfId="5394"/>
    <cellStyle name="Heading 4 3 5" xfId="5395"/>
    <cellStyle name="Heading 4 3 6" xfId="5396"/>
    <cellStyle name="Heading 4 4" xfId="5397"/>
    <cellStyle name="Heading 4 4 2" xfId="5398"/>
    <cellStyle name="Heading 4 4 3" xfId="5399"/>
    <cellStyle name="Heading 4 4 4" xfId="5400"/>
    <cellStyle name="Heading 4 4 5" xfId="5401"/>
    <cellStyle name="Heading 4 5" xfId="5402"/>
    <cellStyle name="Heading 4 6" xfId="5403"/>
    <cellStyle name="Heading 4 7" xfId="5404"/>
    <cellStyle name="Heading 4 8" xfId="5405"/>
    <cellStyle name="Input" xfId="5406"/>
    <cellStyle name="Input 2" xfId="5407"/>
    <cellStyle name="Input 2 2" xfId="5408"/>
    <cellStyle name="Input 2 2 2" xfId="5409"/>
    <cellStyle name="Input 2 2 3" xfId="5410"/>
    <cellStyle name="Input 2 2 4" xfId="5411"/>
    <cellStyle name="Input 2 2 5" xfId="5412"/>
    <cellStyle name="Input 2 2 6" xfId="5413"/>
    <cellStyle name="Input 2 3" xfId="5414"/>
    <cellStyle name="Input 2 3 2" xfId="5415"/>
    <cellStyle name="Input 2 3 3" xfId="5416"/>
    <cellStyle name="Input 2 3 4" xfId="5417"/>
    <cellStyle name="Input 2 3 5" xfId="5418"/>
    <cellStyle name="Input 2 3 6" xfId="5419"/>
    <cellStyle name="Input 2 4" xfId="5420"/>
    <cellStyle name="Input 2 5" xfId="5421"/>
    <cellStyle name="Input 2 6" xfId="5422"/>
    <cellStyle name="Input 2 7" xfId="5423"/>
    <cellStyle name="Input 2 8" xfId="5424"/>
    <cellStyle name="Input 3" xfId="5425"/>
    <cellStyle name="Input 3 2" xfId="5426"/>
    <cellStyle name="Input 3 3" xfId="5427"/>
    <cellStyle name="Input 3 4" xfId="5428"/>
    <cellStyle name="Input 3 5" xfId="5429"/>
    <cellStyle name="Input 3 6" xfId="5430"/>
    <cellStyle name="Input 4" xfId="5431"/>
    <cellStyle name="Input 4 2" xfId="5432"/>
    <cellStyle name="Input 4 3" xfId="5433"/>
    <cellStyle name="Input 4 4" xfId="5434"/>
    <cellStyle name="Input 4 5" xfId="5435"/>
    <cellStyle name="Input 5" xfId="5436"/>
    <cellStyle name="Input 6" xfId="5437"/>
    <cellStyle name="Input 7" xfId="5438"/>
    <cellStyle name="Input 8" xfId="5439"/>
    <cellStyle name="Linked Cell" xfId="5440"/>
    <cellStyle name="Linked Cell 2" xfId="5441"/>
    <cellStyle name="Linked Cell 2 2" xfId="5442"/>
    <cellStyle name="Linked Cell 2 2 2" xfId="5443"/>
    <cellStyle name="Linked Cell 2 2 3" xfId="5444"/>
    <cellStyle name="Linked Cell 2 2 4" xfId="5445"/>
    <cellStyle name="Linked Cell 2 2 5" xfId="5446"/>
    <cellStyle name="Linked Cell 2 2 6" xfId="5447"/>
    <cellStyle name="Linked Cell 2 3" xfId="5448"/>
    <cellStyle name="Linked Cell 2 3 2" xfId="5449"/>
    <cellStyle name="Linked Cell 2 3 3" xfId="5450"/>
    <cellStyle name="Linked Cell 2 3 4" xfId="5451"/>
    <cellStyle name="Linked Cell 2 3 5" xfId="5452"/>
    <cellStyle name="Linked Cell 2 3 6" xfId="5453"/>
    <cellStyle name="Linked Cell 2 4" xfId="5454"/>
    <cellStyle name="Linked Cell 2 5" xfId="5455"/>
    <cellStyle name="Linked Cell 2 6" xfId="5456"/>
    <cellStyle name="Linked Cell 2 7" xfId="5457"/>
    <cellStyle name="Linked Cell 2 8" xfId="5458"/>
    <cellStyle name="Linked Cell 3" xfId="5459"/>
    <cellStyle name="Linked Cell 3 2" xfId="5460"/>
    <cellStyle name="Linked Cell 3 3" xfId="5461"/>
    <cellStyle name="Linked Cell 3 4" xfId="5462"/>
    <cellStyle name="Linked Cell 3 5" xfId="5463"/>
    <cellStyle name="Linked Cell 3 6" xfId="5464"/>
    <cellStyle name="Linked Cell 4" xfId="5465"/>
    <cellStyle name="Linked Cell 4 2" xfId="5466"/>
    <cellStyle name="Linked Cell 4 3" xfId="5467"/>
    <cellStyle name="Linked Cell 4 4" xfId="5468"/>
    <cellStyle name="Linked Cell 4 5" xfId="5469"/>
    <cellStyle name="Linked Cell 5" xfId="5470"/>
    <cellStyle name="Linked Cell 6" xfId="5471"/>
    <cellStyle name="Linked Cell 7" xfId="5472"/>
    <cellStyle name="Linked Cell 8" xfId="5473"/>
    <cellStyle name="Neutral" xfId="5474"/>
    <cellStyle name="Neutral 2" xfId="5475"/>
    <cellStyle name="Neutral 2 2" xfId="5476"/>
    <cellStyle name="Neutral 2 2 2" xfId="5477"/>
    <cellStyle name="Neutral 2 2 3" xfId="5478"/>
    <cellStyle name="Neutral 2 2 4" xfId="5479"/>
    <cellStyle name="Neutral 2 2 5" xfId="5480"/>
    <cellStyle name="Neutral 2 2 6" xfId="5481"/>
    <cellStyle name="Neutral 2 3" xfId="5482"/>
    <cellStyle name="Neutral 2 3 2" xfId="5483"/>
    <cellStyle name="Neutral 2 3 3" xfId="5484"/>
    <cellStyle name="Neutral 2 3 4" xfId="5485"/>
    <cellStyle name="Neutral 2 3 5" xfId="5486"/>
    <cellStyle name="Neutral 2 3 6" xfId="5487"/>
    <cellStyle name="Neutral 2 4" xfId="5488"/>
    <cellStyle name="Neutral 2 5" xfId="5489"/>
    <cellStyle name="Neutral 2 6" xfId="5490"/>
    <cellStyle name="Neutral 2 7" xfId="5491"/>
    <cellStyle name="Neutral 2 8" xfId="5492"/>
    <cellStyle name="Neutral 3" xfId="5493"/>
    <cellStyle name="Neutral 3 2" xfId="5494"/>
    <cellStyle name="Neutral 3 3" xfId="5495"/>
    <cellStyle name="Neutral 3 4" xfId="5496"/>
    <cellStyle name="Neutral 3 5" xfId="5497"/>
    <cellStyle name="Neutral 3 6" xfId="5498"/>
    <cellStyle name="Neutral 4" xfId="5499"/>
    <cellStyle name="Neutral 4 2" xfId="5500"/>
    <cellStyle name="Neutral 4 3" xfId="5501"/>
    <cellStyle name="Neutral 4 4" xfId="5502"/>
    <cellStyle name="Neutral 4 5" xfId="5503"/>
    <cellStyle name="Neutral 5" xfId="5504"/>
    <cellStyle name="Neutral 6" xfId="5505"/>
    <cellStyle name="Neutral 7" xfId="5506"/>
    <cellStyle name="Neutral 8" xfId="5507"/>
    <cellStyle name="Normal" xfId="5508"/>
    <cellStyle name="Normal 2" xfId="5509"/>
    <cellStyle name="Normal 2 2" xfId="5510"/>
    <cellStyle name="Normal 2 3" xfId="5511"/>
    <cellStyle name="Normal 3" xfId="5512"/>
    <cellStyle name="Normal 4" xfId="5513"/>
    <cellStyle name="Normal 4 2" xfId="5514"/>
    <cellStyle name="Normal 4 3" xfId="5515"/>
    <cellStyle name="Normal 4 4" xfId="5516"/>
    <cellStyle name="Normal 4 5" xfId="5517"/>
    <cellStyle name="Normal 5" xfId="5518"/>
    <cellStyle name="Normal 6" xfId="5519"/>
    <cellStyle name="Normal 7" xfId="5520"/>
    <cellStyle name="Normal 8" xfId="5521"/>
    <cellStyle name="Note" xfId="5522"/>
    <cellStyle name="Note 10" xfId="5523"/>
    <cellStyle name="Note 11" xfId="5524"/>
    <cellStyle name="Note 12" xfId="5525"/>
    <cellStyle name="Note 13" xfId="5526"/>
    <cellStyle name="Note 2" xfId="5527"/>
    <cellStyle name="Note 2 2" xfId="5528"/>
    <cellStyle name="Note 2 2 2" xfId="5529"/>
    <cellStyle name="Note 2 2 3" xfId="5530"/>
    <cellStyle name="Note 2 3" xfId="5531"/>
    <cellStyle name="Note 2 4" xfId="5532"/>
    <cellStyle name="Note 2 4 2" xfId="5533"/>
    <cellStyle name="Note 2 4 3" xfId="5534"/>
    <cellStyle name="Note 2 4 4" xfId="5535"/>
    <cellStyle name="Note 2 4 5" xfId="5536"/>
    <cellStyle name="Note 2 5" xfId="5537"/>
    <cellStyle name="Note 2 6" xfId="5538"/>
    <cellStyle name="Note 2 7" xfId="5539"/>
    <cellStyle name="Note 2 8" xfId="5540"/>
    <cellStyle name="Note 3" xfId="5541"/>
    <cellStyle name="Note 3 2" xfId="5542"/>
    <cellStyle name="Note 3 2 2" xfId="5543"/>
    <cellStyle name="Note 3 2 3" xfId="5544"/>
    <cellStyle name="Note 3 3" xfId="5545"/>
    <cellStyle name="Note 3 4" xfId="5546"/>
    <cellStyle name="Note 3 4 2" xfId="5547"/>
    <cellStyle name="Note 3 4 3" xfId="5548"/>
    <cellStyle name="Note 3 4 4" xfId="5549"/>
    <cellStyle name="Note 3 4 5" xfId="5550"/>
    <cellStyle name="Note 3 5" xfId="5551"/>
    <cellStyle name="Note 3 6" xfId="5552"/>
    <cellStyle name="Note 3 7" xfId="5553"/>
    <cellStyle name="Note 3 8" xfId="5554"/>
    <cellStyle name="Note 4" xfId="5555"/>
    <cellStyle name="Note 4 2" xfId="5556"/>
    <cellStyle name="Note 4 2 2" xfId="5557"/>
    <cellStyle name="Note 4 2 3" xfId="5558"/>
    <cellStyle name="Note 4 3" xfId="5559"/>
    <cellStyle name="Note 4 4" xfId="5560"/>
    <cellStyle name="Note 4 4 2" xfId="5561"/>
    <cellStyle name="Note 4 4 3" xfId="5562"/>
    <cellStyle name="Note 4 4 4" xfId="5563"/>
    <cellStyle name="Note 4 4 5" xfId="5564"/>
    <cellStyle name="Note 4 5" xfId="5565"/>
    <cellStyle name="Note 4 6" xfId="5566"/>
    <cellStyle name="Note 4 7" xfId="5567"/>
    <cellStyle name="Note 4 8" xfId="5568"/>
    <cellStyle name="Note 5" xfId="5569"/>
    <cellStyle name="Note 5 2" xfId="5570"/>
    <cellStyle name="Note 5 2 2" xfId="5571"/>
    <cellStyle name="Note 5 2 3" xfId="5572"/>
    <cellStyle name="Note 5 3" xfId="5573"/>
    <cellStyle name="Note 5 4" xfId="5574"/>
    <cellStyle name="Note 5 4 2" xfId="5575"/>
    <cellStyle name="Note 5 4 3" xfId="5576"/>
    <cellStyle name="Note 5 4 4" xfId="5577"/>
    <cellStyle name="Note 5 4 5" xfId="5578"/>
    <cellStyle name="Note 5 5" xfId="5579"/>
    <cellStyle name="Note 5 6" xfId="5580"/>
    <cellStyle name="Note 5 7" xfId="5581"/>
    <cellStyle name="Note 5 8" xfId="5582"/>
    <cellStyle name="Note 6" xfId="5583"/>
    <cellStyle name="Note 6 2" xfId="5584"/>
    <cellStyle name="Note 6 2 2" xfId="5585"/>
    <cellStyle name="Note 6 2 3" xfId="5586"/>
    <cellStyle name="Note 6 3" xfId="5587"/>
    <cellStyle name="Note 6 4" xfId="5588"/>
    <cellStyle name="Note 6 4 2" xfId="5589"/>
    <cellStyle name="Note 6 4 3" xfId="5590"/>
    <cellStyle name="Note 6 4 4" xfId="5591"/>
    <cellStyle name="Note 6 4 5" xfId="5592"/>
    <cellStyle name="Note 6 5" xfId="5593"/>
    <cellStyle name="Note 6 6" xfId="5594"/>
    <cellStyle name="Note 6 7" xfId="5595"/>
    <cellStyle name="Note 6 8" xfId="5596"/>
    <cellStyle name="Note 7" xfId="5597"/>
    <cellStyle name="Note 7 2" xfId="5598"/>
    <cellStyle name="Note 7 3" xfId="5599"/>
    <cellStyle name="Note 8" xfId="5600"/>
    <cellStyle name="Note 9" xfId="5601"/>
    <cellStyle name="Note 9 2" xfId="5602"/>
    <cellStyle name="Note 9 3" xfId="5603"/>
    <cellStyle name="Note 9 4" xfId="5604"/>
    <cellStyle name="Note 9 5" xfId="5605"/>
    <cellStyle name="Output" xfId="5606"/>
    <cellStyle name="Output 2" xfId="5607"/>
    <cellStyle name="Output 2 2" xfId="5608"/>
    <cellStyle name="Output 2 2 2" xfId="5609"/>
    <cellStyle name="Output 2 2 3" xfId="5610"/>
    <cellStyle name="Output 2 2 4" xfId="5611"/>
    <cellStyle name="Output 2 2 5" xfId="5612"/>
    <cellStyle name="Output 2 2 6" xfId="5613"/>
    <cellStyle name="Output 2 3" xfId="5614"/>
    <cellStyle name="Output 2 3 2" xfId="5615"/>
    <cellStyle name="Output 2 3 3" xfId="5616"/>
    <cellStyle name="Output 2 3 4" xfId="5617"/>
    <cellStyle name="Output 2 3 5" xfId="5618"/>
    <cellStyle name="Output 2 3 6" xfId="5619"/>
    <cellStyle name="Output 2 4" xfId="5620"/>
    <cellStyle name="Output 2 5" xfId="5621"/>
    <cellStyle name="Output 2 6" xfId="5622"/>
    <cellStyle name="Output 2 7" xfId="5623"/>
    <cellStyle name="Output 2 8" xfId="5624"/>
    <cellStyle name="Output 3" xfId="5625"/>
    <cellStyle name="Output 3 2" xfId="5626"/>
    <cellStyle name="Output 3 3" xfId="5627"/>
    <cellStyle name="Output 3 4" xfId="5628"/>
    <cellStyle name="Output 3 5" xfId="5629"/>
    <cellStyle name="Output 3 6" xfId="5630"/>
    <cellStyle name="Output 4" xfId="5631"/>
    <cellStyle name="Output 4 2" xfId="5632"/>
    <cellStyle name="Output 4 3" xfId="5633"/>
    <cellStyle name="Output 4 4" xfId="5634"/>
    <cellStyle name="Output 4 5" xfId="5635"/>
    <cellStyle name="Output 5" xfId="5636"/>
    <cellStyle name="Output 6" xfId="5637"/>
    <cellStyle name="Output 7" xfId="5638"/>
    <cellStyle name="Output 8" xfId="5639"/>
    <cellStyle name="st57" xfId="5640"/>
    <cellStyle name="st57 2" xfId="5641"/>
    <cellStyle name="st57 2 2" xfId="5642"/>
    <cellStyle name="st57 2 3" xfId="5643"/>
    <cellStyle name="st57 3" xfId="5644"/>
    <cellStyle name="st57 4" xfId="5645"/>
    <cellStyle name="st57 4 2" xfId="5646"/>
    <cellStyle name="st57 4 3" xfId="5647"/>
    <cellStyle name="st57 4 4" xfId="5648"/>
    <cellStyle name="st57 4 5" xfId="5649"/>
    <cellStyle name="st57 5" xfId="5650"/>
    <cellStyle name="st57 6" xfId="5651"/>
    <cellStyle name="st57 7" xfId="5652"/>
    <cellStyle name="st57 8" xfId="5653"/>
    <cellStyle name="st58" xfId="5654"/>
    <cellStyle name="st58 2" xfId="5655"/>
    <cellStyle name="st58 2 2" xfId="5656"/>
    <cellStyle name="st58 2 3" xfId="5657"/>
    <cellStyle name="st58 3" xfId="5658"/>
    <cellStyle name="st58 4" xfId="5659"/>
    <cellStyle name="st58 4 2" xfId="5660"/>
    <cellStyle name="st58 4 3" xfId="5661"/>
    <cellStyle name="st58 4 4" xfId="5662"/>
    <cellStyle name="st58 4 5" xfId="5663"/>
    <cellStyle name="st58 5" xfId="5664"/>
    <cellStyle name="st58 6" xfId="5665"/>
    <cellStyle name="st58 7" xfId="5666"/>
    <cellStyle name="st58 8" xfId="5667"/>
    <cellStyle name="st80" xfId="5668"/>
    <cellStyle name="st80 2" xfId="5669"/>
    <cellStyle name="st80 2 2" xfId="5670"/>
    <cellStyle name="st80 2 3" xfId="5671"/>
    <cellStyle name="st80 3" xfId="5672"/>
    <cellStyle name="st80 4" xfId="5673"/>
    <cellStyle name="st80 4 2" xfId="5674"/>
    <cellStyle name="st80 4 3" xfId="5675"/>
    <cellStyle name="st80 4 4" xfId="5676"/>
    <cellStyle name="st80 4 5" xfId="5677"/>
    <cellStyle name="st80 5" xfId="5678"/>
    <cellStyle name="st80 6" xfId="5679"/>
    <cellStyle name="st80 7" xfId="5680"/>
    <cellStyle name="st80 8" xfId="5681"/>
    <cellStyle name="st81" xfId="5682"/>
    <cellStyle name="st81 2" xfId="5683"/>
    <cellStyle name="st81 2 2" xfId="5684"/>
    <cellStyle name="st81 2 3" xfId="5685"/>
    <cellStyle name="st81 3" xfId="5686"/>
    <cellStyle name="st81 4" xfId="5687"/>
    <cellStyle name="st81 4 2" xfId="5688"/>
    <cellStyle name="st81 4 3" xfId="5689"/>
    <cellStyle name="st81 4 4" xfId="5690"/>
    <cellStyle name="st81 4 5" xfId="5691"/>
    <cellStyle name="st81 5" xfId="5692"/>
    <cellStyle name="st81 6" xfId="5693"/>
    <cellStyle name="st81 7" xfId="5694"/>
    <cellStyle name="st81 8" xfId="5695"/>
    <cellStyle name="st82" xfId="5696"/>
    <cellStyle name="st82 2" xfId="5697"/>
    <cellStyle name="st82 2 2" xfId="5698"/>
    <cellStyle name="st82 2 3" xfId="5699"/>
    <cellStyle name="st82 3" xfId="5700"/>
    <cellStyle name="st82 4" xfId="5701"/>
    <cellStyle name="st82 4 2" xfId="5702"/>
    <cellStyle name="st82 4 3" xfId="5703"/>
    <cellStyle name="st82 4 4" xfId="5704"/>
    <cellStyle name="st82 4 5" xfId="5705"/>
    <cellStyle name="st82 5" xfId="5706"/>
    <cellStyle name="st82 6" xfId="5707"/>
    <cellStyle name="st82 7" xfId="5708"/>
    <cellStyle name="st82 8" xfId="5709"/>
    <cellStyle name="st83" xfId="5710"/>
    <cellStyle name="st83 10" xfId="5711"/>
    <cellStyle name="st83 2" xfId="5712"/>
    <cellStyle name="st83 2 2" xfId="5713"/>
    <cellStyle name="st83 2 2 2" xfId="5714"/>
    <cellStyle name="st83 2 2 3" xfId="5715"/>
    <cellStyle name="st83 2 3" xfId="5716"/>
    <cellStyle name="st83 2 4" xfId="5717"/>
    <cellStyle name="st83 2 4 2" xfId="5718"/>
    <cellStyle name="st83 2 4 3" xfId="5719"/>
    <cellStyle name="st83 2 4 4" xfId="5720"/>
    <cellStyle name="st83 2 4 5" xfId="5721"/>
    <cellStyle name="st83 2 5" xfId="5722"/>
    <cellStyle name="st83 2 6" xfId="5723"/>
    <cellStyle name="st83 2 7" xfId="5724"/>
    <cellStyle name="st83 2 8" xfId="5725"/>
    <cellStyle name="st83 3" xfId="5726"/>
    <cellStyle name="st83 3 2" xfId="5727"/>
    <cellStyle name="st83 3 2 2" xfId="5728"/>
    <cellStyle name="st83 3 2 3" xfId="5729"/>
    <cellStyle name="st83 3 3" xfId="5730"/>
    <cellStyle name="st83 3 4" xfId="5731"/>
    <cellStyle name="st83 3 4 2" xfId="5732"/>
    <cellStyle name="st83 3 4 3" xfId="5733"/>
    <cellStyle name="st83 3 4 4" xfId="5734"/>
    <cellStyle name="st83 3 4 5" xfId="5735"/>
    <cellStyle name="st83 3 5" xfId="5736"/>
    <cellStyle name="st83 3 6" xfId="5737"/>
    <cellStyle name="st83 3 7" xfId="5738"/>
    <cellStyle name="st83 3 8" xfId="5739"/>
    <cellStyle name="st83 4" xfId="5740"/>
    <cellStyle name="st83 4 2" xfId="5741"/>
    <cellStyle name="st83 4 3" xfId="5742"/>
    <cellStyle name="st83 5" xfId="5743"/>
    <cellStyle name="st83 6" xfId="5744"/>
    <cellStyle name="st83 6 2" xfId="5745"/>
    <cellStyle name="st83 6 3" xfId="5746"/>
    <cellStyle name="st83 6 4" xfId="5747"/>
    <cellStyle name="st83 6 5" xfId="5748"/>
    <cellStyle name="st83 7" xfId="5749"/>
    <cellStyle name="st83 8" xfId="5750"/>
    <cellStyle name="st83 9" xfId="5751"/>
    <cellStyle name="st84" xfId="5752"/>
    <cellStyle name="st84 2" xfId="5753"/>
    <cellStyle name="st84 2 2" xfId="5754"/>
    <cellStyle name="st84 2 2 2" xfId="5755"/>
    <cellStyle name="st84 2 2 3" xfId="5756"/>
    <cellStyle name="st84 2 3" xfId="5757"/>
    <cellStyle name="st84 2 4" xfId="5758"/>
    <cellStyle name="st84 2 4 2" xfId="5759"/>
    <cellStyle name="st84 2 4 3" xfId="5760"/>
    <cellStyle name="st84 2 4 4" xfId="5761"/>
    <cellStyle name="st84 2 4 5" xfId="5762"/>
    <cellStyle name="st84 2 5" xfId="5763"/>
    <cellStyle name="st84 2 6" xfId="5764"/>
    <cellStyle name="st84 2 7" xfId="5765"/>
    <cellStyle name="st84 2 8" xfId="5766"/>
    <cellStyle name="st84 3" xfId="5767"/>
    <cellStyle name="st84 3 2" xfId="5768"/>
    <cellStyle name="st84 3 3" xfId="5769"/>
    <cellStyle name="st84 4" xfId="5770"/>
    <cellStyle name="st84 5" xfId="5771"/>
    <cellStyle name="st84 5 2" xfId="5772"/>
    <cellStyle name="st84 5 3" xfId="5773"/>
    <cellStyle name="st84 5 4" xfId="5774"/>
    <cellStyle name="st84 5 5" xfId="5775"/>
    <cellStyle name="st84 6" xfId="5776"/>
    <cellStyle name="st84 7" xfId="5777"/>
    <cellStyle name="st84 8" xfId="5778"/>
    <cellStyle name="st84 9" xfId="5779"/>
    <cellStyle name="st85" xfId="5780"/>
    <cellStyle name="st85 10" xfId="5781"/>
    <cellStyle name="st85 2" xfId="5782"/>
    <cellStyle name="st85 2 2" xfId="5783"/>
    <cellStyle name="st85 2 2 2" xfId="5784"/>
    <cellStyle name="st85 2 2 3" xfId="5785"/>
    <cellStyle name="st85 2 3" xfId="5786"/>
    <cellStyle name="st85 2 4" xfId="5787"/>
    <cellStyle name="st85 2 4 2" xfId="5788"/>
    <cellStyle name="st85 2 4 3" xfId="5789"/>
    <cellStyle name="st85 2 4 4" xfId="5790"/>
    <cellStyle name="st85 2 4 5" xfId="5791"/>
    <cellStyle name="st85 2 5" xfId="5792"/>
    <cellStyle name="st85 2 6" xfId="5793"/>
    <cellStyle name="st85 2 7" xfId="5794"/>
    <cellStyle name="st85 2 8" xfId="5795"/>
    <cellStyle name="st85 3" xfId="5796"/>
    <cellStyle name="st85 3 2" xfId="5797"/>
    <cellStyle name="st85 3 2 2" xfId="5798"/>
    <cellStyle name="st85 3 2 3" xfId="5799"/>
    <cellStyle name="st85 3 3" xfId="5800"/>
    <cellStyle name="st85 3 4" xfId="5801"/>
    <cellStyle name="st85 3 4 2" xfId="5802"/>
    <cellStyle name="st85 3 4 3" xfId="5803"/>
    <cellStyle name="st85 3 4 4" xfId="5804"/>
    <cellStyle name="st85 3 4 5" xfId="5805"/>
    <cellStyle name="st85 3 5" xfId="5806"/>
    <cellStyle name="st85 3 6" xfId="5807"/>
    <cellStyle name="st85 3 7" xfId="5808"/>
    <cellStyle name="st85 3 8" xfId="5809"/>
    <cellStyle name="st85 4" xfId="5810"/>
    <cellStyle name="st85 4 2" xfId="5811"/>
    <cellStyle name="st85 4 3" xfId="5812"/>
    <cellStyle name="st85 5" xfId="5813"/>
    <cellStyle name="st85 6" xfId="5814"/>
    <cellStyle name="st85 6 2" xfId="5815"/>
    <cellStyle name="st85 6 3" xfId="5816"/>
    <cellStyle name="st85 6 4" xfId="5817"/>
    <cellStyle name="st85 6 5" xfId="5818"/>
    <cellStyle name="st85 7" xfId="5819"/>
    <cellStyle name="st85 8" xfId="5820"/>
    <cellStyle name="st85 9" xfId="5821"/>
    <cellStyle name="st86" xfId="5822"/>
    <cellStyle name="st86 10" xfId="5823"/>
    <cellStyle name="st86 2" xfId="5824"/>
    <cellStyle name="st86 2 2" xfId="5825"/>
    <cellStyle name="st86 2 2 2" xfId="5826"/>
    <cellStyle name="st86 2 2 3" xfId="5827"/>
    <cellStyle name="st86 2 3" xfId="5828"/>
    <cellStyle name="st86 2 4" xfId="5829"/>
    <cellStyle name="st86 2 4 2" xfId="5830"/>
    <cellStyle name="st86 2 4 3" xfId="5831"/>
    <cellStyle name="st86 2 4 4" xfId="5832"/>
    <cellStyle name="st86 2 4 5" xfId="5833"/>
    <cellStyle name="st86 2 5" xfId="5834"/>
    <cellStyle name="st86 2 6" xfId="5835"/>
    <cellStyle name="st86 2 7" xfId="5836"/>
    <cellStyle name="st86 2 8" xfId="5837"/>
    <cellStyle name="st86 3" xfId="5838"/>
    <cellStyle name="st86 3 2" xfId="5839"/>
    <cellStyle name="st86 3 2 2" xfId="5840"/>
    <cellStyle name="st86 3 2 3" xfId="5841"/>
    <cellStyle name="st86 3 3" xfId="5842"/>
    <cellStyle name="st86 3 4" xfId="5843"/>
    <cellStyle name="st86 3 4 2" xfId="5844"/>
    <cellStyle name="st86 3 4 3" xfId="5845"/>
    <cellStyle name="st86 3 4 4" xfId="5846"/>
    <cellStyle name="st86 3 4 5" xfId="5847"/>
    <cellStyle name="st86 3 5" xfId="5848"/>
    <cellStyle name="st86 3 6" xfId="5849"/>
    <cellStyle name="st86 3 7" xfId="5850"/>
    <cellStyle name="st86 3 8" xfId="5851"/>
    <cellStyle name="st86 4" xfId="5852"/>
    <cellStyle name="st86 4 2" xfId="5853"/>
    <cellStyle name="st86 4 3" xfId="5854"/>
    <cellStyle name="st86 5" xfId="5855"/>
    <cellStyle name="st86 6" xfId="5856"/>
    <cellStyle name="st86 6 2" xfId="5857"/>
    <cellStyle name="st86 6 3" xfId="5858"/>
    <cellStyle name="st86 6 4" xfId="5859"/>
    <cellStyle name="st86 6 5" xfId="5860"/>
    <cellStyle name="st86 7" xfId="5861"/>
    <cellStyle name="st86 8" xfId="5862"/>
    <cellStyle name="st86 9" xfId="5863"/>
    <cellStyle name="st87" xfId="5864"/>
    <cellStyle name="st87 2" xfId="5865"/>
    <cellStyle name="st87 2 2" xfId="5866"/>
    <cellStyle name="st87 2 2 2" xfId="5867"/>
    <cellStyle name="st87 2 2 3" xfId="5868"/>
    <cellStyle name="st87 2 3" xfId="5869"/>
    <cellStyle name="st87 2 4" xfId="5870"/>
    <cellStyle name="st87 2 4 2" xfId="5871"/>
    <cellStyle name="st87 2 4 3" xfId="5872"/>
    <cellStyle name="st87 2 4 4" xfId="5873"/>
    <cellStyle name="st87 2 4 5" xfId="5874"/>
    <cellStyle name="st87 2 5" xfId="5875"/>
    <cellStyle name="st87 2 6" xfId="5876"/>
    <cellStyle name="st87 2 7" xfId="5877"/>
    <cellStyle name="st87 2 8" xfId="5878"/>
    <cellStyle name="st87 3" xfId="5879"/>
    <cellStyle name="st87 3 2" xfId="5880"/>
    <cellStyle name="st87 3 3" xfId="5881"/>
    <cellStyle name="st87 4" xfId="5882"/>
    <cellStyle name="st87 5" xfId="5883"/>
    <cellStyle name="st87 5 2" xfId="5884"/>
    <cellStyle name="st87 5 3" xfId="5885"/>
    <cellStyle name="st87 5 4" xfId="5886"/>
    <cellStyle name="st87 5 5" xfId="5887"/>
    <cellStyle name="st87 6" xfId="5888"/>
    <cellStyle name="st87 7" xfId="5889"/>
    <cellStyle name="st87 8" xfId="5890"/>
    <cellStyle name="st87 9" xfId="5891"/>
    <cellStyle name="st88" xfId="5892"/>
    <cellStyle name="st88 2" xfId="5893"/>
    <cellStyle name="st88 2 2" xfId="5894"/>
    <cellStyle name="st88 2 2 2" xfId="5895"/>
    <cellStyle name="st88 2 2 3" xfId="5896"/>
    <cellStyle name="st88 2 3" xfId="5897"/>
    <cellStyle name="st88 2 4" xfId="5898"/>
    <cellStyle name="st88 2 4 2" xfId="5899"/>
    <cellStyle name="st88 2 4 3" xfId="5900"/>
    <cellStyle name="st88 2 4 4" xfId="5901"/>
    <cellStyle name="st88 2 4 5" xfId="5902"/>
    <cellStyle name="st88 2 5" xfId="5903"/>
    <cellStyle name="st88 2 6" xfId="5904"/>
    <cellStyle name="st88 2 7" xfId="5905"/>
    <cellStyle name="st88 2 8" xfId="5906"/>
    <cellStyle name="st88 3" xfId="5907"/>
    <cellStyle name="st88 3 2" xfId="5908"/>
    <cellStyle name="st88 3 3" xfId="5909"/>
    <cellStyle name="st88 4" xfId="5910"/>
    <cellStyle name="st88 5" xfId="5911"/>
    <cellStyle name="st88 5 2" xfId="5912"/>
    <cellStyle name="st88 5 3" xfId="5913"/>
    <cellStyle name="st88 5 4" xfId="5914"/>
    <cellStyle name="st88 5 5" xfId="5915"/>
    <cellStyle name="st88 6" xfId="5916"/>
    <cellStyle name="st88 7" xfId="5917"/>
    <cellStyle name="st88 8" xfId="5918"/>
    <cellStyle name="st88 9" xfId="5919"/>
    <cellStyle name="st89" xfId="5920"/>
    <cellStyle name="st89 2" xfId="5921"/>
    <cellStyle name="st89 2 2" xfId="5922"/>
    <cellStyle name="st89 2 3" xfId="5923"/>
    <cellStyle name="st89 3" xfId="5924"/>
    <cellStyle name="st89 4" xfId="5925"/>
    <cellStyle name="st89 4 2" xfId="5926"/>
    <cellStyle name="st89 4 3" xfId="5927"/>
    <cellStyle name="st89 4 4" xfId="5928"/>
    <cellStyle name="st89 4 5" xfId="5929"/>
    <cellStyle name="st89 5" xfId="5930"/>
    <cellStyle name="st89 6" xfId="5931"/>
    <cellStyle name="st89 7" xfId="5932"/>
    <cellStyle name="st89 8" xfId="5933"/>
    <cellStyle name="st90" xfId="5934"/>
    <cellStyle name="st90 2" xfId="5935"/>
    <cellStyle name="st90 2 2" xfId="5936"/>
    <cellStyle name="st90 2 3" xfId="5937"/>
    <cellStyle name="st90 3" xfId="5938"/>
    <cellStyle name="st90 4" xfId="5939"/>
    <cellStyle name="st90 4 2" xfId="5940"/>
    <cellStyle name="st90 4 3" xfId="5941"/>
    <cellStyle name="st90 4 4" xfId="5942"/>
    <cellStyle name="st90 4 5" xfId="5943"/>
    <cellStyle name="st90 5" xfId="5944"/>
    <cellStyle name="st90 6" xfId="5945"/>
    <cellStyle name="st90 7" xfId="5946"/>
    <cellStyle name="st90 8" xfId="5947"/>
    <cellStyle name="st91" xfId="5948"/>
    <cellStyle name="st91 2" xfId="5949"/>
    <cellStyle name="st91 2 2" xfId="5950"/>
    <cellStyle name="st91 2 3" xfId="5951"/>
    <cellStyle name="st91 3" xfId="5952"/>
    <cellStyle name="st91 4" xfId="5953"/>
    <cellStyle name="st91 4 2" xfId="5954"/>
    <cellStyle name="st91 4 3" xfId="5955"/>
    <cellStyle name="st91 4 4" xfId="5956"/>
    <cellStyle name="st91 4 5" xfId="5957"/>
    <cellStyle name="st91 5" xfId="5958"/>
    <cellStyle name="st91 6" xfId="5959"/>
    <cellStyle name="st91 7" xfId="5960"/>
    <cellStyle name="st91 8" xfId="5961"/>
    <cellStyle name="st92" xfId="5962"/>
    <cellStyle name="st92 2" xfId="5963"/>
    <cellStyle name="st92 2 2" xfId="5964"/>
    <cellStyle name="st92 2 3" xfId="5965"/>
    <cellStyle name="st92 3" xfId="5966"/>
    <cellStyle name="st92 4" xfId="5967"/>
    <cellStyle name="st92 4 2" xfId="5968"/>
    <cellStyle name="st92 4 3" xfId="5969"/>
    <cellStyle name="st92 4 4" xfId="5970"/>
    <cellStyle name="st92 4 5" xfId="5971"/>
    <cellStyle name="st92 5" xfId="5972"/>
    <cellStyle name="st92 6" xfId="5973"/>
    <cellStyle name="st92 7" xfId="5974"/>
    <cellStyle name="st92 8" xfId="5975"/>
    <cellStyle name="style0" xfId="5976"/>
    <cellStyle name="style0 2" xfId="5977"/>
    <cellStyle name="style0 2 2" xfId="5978"/>
    <cellStyle name="style0 2 2 2" xfId="5979"/>
    <cellStyle name="style0 2 2 3" xfId="5980"/>
    <cellStyle name="style0 2 3" xfId="5981"/>
    <cellStyle name="style0 2 4" xfId="5982"/>
    <cellStyle name="style0 2 4 2" xfId="5983"/>
    <cellStyle name="style0 2 4 3" xfId="5984"/>
    <cellStyle name="style0 2 4 4" xfId="5985"/>
    <cellStyle name="style0 2 4 5" xfId="5986"/>
    <cellStyle name="style0 2 5" xfId="5987"/>
    <cellStyle name="style0 2 6" xfId="5988"/>
    <cellStyle name="style0 2 7" xfId="5989"/>
    <cellStyle name="style0 2 8" xfId="5990"/>
    <cellStyle name="style0 3" xfId="5991"/>
    <cellStyle name="style0 3 2" xfId="5992"/>
    <cellStyle name="style0 3 3" xfId="5993"/>
    <cellStyle name="style0 4" xfId="5994"/>
    <cellStyle name="style0 5" xfId="5995"/>
    <cellStyle name="style0 5 2" xfId="5996"/>
    <cellStyle name="style0 5 3" xfId="5997"/>
    <cellStyle name="style0 5 4" xfId="5998"/>
    <cellStyle name="style0 5 5" xfId="5999"/>
    <cellStyle name="style0 6" xfId="6000"/>
    <cellStyle name="style0 7" xfId="6001"/>
    <cellStyle name="style0 8" xfId="6002"/>
    <cellStyle name="style0 9" xfId="6003"/>
    <cellStyle name="td" xfId="6004"/>
    <cellStyle name="td 2" xfId="6005"/>
    <cellStyle name="td 2 2" xfId="6006"/>
    <cellStyle name="td 2 2 2" xfId="6007"/>
    <cellStyle name="td 2 2 3" xfId="6008"/>
    <cellStyle name="td 2 3" xfId="6009"/>
    <cellStyle name="td 2 4" xfId="6010"/>
    <cellStyle name="td 2 4 2" xfId="6011"/>
    <cellStyle name="td 2 4 3" xfId="6012"/>
    <cellStyle name="td 2 4 4" xfId="6013"/>
    <cellStyle name="td 2 4 5" xfId="6014"/>
    <cellStyle name="td 2 5" xfId="6015"/>
    <cellStyle name="td 2 6" xfId="6016"/>
    <cellStyle name="td 2 7" xfId="6017"/>
    <cellStyle name="td 2 8" xfId="6018"/>
    <cellStyle name="td 3" xfId="6019"/>
    <cellStyle name="td 3 2" xfId="6020"/>
    <cellStyle name="td 3 3" xfId="6021"/>
    <cellStyle name="td 4" xfId="6022"/>
    <cellStyle name="td 5" xfId="6023"/>
    <cellStyle name="td 5 2" xfId="6024"/>
    <cellStyle name="td 5 3" xfId="6025"/>
    <cellStyle name="td 5 4" xfId="6026"/>
    <cellStyle name="td 5 5" xfId="6027"/>
    <cellStyle name="td 6" xfId="6028"/>
    <cellStyle name="td 7" xfId="6029"/>
    <cellStyle name="td 8" xfId="6030"/>
    <cellStyle name="td 9" xfId="6031"/>
    <cellStyle name="Title" xfId="6032"/>
    <cellStyle name="Title 10" xfId="6033"/>
    <cellStyle name="Title 11" xfId="6034"/>
    <cellStyle name="Title 12" xfId="6035"/>
    <cellStyle name="Title 2" xfId="6036"/>
    <cellStyle name="Title 2 2" xfId="6037"/>
    <cellStyle name="Title 2 2 2" xfId="6038"/>
    <cellStyle name="Title 2 2 2 2" xfId="6039"/>
    <cellStyle name="Title 2 2 2 3" xfId="6040"/>
    <cellStyle name="Title 2 2 2 4" xfId="6041"/>
    <cellStyle name="Title 2 2 2 5" xfId="6042"/>
    <cellStyle name="Title 2 2 2 6" xfId="6043"/>
    <cellStyle name="Title 2 2 3" xfId="6044"/>
    <cellStyle name="Title 2 2 3 2" xfId="6045"/>
    <cellStyle name="Title 2 2 3 3" xfId="6046"/>
    <cellStyle name="Title 2 2 3 4" xfId="6047"/>
    <cellStyle name="Title 2 2 3 5" xfId="6048"/>
    <cellStyle name="Title 2 2 3 6" xfId="6049"/>
    <cellStyle name="Title 2 2 4" xfId="6050"/>
    <cellStyle name="Title 2 2 5" xfId="6051"/>
    <cellStyle name="Title 2 2 6" xfId="6052"/>
    <cellStyle name="Title 2 2 7" xfId="6053"/>
    <cellStyle name="Title 2 2 8" xfId="6054"/>
    <cellStyle name="Title 2 3" xfId="6055"/>
    <cellStyle name="Title 2 3 2" xfId="6056"/>
    <cellStyle name="Title 2 3 3" xfId="6057"/>
    <cellStyle name="Title 2 3 4" xfId="6058"/>
    <cellStyle name="Title 2 3 5" xfId="6059"/>
    <cellStyle name="Title 2 3 6" xfId="6060"/>
    <cellStyle name="Title 2 4" xfId="6061"/>
    <cellStyle name="Title 2 4 2" xfId="6062"/>
    <cellStyle name="Title 2 4 3" xfId="6063"/>
    <cellStyle name="Title 2 4 4" xfId="6064"/>
    <cellStyle name="Title 2 4 5" xfId="6065"/>
    <cellStyle name="Title 2 5" xfId="6066"/>
    <cellStyle name="Title 2 6" xfId="6067"/>
    <cellStyle name="Title 2 7" xfId="6068"/>
    <cellStyle name="Title 2 8" xfId="6069"/>
    <cellStyle name="Title 3" xfId="6070"/>
    <cellStyle name="Title 3 2" xfId="6071"/>
    <cellStyle name="Title 3 2 2" xfId="6072"/>
    <cellStyle name="Title 3 2 2 2" xfId="6073"/>
    <cellStyle name="Title 3 2 2 3" xfId="6074"/>
    <cellStyle name="Title 3 2 2 4" xfId="6075"/>
    <cellStyle name="Title 3 2 2 5" xfId="6076"/>
    <cellStyle name="Title 3 2 2 6" xfId="6077"/>
    <cellStyle name="Title 3 2 3" xfId="6078"/>
    <cellStyle name="Title 3 2 3 2" xfId="6079"/>
    <cellStyle name="Title 3 2 3 3" xfId="6080"/>
    <cellStyle name="Title 3 2 3 4" xfId="6081"/>
    <cellStyle name="Title 3 2 3 5" xfId="6082"/>
    <cellStyle name="Title 3 2 3 6" xfId="6083"/>
    <cellStyle name="Title 3 2 4" xfId="6084"/>
    <cellStyle name="Title 3 2 5" xfId="6085"/>
    <cellStyle name="Title 3 2 6" xfId="6086"/>
    <cellStyle name="Title 3 2 7" xfId="6087"/>
    <cellStyle name="Title 3 2 8" xfId="6088"/>
    <cellStyle name="Title 3 3" xfId="6089"/>
    <cellStyle name="Title 3 3 2" xfId="6090"/>
    <cellStyle name="Title 3 3 3" xfId="6091"/>
    <cellStyle name="Title 3 3 4" xfId="6092"/>
    <cellStyle name="Title 3 3 5" xfId="6093"/>
    <cellStyle name="Title 3 3 6" xfId="6094"/>
    <cellStyle name="Title 3 4" xfId="6095"/>
    <cellStyle name="Title 3 4 2" xfId="6096"/>
    <cellStyle name="Title 3 4 3" xfId="6097"/>
    <cellStyle name="Title 3 4 4" xfId="6098"/>
    <cellStyle name="Title 3 4 5" xfId="6099"/>
    <cellStyle name="Title 3 5" xfId="6100"/>
    <cellStyle name="Title 3 6" xfId="6101"/>
    <cellStyle name="Title 3 7" xfId="6102"/>
    <cellStyle name="Title 3 8" xfId="6103"/>
    <cellStyle name="Title 4" xfId="6104"/>
    <cellStyle name="Title 4 2" xfId="6105"/>
    <cellStyle name="Title 4 2 2" xfId="6106"/>
    <cellStyle name="Title 4 2 2 2" xfId="6107"/>
    <cellStyle name="Title 4 2 2 3" xfId="6108"/>
    <cellStyle name="Title 4 2 2 4" xfId="6109"/>
    <cellStyle name="Title 4 2 2 5" xfId="6110"/>
    <cellStyle name="Title 4 2 2 6" xfId="6111"/>
    <cellStyle name="Title 4 2 3" xfId="6112"/>
    <cellStyle name="Title 4 2 3 2" xfId="6113"/>
    <cellStyle name="Title 4 2 3 3" xfId="6114"/>
    <cellStyle name="Title 4 2 3 4" xfId="6115"/>
    <cellStyle name="Title 4 2 3 5" xfId="6116"/>
    <cellStyle name="Title 4 2 3 6" xfId="6117"/>
    <cellStyle name="Title 4 2 4" xfId="6118"/>
    <cellStyle name="Title 4 2 5" xfId="6119"/>
    <cellStyle name="Title 4 2 6" xfId="6120"/>
    <cellStyle name="Title 4 2 7" xfId="6121"/>
    <cellStyle name="Title 4 2 8" xfId="6122"/>
    <cellStyle name="Title 4 3" xfId="6123"/>
    <cellStyle name="Title 4 3 2" xfId="6124"/>
    <cellStyle name="Title 4 3 3" xfId="6125"/>
    <cellStyle name="Title 4 3 4" xfId="6126"/>
    <cellStyle name="Title 4 3 5" xfId="6127"/>
    <cellStyle name="Title 4 3 6" xfId="6128"/>
    <cellStyle name="Title 4 4" xfId="6129"/>
    <cellStyle name="Title 4 4 2" xfId="6130"/>
    <cellStyle name="Title 4 4 3" xfId="6131"/>
    <cellStyle name="Title 4 4 4" xfId="6132"/>
    <cellStyle name="Title 4 4 5" xfId="6133"/>
    <cellStyle name="Title 4 5" xfId="6134"/>
    <cellStyle name="Title 4 6" xfId="6135"/>
    <cellStyle name="Title 4 7" xfId="6136"/>
    <cellStyle name="Title 4 8" xfId="6137"/>
    <cellStyle name="Title 5" xfId="6138"/>
    <cellStyle name="Title 5 2" xfId="6139"/>
    <cellStyle name="Title 5 2 2" xfId="6140"/>
    <cellStyle name="Title 5 2 2 2" xfId="6141"/>
    <cellStyle name="Title 5 2 2 3" xfId="6142"/>
    <cellStyle name="Title 5 2 2 4" xfId="6143"/>
    <cellStyle name="Title 5 2 2 5" xfId="6144"/>
    <cellStyle name="Title 5 2 2 6" xfId="6145"/>
    <cellStyle name="Title 5 2 3" xfId="6146"/>
    <cellStyle name="Title 5 2 3 2" xfId="6147"/>
    <cellStyle name="Title 5 2 3 3" xfId="6148"/>
    <cellStyle name="Title 5 2 3 4" xfId="6149"/>
    <cellStyle name="Title 5 2 3 5" xfId="6150"/>
    <cellStyle name="Title 5 2 3 6" xfId="6151"/>
    <cellStyle name="Title 5 2 4" xfId="6152"/>
    <cellStyle name="Title 5 2 5" xfId="6153"/>
    <cellStyle name="Title 5 2 6" xfId="6154"/>
    <cellStyle name="Title 5 2 7" xfId="6155"/>
    <cellStyle name="Title 5 2 8" xfId="6156"/>
    <cellStyle name="Title 5 3" xfId="6157"/>
    <cellStyle name="Title 5 3 2" xfId="6158"/>
    <cellStyle name="Title 5 3 3" xfId="6159"/>
    <cellStyle name="Title 5 3 4" xfId="6160"/>
    <cellStyle name="Title 5 3 5" xfId="6161"/>
    <cellStyle name="Title 5 3 6" xfId="6162"/>
    <cellStyle name="Title 5 4" xfId="6163"/>
    <cellStyle name="Title 5 4 2" xfId="6164"/>
    <cellStyle name="Title 5 4 3" xfId="6165"/>
    <cellStyle name="Title 5 4 4" xfId="6166"/>
    <cellStyle name="Title 5 4 5" xfId="6167"/>
    <cellStyle name="Title 5 5" xfId="6168"/>
    <cellStyle name="Title 5 6" xfId="6169"/>
    <cellStyle name="Title 5 7" xfId="6170"/>
    <cellStyle name="Title 5 8" xfId="6171"/>
    <cellStyle name="Title 6" xfId="6172"/>
    <cellStyle name="Title 6 2" xfId="6173"/>
    <cellStyle name="Title 6 2 2" xfId="6174"/>
    <cellStyle name="Title 6 2 3" xfId="6175"/>
    <cellStyle name="Title 6 2 4" xfId="6176"/>
    <cellStyle name="Title 6 2 5" xfId="6177"/>
    <cellStyle name="Title 6 2 6" xfId="6178"/>
    <cellStyle name="Title 6 3" xfId="6179"/>
    <cellStyle name="Title 6 3 2" xfId="6180"/>
    <cellStyle name="Title 6 3 3" xfId="6181"/>
    <cellStyle name="Title 6 3 4" xfId="6182"/>
    <cellStyle name="Title 6 3 5" xfId="6183"/>
    <cellStyle name="Title 6 3 6" xfId="6184"/>
    <cellStyle name="Title 6 4" xfId="6185"/>
    <cellStyle name="Title 6 5" xfId="6186"/>
    <cellStyle name="Title 6 6" xfId="6187"/>
    <cellStyle name="Title 6 7" xfId="6188"/>
    <cellStyle name="Title 6 8" xfId="6189"/>
    <cellStyle name="Title 7" xfId="6190"/>
    <cellStyle name="Title 7 2" xfId="6191"/>
    <cellStyle name="Title 7 3" xfId="6192"/>
    <cellStyle name="Title 7 4" xfId="6193"/>
    <cellStyle name="Title 7 5" xfId="6194"/>
    <cellStyle name="Title 7 6" xfId="6195"/>
    <cellStyle name="Title 8" xfId="6196"/>
    <cellStyle name="Title 8 2" xfId="6197"/>
    <cellStyle name="Title 8 3" xfId="6198"/>
    <cellStyle name="Title 8 4" xfId="6199"/>
    <cellStyle name="Title 8 5" xfId="6200"/>
    <cellStyle name="Title 9" xfId="6201"/>
    <cellStyle name="Total" xfId="6202"/>
    <cellStyle name="Total 2" xfId="6203"/>
    <cellStyle name="Total 2 2" xfId="6204"/>
    <cellStyle name="Total 2 2 2" xfId="6205"/>
    <cellStyle name="Total 2 2 3" xfId="6206"/>
    <cellStyle name="Total 2 2 4" xfId="6207"/>
    <cellStyle name="Total 2 2 5" xfId="6208"/>
    <cellStyle name="Total 2 2 6" xfId="6209"/>
    <cellStyle name="Total 2 3" xfId="6210"/>
    <cellStyle name="Total 2 3 2" xfId="6211"/>
    <cellStyle name="Total 2 3 3" xfId="6212"/>
    <cellStyle name="Total 2 3 4" xfId="6213"/>
    <cellStyle name="Total 2 3 5" xfId="6214"/>
    <cellStyle name="Total 2 3 6" xfId="6215"/>
    <cellStyle name="Total 2 4" xfId="6216"/>
    <cellStyle name="Total 2 5" xfId="6217"/>
    <cellStyle name="Total 2 6" xfId="6218"/>
    <cellStyle name="Total 2 7" xfId="6219"/>
    <cellStyle name="Total 2 8" xfId="6220"/>
    <cellStyle name="Total 3" xfId="6221"/>
    <cellStyle name="Total 3 2" xfId="6222"/>
    <cellStyle name="Total 3 3" xfId="6223"/>
    <cellStyle name="Total 3 4" xfId="6224"/>
    <cellStyle name="Total 3 5" xfId="6225"/>
    <cellStyle name="Total 3 6" xfId="6226"/>
    <cellStyle name="Total 4" xfId="6227"/>
    <cellStyle name="Total 4 2" xfId="6228"/>
    <cellStyle name="Total 4 3" xfId="6229"/>
    <cellStyle name="Total 4 4" xfId="6230"/>
    <cellStyle name="Total 4 5" xfId="6231"/>
    <cellStyle name="Total 5" xfId="6232"/>
    <cellStyle name="Total 6" xfId="6233"/>
    <cellStyle name="Total 7" xfId="6234"/>
    <cellStyle name="Total 8" xfId="6235"/>
    <cellStyle name="tr" xfId="6236"/>
    <cellStyle name="tr 10" xfId="6237"/>
    <cellStyle name="tr 2" xfId="6238"/>
    <cellStyle name="tr 2 2" xfId="6239"/>
    <cellStyle name="tr 2 2 2" xfId="6240"/>
    <cellStyle name="tr 2 2 3" xfId="6241"/>
    <cellStyle name="tr 2 3" xfId="6242"/>
    <cellStyle name="tr 2 4" xfId="6243"/>
    <cellStyle name="tr 2 4 2" xfId="6244"/>
    <cellStyle name="tr 2 4 3" xfId="6245"/>
    <cellStyle name="tr 2 4 4" xfId="6246"/>
    <cellStyle name="tr 2 4 5" xfId="6247"/>
    <cellStyle name="tr 2 5" xfId="6248"/>
    <cellStyle name="tr 2 6" xfId="6249"/>
    <cellStyle name="tr 2 7" xfId="6250"/>
    <cellStyle name="tr 2 8" xfId="6251"/>
    <cellStyle name="tr 3" xfId="6252"/>
    <cellStyle name="tr 3 2" xfId="6253"/>
    <cellStyle name="tr 3 2 2" xfId="6254"/>
    <cellStyle name="tr 3 2 3" xfId="6255"/>
    <cellStyle name="tr 3 3" xfId="6256"/>
    <cellStyle name="tr 3 4" xfId="6257"/>
    <cellStyle name="tr 3 4 2" xfId="6258"/>
    <cellStyle name="tr 3 4 3" xfId="6259"/>
    <cellStyle name="tr 3 4 4" xfId="6260"/>
    <cellStyle name="tr 3 4 5" xfId="6261"/>
    <cellStyle name="tr 3 5" xfId="6262"/>
    <cellStyle name="tr 3 6" xfId="6263"/>
    <cellStyle name="tr 3 7" xfId="6264"/>
    <cellStyle name="tr 3 8" xfId="6265"/>
    <cellStyle name="tr 4" xfId="6266"/>
    <cellStyle name="tr 4 2" xfId="6267"/>
    <cellStyle name="tr 4 3" xfId="6268"/>
    <cellStyle name="tr 5" xfId="6269"/>
    <cellStyle name="tr 6" xfId="6270"/>
    <cellStyle name="tr 6 2" xfId="6271"/>
    <cellStyle name="tr 6 3" xfId="6272"/>
    <cellStyle name="tr 6 4" xfId="6273"/>
    <cellStyle name="tr 6 5" xfId="6274"/>
    <cellStyle name="tr 7" xfId="6275"/>
    <cellStyle name="tr 8" xfId="6276"/>
    <cellStyle name="tr 9" xfId="6277"/>
    <cellStyle name="Warning Text" xfId="6278"/>
    <cellStyle name="Warning Text 2" xfId="6279"/>
    <cellStyle name="Warning Text 2 2" xfId="6280"/>
    <cellStyle name="Warning Text 2 3" xfId="6281"/>
    <cellStyle name="Warning Text 3" xfId="6282"/>
    <cellStyle name="Warning Text 4" xfId="6283"/>
    <cellStyle name="Warning Text 4 2" xfId="6284"/>
    <cellStyle name="Warning Text 4 3" xfId="6285"/>
    <cellStyle name="Warning Text 4 4" xfId="6286"/>
    <cellStyle name="Warning Text 4 5" xfId="6287"/>
    <cellStyle name="Warning Text 5" xfId="6288"/>
    <cellStyle name="Warning Text 6" xfId="6289"/>
    <cellStyle name="Warning Text 7" xfId="6290"/>
    <cellStyle name="Warning Text 8" xfId="6291"/>
    <cellStyle name="xl_bot_header" xfId="6292"/>
    <cellStyle name="xl29" xfId="6293"/>
    <cellStyle name="xl29 2" xfId="6294"/>
    <cellStyle name="xl29 2 2" xfId="6295"/>
    <cellStyle name="xl29 2 3" xfId="6296"/>
    <cellStyle name="xl29 3" xfId="6297"/>
    <cellStyle name="xl29 4" xfId="6298"/>
    <cellStyle name="xl29 4 2" xfId="6299"/>
    <cellStyle name="xl29 4 3" xfId="6300"/>
    <cellStyle name="xl29 5" xfId="6301"/>
    <cellStyle name="xl29 6" xfId="6302"/>
    <cellStyle name="xl63" xfId="6303"/>
    <cellStyle name="xl63 2" xfId="6304"/>
    <cellStyle name="xl63 2 2" xfId="6305"/>
    <cellStyle name="xl63 2 3" xfId="6306"/>
    <cellStyle name="xl63 3" xfId="6307"/>
    <cellStyle name="xl63 4" xfId="6308"/>
    <cellStyle name="xl63 4 2" xfId="6309"/>
    <cellStyle name="xl63 4 3" xfId="6310"/>
    <cellStyle name="xl63 5" xfId="6311"/>
    <cellStyle name="xl63 6" xfId="6312"/>
    <cellStyle name="Акцент1 2" xfId="6313"/>
    <cellStyle name="Акцент1 2 2" xfId="6314"/>
    <cellStyle name="Акцент1 2 2 2" xfId="6315"/>
    <cellStyle name="Акцент1 2 2 2 2" xfId="6316"/>
    <cellStyle name="Акцент1 2 2 2 3" xfId="6317"/>
    <cellStyle name="Акцент1 2 2 3" xfId="6318"/>
    <cellStyle name="Акцент1 2 2 4" xfId="6319"/>
    <cellStyle name="Акцент1 2 2 4 2" xfId="6320"/>
    <cellStyle name="Акцент1 2 2 4 3" xfId="6321"/>
    <cellStyle name="Акцент1 2 2 4 4" xfId="6322"/>
    <cellStyle name="Акцент1 2 2 4 5" xfId="6323"/>
    <cellStyle name="Акцент1 2 2 5" xfId="6324"/>
    <cellStyle name="Акцент1 2 2 6" xfId="6325"/>
    <cellStyle name="Акцент1 2 2 7" xfId="6326"/>
    <cellStyle name="Акцент1 2 2 8" xfId="6327"/>
    <cellStyle name="Акцент1 2 3" xfId="6328"/>
    <cellStyle name="Акцент1 2 3 2" xfId="6329"/>
    <cellStyle name="Акцент1 2 3 3" xfId="6330"/>
    <cellStyle name="Акцент1 2 4" xfId="6331"/>
    <cellStyle name="Акцент1 2 5" xfId="6332"/>
    <cellStyle name="Акцент1 2 5 2" xfId="6333"/>
    <cellStyle name="Акцент1 2 5 3" xfId="6334"/>
    <cellStyle name="Акцент1 2 5 4" xfId="6335"/>
    <cellStyle name="Акцент1 2 5 5" xfId="6336"/>
    <cellStyle name="Акцент1 2 6" xfId="6337"/>
    <cellStyle name="Акцент1 2 7" xfId="6338"/>
    <cellStyle name="Акцент1 2 8" xfId="6339"/>
    <cellStyle name="Акцент1 2 9" xfId="6340"/>
    <cellStyle name="Акцент1 3" xfId="6341"/>
    <cellStyle name="Акцент1 3 2" xfId="6342"/>
    <cellStyle name="Акцент1 3 2 2" xfId="6343"/>
    <cellStyle name="Акцент1 3 2 3" xfId="6344"/>
    <cellStyle name="Акцент1 3 3" xfId="6345"/>
    <cellStyle name="Акцент1 3 4" xfId="6346"/>
    <cellStyle name="Акцент1 3 4 2" xfId="6347"/>
    <cellStyle name="Акцент1 3 4 3" xfId="6348"/>
    <cellStyle name="Акцент1 3 4 4" xfId="6349"/>
    <cellStyle name="Акцент1 3 4 5" xfId="6350"/>
    <cellStyle name="Акцент1 3 5" xfId="6351"/>
    <cellStyle name="Акцент1 3 6" xfId="6352"/>
    <cellStyle name="Акцент1 3 7" xfId="6353"/>
    <cellStyle name="Акцент1 3 8" xfId="6354"/>
    <cellStyle name="Акцент1 4" xfId="6355"/>
    <cellStyle name="Акцент1 4 2" xfId="6356"/>
    <cellStyle name="Акцент1 4 2 2" xfId="6357"/>
    <cellStyle name="Акцент1 4 2 3" xfId="6358"/>
    <cellStyle name="Акцент1 4 3" xfId="6359"/>
    <cellStyle name="Акцент1 4 4" xfId="6360"/>
    <cellStyle name="Акцент1 4 4 2" xfId="6361"/>
    <cellStyle name="Акцент1 4 4 3" xfId="6362"/>
    <cellStyle name="Акцент1 4 4 4" xfId="6363"/>
    <cellStyle name="Акцент1 4 4 5" xfId="6364"/>
    <cellStyle name="Акцент1 4 5" xfId="6365"/>
    <cellStyle name="Акцент1 4 6" xfId="6366"/>
    <cellStyle name="Акцент1 4 7" xfId="6367"/>
    <cellStyle name="Акцент1 4 8" xfId="6368"/>
    <cellStyle name="Акцент1 5" xfId="6369"/>
    <cellStyle name="Акцент1 5 2" xfId="6370"/>
    <cellStyle name="Акцент1 5 2 2" xfId="6371"/>
    <cellStyle name="Акцент1 5 2 3" xfId="6372"/>
    <cellStyle name="Акцент1 5 3" xfId="6373"/>
    <cellStyle name="Акцент1 5 4" xfId="6374"/>
    <cellStyle name="Акцент1 5 4 2" xfId="6375"/>
    <cellStyle name="Акцент1 5 4 3" xfId="6376"/>
    <cellStyle name="Акцент1 5 4 4" xfId="6377"/>
    <cellStyle name="Акцент1 5 4 5" xfId="6378"/>
    <cellStyle name="Акцент1 5 5" xfId="6379"/>
    <cellStyle name="Акцент1 5 6" xfId="6380"/>
    <cellStyle name="Акцент1 5 7" xfId="6381"/>
    <cellStyle name="Акцент1 5 8" xfId="6382"/>
    <cellStyle name="Акцент1 6" xfId="6383"/>
    <cellStyle name="Акцент1 6 2" xfId="6384"/>
    <cellStyle name="Акцент1 6 2 2" xfId="6385"/>
    <cellStyle name="Акцент1 6 2 3" xfId="6386"/>
    <cellStyle name="Акцент1 6 3" xfId="6387"/>
    <cellStyle name="Акцент1 6 4" xfId="6388"/>
    <cellStyle name="Акцент1 6 4 2" xfId="6389"/>
    <cellStyle name="Акцент1 6 4 3" xfId="6390"/>
    <cellStyle name="Акцент1 6 4 4" xfId="6391"/>
    <cellStyle name="Акцент1 6 4 5" xfId="6392"/>
    <cellStyle name="Акцент1 6 5" xfId="6393"/>
    <cellStyle name="Акцент1 6 6" xfId="6394"/>
    <cellStyle name="Акцент1 6 7" xfId="6395"/>
    <cellStyle name="Акцент1 6 8" xfId="6396"/>
    <cellStyle name="Акцент2 2" xfId="6397"/>
    <cellStyle name="Акцент2 2 2" xfId="6398"/>
    <cellStyle name="Акцент2 2 2 2" xfId="6399"/>
    <cellStyle name="Акцент2 2 2 2 2" xfId="6400"/>
    <cellStyle name="Акцент2 2 2 2 3" xfId="6401"/>
    <cellStyle name="Акцент2 2 2 3" xfId="6402"/>
    <cellStyle name="Акцент2 2 2 4" xfId="6403"/>
    <cellStyle name="Акцент2 2 2 4 2" xfId="6404"/>
    <cellStyle name="Акцент2 2 2 4 3" xfId="6405"/>
    <cellStyle name="Акцент2 2 2 4 4" xfId="6406"/>
    <cellStyle name="Акцент2 2 2 4 5" xfId="6407"/>
    <cellStyle name="Акцент2 2 2 5" xfId="6408"/>
    <cellStyle name="Акцент2 2 2 6" xfId="6409"/>
    <cellStyle name="Акцент2 2 2 7" xfId="6410"/>
    <cellStyle name="Акцент2 2 2 8" xfId="6411"/>
    <cellStyle name="Акцент2 2 3" xfId="6412"/>
    <cellStyle name="Акцент2 2 3 2" xfId="6413"/>
    <cellStyle name="Акцент2 2 3 3" xfId="6414"/>
    <cellStyle name="Акцент2 2 4" xfId="6415"/>
    <cellStyle name="Акцент2 2 5" xfId="6416"/>
    <cellStyle name="Акцент2 2 5 2" xfId="6417"/>
    <cellStyle name="Акцент2 2 5 3" xfId="6418"/>
    <cellStyle name="Акцент2 2 5 4" xfId="6419"/>
    <cellStyle name="Акцент2 2 5 5" xfId="6420"/>
    <cellStyle name="Акцент2 2 6" xfId="6421"/>
    <cellStyle name="Акцент2 2 7" xfId="6422"/>
    <cellStyle name="Акцент2 2 8" xfId="6423"/>
    <cellStyle name="Акцент2 2 9" xfId="6424"/>
    <cellStyle name="Акцент2 3" xfId="6425"/>
    <cellStyle name="Акцент2 3 2" xfId="6426"/>
    <cellStyle name="Акцент2 3 2 2" xfId="6427"/>
    <cellStyle name="Акцент2 3 2 3" xfId="6428"/>
    <cellStyle name="Акцент2 3 3" xfId="6429"/>
    <cellStyle name="Акцент2 3 4" xfId="6430"/>
    <cellStyle name="Акцент2 3 4 2" xfId="6431"/>
    <cellStyle name="Акцент2 3 4 3" xfId="6432"/>
    <cellStyle name="Акцент2 3 4 4" xfId="6433"/>
    <cellStyle name="Акцент2 3 4 5" xfId="6434"/>
    <cellStyle name="Акцент2 3 5" xfId="6435"/>
    <cellStyle name="Акцент2 3 6" xfId="6436"/>
    <cellStyle name="Акцент2 3 7" xfId="6437"/>
    <cellStyle name="Акцент2 3 8" xfId="6438"/>
    <cellStyle name="Акцент2 4" xfId="6439"/>
    <cellStyle name="Акцент2 4 2" xfId="6440"/>
    <cellStyle name="Акцент2 4 2 2" xfId="6441"/>
    <cellStyle name="Акцент2 4 2 3" xfId="6442"/>
    <cellStyle name="Акцент2 4 3" xfId="6443"/>
    <cellStyle name="Акцент2 4 4" xfId="6444"/>
    <cellStyle name="Акцент2 4 4 2" xfId="6445"/>
    <cellStyle name="Акцент2 4 4 3" xfId="6446"/>
    <cellStyle name="Акцент2 4 4 4" xfId="6447"/>
    <cellStyle name="Акцент2 4 4 5" xfId="6448"/>
    <cellStyle name="Акцент2 4 5" xfId="6449"/>
    <cellStyle name="Акцент2 4 6" xfId="6450"/>
    <cellStyle name="Акцент2 4 7" xfId="6451"/>
    <cellStyle name="Акцент2 4 8" xfId="6452"/>
    <cellStyle name="Акцент2 5" xfId="6453"/>
    <cellStyle name="Акцент2 5 2" xfId="6454"/>
    <cellStyle name="Акцент2 5 2 2" xfId="6455"/>
    <cellStyle name="Акцент2 5 2 3" xfId="6456"/>
    <cellStyle name="Акцент2 5 3" xfId="6457"/>
    <cellStyle name="Акцент2 5 4" xfId="6458"/>
    <cellStyle name="Акцент2 5 4 2" xfId="6459"/>
    <cellStyle name="Акцент2 5 4 3" xfId="6460"/>
    <cellStyle name="Акцент2 5 4 4" xfId="6461"/>
    <cellStyle name="Акцент2 5 4 5" xfId="6462"/>
    <cellStyle name="Акцент2 5 5" xfId="6463"/>
    <cellStyle name="Акцент2 5 6" xfId="6464"/>
    <cellStyle name="Акцент2 5 7" xfId="6465"/>
    <cellStyle name="Акцент2 5 8" xfId="6466"/>
    <cellStyle name="Акцент2 6" xfId="6467"/>
    <cellStyle name="Акцент2 6 2" xfId="6468"/>
    <cellStyle name="Акцент2 6 2 2" xfId="6469"/>
    <cellStyle name="Акцент2 6 2 3" xfId="6470"/>
    <cellStyle name="Акцент2 6 3" xfId="6471"/>
    <cellStyle name="Акцент2 6 4" xfId="6472"/>
    <cellStyle name="Акцент2 6 4 2" xfId="6473"/>
    <cellStyle name="Акцент2 6 4 3" xfId="6474"/>
    <cellStyle name="Акцент2 6 4 4" xfId="6475"/>
    <cellStyle name="Акцент2 6 4 5" xfId="6476"/>
    <cellStyle name="Акцент2 6 5" xfId="6477"/>
    <cellStyle name="Акцент2 6 6" xfId="6478"/>
    <cellStyle name="Акцент2 6 7" xfId="6479"/>
    <cellStyle name="Акцент2 6 8" xfId="6480"/>
    <cellStyle name="Акцент3 2" xfId="6481"/>
    <cellStyle name="Акцент3 2 2" xfId="6482"/>
    <cellStyle name="Акцент3 2 2 2" xfId="6483"/>
    <cellStyle name="Акцент3 2 2 2 2" xfId="6484"/>
    <cellStyle name="Акцент3 2 2 2 3" xfId="6485"/>
    <cellStyle name="Акцент3 2 2 3" xfId="6486"/>
    <cellStyle name="Акцент3 2 2 4" xfId="6487"/>
    <cellStyle name="Акцент3 2 2 4 2" xfId="6488"/>
    <cellStyle name="Акцент3 2 2 4 3" xfId="6489"/>
    <cellStyle name="Акцент3 2 2 4 4" xfId="6490"/>
    <cellStyle name="Акцент3 2 2 4 5" xfId="6491"/>
    <cellStyle name="Акцент3 2 2 5" xfId="6492"/>
    <cellStyle name="Акцент3 2 2 6" xfId="6493"/>
    <cellStyle name="Акцент3 2 2 7" xfId="6494"/>
    <cellStyle name="Акцент3 2 2 8" xfId="6495"/>
    <cellStyle name="Акцент3 2 3" xfId="6496"/>
    <cellStyle name="Акцент3 2 3 2" xfId="6497"/>
    <cellStyle name="Акцент3 2 3 3" xfId="6498"/>
    <cellStyle name="Акцент3 2 4" xfId="6499"/>
    <cellStyle name="Акцент3 2 5" xfId="6500"/>
    <cellStyle name="Акцент3 2 5 2" xfId="6501"/>
    <cellStyle name="Акцент3 2 5 3" xfId="6502"/>
    <cellStyle name="Акцент3 2 5 4" xfId="6503"/>
    <cellStyle name="Акцент3 2 5 5" xfId="6504"/>
    <cellStyle name="Акцент3 2 6" xfId="6505"/>
    <cellStyle name="Акцент3 2 7" xfId="6506"/>
    <cellStyle name="Акцент3 2 8" xfId="6507"/>
    <cellStyle name="Акцент3 2 9" xfId="6508"/>
    <cellStyle name="Акцент3 3" xfId="6509"/>
    <cellStyle name="Акцент3 3 2" xfId="6510"/>
    <cellStyle name="Акцент3 3 2 2" xfId="6511"/>
    <cellStyle name="Акцент3 3 2 3" xfId="6512"/>
    <cellStyle name="Акцент3 3 3" xfId="6513"/>
    <cellStyle name="Акцент3 3 4" xfId="6514"/>
    <cellStyle name="Акцент3 3 4 2" xfId="6515"/>
    <cellStyle name="Акцент3 3 4 3" xfId="6516"/>
    <cellStyle name="Акцент3 3 4 4" xfId="6517"/>
    <cellStyle name="Акцент3 3 4 5" xfId="6518"/>
    <cellStyle name="Акцент3 3 5" xfId="6519"/>
    <cellStyle name="Акцент3 3 6" xfId="6520"/>
    <cellStyle name="Акцент3 3 7" xfId="6521"/>
    <cellStyle name="Акцент3 3 8" xfId="6522"/>
    <cellStyle name="Акцент3 4" xfId="6523"/>
    <cellStyle name="Акцент3 4 2" xfId="6524"/>
    <cellStyle name="Акцент3 4 2 2" xfId="6525"/>
    <cellStyle name="Акцент3 4 2 3" xfId="6526"/>
    <cellStyle name="Акцент3 4 3" xfId="6527"/>
    <cellStyle name="Акцент3 4 4" xfId="6528"/>
    <cellStyle name="Акцент3 4 4 2" xfId="6529"/>
    <cellStyle name="Акцент3 4 4 3" xfId="6530"/>
    <cellStyle name="Акцент3 4 4 4" xfId="6531"/>
    <cellStyle name="Акцент3 4 4 5" xfId="6532"/>
    <cellStyle name="Акцент3 4 5" xfId="6533"/>
    <cellStyle name="Акцент3 4 6" xfId="6534"/>
    <cellStyle name="Акцент3 4 7" xfId="6535"/>
    <cellStyle name="Акцент3 4 8" xfId="6536"/>
    <cellStyle name="Акцент3 5" xfId="6537"/>
    <cellStyle name="Акцент3 5 2" xfId="6538"/>
    <cellStyle name="Акцент3 5 2 2" xfId="6539"/>
    <cellStyle name="Акцент3 5 2 3" xfId="6540"/>
    <cellStyle name="Акцент3 5 3" xfId="6541"/>
    <cellStyle name="Акцент3 5 4" xfId="6542"/>
    <cellStyle name="Акцент3 5 4 2" xfId="6543"/>
    <cellStyle name="Акцент3 5 4 3" xfId="6544"/>
    <cellStyle name="Акцент3 5 4 4" xfId="6545"/>
    <cellStyle name="Акцент3 5 4 5" xfId="6546"/>
    <cellStyle name="Акцент3 5 5" xfId="6547"/>
    <cellStyle name="Акцент3 5 6" xfId="6548"/>
    <cellStyle name="Акцент3 5 7" xfId="6549"/>
    <cellStyle name="Акцент3 5 8" xfId="6550"/>
    <cellStyle name="Акцент3 6" xfId="6551"/>
    <cellStyle name="Акцент3 6 2" xfId="6552"/>
    <cellStyle name="Акцент3 6 2 2" xfId="6553"/>
    <cellStyle name="Акцент3 6 2 3" xfId="6554"/>
    <cellStyle name="Акцент3 6 3" xfId="6555"/>
    <cellStyle name="Акцент3 6 4" xfId="6556"/>
    <cellStyle name="Акцент3 6 4 2" xfId="6557"/>
    <cellStyle name="Акцент3 6 4 3" xfId="6558"/>
    <cellStyle name="Акцент3 6 4 4" xfId="6559"/>
    <cellStyle name="Акцент3 6 4 5" xfId="6560"/>
    <cellStyle name="Акцент3 6 5" xfId="6561"/>
    <cellStyle name="Акцент3 6 6" xfId="6562"/>
    <cellStyle name="Акцент3 6 7" xfId="6563"/>
    <cellStyle name="Акцент3 6 8" xfId="6564"/>
    <cellStyle name="Акцент4 2" xfId="6565"/>
    <cellStyle name="Акцент4 2 10" xfId="6566"/>
    <cellStyle name="Акцент4 2 10 2" xfId="6567"/>
    <cellStyle name="Акцент4 2 10 3" xfId="6568"/>
    <cellStyle name="Акцент4 2 10 4" xfId="6569"/>
    <cellStyle name="Акцент4 2 10 5" xfId="6570"/>
    <cellStyle name="Акцент4 2 11" xfId="6571"/>
    <cellStyle name="Акцент4 2 12" xfId="6572"/>
    <cellStyle name="Акцент4 2 13" xfId="6573"/>
    <cellStyle name="Акцент4 2 14" xfId="6574"/>
    <cellStyle name="Акцент4 2 15" xfId="6575"/>
    <cellStyle name="Акцент4 2 16" xfId="6576"/>
    <cellStyle name="Акцент4 2 17" xfId="6577"/>
    <cellStyle name="Акцент4 2 18" xfId="6578"/>
    <cellStyle name="Акцент4 2 2" xfId="6579"/>
    <cellStyle name="Акцент4 2 2 2" xfId="6580"/>
    <cellStyle name="Акцент4 2 2 2 2" xfId="6581"/>
    <cellStyle name="Акцент4 2 2 2 3" xfId="6582"/>
    <cellStyle name="Акцент4 2 2 3" xfId="6583"/>
    <cellStyle name="Акцент4 2 2 4" xfId="6584"/>
    <cellStyle name="Акцент4 2 2 4 2" xfId="6585"/>
    <cellStyle name="Акцент4 2 2 4 3" xfId="6586"/>
    <cellStyle name="Акцент4 2 2 4 4" xfId="6587"/>
    <cellStyle name="Акцент4 2 2 4 5" xfId="6588"/>
    <cellStyle name="Акцент4 2 2 5" xfId="6589"/>
    <cellStyle name="Акцент4 2 2 6" xfId="6590"/>
    <cellStyle name="Акцент4 2 2 7" xfId="6591"/>
    <cellStyle name="Акцент4 2 2 8" xfId="6592"/>
    <cellStyle name="Акцент4 2 3" xfId="6593"/>
    <cellStyle name="Акцент4 2 3 2" xfId="6594"/>
    <cellStyle name="Акцент4 2 3 3" xfId="6595"/>
    <cellStyle name="Акцент4 2 4" xfId="6596"/>
    <cellStyle name="Акцент4 2 5" xfId="6597"/>
    <cellStyle name="Акцент4 2 5 2" xfId="6598"/>
    <cellStyle name="Акцент4 2 5 3" xfId="6599"/>
    <cellStyle name="Акцент4 2 5 4" xfId="6600"/>
    <cellStyle name="Акцент4 2 5 5" xfId="6601"/>
    <cellStyle name="Акцент4 2 6" xfId="6602"/>
    <cellStyle name="Акцент4 2 6 2" xfId="6603"/>
    <cellStyle name="Акцент4 2 6 3" xfId="6604"/>
    <cellStyle name="Акцент4 2 6 4" xfId="6605"/>
    <cellStyle name="Акцент4 2 6 5" xfId="6606"/>
    <cellStyle name="Акцент4 2 7" xfId="6607"/>
    <cellStyle name="Акцент4 2 7 2" xfId="6608"/>
    <cellStyle name="Акцент4 2 7 3" xfId="6609"/>
    <cellStyle name="Акцент4 2 7 4" xfId="6610"/>
    <cellStyle name="Акцент4 2 7 5" xfId="6611"/>
    <cellStyle name="Акцент4 2 8" xfId="6612"/>
    <cellStyle name="Акцент4 2 8 2" xfId="6613"/>
    <cellStyle name="Акцент4 2 8 3" xfId="6614"/>
    <cellStyle name="Акцент4 2 8 4" xfId="6615"/>
    <cellStyle name="Акцент4 2 8 5" xfId="6616"/>
    <cellStyle name="Акцент4 2 9" xfId="6617"/>
    <cellStyle name="Акцент4 2 9 2" xfId="6618"/>
    <cellStyle name="Акцент4 2 9 3" xfId="6619"/>
    <cellStyle name="Акцент4 2 9 4" xfId="6620"/>
    <cellStyle name="Акцент4 2 9 5" xfId="6621"/>
    <cellStyle name="Акцент4 3" xfId="6622"/>
    <cellStyle name="Акцент4 3 10" xfId="6623"/>
    <cellStyle name="Акцент4 3 11" xfId="6624"/>
    <cellStyle name="Акцент4 3 12" xfId="6625"/>
    <cellStyle name="Акцент4 3 13" xfId="6626"/>
    <cellStyle name="Акцент4 3 14" xfId="6627"/>
    <cellStyle name="Акцент4 3 15" xfId="6628"/>
    <cellStyle name="Акцент4 3 16" xfId="6629"/>
    <cellStyle name="Акцент4 3 17" xfId="6630"/>
    <cellStyle name="Акцент4 3 2" xfId="6631"/>
    <cellStyle name="Акцент4 3 2 2" xfId="6632"/>
    <cellStyle name="Акцент4 3 2 3" xfId="6633"/>
    <cellStyle name="Акцент4 3 3" xfId="6634"/>
    <cellStyle name="Акцент4 3 4" xfId="6635"/>
    <cellStyle name="Акцент4 3 4 2" xfId="6636"/>
    <cellStyle name="Акцент4 3 4 3" xfId="6637"/>
    <cellStyle name="Акцент4 3 4 4" xfId="6638"/>
    <cellStyle name="Акцент4 3 4 5" xfId="6639"/>
    <cellStyle name="Акцент4 3 5" xfId="6640"/>
    <cellStyle name="Акцент4 3 5 2" xfId="6641"/>
    <cellStyle name="Акцент4 3 5 3" xfId="6642"/>
    <cellStyle name="Акцент4 3 5 4" xfId="6643"/>
    <cellStyle name="Акцент4 3 5 5" xfId="6644"/>
    <cellStyle name="Акцент4 3 6" xfId="6645"/>
    <cellStyle name="Акцент4 3 6 2" xfId="6646"/>
    <cellStyle name="Акцент4 3 6 3" xfId="6647"/>
    <cellStyle name="Акцент4 3 6 4" xfId="6648"/>
    <cellStyle name="Акцент4 3 6 5" xfId="6649"/>
    <cellStyle name="Акцент4 3 7" xfId="6650"/>
    <cellStyle name="Акцент4 3 7 2" xfId="6651"/>
    <cellStyle name="Акцент4 3 7 3" xfId="6652"/>
    <cellStyle name="Акцент4 3 7 4" xfId="6653"/>
    <cellStyle name="Акцент4 3 7 5" xfId="6654"/>
    <cellStyle name="Акцент4 3 8" xfId="6655"/>
    <cellStyle name="Акцент4 3 8 2" xfId="6656"/>
    <cellStyle name="Акцент4 3 8 3" xfId="6657"/>
    <cellStyle name="Акцент4 3 8 4" xfId="6658"/>
    <cellStyle name="Акцент4 3 8 5" xfId="6659"/>
    <cellStyle name="Акцент4 3 9" xfId="6660"/>
    <cellStyle name="Акцент4 3 9 2" xfId="6661"/>
    <cellStyle name="Акцент4 3 9 3" xfId="6662"/>
    <cellStyle name="Акцент4 3 9 4" xfId="6663"/>
    <cellStyle name="Акцент4 3 9 5" xfId="6664"/>
    <cellStyle name="Акцент4 4" xfId="6665"/>
    <cellStyle name="Акцент4 4 10" xfId="6666"/>
    <cellStyle name="Акцент4 4 11" xfId="6667"/>
    <cellStyle name="Акцент4 4 12" xfId="6668"/>
    <cellStyle name="Акцент4 4 13" xfId="6669"/>
    <cellStyle name="Акцент4 4 14" xfId="6670"/>
    <cellStyle name="Акцент4 4 15" xfId="6671"/>
    <cellStyle name="Акцент4 4 16" xfId="6672"/>
    <cellStyle name="Акцент4 4 17" xfId="6673"/>
    <cellStyle name="Акцент4 4 2" xfId="6674"/>
    <cellStyle name="Акцент4 4 2 2" xfId="6675"/>
    <cellStyle name="Акцент4 4 2 3" xfId="6676"/>
    <cellStyle name="Акцент4 4 3" xfId="6677"/>
    <cellStyle name="Акцент4 4 4" xfId="6678"/>
    <cellStyle name="Акцент4 4 4 2" xfId="6679"/>
    <cellStyle name="Акцент4 4 4 3" xfId="6680"/>
    <cellStyle name="Акцент4 4 4 4" xfId="6681"/>
    <cellStyle name="Акцент4 4 4 5" xfId="6682"/>
    <cellStyle name="Акцент4 4 5" xfId="6683"/>
    <cellStyle name="Акцент4 4 5 2" xfId="6684"/>
    <cellStyle name="Акцент4 4 5 3" xfId="6685"/>
    <cellStyle name="Акцент4 4 5 4" xfId="6686"/>
    <cellStyle name="Акцент4 4 5 5" xfId="6687"/>
    <cellStyle name="Акцент4 4 6" xfId="6688"/>
    <cellStyle name="Акцент4 4 6 2" xfId="6689"/>
    <cellStyle name="Акцент4 4 6 3" xfId="6690"/>
    <cellStyle name="Акцент4 4 6 4" xfId="6691"/>
    <cellStyle name="Акцент4 4 6 5" xfId="6692"/>
    <cellStyle name="Акцент4 4 7" xfId="6693"/>
    <cellStyle name="Акцент4 4 7 2" xfId="6694"/>
    <cellStyle name="Акцент4 4 7 3" xfId="6695"/>
    <cellStyle name="Акцент4 4 7 4" xfId="6696"/>
    <cellStyle name="Акцент4 4 7 5" xfId="6697"/>
    <cellStyle name="Акцент4 4 8" xfId="6698"/>
    <cellStyle name="Акцент4 4 8 2" xfId="6699"/>
    <cellStyle name="Акцент4 4 8 3" xfId="6700"/>
    <cellStyle name="Акцент4 4 8 4" xfId="6701"/>
    <cellStyle name="Акцент4 4 8 5" xfId="6702"/>
    <cellStyle name="Акцент4 4 9" xfId="6703"/>
    <cellStyle name="Акцент4 4 9 2" xfId="6704"/>
    <cellStyle name="Акцент4 4 9 3" xfId="6705"/>
    <cellStyle name="Акцент4 4 9 4" xfId="6706"/>
    <cellStyle name="Акцент4 4 9 5" xfId="6707"/>
    <cellStyle name="Акцент4 5" xfId="6708"/>
    <cellStyle name="Акцент4 5 10" xfId="6709"/>
    <cellStyle name="Акцент4 5 11" xfId="6710"/>
    <cellStyle name="Акцент4 5 12" xfId="6711"/>
    <cellStyle name="Акцент4 5 13" xfId="6712"/>
    <cellStyle name="Акцент4 5 14" xfId="6713"/>
    <cellStyle name="Акцент4 5 15" xfId="6714"/>
    <cellStyle name="Акцент4 5 16" xfId="6715"/>
    <cellStyle name="Акцент4 5 17" xfId="6716"/>
    <cellStyle name="Акцент4 5 2" xfId="6717"/>
    <cellStyle name="Акцент4 5 2 2" xfId="6718"/>
    <cellStyle name="Акцент4 5 2 3" xfId="6719"/>
    <cellStyle name="Акцент4 5 3" xfId="6720"/>
    <cellStyle name="Акцент4 5 4" xfId="6721"/>
    <cellStyle name="Акцент4 5 4 2" xfId="6722"/>
    <cellStyle name="Акцент4 5 4 3" xfId="6723"/>
    <cellStyle name="Акцент4 5 4 4" xfId="6724"/>
    <cellStyle name="Акцент4 5 4 5" xfId="6725"/>
    <cellStyle name="Акцент4 5 5" xfId="6726"/>
    <cellStyle name="Акцент4 5 5 2" xfId="6727"/>
    <cellStyle name="Акцент4 5 5 3" xfId="6728"/>
    <cellStyle name="Акцент4 5 5 4" xfId="6729"/>
    <cellStyle name="Акцент4 5 5 5" xfId="6730"/>
    <cellStyle name="Акцент4 5 6" xfId="6731"/>
    <cellStyle name="Акцент4 5 6 2" xfId="6732"/>
    <cellStyle name="Акцент4 5 6 3" xfId="6733"/>
    <cellStyle name="Акцент4 5 6 4" xfId="6734"/>
    <cellStyle name="Акцент4 5 6 5" xfId="6735"/>
    <cellStyle name="Акцент4 5 7" xfId="6736"/>
    <cellStyle name="Акцент4 5 7 2" xfId="6737"/>
    <cellStyle name="Акцент4 5 7 3" xfId="6738"/>
    <cellStyle name="Акцент4 5 7 4" xfId="6739"/>
    <cellStyle name="Акцент4 5 7 5" xfId="6740"/>
    <cellStyle name="Акцент4 5 8" xfId="6741"/>
    <cellStyle name="Акцент4 5 8 2" xfId="6742"/>
    <cellStyle name="Акцент4 5 8 3" xfId="6743"/>
    <cellStyle name="Акцент4 5 8 4" xfId="6744"/>
    <cellStyle name="Акцент4 5 8 5" xfId="6745"/>
    <cellStyle name="Акцент4 5 9" xfId="6746"/>
    <cellStyle name="Акцент4 5 9 2" xfId="6747"/>
    <cellStyle name="Акцент4 5 9 3" xfId="6748"/>
    <cellStyle name="Акцент4 5 9 4" xfId="6749"/>
    <cellStyle name="Акцент4 5 9 5" xfId="6750"/>
    <cellStyle name="Акцент4 6" xfId="6751"/>
    <cellStyle name="Акцент4 6 10" xfId="6752"/>
    <cellStyle name="Акцент4 6 11" xfId="6753"/>
    <cellStyle name="Акцент4 6 12" xfId="6754"/>
    <cellStyle name="Акцент4 6 13" xfId="6755"/>
    <cellStyle name="Акцент4 6 14" xfId="6756"/>
    <cellStyle name="Акцент4 6 15" xfId="6757"/>
    <cellStyle name="Акцент4 6 16" xfId="6758"/>
    <cellStyle name="Акцент4 6 17" xfId="6759"/>
    <cellStyle name="Акцент4 6 2" xfId="6760"/>
    <cellStyle name="Акцент4 6 2 2" xfId="6761"/>
    <cellStyle name="Акцент4 6 2 3" xfId="6762"/>
    <cellStyle name="Акцент4 6 3" xfId="6763"/>
    <cellStyle name="Акцент4 6 4" xfId="6764"/>
    <cellStyle name="Акцент4 6 4 2" xfId="6765"/>
    <cellStyle name="Акцент4 6 4 3" xfId="6766"/>
    <cellStyle name="Акцент4 6 4 4" xfId="6767"/>
    <cellStyle name="Акцент4 6 4 5" xfId="6768"/>
    <cellStyle name="Акцент4 6 5" xfId="6769"/>
    <cellStyle name="Акцент4 6 5 2" xfId="6770"/>
    <cellStyle name="Акцент4 6 5 3" xfId="6771"/>
    <cellStyle name="Акцент4 6 5 4" xfId="6772"/>
    <cellStyle name="Акцент4 6 5 5" xfId="6773"/>
    <cellStyle name="Акцент4 6 6" xfId="6774"/>
    <cellStyle name="Акцент4 6 6 2" xfId="6775"/>
    <cellStyle name="Акцент4 6 6 3" xfId="6776"/>
    <cellStyle name="Акцент4 6 6 4" xfId="6777"/>
    <cellStyle name="Акцент4 6 6 5" xfId="6778"/>
    <cellStyle name="Акцент4 6 7" xfId="6779"/>
    <cellStyle name="Акцент4 6 7 2" xfId="6780"/>
    <cellStyle name="Акцент4 6 7 3" xfId="6781"/>
    <cellStyle name="Акцент4 6 7 4" xfId="6782"/>
    <cellStyle name="Акцент4 6 7 5" xfId="6783"/>
    <cellStyle name="Акцент4 6 8" xfId="6784"/>
    <cellStyle name="Акцент4 6 8 2" xfId="6785"/>
    <cellStyle name="Акцент4 6 8 3" xfId="6786"/>
    <cellStyle name="Акцент4 6 8 4" xfId="6787"/>
    <cellStyle name="Акцент4 6 8 5" xfId="6788"/>
    <cellStyle name="Акцент4 6 9" xfId="6789"/>
    <cellStyle name="Акцент4 6 9 2" xfId="6790"/>
    <cellStyle name="Акцент4 6 9 3" xfId="6791"/>
    <cellStyle name="Акцент4 6 9 4" xfId="6792"/>
    <cellStyle name="Акцент4 6 9 5" xfId="6793"/>
    <cellStyle name="Акцент5 2" xfId="6794"/>
    <cellStyle name="Акцент5 2 2" xfId="6795"/>
    <cellStyle name="Акцент5 2 2 2" xfId="6796"/>
    <cellStyle name="Акцент5 2 2 2 2" xfId="6797"/>
    <cellStyle name="Акцент5 2 2 2 3" xfId="6798"/>
    <cellStyle name="Акцент5 2 2 3" xfId="6799"/>
    <cellStyle name="Акцент5 2 2 4" xfId="6800"/>
    <cellStyle name="Акцент5 2 2 4 2" xfId="6801"/>
    <cellStyle name="Акцент5 2 2 4 3" xfId="6802"/>
    <cellStyle name="Акцент5 2 2 4 4" xfId="6803"/>
    <cellStyle name="Акцент5 2 2 4 5" xfId="6804"/>
    <cellStyle name="Акцент5 2 2 5" xfId="6805"/>
    <cellStyle name="Акцент5 2 2 6" xfId="6806"/>
    <cellStyle name="Акцент5 2 2 7" xfId="6807"/>
    <cellStyle name="Акцент5 2 2 8" xfId="6808"/>
    <cellStyle name="Акцент5 2 3" xfId="6809"/>
    <cellStyle name="Акцент5 2 3 2" xfId="6810"/>
    <cellStyle name="Акцент5 2 3 3" xfId="6811"/>
    <cellStyle name="Акцент5 2 4" xfId="6812"/>
    <cellStyle name="Акцент5 2 5" xfId="6813"/>
    <cellStyle name="Акцент5 2 5 2" xfId="6814"/>
    <cellStyle name="Акцент5 2 5 3" xfId="6815"/>
    <cellStyle name="Акцент5 2 5 4" xfId="6816"/>
    <cellStyle name="Акцент5 2 5 5" xfId="6817"/>
    <cellStyle name="Акцент5 2 6" xfId="6818"/>
    <cellStyle name="Акцент5 2 7" xfId="6819"/>
    <cellStyle name="Акцент5 2 8" xfId="6820"/>
    <cellStyle name="Акцент5 2 9" xfId="6821"/>
    <cellStyle name="Акцент5 3" xfId="6822"/>
    <cellStyle name="Акцент5 3 2" xfId="6823"/>
    <cellStyle name="Акцент5 3 2 2" xfId="6824"/>
    <cellStyle name="Акцент5 3 2 3" xfId="6825"/>
    <cellStyle name="Акцент5 3 3" xfId="6826"/>
    <cellStyle name="Акцент5 3 4" xfId="6827"/>
    <cellStyle name="Акцент5 3 4 2" xfId="6828"/>
    <cellStyle name="Акцент5 3 4 3" xfId="6829"/>
    <cellStyle name="Акцент5 3 4 4" xfId="6830"/>
    <cellStyle name="Акцент5 3 4 5" xfId="6831"/>
    <cellStyle name="Акцент5 3 5" xfId="6832"/>
    <cellStyle name="Акцент5 3 6" xfId="6833"/>
    <cellStyle name="Акцент5 3 7" xfId="6834"/>
    <cellStyle name="Акцент5 3 8" xfId="6835"/>
    <cellStyle name="Акцент5 4" xfId="6836"/>
    <cellStyle name="Акцент5 4 2" xfId="6837"/>
    <cellStyle name="Акцент5 4 2 2" xfId="6838"/>
    <cellStyle name="Акцент5 4 2 3" xfId="6839"/>
    <cellStyle name="Акцент5 4 3" xfId="6840"/>
    <cellStyle name="Акцент5 4 4" xfId="6841"/>
    <cellStyle name="Акцент5 4 4 2" xfId="6842"/>
    <cellStyle name="Акцент5 4 4 3" xfId="6843"/>
    <cellStyle name="Акцент5 4 4 4" xfId="6844"/>
    <cellStyle name="Акцент5 4 4 5" xfId="6845"/>
    <cellStyle name="Акцент5 4 5" xfId="6846"/>
    <cellStyle name="Акцент5 4 6" xfId="6847"/>
    <cellStyle name="Акцент5 4 7" xfId="6848"/>
    <cellStyle name="Акцент5 4 8" xfId="6849"/>
    <cellStyle name="Акцент5 5" xfId="6850"/>
    <cellStyle name="Акцент5 5 2" xfId="6851"/>
    <cellStyle name="Акцент5 5 2 2" xfId="6852"/>
    <cellStyle name="Акцент5 5 2 3" xfId="6853"/>
    <cellStyle name="Акцент5 5 3" xfId="6854"/>
    <cellStyle name="Акцент5 5 4" xfId="6855"/>
    <cellStyle name="Акцент5 5 4 2" xfId="6856"/>
    <cellStyle name="Акцент5 5 4 3" xfId="6857"/>
    <cellStyle name="Акцент5 5 4 4" xfId="6858"/>
    <cellStyle name="Акцент5 5 4 5" xfId="6859"/>
    <cellStyle name="Акцент5 5 5" xfId="6860"/>
    <cellStyle name="Акцент5 5 6" xfId="6861"/>
    <cellStyle name="Акцент5 5 7" xfId="6862"/>
    <cellStyle name="Акцент5 5 8" xfId="6863"/>
    <cellStyle name="Акцент5 6" xfId="6864"/>
    <cellStyle name="Акцент5 6 2" xfId="6865"/>
    <cellStyle name="Акцент5 6 2 2" xfId="6866"/>
    <cellStyle name="Акцент5 6 2 3" xfId="6867"/>
    <cellStyle name="Акцент5 6 3" xfId="6868"/>
    <cellStyle name="Акцент5 6 4" xfId="6869"/>
    <cellStyle name="Акцент5 6 4 2" xfId="6870"/>
    <cellStyle name="Акцент5 6 4 3" xfId="6871"/>
    <cellStyle name="Акцент5 6 4 4" xfId="6872"/>
    <cellStyle name="Акцент5 6 4 5" xfId="6873"/>
    <cellStyle name="Акцент5 6 5" xfId="6874"/>
    <cellStyle name="Акцент5 6 6" xfId="6875"/>
    <cellStyle name="Акцент5 6 7" xfId="6876"/>
    <cellStyle name="Акцент5 6 8" xfId="6877"/>
    <cellStyle name="Акцент6 2" xfId="6878"/>
    <cellStyle name="Акцент6 2 2" xfId="6879"/>
    <cellStyle name="Акцент6 2 2 2" xfId="6880"/>
    <cellStyle name="Акцент6 2 2 2 2" xfId="6881"/>
    <cellStyle name="Акцент6 2 2 2 3" xfId="6882"/>
    <cellStyle name="Акцент6 2 2 3" xfId="6883"/>
    <cellStyle name="Акцент6 2 2 4" xfId="6884"/>
    <cellStyle name="Акцент6 2 2 4 2" xfId="6885"/>
    <cellStyle name="Акцент6 2 2 4 3" xfId="6886"/>
    <cellStyle name="Акцент6 2 2 4 4" xfId="6887"/>
    <cellStyle name="Акцент6 2 2 4 5" xfId="6888"/>
    <cellStyle name="Акцент6 2 2 5" xfId="6889"/>
    <cellStyle name="Акцент6 2 2 6" xfId="6890"/>
    <cellStyle name="Акцент6 2 2 7" xfId="6891"/>
    <cellStyle name="Акцент6 2 2 8" xfId="6892"/>
    <cellStyle name="Акцент6 2 3" xfId="6893"/>
    <cellStyle name="Акцент6 2 3 2" xfId="6894"/>
    <cellStyle name="Акцент6 2 3 3" xfId="6895"/>
    <cellStyle name="Акцент6 2 4" xfId="6896"/>
    <cellStyle name="Акцент6 2 5" xfId="6897"/>
    <cellStyle name="Акцент6 2 5 2" xfId="6898"/>
    <cellStyle name="Акцент6 2 5 3" xfId="6899"/>
    <cellStyle name="Акцент6 2 5 4" xfId="6900"/>
    <cellStyle name="Акцент6 2 5 5" xfId="6901"/>
    <cellStyle name="Акцент6 2 6" xfId="6902"/>
    <cellStyle name="Акцент6 2 7" xfId="6903"/>
    <cellStyle name="Акцент6 2 8" xfId="6904"/>
    <cellStyle name="Акцент6 2 9" xfId="6905"/>
    <cellStyle name="Акцент6 3" xfId="6906"/>
    <cellStyle name="Акцент6 3 2" xfId="6907"/>
    <cellStyle name="Акцент6 3 2 2" xfId="6908"/>
    <cellStyle name="Акцент6 3 2 3" xfId="6909"/>
    <cellStyle name="Акцент6 3 3" xfId="6910"/>
    <cellStyle name="Акцент6 3 4" xfId="6911"/>
    <cellStyle name="Акцент6 3 4 2" xfId="6912"/>
    <cellStyle name="Акцент6 3 4 3" xfId="6913"/>
    <cellStyle name="Акцент6 3 4 4" xfId="6914"/>
    <cellStyle name="Акцент6 3 4 5" xfId="6915"/>
    <cellStyle name="Акцент6 3 5" xfId="6916"/>
    <cellStyle name="Акцент6 3 6" xfId="6917"/>
    <cellStyle name="Акцент6 3 7" xfId="6918"/>
    <cellStyle name="Акцент6 3 8" xfId="6919"/>
    <cellStyle name="Акцент6 4" xfId="6920"/>
    <cellStyle name="Акцент6 4 2" xfId="6921"/>
    <cellStyle name="Акцент6 4 2 2" xfId="6922"/>
    <cellStyle name="Акцент6 4 2 3" xfId="6923"/>
    <cellStyle name="Акцент6 4 3" xfId="6924"/>
    <cellStyle name="Акцент6 4 4" xfId="6925"/>
    <cellStyle name="Акцент6 4 4 2" xfId="6926"/>
    <cellStyle name="Акцент6 4 4 3" xfId="6927"/>
    <cellStyle name="Акцент6 4 4 4" xfId="6928"/>
    <cellStyle name="Акцент6 4 4 5" xfId="6929"/>
    <cellStyle name="Акцент6 4 5" xfId="6930"/>
    <cellStyle name="Акцент6 4 6" xfId="6931"/>
    <cellStyle name="Акцент6 4 7" xfId="6932"/>
    <cellStyle name="Акцент6 4 8" xfId="6933"/>
    <cellStyle name="Акцент6 5" xfId="6934"/>
    <cellStyle name="Акцент6 5 2" xfId="6935"/>
    <cellStyle name="Акцент6 5 2 2" xfId="6936"/>
    <cellStyle name="Акцент6 5 2 3" xfId="6937"/>
    <cellStyle name="Акцент6 5 3" xfId="6938"/>
    <cellStyle name="Акцент6 5 4" xfId="6939"/>
    <cellStyle name="Акцент6 5 4 2" xfId="6940"/>
    <cellStyle name="Акцент6 5 4 3" xfId="6941"/>
    <cellStyle name="Акцент6 5 4 4" xfId="6942"/>
    <cellStyle name="Акцент6 5 4 5" xfId="6943"/>
    <cellStyle name="Акцент6 5 5" xfId="6944"/>
    <cellStyle name="Акцент6 5 6" xfId="6945"/>
    <cellStyle name="Акцент6 5 7" xfId="6946"/>
    <cellStyle name="Акцент6 5 8" xfId="6947"/>
    <cellStyle name="Акцент6 6" xfId="6948"/>
    <cellStyle name="Акцент6 6 2" xfId="6949"/>
    <cellStyle name="Акцент6 6 2 2" xfId="6950"/>
    <cellStyle name="Акцент6 6 2 3" xfId="6951"/>
    <cellStyle name="Акцент6 6 3" xfId="6952"/>
    <cellStyle name="Акцент6 6 4" xfId="6953"/>
    <cellStyle name="Акцент6 6 4 2" xfId="6954"/>
    <cellStyle name="Акцент6 6 4 3" xfId="6955"/>
    <cellStyle name="Акцент6 6 4 4" xfId="6956"/>
    <cellStyle name="Акцент6 6 4 5" xfId="6957"/>
    <cellStyle name="Акцент6 6 5" xfId="6958"/>
    <cellStyle name="Акцент6 6 6" xfId="6959"/>
    <cellStyle name="Акцент6 6 7" xfId="6960"/>
    <cellStyle name="Акцент6 6 8" xfId="6961"/>
    <cellStyle name="Ввод  2" xfId="6962"/>
    <cellStyle name="Ввод  2 10" xfId="6963"/>
    <cellStyle name="Ввод  2 11" xfId="6964"/>
    <cellStyle name="Ввод  2 12" xfId="6965"/>
    <cellStyle name="Ввод  2 13" xfId="6966"/>
    <cellStyle name="Ввод  2 14" xfId="6967"/>
    <cellStyle name="Ввод  2 15" xfId="6968"/>
    <cellStyle name="Ввод  2 2" xfId="6969"/>
    <cellStyle name="Ввод  2 2 10" xfId="6970"/>
    <cellStyle name="Ввод  2 2 11" xfId="6971"/>
    <cellStyle name="Ввод  2 2 12" xfId="6972"/>
    <cellStyle name="Ввод  2 2 13" xfId="6973"/>
    <cellStyle name="Ввод  2 2 14" xfId="6974"/>
    <cellStyle name="Ввод  2 2 2" xfId="6975"/>
    <cellStyle name="Ввод  2 2 2 10" xfId="6976"/>
    <cellStyle name="Ввод  2 2 2 11" xfId="6977"/>
    <cellStyle name="Ввод  2 2 2 12" xfId="6978"/>
    <cellStyle name="Ввод  2 2 2 2" xfId="6979"/>
    <cellStyle name="Ввод  2 2 2 2 2" xfId="6980"/>
    <cellStyle name="Ввод  2 2 2 2 3" xfId="6981"/>
    <cellStyle name="Ввод  2 2 2 2 4" xfId="6982"/>
    <cellStyle name="Ввод  2 2 2 2 5" xfId="6983"/>
    <cellStyle name="Ввод  2 2 2 3" xfId="6984"/>
    <cellStyle name="Ввод  2 2 2 3 2" xfId="6985"/>
    <cellStyle name="Ввод  2 2 2 3 3" xfId="6986"/>
    <cellStyle name="Ввод  2 2 2 3 4" xfId="6987"/>
    <cellStyle name="Ввод  2 2 2 3 5" xfId="6988"/>
    <cellStyle name="Ввод  2 2 2 4" xfId="6989"/>
    <cellStyle name="Ввод  2 2 2 4 2" xfId="6990"/>
    <cellStyle name="Ввод  2 2 2 4 3" xfId="6991"/>
    <cellStyle name="Ввод  2 2 2 4 4" xfId="6992"/>
    <cellStyle name="Ввод  2 2 2 4 5" xfId="6993"/>
    <cellStyle name="Ввод  2 2 2 5" xfId="6994"/>
    <cellStyle name="Ввод  2 2 2 5 2" xfId="6995"/>
    <cellStyle name="Ввод  2 2 2 5 3" xfId="6996"/>
    <cellStyle name="Ввод  2 2 2 5 4" xfId="6997"/>
    <cellStyle name="Ввод  2 2 2 6" xfId="6998"/>
    <cellStyle name="Ввод  2 2 2 7" xfId="6999"/>
    <cellStyle name="Ввод  2 2 2 8" xfId="7000"/>
    <cellStyle name="Ввод  2 2 2 9" xfId="7001"/>
    <cellStyle name="Ввод  2 2 3" xfId="7002"/>
    <cellStyle name="Ввод  2 2 3 10" xfId="7003"/>
    <cellStyle name="Ввод  2 2 3 11" xfId="7004"/>
    <cellStyle name="Ввод  2 2 3 2" xfId="7005"/>
    <cellStyle name="Ввод  2 2 3 2 2" xfId="7006"/>
    <cellStyle name="Ввод  2 2 3 2 3" xfId="7007"/>
    <cellStyle name="Ввод  2 2 3 2 4" xfId="7008"/>
    <cellStyle name="Ввод  2 2 3 2 5" xfId="7009"/>
    <cellStyle name="Ввод  2 2 3 3" xfId="7010"/>
    <cellStyle name="Ввод  2 2 3 3 2" xfId="7011"/>
    <cellStyle name="Ввод  2 2 3 3 3" xfId="7012"/>
    <cellStyle name="Ввод  2 2 3 3 4" xfId="7013"/>
    <cellStyle name="Ввод  2 2 3 3 5" xfId="7014"/>
    <cellStyle name="Ввод  2 2 3 4" xfId="7015"/>
    <cellStyle name="Ввод  2 2 3 4 2" xfId="7016"/>
    <cellStyle name="Ввод  2 2 3 4 3" xfId="7017"/>
    <cellStyle name="Ввод  2 2 3 4 4" xfId="7018"/>
    <cellStyle name="Ввод  2 2 3 5" xfId="7019"/>
    <cellStyle name="Ввод  2 2 3 6" xfId="7020"/>
    <cellStyle name="Ввод  2 2 3 7" xfId="7021"/>
    <cellStyle name="Ввод  2 2 3 8" xfId="7022"/>
    <cellStyle name="Ввод  2 2 3 9" xfId="7023"/>
    <cellStyle name="Ввод  2 2 4" xfId="7024"/>
    <cellStyle name="Ввод  2 2 4 2" xfId="7025"/>
    <cellStyle name="Ввод  2 2 4 3" xfId="7026"/>
    <cellStyle name="Ввод  2 2 4 4" xfId="7027"/>
    <cellStyle name="Ввод  2 2 4 5" xfId="7028"/>
    <cellStyle name="Ввод  2 2 4 6" xfId="7029"/>
    <cellStyle name="Ввод  2 2 4 7" xfId="7030"/>
    <cellStyle name="Ввод  2 2 4 8" xfId="7031"/>
    <cellStyle name="Ввод  2 2 5" xfId="7032"/>
    <cellStyle name="Ввод  2 2 5 2" xfId="7033"/>
    <cellStyle name="Ввод  2 2 5 3" xfId="7034"/>
    <cellStyle name="Ввод  2 2 5 4" xfId="7035"/>
    <cellStyle name="Ввод  2 2 5 5" xfId="7036"/>
    <cellStyle name="Ввод  2 2 5 6" xfId="7037"/>
    <cellStyle name="Ввод  2 2 5 7" xfId="7038"/>
    <cellStyle name="Ввод  2 2 5 8" xfId="7039"/>
    <cellStyle name="Ввод  2 2 6" xfId="7040"/>
    <cellStyle name="Ввод  2 2 6 2" xfId="7041"/>
    <cellStyle name="Ввод  2 2 6 3" xfId="7042"/>
    <cellStyle name="Ввод  2 2 6 4" xfId="7043"/>
    <cellStyle name="Ввод  2 2 6 5" xfId="7044"/>
    <cellStyle name="Ввод  2 2 6 6" xfId="7045"/>
    <cellStyle name="Ввод  2 2 6 7" xfId="7046"/>
    <cellStyle name="Ввод  2 2 6 8" xfId="7047"/>
    <cellStyle name="Ввод  2 2 7" xfId="7048"/>
    <cellStyle name="Ввод  2 2 7 2" xfId="7049"/>
    <cellStyle name="Ввод  2 2 7 3" xfId="7050"/>
    <cellStyle name="Ввод  2 2 7 4" xfId="7051"/>
    <cellStyle name="Ввод  2 2 8" xfId="7052"/>
    <cellStyle name="Ввод  2 2 9" xfId="7053"/>
    <cellStyle name="Ввод  2 3" xfId="7054"/>
    <cellStyle name="Ввод  2 3 10" xfId="7055"/>
    <cellStyle name="Ввод  2 3 11" xfId="7056"/>
    <cellStyle name="Ввод  2 3 12" xfId="7057"/>
    <cellStyle name="Ввод  2 3 2" xfId="7058"/>
    <cellStyle name="Ввод  2 3 2 2" xfId="7059"/>
    <cellStyle name="Ввод  2 3 2 2 2" xfId="7060"/>
    <cellStyle name="Ввод  2 3 2 2 3" xfId="7061"/>
    <cellStyle name="Ввод  2 3 2 2 4" xfId="7062"/>
    <cellStyle name="Ввод  2 3 2 3" xfId="7063"/>
    <cellStyle name="Ввод  2 3 2 4" xfId="7064"/>
    <cellStyle name="Ввод  2 3 2 5" xfId="7065"/>
    <cellStyle name="Ввод  2 3 2 6" xfId="7066"/>
    <cellStyle name="Ввод  2 3 3" xfId="7067"/>
    <cellStyle name="Ввод  2 3 3 2" xfId="7068"/>
    <cellStyle name="Ввод  2 3 3 2 2" xfId="7069"/>
    <cellStyle name="Ввод  2 3 3 2 3" xfId="7070"/>
    <cellStyle name="Ввод  2 3 3 2 4" xfId="7071"/>
    <cellStyle name="Ввод  2 3 3 3" xfId="7072"/>
    <cellStyle name="Ввод  2 3 3 4" xfId="7073"/>
    <cellStyle name="Ввод  2 3 3 5" xfId="7074"/>
    <cellStyle name="Ввод  2 3 3 6" xfId="7075"/>
    <cellStyle name="Ввод  2 3 4" xfId="7076"/>
    <cellStyle name="Ввод  2 3 4 2" xfId="7077"/>
    <cellStyle name="Ввод  2 3 4 2 2" xfId="7078"/>
    <cellStyle name="Ввод  2 3 4 2 3" xfId="7079"/>
    <cellStyle name="Ввод  2 3 4 2 4" xfId="7080"/>
    <cellStyle name="Ввод  2 3 4 3" xfId="7081"/>
    <cellStyle name="Ввод  2 3 4 4" xfId="7082"/>
    <cellStyle name="Ввод  2 3 4 5" xfId="7083"/>
    <cellStyle name="Ввод  2 3 4 6" xfId="7084"/>
    <cellStyle name="Ввод  2 3 5" xfId="7085"/>
    <cellStyle name="Ввод  2 3 5 2" xfId="7086"/>
    <cellStyle name="Ввод  2 3 5 3" xfId="7087"/>
    <cellStyle name="Ввод  2 3 5 4" xfId="7088"/>
    <cellStyle name="Ввод  2 3 6" xfId="7089"/>
    <cellStyle name="Ввод  2 3 7" xfId="7090"/>
    <cellStyle name="Ввод  2 3 8" xfId="7091"/>
    <cellStyle name="Ввод  2 3 9" xfId="7092"/>
    <cellStyle name="Ввод  2 4" xfId="7093"/>
    <cellStyle name="Ввод  2 4 10" xfId="7094"/>
    <cellStyle name="Ввод  2 4 11" xfId="7095"/>
    <cellStyle name="Ввод  2 4 2" xfId="7096"/>
    <cellStyle name="Ввод  2 4 2 2" xfId="7097"/>
    <cellStyle name="Ввод  2 4 2 2 2" xfId="7098"/>
    <cellStyle name="Ввод  2 4 2 2 3" xfId="7099"/>
    <cellStyle name="Ввод  2 4 2 2 4" xfId="7100"/>
    <cellStyle name="Ввод  2 4 2 3" xfId="7101"/>
    <cellStyle name="Ввод  2 4 2 4" xfId="7102"/>
    <cellStyle name="Ввод  2 4 2 5" xfId="7103"/>
    <cellStyle name="Ввод  2 4 2 6" xfId="7104"/>
    <cellStyle name="Ввод  2 4 3" xfId="7105"/>
    <cellStyle name="Ввод  2 4 3 2" xfId="7106"/>
    <cellStyle name="Ввод  2 4 3 2 2" xfId="7107"/>
    <cellStyle name="Ввод  2 4 3 2 3" xfId="7108"/>
    <cellStyle name="Ввод  2 4 3 2 4" xfId="7109"/>
    <cellStyle name="Ввод  2 4 3 3" xfId="7110"/>
    <cellStyle name="Ввод  2 4 3 4" xfId="7111"/>
    <cellStyle name="Ввод  2 4 3 5" xfId="7112"/>
    <cellStyle name="Ввод  2 4 3 6" xfId="7113"/>
    <cellStyle name="Ввод  2 4 4" xfId="7114"/>
    <cellStyle name="Ввод  2 4 4 2" xfId="7115"/>
    <cellStyle name="Ввод  2 4 4 3" xfId="7116"/>
    <cellStyle name="Ввод  2 4 4 4" xfId="7117"/>
    <cellStyle name="Ввод  2 4 5" xfId="7118"/>
    <cellStyle name="Ввод  2 4 6" xfId="7119"/>
    <cellStyle name="Ввод  2 4 7" xfId="7120"/>
    <cellStyle name="Ввод  2 4 8" xfId="7121"/>
    <cellStyle name="Ввод  2 4 9" xfId="7122"/>
    <cellStyle name="Ввод  2 5" xfId="7123"/>
    <cellStyle name="Ввод  2 5 2" xfId="7124"/>
    <cellStyle name="Ввод  2 5 3" xfId="7125"/>
    <cellStyle name="Ввод  2 5 4" xfId="7126"/>
    <cellStyle name="Ввод  2 5 5" xfId="7127"/>
    <cellStyle name="Ввод  2 5 6" xfId="7128"/>
    <cellStyle name="Ввод  2 5 7" xfId="7129"/>
    <cellStyle name="Ввод  2 5 8" xfId="7130"/>
    <cellStyle name="Ввод  2 6" xfId="7131"/>
    <cellStyle name="Ввод  2 6 2" xfId="7132"/>
    <cellStyle name="Ввод  2 6 3" xfId="7133"/>
    <cellStyle name="Ввод  2 6 4" xfId="7134"/>
    <cellStyle name="Ввод  2 6 5" xfId="7135"/>
    <cellStyle name="Ввод  2 6 6" xfId="7136"/>
    <cellStyle name="Ввод  2 6 7" xfId="7137"/>
    <cellStyle name="Ввод  2 6 8" xfId="7138"/>
    <cellStyle name="Ввод  2 7" xfId="7139"/>
    <cellStyle name="Ввод  2 7 2" xfId="7140"/>
    <cellStyle name="Ввод  2 7 3" xfId="7141"/>
    <cellStyle name="Ввод  2 7 4" xfId="7142"/>
    <cellStyle name="Ввод  2 7 5" xfId="7143"/>
    <cellStyle name="Ввод  2 7 6" xfId="7144"/>
    <cellStyle name="Ввод  2 7 7" xfId="7145"/>
    <cellStyle name="Ввод  2 7 8" xfId="7146"/>
    <cellStyle name="Ввод  2 8" xfId="7147"/>
    <cellStyle name="Ввод  2 8 2" xfId="7148"/>
    <cellStyle name="Ввод  2 8 3" xfId="7149"/>
    <cellStyle name="Ввод  2 8 4" xfId="7150"/>
    <cellStyle name="Ввод  2 9" xfId="7151"/>
    <cellStyle name="Ввод  3" xfId="7152"/>
    <cellStyle name="Ввод  3 10" xfId="7153"/>
    <cellStyle name="Ввод  3 11" xfId="7154"/>
    <cellStyle name="Ввод  3 12" xfId="7155"/>
    <cellStyle name="Ввод  3 13" xfId="7156"/>
    <cellStyle name="Ввод  3 14" xfId="7157"/>
    <cellStyle name="Ввод  3 2" xfId="7158"/>
    <cellStyle name="Ввод  3 2 10" xfId="7159"/>
    <cellStyle name="Ввод  3 2 11" xfId="7160"/>
    <cellStyle name="Ввод  3 2 12" xfId="7161"/>
    <cellStyle name="Ввод  3 2 2" xfId="7162"/>
    <cellStyle name="Ввод  3 2 2 2" xfId="7163"/>
    <cellStyle name="Ввод  3 2 2 2 2" xfId="7164"/>
    <cellStyle name="Ввод  3 2 2 2 3" xfId="7165"/>
    <cellStyle name="Ввод  3 2 2 2 4" xfId="7166"/>
    <cellStyle name="Ввод  3 2 2 3" xfId="7167"/>
    <cellStyle name="Ввод  3 2 2 4" xfId="7168"/>
    <cellStyle name="Ввод  3 2 2 5" xfId="7169"/>
    <cellStyle name="Ввод  3 2 2 6" xfId="7170"/>
    <cellStyle name="Ввод  3 2 3" xfId="7171"/>
    <cellStyle name="Ввод  3 2 3 2" xfId="7172"/>
    <cellStyle name="Ввод  3 2 3 2 2" xfId="7173"/>
    <cellStyle name="Ввод  3 2 3 2 3" xfId="7174"/>
    <cellStyle name="Ввод  3 2 3 2 4" xfId="7175"/>
    <cellStyle name="Ввод  3 2 3 3" xfId="7176"/>
    <cellStyle name="Ввод  3 2 3 4" xfId="7177"/>
    <cellStyle name="Ввод  3 2 3 5" xfId="7178"/>
    <cellStyle name="Ввод  3 2 3 6" xfId="7179"/>
    <cellStyle name="Ввод  3 2 4" xfId="7180"/>
    <cellStyle name="Ввод  3 2 4 2" xfId="7181"/>
    <cellStyle name="Ввод  3 2 4 2 2" xfId="7182"/>
    <cellStyle name="Ввод  3 2 4 2 3" xfId="7183"/>
    <cellStyle name="Ввод  3 2 4 2 4" xfId="7184"/>
    <cellStyle name="Ввод  3 2 4 3" xfId="7185"/>
    <cellStyle name="Ввод  3 2 4 4" xfId="7186"/>
    <cellStyle name="Ввод  3 2 4 5" xfId="7187"/>
    <cellStyle name="Ввод  3 2 4 6" xfId="7188"/>
    <cellStyle name="Ввод  3 2 5" xfId="7189"/>
    <cellStyle name="Ввод  3 2 5 2" xfId="7190"/>
    <cellStyle name="Ввод  3 2 5 3" xfId="7191"/>
    <cellStyle name="Ввод  3 2 5 4" xfId="7192"/>
    <cellStyle name="Ввод  3 2 6" xfId="7193"/>
    <cellStyle name="Ввод  3 2 7" xfId="7194"/>
    <cellStyle name="Ввод  3 2 8" xfId="7195"/>
    <cellStyle name="Ввод  3 2 9" xfId="7196"/>
    <cellStyle name="Ввод  3 3" xfId="7197"/>
    <cellStyle name="Ввод  3 3 10" xfId="7198"/>
    <cellStyle name="Ввод  3 3 11" xfId="7199"/>
    <cellStyle name="Ввод  3 3 2" xfId="7200"/>
    <cellStyle name="Ввод  3 3 2 2" xfId="7201"/>
    <cellStyle name="Ввод  3 3 2 2 2" xfId="7202"/>
    <cellStyle name="Ввод  3 3 2 2 3" xfId="7203"/>
    <cellStyle name="Ввод  3 3 2 2 4" xfId="7204"/>
    <cellStyle name="Ввод  3 3 2 3" xfId="7205"/>
    <cellStyle name="Ввод  3 3 2 4" xfId="7206"/>
    <cellStyle name="Ввод  3 3 2 5" xfId="7207"/>
    <cellStyle name="Ввод  3 3 2 6" xfId="7208"/>
    <cellStyle name="Ввод  3 3 3" xfId="7209"/>
    <cellStyle name="Ввод  3 3 3 2" xfId="7210"/>
    <cellStyle name="Ввод  3 3 3 2 2" xfId="7211"/>
    <cellStyle name="Ввод  3 3 3 2 3" xfId="7212"/>
    <cellStyle name="Ввод  3 3 3 2 4" xfId="7213"/>
    <cellStyle name="Ввод  3 3 3 3" xfId="7214"/>
    <cellStyle name="Ввод  3 3 3 4" xfId="7215"/>
    <cellStyle name="Ввод  3 3 3 5" xfId="7216"/>
    <cellStyle name="Ввод  3 3 3 6" xfId="7217"/>
    <cellStyle name="Ввод  3 3 4" xfId="7218"/>
    <cellStyle name="Ввод  3 3 4 2" xfId="7219"/>
    <cellStyle name="Ввод  3 3 4 3" xfId="7220"/>
    <cellStyle name="Ввод  3 3 4 4" xfId="7221"/>
    <cellStyle name="Ввод  3 3 5" xfId="7222"/>
    <cellStyle name="Ввод  3 3 6" xfId="7223"/>
    <cellStyle name="Ввод  3 3 7" xfId="7224"/>
    <cellStyle name="Ввод  3 3 8" xfId="7225"/>
    <cellStyle name="Ввод  3 3 9" xfId="7226"/>
    <cellStyle name="Ввод  3 4" xfId="7227"/>
    <cellStyle name="Ввод  3 4 2" xfId="7228"/>
    <cellStyle name="Ввод  3 4 3" xfId="7229"/>
    <cellStyle name="Ввод  3 4 4" xfId="7230"/>
    <cellStyle name="Ввод  3 4 5" xfId="7231"/>
    <cellStyle name="Ввод  3 4 6" xfId="7232"/>
    <cellStyle name="Ввод  3 4 7" xfId="7233"/>
    <cellStyle name="Ввод  3 4 8" xfId="7234"/>
    <cellStyle name="Ввод  3 5" xfId="7235"/>
    <cellStyle name="Ввод  3 5 2" xfId="7236"/>
    <cellStyle name="Ввод  3 5 3" xfId="7237"/>
    <cellStyle name="Ввод  3 5 4" xfId="7238"/>
    <cellStyle name="Ввод  3 5 5" xfId="7239"/>
    <cellStyle name="Ввод  3 5 6" xfId="7240"/>
    <cellStyle name="Ввод  3 5 7" xfId="7241"/>
    <cellStyle name="Ввод  3 5 8" xfId="7242"/>
    <cellStyle name="Ввод  3 6" xfId="7243"/>
    <cellStyle name="Ввод  3 6 2" xfId="7244"/>
    <cellStyle name="Ввод  3 6 3" xfId="7245"/>
    <cellStyle name="Ввод  3 6 4" xfId="7246"/>
    <cellStyle name="Ввод  3 6 5" xfId="7247"/>
    <cellStyle name="Ввод  3 6 6" xfId="7248"/>
    <cellStyle name="Ввод  3 6 7" xfId="7249"/>
    <cellStyle name="Ввод  3 6 8" xfId="7250"/>
    <cellStyle name="Ввод  3 7" xfId="7251"/>
    <cellStyle name="Ввод  3 7 2" xfId="7252"/>
    <cellStyle name="Ввод  3 7 3" xfId="7253"/>
    <cellStyle name="Ввод  3 7 4" xfId="7254"/>
    <cellStyle name="Ввод  3 8" xfId="7255"/>
    <cellStyle name="Ввод  3 9" xfId="7256"/>
    <cellStyle name="Ввод  4" xfId="7257"/>
    <cellStyle name="Ввод  4 10" xfId="7258"/>
    <cellStyle name="Ввод  4 11" xfId="7259"/>
    <cellStyle name="Ввод  4 12" xfId="7260"/>
    <cellStyle name="Ввод  4 13" xfId="7261"/>
    <cellStyle name="Ввод  4 14" xfId="7262"/>
    <cellStyle name="Ввод  4 2" xfId="7263"/>
    <cellStyle name="Ввод  4 2 10" xfId="7264"/>
    <cellStyle name="Ввод  4 2 11" xfId="7265"/>
    <cellStyle name="Ввод  4 2 12" xfId="7266"/>
    <cellStyle name="Ввод  4 2 2" xfId="7267"/>
    <cellStyle name="Ввод  4 2 2 2" xfId="7268"/>
    <cellStyle name="Ввод  4 2 2 2 2" xfId="7269"/>
    <cellStyle name="Ввод  4 2 2 2 3" xfId="7270"/>
    <cellStyle name="Ввод  4 2 2 2 4" xfId="7271"/>
    <cellStyle name="Ввод  4 2 2 3" xfId="7272"/>
    <cellStyle name="Ввод  4 2 2 4" xfId="7273"/>
    <cellStyle name="Ввод  4 2 2 5" xfId="7274"/>
    <cellStyle name="Ввод  4 2 2 6" xfId="7275"/>
    <cellStyle name="Ввод  4 2 3" xfId="7276"/>
    <cellStyle name="Ввод  4 2 3 2" xfId="7277"/>
    <cellStyle name="Ввод  4 2 3 2 2" xfId="7278"/>
    <cellStyle name="Ввод  4 2 3 2 3" xfId="7279"/>
    <cellStyle name="Ввод  4 2 3 2 4" xfId="7280"/>
    <cellStyle name="Ввод  4 2 3 3" xfId="7281"/>
    <cellStyle name="Ввод  4 2 3 4" xfId="7282"/>
    <cellStyle name="Ввод  4 2 3 5" xfId="7283"/>
    <cellStyle name="Ввод  4 2 3 6" xfId="7284"/>
    <cellStyle name="Ввод  4 2 4" xfId="7285"/>
    <cellStyle name="Ввод  4 2 4 2" xfId="7286"/>
    <cellStyle name="Ввод  4 2 4 2 2" xfId="7287"/>
    <cellStyle name="Ввод  4 2 4 2 3" xfId="7288"/>
    <cellStyle name="Ввод  4 2 4 2 4" xfId="7289"/>
    <cellStyle name="Ввод  4 2 4 3" xfId="7290"/>
    <cellStyle name="Ввод  4 2 4 4" xfId="7291"/>
    <cellStyle name="Ввод  4 2 4 5" xfId="7292"/>
    <cellStyle name="Ввод  4 2 4 6" xfId="7293"/>
    <cellStyle name="Ввод  4 2 5" xfId="7294"/>
    <cellStyle name="Ввод  4 2 5 2" xfId="7295"/>
    <cellStyle name="Ввод  4 2 5 3" xfId="7296"/>
    <cellStyle name="Ввод  4 2 5 4" xfId="7297"/>
    <cellStyle name="Ввод  4 2 6" xfId="7298"/>
    <cellStyle name="Ввод  4 2 7" xfId="7299"/>
    <cellStyle name="Ввод  4 2 8" xfId="7300"/>
    <cellStyle name="Ввод  4 2 9" xfId="7301"/>
    <cellStyle name="Ввод  4 3" xfId="7302"/>
    <cellStyle name="Ввод  4 3 10" xfId="7303"/>
    <cellStyle name="Ввод  4 3 11" xfId="7304"/>
    <cellStyle name="Ввод  4 3 2" xfId="7305"/>
    <cellStyle name="Ввод  4 3 2 2" xfId="7306"/>
    <cellStyle name="Ввод  4 3 2 2 2" xfId="7307"/>
    <cellStyle name="Ввод  4 3 2 2 3" xfId="7308"/>
    <cellStyle name="Ввод  4 3 2 2 4" xfId="7309"/>
    <cellStyle name="Ввод  4 3 2 3" xfId="7310"/>
    <cellStyle name="Ввод  4 3 2 4" xfId="7311"/>
    <cellStyle name="Ввод  4 3 2 5" xfId="7312"/>
    <cellStyle name="Ввод  4 3 2 6" xfId="7313"/>
    <cellStyle name="Ввод  4 3 3" xfId="7314"/>
    <cellStyle name="Ввод  4 3 3 2" xfId="7315"/>
    <cellStyle name="Ввод  4 3 3 2 2" xfId="7316"/>
    <cellStyle name="Ввод  4 3 3 2 3" xfId="7317"/>
    <cellStyle name="Ввод  4 3 3 2 4" xfId="7318"/>
    <cellStyle name="Ввод  4 3 3 3" xfId="7319"/>
    <cellStyle name="Ввод  4 3 3 4" xfId="7320"/>
    <cellStyle name="Ввод  4 3 3 5" xfId="7321"/>
    <cellStyle name="Ввод  4 3 3 6" xfId="7322"/>
    <cellStyle name="Ввод  4 3 4" xfId="7323"/>
    <cellStyle name="Ввод  4 3 4 2" xfId="7324"/>
    <cellStyle name="Ввод  4 3 4 3" xfId="7325"/>
    <cellStyle name="Ввод  4 3 4 4" xfId="7326"/>
    <cellStyle name="Ввод  4 3 5" xfId="7327"/>
    <cellStyle name="Ввод  4 3 6" xfId="7328"/>
    <cellStyle name="Ввод  4 3 7" xfId="7329"/>
    <cellStyle name="Ввод  4 3 8" xfId="7330"/>
    <cellStyle name="Ввод  4 3 9" xfId="7331"/>
    <cellStyle name="Ввод  4 4" xfId="7332"/>
    <cellStyle name="Ввод  4 4 2" xfId="7333"/>
    <cellStyle name="Ввод  4 4 3" xfId="7334"/>
    <cellStyle name="Ввод  4 4 4" xfId="7335"/>
    <cellStyle name="Ввод  4 4 5" xfId="7336"/>
    <cellStyle name="Ввод  4 4 6" xfId="7337"/>
    <cellStyle name="Ввод  4 4 7" xfId="7338"/>
    <cellStyle name="Ввод  4 4 8" xfId="7339"/>
    <cellStyle name="Ввод  4 5" xfId="7340"/>
    <cellStyle name="Ввод  4 5 2" xfId="7341"/>
    <cellStyle name="Ввод  4 5 3" xfId="7342"/>
    <cellStyle name="Ввод  4 5 4" xfId="7343"/>
    <cellStyle name="Ввод  4 5 5" xfId="7344"/>
    <cellStyle name="Ввод  4 5 6" xfId="7345"/>
    <cellStyle name="Ввод  4 5 7" xfId="7346"/>
    <cellStyle name="Ввод  4 5 8" xfId="7347"/>
    <cellStyle name="Ввод  4 6" xfId="7348"/>
    <cellStyle name="Ввод  4 6 2" xfId="7349"/>
    <cellStyle name="Ввод  4 6 3" xfId="7350"/>
    <cellStyle name="Ввод  4 6 4" xfId="7351"/>
    <cellStyle name="Ввод  4 6 5" xfId="7352"/>
    <cellStyle name="Ввод  4 6 6" xfId="7353"/>
    <cellStyle name="Ввод  4 6 7" xfId="7354"/>
    <cellStyle name="Ввод  4 6 8" xfId="7355"/>
    <cellStyle name="Ввод  4 7" xfId="7356"/>
    <cellStyle name="Ввод  4 7 2" xfId="7357"/>
    <cellStyle name="Ввод  4 7 3" xfId="7358"/>
    <cellStyle name="Ввод  4 7 4" xfId="7359"/>
    <cellStyle name="Ввод  4 8" xfId="7360"/>
    <cellStyle name="Ввод  4 9" xfId="7361"/>
    <cellStyle name="Ввод  5" xfId="7362"/>
    <cellStyle name="Ввод  5 10" xfId="7363"/>
    <cellStyle name="Ввод  5 11" xfId="7364"/>
    <cellStyle name="Ввод  5 12" xfId="7365"/>
    <cellStyle name="Ввод  5 13" xfId="7366"/>
    <cellStyle name="Ввод  5 14" xfId="7367"/>
    <cellStyle name="Ввод  5 2" xfId="7368"/>
    <cellStyle name="Ввод  5 2 10" xfId="7369"/>
    <cellStyle name="Ввод  5 2 11" xfId="7370"/>
    <cellStyle name="Ввод  5 2 12" xfId="7371"/>
    <cellStyle name="Ввод  5 2 2" xfId="7372"/>
    <cellStyle name="Ввод  5 2 2 2" xfId="7373"/>
    <cellStyle name="Ввод  5 2 2 2 2" xfId="7374"/>
    <cellStyle name="Ввод  5 2 2 2 3" xfId="7375"/>
    <cellStyle name="Ввод  5 2 2 2 4" xfId="7376"/>
    <cellStyle name="Ввод  5 2 2 3" xfId="7377"/>
    <cellStyle name="Ввод  5 2 2 4" xfId="7378"/>
    <cellStyle name="Ввод  5 2 2 5" xfId="7379"/>
    <cellStyle name="Ввод  5 2 2 6" xfId="7380"/>
    <cellStyle name="Ввод  5 2 3" xfId="7381"/>
    <cellStyle name="Ввод  5 2 3 2" xfId="7382"/>
    <cellStyle name="Ввод  5 2 3 2 2" xfId="7383"/>
    <cellStyle name="Ввод  5 2 3 2 3" xfId="7384"/>
    <cellStyle name="Ввод  5 2 3 2 4" xfId="7385"/>
    <cellStyle name="Ввод  5 2 3 3" xfId="7386"/>
    <cellStyle name="Ввод  5 2 3 4" xfId="7387"/>
    <cellStyle name="Ввод  5 2 3 5" xfId="7388"/>
    <cellStyle name="Ввод  5 2 3 6" xfId="7389"/>
    <cellStyle name="Ввод  5 2 4" xfId="7390"/>
    <cellStyle name="Ввод  5 2 4 2" xfId="7391"/>
    <cellStyle name="Ввод  5 2 4 2 2" xfId="7392"/>
    <cellStyle name="Ввод  5 2 4 2 3" xfId="7393"/>
    <cellStyle name="Ввод  5 2 4 2 4" xfId="7394"/>
    <cellStyle name="Ввод  5 2 4 3" xfId="7395"/>
    <cellStyle name="Ввод  5 2 4 4" xfId="7396"/>
    <cellStyle name="Ввод  5 2 4 5" xfId="7397"/>
    <cellStyle name="Ввод  5 2 4 6" xfId="7398"/>
    <cellStyle name="Ввод  5 2 5" xfId="7399"/>
    <cellStyle name="Ввод  5 2 5 2" xfId="7400"/>
    <cellStyle name="Ввод  5 2 5 3" xfId="7401"/>
    <cellStyle name="Ввод  5 2 5 4" xfId="7402"/>
    <cellStyle name="Ввод  5 2 6" xfId="7403"/>
    <cellStyle name="Ввод  5 2 7" xfId="7404"/>
    <cellStyle name="Ввод  5 2 8" xfId="7405"/>
    <cellStyle name="Ввод  5 2 9" xfId="7406"/>
    <cellStyle name="Ввод  5 3" xfId="7407"/>
    <cellStyle name="Ввод  5 3 10" xfId="7408"/>
    <cellStyle name="Ввод  5 3 11" xfId="7409"/>
    <cellStyle name="Ввод  5 3 2" xfId="7410"/>
    <cellStyle name="Ввод  5 3 2 2" xfId="7411"/>
    <cellStyle name="Ввод  5 3 2 2 2" xfId="7412"/>
    <cellStyle name="Ввод  5 3 2 2 3" xfId="7413"/>
    <cellStyle name="Ввод  5 3 2 2 4" xfId="7414"/>
    <cellStyle name="Ввод  5 3 2 3" xfId="7415"/>
    <cellStyle name="Ввод  5 3 2 4" xfId="7416"/>
    <cellStyle name="Ввод  5 3 2 5" xfId="7417"/>
    <cellStyle name="Ввод  5 3 2 6" xfId="7418"/>
    <cellStyle name="Ввод  5 3 3" xfId="7419"/>
    <cellStyle name="Ввод  5 3 3 2" xfId="7420"/>
    <cellStyle name="Ввод  5 3 3 2 2" xfId="7421"/>
    <cellStyle name="Ввод  5 3 3 2 3" xfId="7422"/>
    <cellStyle name="Ввод  5 3 3 2 4" xfId="7423"/>
    <cellStyle name="Ввод  5 3 3 3" xfId="7424"/>
    <cellStyle name="Ввод  5 3 3 4" xfId="7425"/>
    <cellStyle name="Ввод  5 3 3 5" xfId="7426"/>
    <cellStyle name="Ввод  5 3 3 6" xfId="7427"/>
    <cellStyle name="Ввод  5 3 4" xfId="7428"/>
    <cellStyle name="Ввод  5 3 4 2" xfId="7429"/>
    <cellStyle name="Ввод  5 3 4 3" xfId="7430"/>
    <cellStyle name="Ввод  5 3 4 4" xfId="7431"/>
    <cellStyle name="Ввод  5 3 5" xfId="7432"/>
    <cellStyle name="Ввод  5 3 6" xfId="7433"/>
    <cellStyle name="Ввод  5 3 7" xfId="7434"/>
    <cellStyle name="Ввод  5 3 8" xfId="7435"/>
    <cellStyle name="Ввод  5 3 9" xfId="7436"/>
    <cellStyle name="Ввод  5 4" xfId="7437"/>
    <cellStyle name="Ввод  5 4 2" xfId="7438"/>
    <cellStyle name="Ввод  5 4 3" xfId="7439"/>
    <cellStyle name="Ввод  5 4 4" xfId="7440"/>
    <cellStyle name="Ввод  5 4 5" xfId="7441"/>
    <cellStyle name="Ввод  5 4 6" xfId="7442"/>
    <cellStyle name="Ввод  5 4 7" xfId="7443"/>
    <cellStyle name="Ввод  5 4 8" xfId="7444"/>
    <cellStyle name="Ввод  5 5" xfId="7445"/>
    <cellStyle name="Ввод  5 5 2" xfId="7446"/>
    <cellStyle name="Ввод  5 5 3" xfId="7447"/>
    <cellStyle name="Ввод  5 5 4" xfId="7448"/>
    <cellStyle name="Ввод  5 5 5" xfId="7449"/>
    <cellStyle name="Ввод  5 5 6" xfId="7450"/>
    <cellStyle name="Ввод  5 5 7" xfId="7451"/>
    <cellStyle name="Ввод  5 5 8" xfId="7452"/>
    <cellStyle name="Ввод  5 6" xfId="7453"/>
    <cellStyle name="Ввод  5 6 2" xfId="7454"/>
    <cellStyle name="Ввод  5 6 3" xfId="7455"/>
    <cellStyle name="Ввод  5 6 4" xfId="7456"/>
    <cellStyle name="Ввод  5 6 5" xfId="7457"/>
    <cellStyle name="Ввод  5 6 6" xfId="7458"/>
    <cellStyle name="Ввод  5 6 7" xfId="7459"/>
    <cellStyle name="Ввод  5 6 8" xfId="7460"/>
    <cellStyle name="Ввод  5 7" xfId="7461"/>
    <cellStyle name="Ввод  5 7 2" xfId="7462"/>
    <cellStyle name="Ввод  5 7 3" xfId="7463"/>
    <cellStyle name="Ввод  5 7 4" xfId="7464"/>
    <cellStyle name="Ввод  5 8" xfId="7465"/>
    <cellStyle name="Ввод  5 9" xfId="7466"/>
    <cellStyle name="Ввод  6" xfId="7467"/>
    <cellStyle name="Ввод  6 10" xfId="7468"/>
    <cellStyle name="Ввод  6 11" xfId="7469"/>
    <cellStyle name="Ввод  6 12" xfId="7470"/>
    <cellStyle name="Ввод  6 13" xfId="7471"/>
    <cellStyle name="Ввод  6 14" xfId="7472"/>
    <cellStyle name="Ввод  6 2" xfId="7473"/>
    <cellStyle name="Ввод  6 2 10" xfId="7474"/>
    <cellStyle name="Ввод  6 2 11" xfId="7475"/>
    <cellStyle name="Ввод  6 2 12" xfId="7476"/>
    <cellStyle name="Ввод  6 2 2" xfId="7477"/>
    <cellStyle name="Ввод  6 2 2 2" xfId="7478"/>
    <cellStyle name="Ввод  6 2 2 2 2" xfId="7479"/>
    <cellStyle name="Ввод  6 2 2 2 3" xfId="7480"/>
    <cellStyle name="Ввод  6 2 2 2 4" xfId="7481"/>
    <cellStyle name="Ввод  6 2 2 3" xfId="7482"/>
    <cellStyle name="Ввод  6 2 2 4" xfId="7483"/>
    <cellStyle name="Ввод  6 2 2 5" xfId="7484"/>
    <cellStyle name="Ввод  6 2 2 6" xfId="7485"/>
    <cellStyle name="Ввод  6 2 3" xfId="7486"/>
    <cellStyle name="Ввод  6 2 3 2" xfId="7487"/>
    <cellStyle name="Ввод  6 2 3 2 2" xfId="7488"/>
    <cellStyle name="Ввод  6 2 3 2 3" xfId="7489"/>
    <cellStyle name="Ввод  6 2 3 2 4" xfId="7490"/>
    <cellStyle name="Ввод  6 2 3 3" xfId="7491"/>
    <cellStyle name="Ввод  6 2 3 4" xfId="7492"/>
    <cellStyle name="Ввод  6 2 3 5" xfId="7493"/>
    <cellStyle name="Ввод  6 2 3 6" xfId="7494"/>
    <cellStyle name="Ввод  6 2 4" xfId="7495"/>
    <cellStyle name="Ввод  6 2 4 2" xfId="7496"/>
    <cellStyle name="Ввод  6 2 4 2 2" xfId="7497"/>
    <cellStyle name="Ввод  6 2 4 2 3" xfId="7498"/>
    <cellStyle name="Ввод  6 2 4 2 4" xfId="7499"/>
    <cellStyle name="Ввод  6 2 4 3" xfId="7500"/>
    <cellStyle name="Ввод  6 2 4 4" xfId="7501"/>
    <cellStyle name="Ввод  6 2 4 5" xfId="7502"/>
    <cellStyle name="Ввод  6 2 4 6" xfId="7503"/>
    <cellStyle name="Ввод  6 2 5" xfId="7504"/>
    <cellStyle name="Ввод  6 2 5 2" xfId="7505"/>
    <cellStyle name="Ввод  6 2 5 3" xfId="7506"/>
    <cellStyle name="Ввод  6 2 5 4" xfId="7507"/>
    <cellStyle name="Ввод  6 2 6" xfId="7508"/>
    <cellStyle name="Ввод  6 2 7" xfId="7509"/>
    <cellStyle name="Ввод  6 2 8" xfId="7510"/>
    <cellStyle name="Ввод  6 2 9" xfId="7511"/>
    <cellStyle name="Ввод  6 3" xfId="7512"/>
    <cellStyle name="Ввод  6 3 10" xfId="7513"/>
    <cellStyle name="Ввод  6 3 11" xfId="7514"/>
    <cellStyle name="Ввод  6 3 2" xfId="7515"/>
    <cellStyle name="Ввод  6 3 2 2" xfId="7516"/>
    <cellStyle name="Ввод  6 3 2 2 2" xfId="7517"/>
    <cellStyle name="Ввод  6 3 2 2 3" xfId="7518"/>
    <cellStyle name="Ввод  6 3 2 2 4" xfId="7519"/>
    <cellStyle name="Ввод  6 3 2 3" xfId="7520"/>
    <cellStyle name="Ввод  6 3 2 4" xfId="7521"/>
    <cellStyle name="Ввод  6 3 2 5" xfId="7522"/>
    <cellStyle name="Ввод  6 3 2 6" xfId="7523"/>
    <cellStyle name="Ввод  6 3 3" xfId="7524"/>
    <cellStyle name="Ввод  6 3 3 2" xfId="7525"/>
    <cellStyle name="Ввод  6 3 3 2 2" xfId="7526"/>
    <cellStyle name="Ввод  6 3 3 2 3" xfId="7527"/>
    <cellStyle name="Ввод  6 3 3 2 4" xfId="7528"/>
    <cellStyle name="Ввод  6 3 3 3" xfId="7529"/>
    <cellStyle name="Ввод  6 3 3 4" xfId="7530"/>
    <cellStyle name="Ввод  6 3 3 5" xfId="7531"/>
    <cellStyle name="Ввод  6 3 3 6" xfId="7532"/>
    <cellStyle name="Ввод  6 3 4" xfId="7533"/>
    <cellStyle name="Ввод  6 3 4 2" xfId="7534"/>
    <cellStyle name="Ввод  6 3 4 3" xfId="7535"/>
    <cellStyle name="Ввод  6 3 4 4" xfId="7536"/>
    <cellStyle name="Ввод  6 3 5" xfId="7537"/>
    <cellStyle name="Ввод  6 3 6" xfId="7538"/>
    <cellStyle name="Ввод  6 3 7" xfId="7539"/>
    <cellStyle name="Ввод  6 3 8" xfId="7540"/>
    <cellStyle name="Ввод  6 3 9" xfId="7541"/>
    <cellStyle name="Ввод  6 4" xfId="7542"/>
    <cellStyle name="Ввод  6 4 2" xfId="7543"/>
    <cellStyle name="Ввод  6 4 3" xfId="7544"/>
    <cellStyle name="Ввод  6 4 4" xfId="7545"/>
    <cellStyle name="Ввод  6 4 5" xfId="7546"/>
    <cellStyle name="Ввод  6 4 6" xfId="7547"/>
    <cellStyle name="Ввод  6 4 7" xfId="7548"/>
    <cellStyle name="Ввод  6 4 8" xfId="7549"/>
    <cellStyle name="Ввод  6 5" xfId="7550"/>
    <cellStyle name="Ввод  6 5 2" xfId="7551"/>
    <cellStyle name="Ввод  6 5 3" xfId="7552"/>
    <cellStyle name="Ввод  6 5 4" xfId="7553"/>
    <cellStyle name="Ввод  6 5 5" xfId="7554"/>
    <cellStyle name="Ввод  6 5 6" xfId="7555"/>
    <cellStyle name="Ввод  6 5 7" xfId="7556"/>
    <cellStyle name="Ввод  6 5 8" xfId="7557"/>
    <cellStyle name="Ввод  6 6" xfId="7558"/>
    <cellStyle name="Ввод  6 6 2" xfId="7559"/>
    <cellStyle name="Ввод  6 6 3" xfId="7560"/>
    <cellStyle name="Ввод  6 6 4" xfId="7561"/>
    <cellStyle name="Ввод  6 6 5" xfId="7562"/>
    <cellStyle name="Ввод  6 6 6" xfId="7563"/>
    <cellStyle name="Ввод  6 6 7" xfId="7564"/>
    <cellStyle name="Ввод  6 6 8" xfId="7565"/>
    <cellStyle name="Ввод  6 7" xfId="7566"/>
    <cellStyle name="Ввод  6 7 2" xfId="7567"/>
    <cellStyle name="Ввод  6 7 3" xfId="7568"/>
    <cellStyle name="Ввод  6 7 4" xfId="7569"/>
    <cellStyle name="Ввод  6 8" xfId="7570"/>
    <cellStyle name="Ввод  6 9" xfId="7571"/>
    <cellStyle name="Вывод 2" xfId="7572"/>
    <cellStyle name="Вывод 2 10" xfId="7573"/>
    <cellStyle name="Вывод 2 11" xfId="7574"/>
    <cellStyle name="Вывод 2 12" xfId="7575"/>
    <cellStyle name="Вывод 2 13" xfId="7576"/>
    <cellStyle name="Вывод 2 14" xfId="7577"/>
    <cellStyle name="Вывод 2 15" xfId="7578"/>
    <cellStyle name="Вывод 2 2" xfId="7579"/>
    <cellStyle name="Вывод 2 2 10" xfId="7580"/>
    <cellStyle name="Вывод 2 2 11" xfId="7581"/>
    <cellStyle name="Вывод 2 2 12" xfId="7582"/>
    <cellStyle name="Вывод 2 2 13" xfId="7583"/>
    <cellStyle name="Вывод 2 2 14" xfId="7584"/>
    <cellStyle name="Вывод 2 2 2" xfId="7585"/>
    <cellStyle name="Вывод 2 2 2 10" xfId="7586"/>
    <cellStyle name="Вывод 2 2 2 11" xfId="7587"/>
    <cellStyle name="Вывод 2 2 2 12" xfId="7588"/>
    <cellStyle name="Вывод 2 2 2 2" xfId="7589"/>
    <cellStyle name="Вывод 2 2 2 2 2" xfId="7590"/>
    <cellStyle name="Вывод 2 2 2 2 3" xfId="7591"/>
    <cellStyle name="Вывод 2 2 2 2 4" xfId="7592"/>
    <cellStyle name="Вывод 2 2 2 2 5" xfId="7593"/>
    <cellStyle name="Вывод 2 2 2 3" xfId="7594"/>
    <cellStyle name="Вывод 2 2 2 3 2" xfId="7595"/>
    <cellStyle name="Вывод 2 2 2 3 3" xfId="7596"/>
    <cellStyle name="Вывод 2 2 2 3 4" xfId="7597"/>
    <cellStyle name="Вывод 2 2 2 3 5" xfId="7598"/>
    <cellStyle name="Вывод 2 2 2 4" xfId="7599"/>
    <cellStyle name="Вывод 2 2 2 4 2" xfId="7600"/>
    <cellStyle name="Вывод 2 2 2 4 3" xfId="7601"/>
    <cellStyle name="Вывод 2 2 2 4 4" xfId="7602"/>
    <cellStyle name="Вывод 2 2 2 4 5" xfId="7603"/>
    <cellStyle name="Вывод 2 2 2 5" xfId="7604"/>
    <cellStyle name="Вывод 2 2 2 5 2" xfId="7605"/>
    <cellStyle name="Вывод 2 2 2 5 3" xfId="7606"/>
    <cellStyle name="Вывод 2 2 2 5 4" xfId="7607"/>
    <cellStyle name="Вывод 2 2 2 6" xfId="7608"/>
    <cellStyle name="Вывод 2 2 2 7" xfId="7609"/>
    <cellStyle name="Вывод 2 2 2 8" xfId="7610"/>
    <cellStyle name="Вывод 2 2 2 9" xfId="7611"/>
    <cellStyle name="Вывод 2 2 3" xfId="7612"/>
    <cellStyle name="Вывод 2 2 3 10" xfId="7613"/>
    <cellStyle name="Вывод 2 2 3 11" xfId="7614"/>
    <cellStyle name="Вывод 2 2 3 2" xfId="7615"/>
    <cellStyle name="Вывод 2 2 3 2 2" xfId="7616"/>
    <cellStyle name="Вывод 2 2 3 2 3" xfId="7617"/>
    <cellStyle name="Вывод 2 2 3 2 4" xfId="7618"/>
    <cellStyle name="Вывод 2 2 3 2 5" xfId="7619"/>
    <cellStyle name="Вывод 2 2 3 3" xfId="7620"/>
    <cellStyle name="Вывод 2 2 3 3 2" xfId="7621"/>
    <cellStyle name="Вывод 2 2 3 3 3" xfId="7622"/>
    <cellStyle name="Вывод 2 2 3 3 4" xfId="7623"/>
    <cellStyle name="Вывод 2 2 3 3 5" xfId="7624"/>
    <cellStyle name="Вывод 2 2 3 4" xfId="7625"/>
    <cellStyle name="Вывод 2 2 3 4 2" xfId="7626"/>
    <cellStyle name="Вывод 2 2 3 4 3" xfId="7627"/>
    <cellStyle name="Вывод 2 2 3 4 4" xfId="7628"/>
    <cellStyle name="Вывод 2 2 3 5" xfId="7629"/>
    <cellStyle name="Вывод 2 2 3 6" xfId="7630"/>
    <cellStyle name="Вывод 2 2 3 7" xfId="7631"/>
    <cellStyle name="Вывод 2 2 3 8" xfId="7632"/>
    <cellStyle name="Вывод 2 2 3 9" xfId="7633"/>
    <cellStyle name="Вывод 2 2 4" xfId="7634"/>
    <cellStyle name="Вывод 2 2 4 2" xfId="7635"/>
    <cellStyle name="Вывод 2 2 4 3" xfId="7636"/>
    <cellStyle name="Вывод 2 2 4 4" xfId="7637"/>
    <cellStyle name="Вывод 2 2 4 5" xfId="7638"/>
    <cellStyle name="Вывод 2 2 4 6" xfId="7639"/>
    <cellStyle name="Вывод 2 2 4 7" xfId="7640"/>
    <cellStyle name="Вывод 2 2 4 8" xfId="7641"/>
    <cellStyle name="Вывод 2 2 5" xfId="7642"/>
    <cellStyle name="Вывод 2 2 5 2" xfId="7643"/>
    <cellStyle name="Вывод 2 2 5 3" xfId="7644"/>
    <cellStyle name="Вывод 2 2 5 4" xfId="7645"/>
    <cellStyle name="Вывод 2 2 5 5" xfId="7646"/>
    <cellStyle name="Вывод 2 2 5 6" xfId="7647"/>
    <cellStyle name="Вывод 2 2 5 7" xfId="7648"/>
    <cellStyle name="Вывод 2 2 5 8" xfId="7649"/>
    <cellStyle name="Вывод 2 2 6" xfId="7650"/>
    <cellStyle name="Вывод 2 2 6 2" xfId="7651"/>
    <cellStyle name="Вывод 2 2 6 3" xfId="7652"/>
    <cellStyle name="Вывод 2 2 6 4" xfId="7653"/>
    <cellStyle name="Вывод 2 2 6 5" xfId="7654"/>
    <cellStyle name="Вывод 2 2 6 6" xfId="7655"/>
    <cellStyle name="Вывод 2 2 6 7" xfId="7656"/>
    <cellStyle name="Вывод 2 2 6 8" xfId="7657"/>
    <cellStyle name="Вывод 2 2 7" xfId="7658"/>
    <cellStyle name="Вывод 2 2 7 2" xfId="7659"/>
    <cellStyle name="Вывод 2 2 7 3" xfId="7660"/>
    <cellStyle name="Вывод 2 2 7 4" xfId="7661"/>
    <cellStyle name="Вывод 2 2 8" xfId="7662"/>
    <cellStyle name="Вывод 2 2 9" xfId="7663"/>
    <cellStyle name="Вывод 2 3" xfId="7664"/>
    <cellStyle name="Вывод 2 3 10" xfId="7665"/>
    <cellStyle name="Вывод 2 3 11" xfId="7666"/>
    <cellStyle name="Вывод 2 3 12" xfId="7667"/>
    <cellStyle name="Вывод 2 3 2" xfId="7668"/>
    <cellStyle name="Вывод 2 3 2 2" xfId="7669"/>
    <cellStyle name="Вывод 2 3 2 2 2" xfId="7670"/>
    <cellStyle name="Вывод 2 3 2 2 3" xfId="7671"/>
    <cellStyle name="Вывод 2 3 2 2 4" xfId="7672"/>
    <cellStyle name="Вывод 2 3 2 3" xfId="7673"/>
    <cellStyle name="Вывод 2 3 2 4" xfId="7674"/>
    <cellStyle name="Вывод 2 3 2 5" xfId="7675"/>
    <cellStyle name="Вывод 2 3 2 6" xfId="7676"/>
    <cellStyle name="Вывод 2 3 3" xfId="7677"/>
    <cellStyle name="Вывод 2 3 3 2" xfId="7678"/>
    <cellStyle name="Вывод 2 3 3 2 2" xfId="7679"/>
    <cellStyle name="Вывод 2 3 3 2 3" xfId="7680"/>
    <cellStyle name="Вывод 2 3 3 2 4" xfId="7681"/>
    <cellStyle name="Вывод 2 3 3 3" xfId="7682"/>
    <cellStyle name="Вывод 2 3 3 4" xfId="7683"/>
    <cellStyle name="Вывод 2 3 3 5" xfId="7684"/>
    <cellStyle name="Вывод 2 3 3 6" xfId="7685"/>
    <cellStyle name="Вывод 2 3 4" xfId="7686"/>
    <cellStyle name="Вывод 2 3 4 2" xfId="7687"/>
    <cellStyle name="Вывод 2 3 4 2 2" xfId="7688"/>
    <cellStyle name="Вывод 2 3 4 2 3" xfId="7689"/>
    <cellStyle name="Вывод 2 3 4 2 4" xfId="7690"/>
    <cellStyle name="Вывод 2 3 4 3" xfId="7691"/>
    <cellStyle name="Вывод 2 3 4 4" xfId="7692"/>
    <cellStyle name="Вывод 2 3 4 5" xfId="7693"/>
    <cellStyle name="Вывод 2 3 4 6" xfId="7694"/>
    <cellStyle name="Вывод 2 3 5" xfId="7695"/>
    <cellStyle name="Вывод 2 3 5 2" xfId="7696"/>
    <cellStyle name="Вывод 2 3 5 3" xfId="7697"/>
    <cellStyle name="Вывод 2 3 5 4" xfId="7698"/>
    <cellStyle name="Вывод 2 3 6" xfId="7699"/>
    <cellStyle name="Вывод 2 3 7" xfId="7700"/>
    <cellStyle name="Вывод 2 3 8" xfId="7701"/>
    <cellStyle name="Вывод 2 3 9" xfId="7702"/>
    <cellStyle name="Вывод 2 4" xfId="7703"/>
    <cellStyle name="Вывод 2 4 10" xfId="7704"/>
    <cellStyle name="Вывод 2 4 11" xfId="7705"/>
    <cellStyle name="Вывод 2 4 2" xfId="7706"/>
    <cellStyle name="Вывод 2 4 2 2" xfId="7707"/>
    <cellStyle name="Вывод 2 4 2 2 2" xfId="7708"/>
    <cellStyle name="Вывод 2 4 2 2 3" xfId="7709"/>
    <cellStyle name="Вывод 2 4 2 2 4" xfId="7710"/>
    <cellStyle name="Вывод 2 4 2 3" xfId="7711"/>
    <cellStyle name="Вывод 2 4 2 4" xfId="7712"/>
    <cellStyle name="Вывод 2 4 2 5" xfId="7713"/>
    <cellStyle name="Вывод 2 4 2 6" xfId="7714"/>
    <cellStyle name="Вывод 2 4 3" xfId="7715"/>
    <cellStyle name="Вывод 2 4 3 2" xfId="7716"/>
    <cellStyle name="Вывод 2 4 3 2 2" xfId="7717"/>
    <cellStyle name="Вывод 2 4 3 2 3" xfId="7718"/>
    <cellStyle name="Вывод 2 4 3 2 4" xfId="7719"/>
    <cellStyle name="Вывод 2 4 3 3" xfId="7720"/>
    <cellStyle name="Вывод 2 4 3 4" xfId="7721"/>
    <cellStyle name="Вывод 2 4 3 5" xfId="7722"/>
    <cellStyle name="Вывод 2 4 3 6" xfId="7723"/>
    <cellStyle name="Вывод 2 4 4" xfId="7724"/>
    <cellStyle name="Вывод 2 4 4 2" xfId="7725"/>
    <cellStyle name="Вывод 2 4 4 3" xfId="7726"/>
    <cellStyle name="Вывод 2 4 4 4" xfId="7727"/>
    <cellStyle name="Вывод 2 4 5" xfId="7728"/>
    <cellStyle name="Вывод 2 4 6" xfId="7729"/>
    <cellStyle name="Вывод 2 4 7" xfId="7730"/>
    <cellStyle name="Вывод 2 4 8" xfId="7731"/>
    <cellStyle name="Вывод 2 4 9" xfId="7732"/>
    <cellStyle name="Вывод 2 5" xfId="7733"/>
    <cellStyle name="Вывод 2 5 2" xfId="7734"/>
    <cellStyle name="Вывод 2 5 3" xfId="7735"/>
    <cellStyle name="Вывод 2 5 4" xfId="7736"/>
    <cellStyle name="Вывод 2 5 5" xfId="7737"/>
    <cellStyle name="Вывод 2 5 6" xfId="7738"/>
    <cellStyle name="Вывод 2 5 7" xfId="7739"/>
    <cellStyle name="Вывод 2 5 8" xfId="7740"/>
    <cellStyle name="Вывод 2 6" xfId="7741"/>
    <cellStyle name="Вывод 2 6 2" xfId="7742"/>
    <cellStyle name="Вывод 2 6 3" xfId="7743"/>
    <cellStyle name="Вывод 2 6 4" xfId="7744"/>
    <cellStyle name="Вывод 2 6 5" xfId="7745"/>
    <cellStyle name="Вывод 2 6 6" xfId="7746"/>
    <cellStyle name="Вывод 2 6 7" xfId="7747"/>
    <cellStyle name="Вывод 2 6 8" xfId="7748"/>
    <cellStyle name="Вывод 2 7" xfId="7749"/>
    <cellStyle name="Вывод 2 7 2" xfId="7750"/>
    <cellStyle name="Вывод 2 7 3" xfId="7751"/>
    <cellStyle name="Вывод 2 7 4" xfId="7752"/>
    <cellStyle name="Вывод 2 7 5" xfId="7753"/>
    <cellStyle name="Вывод 2 7 6" xfId="7754"/>
    <cellStyle name="Вывод 2 7 7" xfId="7755"/>
    <cellStyle name="Вывод 2 7 8" xfId="7756"/>
    <cellStyle name="Вывод 2 8" xfId="7757"/>
    <cellStyle name="Вывод 2 8 2" xfId="7758"/>
    <cellStyle name="Вывод 2 8 3" xfId="7759"/>
    <cellStyle name="Вывод 2 8 4" xfId="7760"/>
    <cellStyle name="Вывод 2 9" xfId="7761"/>
    <cellStyle name="Вывод 3" xfId="7762"/>
    <cellStyle name="Вывод 3 10" xfId="7763"/>
    <cellStyle name="Вывод 3 11" xfId="7764"/>
    <cellStyle name="Вывод 3 12" xfId="7765"/>
    <cellStyle name="Вывод 3 13" xfId="7766"/>
    <cellStyle name="Вывод 3 14" xfId="7767"/>
    <cellStyle name="Вывод 3 2" xfId="7768"/>
    <cellStyle name="Вывод 3 2 10" xfId="7769"/>
    <cellStyle name="Вывод 3 2 11" xfId="7770"/>
    <cellStyle name="Вывод 3 2 12" xfId="7771"/>
    <cellStyle name="Вывод 3 2 2" xfId="7772"/>
    <cellStyle name="Вывод 3 2 2 2" xfId="7773"/>
    <cellStyle name="Вывод 3 2 2 2 2" xfId="7774"/>
    <cellStyle name="Вывод 3 2 2 2 3" xfId="7775"/>
    <cellStyle name="Вывод 3 2 2 2 4" xfId="7776"/>
    <cellStyle name="Вывод 3 2 2 3" xfId="7777"/>
    <cellStyle name="Вывод 3 2 2 4" xfId="7778"/>
    <cellStyle name="Вывод 3 2 2 5" xfId="7779"/>
    <cellStyle name="Вывод 3 2 2 6" xfId="7780"/>
    <cellStyle name="Вывод 3 2 3" xfId="7781"/>
    <cellStyle name="Вывод 3 2 3 2" xfId="7782"/>
    <cellStyle name="Вывод 3 2 3 2 2" xfId="7783"/>
    <cellStyle name="Вывод 3 2 3 2 3" xfId="7784"/>
    <cellStyle name="Вывод 3 2 3 2 4" xfId="7785"/>
    <cellStyle name="Вывод 3 2 3 3" xfId="7786"/>
    <cellStyle name="Вывод 3 2 3 4" xfId="7787"/>
    <cellStyle name="Вывод 3 2 3 5" xfId="7788"/>
    <cellStyle name="Вывод 3 2 3 6" xfId="7789"/>
    <cellStyle name="Вывод 3 2 4" xfId="7790"/>
    <cellStyle name="Вывод 3 2 4 2" xfId="7791"/>
    <cellStyle name="Вывод 3 2 4 2 2" xfId="7792"/>
    <cellStyle name="Вывод 3 2 4 2 3" xfId="7793"/>
    <cellStyle name="Вывод 3 2 4 2 4" xfId="7794"/>
    <cellStyle name="Вывод 3 2 4 3" xfId="7795"/>
    <cellStyle name="Вывод 3 2 4 4" xfId="7796"/>
    <cellStyle name="Вывод 3 2 4 5" xfId="7797"/>
    <cellStyle name="Вывод 3 2 4 6" xfId="7798"/>
    <cellStyle name="Вывод 3 2 5" xfId="7799"/>
    <cellStyle name="Вывод 3 2 5 2" xfId="7800"/>
    <cellStyle name="Вывод 3 2 5 3" xfId="7801"/>
    <cellStyle name="Вывод 3 2 5 4" xfId="7802"/>
    <cellStyle name="Вывод 3 2 6" xfId="7803"/>
    <cellStyle name="Вывод 3 2 7" xfId="7804"/>
    <cellStyle name="Вывод 3 2 8" xfId="7805"/>
    <cellStyle name="Вывод 3 2 9" xfId="7806"/>
    <cellStyle name="Вывод 3 3" xfId="7807"/>
    <cellStyle name="Вывод 3 3 10" xfId="7808"/>
    <cellStyle name="Вывод 3 3 11" xfId="7809"/>
    <cellStyle name="Вывод 3 3 2" xfId="7810"/>
    <cellStyle name="Вывод 3 3 2 2" xfId="7811"/>
    <cellStyle name="Вывод 3 3 2 2 2" xfId="7812"/>
    <cellStyle name="Вывод 3 3 2 2 3" xfId="7813"/>
    <cellStyle name="Вывод 3 3 2 2 4" xfId="7814"/>
    <cellStyle name="Вывод 3 3 2 3" xfId="7815"/>
    <cellStyle name="Вывод 3 3 2 4" xfId="7816"/>
    <cellStyle name="Вывод 3 3 2 5" xfId="7817"/>
    <cellStyle name="Вывод 3 3 2 6" xfId="7818"/>
    <cellStyle name="Вывод 3 3 3" xfId="7819"/>
    <cellStyle name="Вывод 3 3 3 2" xfId="7820"/>
    <cellStyle name="Вывод 3 3 3 2 2" xfId="7821"/>
    <cellStyle name="Вывод 3 3 3 2 3" xfId="7822"/>
    <cellStyle name="Вывод 3 3 3 2 4" xfId="7823"/>
    <cellStyle name="Вывод 3 3 3 3" xfId="7824"/>
    <cellStyle name="Вывод 3 3 3 4" xfId="7825"/>
    <cellStyle name="Вывод 3 3 3 5" xfId="7826"/>
    <cellStyle name="Вывод 3 3 3 6" xfId="7827"/>
    <cellStyle name="Вывод 3 3 4" xfId="7828"/>
    <cellStyle name="Вывод 3 3 4 2" xfId="7829"/>
    <cellStyle name="Вывод 3 3 4 3" xfId="7830"/>
    <cellStyle name="Вывод 3 3 4 4" xfId="7831"/>
    <cellStyle name="Вывод 3 3 5" xfId="7832"/>
    <cellStyle name="Вывод 3 3 6" xfId="7833"/>
    <cellStyle name="Вывод 3 3 7" xfId="7834"/>
    <cellStyle name="Вывод 3 3 8" xfId="7835"/>
    <cellStyle name="Вывод 3 3 9" xfId="7836"/>
    <cellStyle name="Вывод 3 4" xfId="7837"/>
    <cellStyle name="Вывод 3 4 2" xfId="7838"/>
    <cellStyle name="Вывод 3 4 3" xfId="7839"/>
    <cellStyle name="Вывод 3 4 4" xfId="7840"/>
    <cellStyle name="Вывод 3 4 5" xfId="7841"/>
    <cellStyle name="Вывод 3 4 6" xfId="7842"/>
    <cellStyle name="Вывод 3 4 7" xfId="7843"/>
    <cellStyle name="Вывод 3 4 8" xfId="7844"/>
    <cellStyle name="Вывод 3 5" xfId="7845"/>
    <cellStyle name="Вывод 3 5 2" xfId="7846"/>
    <cellStyle name="Вывод 3 5 3" xfId="7847"/>
    <cellStyle name="Вывод 3 5 4" xfId="7848"/>
    <cellStyle name="Вывод 3 5 5" xfId="7849"/>
    <cellStyle name="Вывод 3 5 6" xfId="7850"/>
    <cellStyle name="Вывод 3 5 7" xfId="7851"/>
    <cellStyle name="Вывод 3 5 8" xfId="7852"/>
    <cellStyle name="Вывод 3 6" xfId="7853"/>
    <cellStyle name="Вывод 3 6 2" xfId="7854"/>
    <cellStyle name="Вывод 3 6 3" xfId="7855"/>
    <cellStyle name="Вывод 3 6 4" xfId="7856"/>
    <cellStyle name="Вывод 3 6 5" xfId="7857"/>
    <cellStyle name="Вывод 3 6 6" xfId="7858"/>
    <cellStyle name="Вывод 3 6 7" xfId="7859"/>
    <cellStyle name="Вывод 3 6 8" xfId="7860"/>
    <cellStyle name="Вывод 3 7" xfId="7861"/>
    <cellStyle name="Вывод 3 7 2" xfId="7862"/>
    <cellStyle name="Вывод 3 7 3" xfId="7863"/>
    <cellStyle name="Вывод 3 7 4" xfId="7864"/>
    <cellStyle name="Вывод 3 8" xfId="7865"/>
    <cellStyle name="Вывод 3 9" xfId="7866"/>
    <cellStyle name="Вывод 4" xfId="7867"/>
    <cellStyle name="Вывод 4 10" xfId="7868"/>
    <cellStyle name="Вывод 4 11" xfId="7869"/>
    <cellStyle name="Вывод 4 12" xfId="7870"/>
    <cellStyle name="Вывод 4 13" xfId="7871"/>
    <cellStyle name="Вывод 4 14" xfId="7872"/>
    <cellStyle name="Вывод 4 2" xfId="7873"/>
    <cellStyle name="Вывод 4 2 10" xfId="7874"/>
    <cellStyle name="Вывод 4 2 11" xfId="7875"/>
    <cellStyle name="Вывод 4 2 12" xfId="7876"/>
    <cellStyle name="Вывод 4 2 2" xfId="7877"/>
    <cellStyle name="Вывод 4 2 2 2" xfId="7878"/>
    <cellStyle name="Вывод 4 2 2 2 2" xfId="7879"/>
    <cellStyle name="Вывод 4 2 2 2 3" xfId="7880"/>
    <cellStyle name="Вывод 4 2 2 2 4" xfId="7881"/>
    <cellStyle name="Вывод 4 2 2 3" xfId="7882"/>
    <cellStyle name="Вывод 4 2 2 4" xfId="7883"/>
    <cellStyle name="Вывод 4 2 2 5" xfId="7884"/>
    <cellStyle name="Вывод 4 2 2 6" xfId="7885"/>
    <cellStyle name="Вывод 4 2 3" xfId="7886"/>
    <cellStyle name="Вывод 4 2 3 2" xfId="7887"/>
    <cellStyle name="Вывод 4 2 3 2 2" xfId="7888"/>
    <cellStyle name="Вывод 4 2 3 2 3" xfId="7889"/>
    <cellStyle name="Вывод 4 2 3 2 4" xfId="7890"/>
    <cellStyle name="Вывод 4 2 3 3" xfId="7891"/>
    <cellStyle name="Вывод 4 2 3 4" xfId="7892"/>
    <cellStyle name="Вывод 4 2 3 5" xfId="7893"/>
    <cellStyle name="Вывод 4 2 3 6" xfId="7894"/>
    <cellStyle name="Вывод 4 2 4" xfId="7895"/>
    <cellStyle name="Вывод 4 2 4 2" xfId="7896"/>
    <cellStyle name="Вывод 4 2 4 2 2" xfId="7897"/>
    <cellStyle name="Вывод 4 2 4 2 3" xfId="7898"/>
    <cellStyle name="Вывод 4 2 4 2 4" xfId="7899"/>
    <cellStyle name="Вывод 4 2 4 3" xfId="7900"/>
    <cellStyle name="Вывод 4 2 4 4" xfId="7901"/>
    <cellStyle name="Вывод 4 2 4 5" xfId="7902"/>
    <cellStyle name="Вывод 4 2 4 6" xfId="7903"/>
    <cellStyle name="Вывод 4 2 5" xfId="7904"/>
    <cellStyle name="Вывод 4 2 5 2" xfId="7905"/>
    <cellStyle name="Вывод 4 2 5 3" xfId="7906"/>
    <cellStyle name="Вывод 4 2 5 4" xfId="7907"/>
    <cellStyle name="Вывод 4 2 6" xfId="7908"/>
    <cellStyle name="Вывод 4 2 7" xfId="7909"/>
    <cellStyle name="Вывод 4 2 8" xfId="7910"/>
    <cellStyle name="Вывод 4 2 9" xfId="7911"/>
    <cellStyle name="Вывод 4 3" xfId="7912"/>
    <cellStyle name="Вывод 4 3 10" xfId="7913"/>
    <cellStyle name="Вывод 4 3 11" xfId="7914"/>
    <cellStyle name="Вывод 4 3 2" xfId="7915"/>
    <cellStyle name="Вывод 4 3 2 2" xfId="7916"/>
    <cellStyle name="Вывод 4 3 2 2 2" xfId="7917"/>
    <cellStyle name="Вывод 4 3 2 2 3" xfId="7918"/>
    <cellStyle name="Вывод 4 3 2 2 4" xfId="7919"/>
    <cellStyle name="Вывод 4 3 2 3" xfId="7920"/>
    <cellStyle name="Вывод 4 3 2 4" xfId="7921"/>
    <cellStyle name="Вывод 4 3 2 5" xfId="7922"/>
    <cellStyle name="Вывод 4 3 2 6" xfId="7923"/>
    <cellStyle name="Вывод 4 3 3" xfId="7924"/>
    <cellStyle name="Вывод 4 3 3 2" xfId="7925"/>
    <cellStyle name="Вывод 4 3 3 2 2" xfId="7926"/>
    <cellStyle name="Вывод 4 3 3 2 3" xfId="7927"/>
    <cellStyle name="Вывод 4 3 3 2 4" xfId="7928"/>
    <cellStyle name="Вывод 4 3 3 3" xfId="7929"/>
    <cellStyle name="Вывод 4 3 3 4" xfId="7930"/>
    <cellStyle name="Вывод 4 3 3 5" xfId="7931"/>
    <cellStyle name="Вывод 4 3 3 6" xfId="7932"/>
    <cellStyle name="Вывод 4 3 4" xfId="7933"/>
    <cellStyle name="Вывод 4 3 4 2" xfId="7934"/>
    <cellStyle name="Вывод 4 3 4 3" xfId="7935"/>
    <cellStyle name="Вывод 4 3 4 4" xfId="7936"/>
    <cellStyle name="Вывод 4 3 5" xfId="7937"/>
    <cellStyle name="Вывод 4 3 6" xfId="7938"/>
    <cellStyle name="Вывод 4 3 7" xfId="7939"/>
    <cellStyle name="Вывод 4 3 8" xfId="7940"/>
    <cellStyle name="Вывод 4 3 9" xfId="7941"/>
    <cellStyle name="Вывод 4 4" xfId="7942"/>
    <cellStyle name="Вывод 4 4 2" xfId="7943"/>
    <cellStyle name="Вывод 4 4 3" xfId="7944"/>
    <cellStyle name="Вывод 4 4 4" xfId="7945"/>
    <cellStyle name="Вывод 4 4 5" xfId="7946"/>
    <cellStyle name="Вывод 4 4 6" xfId="7947"/>
    <cellStyle name="Вывод 4 4 7" xfId="7948"/>
    <cellStyle name="Вывод 4 4 8" xfId="7949"/>
    <cellStyle name="Вывод 4 5" xfId="7950"/>
    <cellStyle name="Вывод 4 5 2" xfId="7951"/>
    <cellStyle name="Вывод 4 5 3" xfId="7952"/>
    <cellStyle name="Вывод 4 5 4" xfId="7953"/>
    <cellStyle name="Вывод 4 5 5" xfId="7954"/>
    <cellStyle name="Вывод 4 5 6" xfId="7955"/>
    <cellStyle name="Вывод 4 5 7" xfId="7956"/>
    <cellStyle name="Вывод 4 5 8" xfId="7957"/>
    <cellStyle name="Вывод 4 6" xfId="7958"/>
    <cellStyle name="Вывод 4 6 2" xfId="7959"/>
    <cellStyle name="Вывод 4 6 3" xfId="7960"/>
    <cellStyle name="Вывод 4 6 4" xfId="7961"/>
    <cellStyle name="Вывод 4 6 5" xfId="7962"/>
    <cellStyle name="Вывод 4 6 6" xfId="7963"/>
    <cellStyle name="Вывод 4 6 7" xfId="7964"/>
    <cellStyle name="Вывод 4 6 8" xfId="7965"/>
    <cellStyle name="Вывод 4 7" xfId="7966"/>
    <cellStyle name="Вывод 4 7 2" xfId="7967"/>
    <cellStyle name="Вывод 4 7 3" xfId="7968"/>
    <cellStyle name="Вывод 4 7 4" xfId="7969"/>
    <cellStyle name="Вывод 4 8" xfId="7970"/>
    <cellStyle name="Вывод 4 9" xfId="7971"/>
    <cellStyle name="Вывод 5" xfId="7972"/>
    <cellStyle name="Вывод 5 10" xfId="7973"/>
    <cellStyle name="Вывод 5 11" xfId="7974"/>
    <cellStyle name="Вывод 5 12" xfId="7975"/>
    <cellStyle name="Вывод 5 13" xfId="7976"/>
    <cellStyle name="Вывод 5 14" xfId="7977"/>
    <cellStyle name="Вывод 5 2" xfId="7978"/>
    <cellStyle name="Вывод 5 2 10" xfId="7979"/>
    <cellStyle name="Вывод 5 2 11" xfId="7980"/>
    <cellStyle name="Вывод 5 2 12" xfId="7981"/>
    <cellStyle name="Вывод 5 2 2" xfId="7982"/>
    <cellStyle name="Вывод 5 2 2 2" xfId="7983"/>
    <cellStyle name="Вывод 5 2 2 2 2" xfId="7984"/>
    <cellStyle name="Вывод 5 2 2 2 3" xfId="7985"/>
    <cellStyle name="Вывод 5 2 2 2 4" xfId="7986"/>
    <cellStyle name="Вывод 5 2 2 3" xfId="7987"/>
    <cellStyle name="Вывод 5 2 2 4" xfId="7988"/>
    <cellStyle name="Вывод 5 2 2 5" xfId="7989"/>
    <cellStyle name="Вывод 5 2 2 6" xfId="7990"/>
    <cellStyle name="Вывод 5 2 3" xfId="7991"/>
    <cellStyle name="Вывод 5 2 3 2" xfId="7992"/>
    <cellStyle name="Вывод 5 2 3 2 2" xfId="7993"/>
    <cellStyle name="Вывод 5 2 3 2 3" xfId="7994"/>
    <cellStyle name="Вывод 5 2 3 2 4" xfId="7995"/>
    <cellStyle name="Вывод 5 2 3 3" xfId="7996"/>
    <cellStyle name="Вывод 5 2 3 4" xfId="7997"/>
    <cellStyle name="Вывод 5 2 3 5" xfId="7998"/>
    <cellStyle name="Вывод 5 2 3 6" xfId="7999"/>
    <cellStyle name="Вывод 5 2 4" xfId="8000"/>
    <cellStyle name="Вывод 5 2 4 2" xfId="8001"/>
    <cellStyle name="Вывод 5 2 4 2 2" xfId="8002"/>
    <cellStyle name="Вывод 5 2 4 2 3" xfId="8003"/>
    <cellStyle name="Вывод 5 2 4 2 4" xfId="8004"/>
    <cellStyle name="Вывод 5 2 4 3" xfId="8005"/>
    <cellStyle name="Вывод 5 2 4 4" xfId="8006"/>
    <cellStyle name="Вывод 5 2 4 5" xfId="8007"/>
    <cellStyle name="Вывод 5 2 4 6" xfId="8008"/>
    <cellStyle name="Вывод 5 2 5" xfId="8009"/>
    <cellStyle name="Вывод 5 2 5 2" xfId="8010"/>
    <cellStyle name="Вывод 5 2 5 3" xfId="8011"/>
    <cellStyle name="Вывод 5 2 5 4" xfId="8012"/>
    <cellStyle name="Вывод 5 2 6" xfId="8013"/>
    <cellStyle name="Вывод 5 2 7" xfId="8014"/>
    <cellStyle name="Вывод 5 2 8" xfId="8015"/>
    <cellStyle name="Вывод 5 2 9" xfId="8016"/>
    <cellStyle name="Вывод 5 3" xfId="8017"/>
    <cellStyle name="Вывод 5 3 10" xfId="8018"/>
    <cellStyle name="Вывод 5 3 11" xfId="8019"/>
    <cellStyle name="Вывод 5 3 2" xfId="8020"/>
    <cellStyle name="Вывод 5 3 2 2" xfId="8021"/>
    <cellStyle name="Вывод 5 3 2 2 2" xfId="8022"/>
    <cellStyle name="Вывод 5 3 2 2 3" xfId="8023"/>
    <cellStyle name="Вывод 5 3 2 2 4" xfId="8024"/>
    <cellStyle name="Вывод 5 3 2 3" xfId="8025"/>
    <cellStyle name="Вывод 5 3 2 4" xfId="8026"/>
    <cellStyle name="Вывод 5 3 2 5" xfId="8027"/>
    <cellStyle name="Вывод 5 3 2 6" xfId="8028"/>
    <cellStyle name="Вывод 5 3 3" xfId="8029"/>
    <cellStyle name="Вывод 5 3 3 2" xfId="8030"/>
    <cellStyle name="Вывод 5 3 3 2 2" xfId="8031"/>
    <cellStyle name="Вывод 5 3 3 2 3" xfId="8032"/>
    <cellStyle name="Вывод 5 3 3 2 4" xfId="8033"/>
    <cellStyle name="Вывод 5 3 3 3" xfId="8034"/>
    <cellStyle name="Вывод 5 3 3 4" xfId="8035"/>
    <cellStyle name="Вывод 5 3 3 5" xfId="8036"/>
    <cellStyle name="Вывод 5 3 3 6" xfId="8037"/>
    <cellStyle name="Вывод 5 3 4" xfId="8038"/>
    <cellStyle name="Вывод 5 3 4 2" xfId="8039"/>
    <cellStyle name="Вывод 5 3 4 3" xfId="8040"/>
    <cellStyle name="Вывод 5 3 4 4" xfId="8041"/>
    <cellStyle name="Вывод 5 3 5" xfId="8042"/>
    <cellStyle name="Вывод 5 3 6" xfId="8043"/>
    <cellStyle name="Вывод 5 3 7" xfId="8044"/>
    <cellStyle name="Вывод 5 3 8" xfId="8045"/>
    <cellStyle name="Вывод 5 3 9" xfId="8046"/>
    <cellStyle name="Вывод 5 4" xfId="8047"/>
    <cellStyle name="Вывод 5 4 2" xfId="8048"/>
    <cellStyle name="Вывод 5 4 3" xfId="8049"/>
    <cellStyle name="Вывод 5 4 4" xfId="8050"/>
    <cellStyle name="Вывод 5 4 5" xfId="8051"/>
    <cellStyle name="Вывод 5 4 6" xfId="8052"/>
    <cellStyle name="Вывод 5 4 7" xfId="8053"/>
    <cellStyle name="Вывод 5 4 8" xfId="8054"/>
    <cellStyle name="Вывод 5 5" xfId="8055"/>
    <cellStyle name="Вывод 5 5 2" xfId="8056"/>
    <cellStyle name="Вывод 5 5 3" xfId="8057"/>
    <cellStyle name="Вывод 5 5 4" xfId="8058"/>
    <cellStyle name="Вывод 5 5 5" xfId="8059"/>
    <cellStyle name="Вывод 5 5 6" xfId="8060"/>
    <cellStyle name="Вывод 5 5 7" xfId="8061"/>
    <cellStyle name="Вывод 5 5 8" xfId="8062"/>
    <cellStyle name="Вывод 5 6" xfId="8063"/>
    <cellStyle name="Вывод 5 6 2" xfId="8064"/>
    <cellStyle name="Вывод 5 6 3" xfId="8065"/>
    <cellStyle name="Вывод 5 6 4" xfId="8066"/>
    <cellStyle name="Вывод 5 6 5" xfId="8067"/>
    <cellStyle name="Вывод 5 6 6" xfId="8068"/>
    <cellStyle name="Вывод 5 6 7" xfId="8069"/>
    <cellStyle name="Вывод 5 6 8" xfId="8070"/>
    <cellStyle name="Вывод 5 7" xfId="8071"/>
    <cellStyle name="Вывод 5 7 2" xfId="8072"/>
    <cellStyle name="Вывод 5 7 3" xfId="8073"/>
    <cellStyle name="Вывод 5 7 4" xfId="8074"/>
    <cellStyle name="Вывод 5 8" xfId="8075"/>
    <cellStyle name="Вывод 5 9" xfId="8076"/>
    <cellStyle name="Вывод 6" xfId="8077"/>
    <cellStyle name="Вывод 6 10" xfId="8078"/>
    <cellStyle name="Вывод 6 11" xfId="8079"/>
    <cellStyle name="Вывод 6 12" xfId="8080"/>
    <cellStyle name="Вывод 6 13" xfId="8081"/>
    <cellStyle name="Вывод 6 14" xfId="8082"/>
    <cellStyle name="Вывод 6 2" xfId="8083"/>
    <cellStyle name="Вывод 6 2 10" xfId="8084"/>
    <cellStyle name="Вывод 6 2 11" xfId="8085"/>
    <cellStyle name="Вывод 6 2 12" xfId="8086"/>
    <cellStyle name="Вывод 6 2 2" xfId="8087"/>
    <cellStyle name="Вывод 6 2 2 2" xfId="8088"/>
    <cellStyle name="Вывод 6 2 2 2 2" xfId="8089"/>
    <cellStyle name="Вывод 6 2 2 2 3" xfId="8090"/>
    <cellStyle name="Вывод 6 2 2 2 4" xfId="8091"/>
    <cellStyle name="Вывод 6 2 2 3" xfId="8092"/>
    <cellStyle name="Вывод 6 2 2 4" xfId="8093"/>
    <cellStyle name="Вывод 6 2 2 5" xfId="8094"/>
    <cellStyle name="Вывод 6 2 2 6" xfId="8095"/>
    <cellStyle name="Вывод 6 2 3" xfId="8096"/>
    <cellStyle name="Вывод 6 2 3 2" xfId="8097"/>
    <cellStyle name="Вывод 6 2 3 2 2" xfId="8098"/>
    <cellStyle name="Вывод 6 2 3 2 3" xfId="8099"/>
    <cellStyle name="Вывод 6 2 3 2 4" xfId="8100"/>
    <cellStyle name="Вывод 6 2 3 3" xfId="8101"/>
    <cellStyle name="Вывод 6 2 3 4" xfId="8102"/>
    <cellStyle name="Вывод 6 2 3 5" xfId="8103"/>
    <cellStyle name="Вывод 6 2 3 6" xfId="8104"/>
    <cellStyle name="Вывод 6 2 4" xfId="8105"/>
    <cellStyle name="Вывод 6 2 4 2" xfId="8106"/>
    <cellStyle name="Вывод 6 2 4 2 2" xfId="8107"/>
    <cellStyle name="Вывод 6 2 4 2 3" xfId="8108"/>
    <cellStyle name="Вывод 6 2 4 2 4" xfId="8109"/>
    <cellStyle name="Вывод 6 2 4 3" xfId="8110"/>
    <cellStyle name="Вывод 6 2 4 4" xfId="8111"/>
    <cellStyle name="Вывод 6 2 4 5" xfId="8112"/>
    <cellStyle name="Вывод 6 2 4 6" xfId="8113"/>
    <cellStyle name="Вывод 6 2 5" xfId="8114"/>
    <cellStyle name="Вывод 6 2 5 2" xfId="8115"/>
    <cellStyle name="Вывод 6 2 5 3" xfId="8116"/>
    <cellStyle name="Вывод 6 2 5 4" xfId="8117"/>
    <cellStyle name="Вывод 6 2 6" xfId="8118"/>
    <cellStyle name="Вывод 6 2 7" xfId="8119"/>
    <cellStyle name="Вывод 6 2 8" xfId="8120"/>
    <cellStyle name="Вывод 6 2 9" xfId="8121"/>
    <cellStyle name="Вывод 6 3" xfId="8122"/>
    <cellStyle name="Вывод 6 3 10" xfId="8123"/>
    <cellStyle name="Вывод 6 3 11" xfId="8124"/>
    <cellStyle name="Вывод 6 3 2" xfId="8125"/>
    <cellStyle name="Вывод 6 3 2 2" xfId="8126"/>
    <cellStyle name="Вывод 6 3 2 2 2" xfId="8127"/>
    <cellStyle name="Вывод 6 3 2 2 3" xfId="8128"/>
    <cellStyle name="Вывод 6 3 2 2 4" xfId="8129"/>
    <cellStyle name="Вывод 6 3 2 3" xfId="8130"/>
    <cellStyle name="Вывод 6 3 2 4" xfId="8131"/>
    <cellStyle name="Вывод 6 3 2 5" xfId="8132"/>
    <cellStyle name="Вывод 6 3 2 6" xfId="8133"/>
    <cellStyle name="Вывод 6 3 3" xfId="8134"/>
    <cellStyle name="Вывод 6 3 3 2" xfId="8135"/>
    <cellStyle name="Вывод 6 3 3 2 2" xfId="8136"/>
    <cellStyle name="Вывод 6 3 3 2 3" xfId="8137"/>
    <cellStyle name="Вывод 6 3 3 2 4" xfId="8138"/>
    <cellStyle name="Вывод 6 3 3 3" xfId="8139"/>
    <cellStyle name="Вывод 6 3 3 4" xfId="8140"/>
    <cellStyle name="Вывод 6 3 3 5" xfId="8141"/>
    <cellStyle name="Вывод 6 3 3 6" xfId="8142"/>
    <cellStyle name="Вывод 6 3 4" xfId="8143"/>
    <cellStyle name="Вывод 6 3 4 2" xfId="8144"/>
    <cellStyle name="Вывод 6 3 4 3" xfId="8145"/>
    <cellStyle name="Вывод 6 3 4 4" xfId="8146"/>
    <cellStyle name="Вывод 6 3 5" xfId="8147"/>
    <cellStyle name="Вывод 6 3 6" xfId="8148"/>
    <cellStyle name="Вывод 6 3 7" xfId="8149"/>
    <cellStyle name="Вывод 6 3 8" xfId="8150"/>
    <cellStyle name="Вывод 6 3 9" xfId="8151"/>
    <cellStyle name="Вывод 6 4" xfId="8152"/>
    <cellStyle name="Вывод 6 4 2" xfId="8153"/>
    <cellStyle name="Вывод 6 4 3" xfId="8154"/>
    <cellStyle name="Вывод 6 4 4" xfId="8155"/>
    <cellStyle name="Вывод 6 4 5" xfId="8156"/>
    <cellStyle name="Вывод 6 4 6" xfId="8157"/>
    <cellStyle name="Вывод 6 4 7" xfId="8158"/>
    <cellStyle name="Вывод 6 4 8" xfId="8159"/>
    <cellStyle name="Вывод 6 5" xfId="8160"/>
    <cellStyle name="Вывод 6 5 2" xfId="8161"/>
    <cellStyle name="Вывод 6 5 3" xfId="8162"/>
    <cellStyle name="Вывод 6 5 4" xfId="8163"/>
    <cellStyle name="Вывод 6 5 5" xfId="8164"/>
    <cellStyle name="Вывод 6 5 6" xfId="8165"/>
    <cellStyle name="Вывод 6 5 7" xfId="8166"/>
    <cellStyle name="Вывод 6 5 8" xfId="8167"/>
    <cellStyle name="Вывод 6 6" xfId="8168"/>
    <cellStyle name="Вывод 6 6 2" xfId="8169"/>
    <cellStyle name="Вывод 6 6 3" xfId="8170"/>
    <cellStyle name="Вывод 6 6 4" xfId="8171"/>
    <cellStyle name="Вывод 6 6 5" xfId="8172"/>
    <cellStyle name="Вывод 6 6 6" xfId="8173"/>
    <cellStyle name="Вывод 6 6 7" xfId="8174"/>
    <cellStyle name="Вывод 6 6 8" xfId="8175"/>
    <cellStyle name="Вывод 6 7" xfId="8176"/>
    <cellStyle name="Вывод 6 7 2" xfId="8177"/>
    <cellStyle name="Вывод 6 7 3" xfId="8178"/>
    <cellStyle name="Вывод 6 7 4" xfId="8179"/>
    <cellStyle name="Вывод 6 8" xfId="8180"/>
    <cellStyle name="Вывод 6 9" xfId="8181"/>
    <cellStyle name="Вычисление 2" xfId="8182"/>
    <cellStyle name="Вычисление 2 10" xfId="8183"/>
    <cellStyle name="Вычисление 2 11" xfId="8184"/>
    <cellStyle name="Вычисление 2 12" xfId="8185"/>
    <cellStyle name="Вычисление 2 13" xfId="8186"/>
    <cellStyle name="Вычисление 2 14" xfId="8187"/>
    <cellStyle name="Вычисление 2 15" xfId="8188"/>
    <cellStyle name="Вычисление 2 2" xfId="8189"/>
    <cellStyle name="Вычисление 2 2 10" xfId="8190"/>
    <cellStyle name="Вычисление 2 2 11" xfId="8191"/>
    <cellStyle name="Вычисление 2 2 12" xfId="8192"/>
    <cellStyle name="Вычисление 2 2 13" xfId="8193"/>
    <cellStyle name="Вычисление 2 2 14" xfId="8194"/>
    <cellStyle name="Вычисление 2 2 2" xfId="8195"/>
    <cellStyle name="Вычисление 2 2 2 10" xfId="8196"/>
    <cellStyle name="Вычисление 2 2 2 11" xfId="8197"/>
    <cellStyle name="Вычисление 2 2 2 12" xfId="8198"/>
    <cellStyle name="Вычисление 2 2 2 2" xfId="8199"/>
    <cellStyle name="Вычисление 2 2 2 2 2" xfId="8200"/>
    <cellStyle name="Вычисление 2 2 2 2 3" xfId="8201"/>
    <cellStyle name="Вычисление 2 2 2 2 4" xfId="8202"/>
    <cellStyle name="Вычисление 2 2 2 2 5" xfId="8203"/>
    <cellStyle name="Вычисление 2 2 2 3" xfId="8204"/>
    <cellStyle name="Вычисление 2 2 2 3 2" xfId="8205"/>
    <cellStyle name="Вычисление 2 2 2 3 3" xfId="8206"/>
    <cellStyle name="Вычисление 2 2 2 3 4" xfId="8207"/>
    <cellStyle name="Вычисление 2 2 2 3 5" xfId="8208"/>
    <cellStyle name="Вычисление 2 2 2 4" xfId="8209"/>
    <cellStyle name="Вычисление 2 2 2 4 2" xfId="8210"/>
    <cellStyle name="Вычисление 2 2 2 4 3" xfId="8211"/>
    <cellStyle name="Вычисление 2 2 2 4 4" xfId="8212"/>
    <cellStyle name="Вычисление 2 2 2 4 5" xfId="8213"/>
    <cellStyle name="Вычисление 2 2 2 5" xfId="8214"/>
    <cellStyle name="Вычисление 2 2 2 5 2" xfId="8215"/>
    <cellStyle name="Вычисление 2 2 2 5 3" xfId="8216"/>
    <cellStyle name="Вычисление 2 2 2 5 4" xfId="8217"/>
    <cellStyle name="Вычисление 2 2 2 6" xfId="8218"/>
    <cellStyle name="Вычисление 2 2 2 7" xfId="8219"/>
    <cellStyle name="Вычисление 2 2 2 8" xfId="8220"/>
    <cellStyle name="Вычисление 2 2 2 9" xfId="8221"/>
    <cellStyle name="Вычисление 2 2 3" xfId="8222"/>
    <cellStyle name="Вычисление 2 2 3 10" xfId="8223"/>
    <cellStyle name="Вычисление 2 2 3 11" xfId="8224"/>
    <cellStyle name="Вычисление 2 2 3 2" xfId="8225"/>
    <cellStyle name="Вычисление 2 2 3 2 2" xfId="8226"/>
    <cellStyle name="Вычисление 2 2 3 2 3" xfId="8227"/>
    <cellStyle name="Вычисление 2 2 3 2 4" xfId="8228"/>
    <cellStyle name="Вычисление 2 2 3 2 5" xfId="8229"/>
    <cellStyle name="Вычисление 2 2 3 3" xfId="8230"/>
    <cellStyle name="Вычисление 2 2 3 3 2" xfId="8231"/>
    <cellStyle name="Вычисление 2 2 3 3 3" xfId="8232"/>
    <cellStyle name="Вычисление 2 2 3 3 4" xfId="8233"/>
    <cellStyle name="Вычисление 2 2 3 3 5" xfId="8234"/>
    <cellStyle name="Вычисление 2 2 3 4" xfId="8235"/>
    <cellStyle name="Вычисление 2 2 3 4 2" xfId="8236"/>
    <cellStyle name="Вычисление 2 2 3 4 3" xfId="8237"/>
    <cellStyle name="Вычисление 2 2 3 4 4" xfId="8238"/>
    <cellStyle name="Вычисление 2 2 3 5" xfId="8239"/>
    <cellStyle name="Вычисление 2 2 3 6" xfId="8240"/>
    <cellStyle name="Вычисление 2 2 3 7" xfId="8241"/>
    <cellStyle name="Вычисление 2 2 3 8" xfId="8242"/>
    <cellStyle name="Вычисление 2 2 3 9" xfId="8243"/>
    <cellStyle name="Вычисление 2 2 4" xfId="8244"/>
    <cellStyle name="Вычисление 2 2 4 2" xfId="8245"/>
    <cellStyle name="Вычисление 2 2 4 3" xfId="8246"/>
    <cellStyle name="Вычисление 2 2 4 4" xfId="8247"/>
    <cellStyle name="Вычисление 2 2 4 5" xfId="8248"/>
    <cellStyle name="Вычисление 2 2 4 6" xfId="8249"/>
    <cellStyle name="Вычисление 2 2 4 7" xfId="8250"/>
    <cellStyle name="Вычисление 2 2 4 8" xfId="8251"/>
    <cellStyle name="Вычисление 2 2 5" xfId="8252"/>
    <cellStyle name="Вычисление 2 2 5 2" xfId="8253"/>
    <cellStyle name="Вычисление 2 2 5 3" xfId="8254"/>
    <cellStyle name="Вычисление 2 2 5 4" xfId="8255"/>
    <cellStyle name="Вычисление 2 2 5 5" xfId="8256"/>
    <cellStyle name="Вычисление 2 2 5 6" xfId="8257"/>
    <cellStyle name="Вычисление 2 2 5 7" xfId="8258"/>
    <cellStyle name="Вычисление 2 2 5 8" xfId="8259"/>
    <cellStyle name="Вычисление 2 2 6" xfId="8260"/>
    <cellStyle name="Вычисление 2 2 6 2" xfId="8261"/>
    <cellStyle name="Вычисление 2 2 6 3" xfId="8262"/>
    <cellStyle name="Вычисление 2 2 6 4" xfId="8263"/>
    <cellStyle name="Вычисление 2 2 6 5" xfId="8264"/>
    <cellStyle name="Вычисление 2 2 6 6" xfId="8265"/>
    <cellStyle name="Вычисление 2 2 6 7" xfId="8266"/>
    <cellStyle name="Вычисление 2 2 6 8" xfId="8267"/>
    <cellStyle name="Вычисление 2 2 7" xfId="8268"/>
    <cellStyle name="Вычисление 2 2 7 2" xfId="8269"/>
    <cellStyle name="Вычисление 2 2 7 3" xfId="8270"/>
    <cellStyle name="Вычисление 2 2 7 4" xfId="8271"/>
    <cellStyle name="Вычисление 2 2 8" xfId="8272"/>
    <cellStyle name="Вычисление 2 2 9" xfId="8273"/>
    <cellStyle name="Вычисление 2 3" xfId="8274"/>
    <cellStyle name="Вычисление 2 3 10" xfId="8275"/>
    <cellStyle name="Вычисление 2 3 11" xfId="8276"/>
    <cellStyle name="Вычисление 2 3 12" xfId="8277"/>
    <cellStyle name="Вычисление 2 3 2" xfId="8278"/>
    <cellStyle name="Вычисление 2 3 2 2" xfId="8279"/>
    <cellStyle name="Вычисление 2 3 2 2 2" xfId="8280"/>
    <cellStyle name="Вычисление 2 3 2 2 3" xfId="8281"/>
    <cellStyle name="Вычисление 2 3 2 2 4" xfId="8282"/>
    <cellStyle name="Вычисление 2 3 2 3" xfId="8283"/>
    <cellStyle name="Вычисление 2 3 2 4" xfId="8284"/>
    <cellStyle name="Вычисление 2 3 2 5" xfId="8285"/>
    <cellStyle name="Вычисление 2 3 2 6" xfId="8286"/>
    <cellStyle name="Вычисление 2 3 3" xfId="8287"/>
    <cellStyle name="Вычисление 2 3 3 2" xfId="8288"/>
    <cellStyle name="Вычисление 2 3 3 2 2" xfId="8289"/>
    <cellStyle name="Вычисление 2 3 3 2 3" xfId="8290"/>
    <cellStyle name="Вычисление 2 3 3 2 4" xfId="8291"/>
    <cellStyle name="Вычисление 2 3 3 3" xfId="8292"/>
    <cellStyle name="Вычисление 2 3 3 4" xfId="8293"/>
    <cellStyle name="Вычисление 2 3 3 5" xfId="8294"/>
    <cellStyle name="Вычисление 2 3 3 6" xfId="8295"/>
    <cellStyle name="Вычисление 2 3 4" xfId="8296"/>
    <cellStyle name="Вычисление 2 3 4 2" xfId="8297"/>
    <cellStyle name="Вычисление 2 3 4 2 2" xfId="8298"/>
    <cellStyle name="Вычисление 2 3 4 2 3" xfId="8299"/>
    <cellStyle name="Вычисление 2 3 4 2 4" xfId="8300"/>
    <cellStyle name="Вычисление 2 3 4 3" xfId="8301"/>
    <cellStyle name="Вычисление 2 3 4 4" xfId="8302"/>
    <cellStyle name="Вычисление 2 3 4 5" xfId="8303"/>
    <cellStyle name="Вычисление 2 3 4 6" xfId="8304"/>
    <cellStyle name="Вычисление 2 3 5" xfId="8305"/>
    <cellStyle name="Вычисление 2 3 5 2" xfId="8306"/>
    <cellStyle name="Вычисление 2 3 5 3" xfId="8307"/>
    <cellStyle name="Вычисление 2 3 5 4" xfId="8308"/>
    <cellStyle name="Вычисление 2 3 6" xfId="8309"/>
    <cellStyle name="Вычисление 2 3 7" xfId="8310"/>
    <cellStyle name="Вычисление 2 3 8" xfId="8311"/>
    <cellStyle name="Вычисление 2 3 9" xfId="8312"/>
    <cellStyle name="Вычисление 2 4" xfId="8313"/>
    <cellStyle name="Вычисление 2 4 10" xfId="8314"/>
    <cellStyle name="Вычисление 2 4 11" xfId="8315"/>
    <cellStyle name="Вычисление 2 4 2" xfId="8316"/>
    <cellStyle name="Вычисление 2 4 2 2" xfId="8317"/>
    <cellStyle name="Вычисление 2 4 2 2 2" xfId="8318"/>
    <cellStyle name="Вычисление 2 4 2 2 3" xfId="8319"/>
    <cellStyle name="Вычисление 2 4 2 2 4" xfId="8320"/>
    <cellStyle name="Вычисление 2 4 2 3" xfId="8321"/>
    <cellStyle name="Вычисление 2 4 2 4" xfId="8322"/>
    <cellStyle name="Вычисление 2 4 2 5" xfId="8323"/>
    <cellStyle name="Вычисление 2 4 2 6" xfId="8324"/>
    <cellStyle name="Вычисление 2 4 3" xfId="8325"/>
    <cellStyle name="Вычисление 2 4 3 2" xfId="8326"/>
    <cellStyle name="Вычисление 2 4 3 2 2" xfId="8327"/>
    <cellStyle name="Вычисление 2 4 3 2 3" xfId="8328"/>
    <cellStyle name="Вычисление 2 4 3 2 4" xfId="8329"/>
    <cellStyle name="Вычисление 2 4 3 3" xfId="8330"/>
    <cellStyle name="Вычисление 2 4 3 4" xfId="8331"/>
    <cellStyle name="Вычисление 2 4 3 5" xfId="8332"/>
    <cellStyle name="Вычисление 2 4 3 6" xfId="8333"/>
    <cellStyle name="Вычисление 2 4 4" xfId="8334"/>
    <cellStyle name="Вычисление 2 4 4 2" xfId="8335"/>
    <cellStyle name="Вычисление 2 4 4 3" xfId="8336"/>
    <cellStyle name="Вычисление 2 4 4 4" xfId="8337"/>
    <cellStyle name="Вычисление 2 4 5" xfId="8338"/>
    <cellStyle name="Вычисление 2 4 6" xfId="8339"/>
    <cellStyle name="Вычисление 2 4 7" xfId="8340"/>
    <cellStyle name="Вычисление 2 4 8" xfId="8341"/>
    <cellStyle name="Вычисление 2 4 9" xfId="8342"/>
    <cellStyle name="Вычисление 2 5" xfId="8343"/>
    <cellStyle name="Вычисление 2 5 2" xfId="8344"/>
    <cellStyle name="Вычисление 2 5 3" xfId="8345"/>
    <cellStyle name="Вычисление 2 5 4" xfId="8346"/>
    <cellStyle name="Вычисление 2 5 5" xfId="8347"/>
    <cellStyle name="Вычисление 2 5 6" xfId="8348"/>
    <cellStyle name="Вычисление 2 5 7" xfId="8349"/>
    <cellStyle name="Вычисление 2 5 8" xfId="8350"/>
    <cellStyle name="Вычисление 2 6" xfId="8351"/>
    <cellStyle name="Вычисление 2 6 2" xfId="8352"/>
    <cellStyle name="Вычисление 2 6 3" xfId="8353"/>
    <cellStyle name="Вычисление 2 6 4" xfId="8354"/>
    <cellStyle name="Вычисление 2 6 5" xfId="8355"/>
    <cellStyle name="Вычисление 2 6 6" xfId="8356"/>
    <cellStyle name="Вычисление 2 6 7" xfId="8357"/>
    <cellStyle name="Вычисление 2 6 8" xfId="8358"/>
    <cellStyle name="Вычисление 2 7" xfId="8359"/>
    <cellStyle name="Вычисление 2 7 2" xfId="8360"/>
    <cellStyle name="Вычисление 2 7 3" xfId="8361"/>
    <cellStyle name="Вычисление 2 7 4" xfId="8362"/>
    <cellStyle name="Вычисление 2 7 5" xfId="8363"/>
    <cellStyle name="Вычисление 2 7 6" xfId="8364"/>
    <cellStyle name="Вычисление 2 7 7" xfId="8365"/>
    <cellStyle name="Вычисление 2 7 8" xfId="8366"/>
    <cellStyle name="Вычисление 2 8" xfId="8367"/>
    <cellStyle name="Вычисление 2 8 2" xfId="8368"/>
    <cellStyle name="Вычисление 2 8 3" xfId="8369"/>
    <cellStyle name="Вычисление 2 8 4" xfId="8370"/>
    <cellStyle name="Вычисление 2 9" xfId="8371"/>
    <cellStyle name="Вычисление 3" xfId="8372"/>
    <cellStyle name="Вычисление 3 10" xfId="8373"/>
    <cellStyle name="Вычисление 3 11" xfId="8374"/>
    <cellStyle name="Вычисление 3 12" xfId="8375"/>
    <cellStyle name="Вычисление 3 13" xfId="8376"/>
    <cellStyle name="Вычисление 3 14" xfId="8377"/>
    <cellStyle name="Вычисление 3 2" xfId="8378"/>
    <cellStyle name="Вычисление 3 2 10" xfId="8379"/>
    <cellStyle name="Вычисление 3 2 11" xfId="8380"/>
    <cellStyle name="Вычисление 3 2 12" xfId="8381"/>
    <cellStyle name="Вычисление 3 2 2" xfId="8382"/>
    <cellStyle name="Вычисление 3 2 2 2" xfId="8383"/>
    <cellStyle name="Вычисление 3 2 2 2 2" xfId="8384"/>
    <cellStyle name="Вычисление 3 2 2 2 3" xfId="8385"/>
    <cellStyle name="Вычисление 3 2 2 2 4" xfId="8386"/>
    <cellStyle name="Вычисление 3 2 2 3" xfId="8387"/>
    <cellStyle name="Вычисление 3 2 2 4" xfId="8388"/>
    <cellStyle name="Вычисление 3 2 2 5" xfId="8389"/>
    <cellStyle name="Вычисление 3 2 2 6" xfId="8390"/>
    <cellStyle name="Вычисление 3 2 3" xfId="8391"/>
    <cellStyle name="Вычисление 3 2 3 2" xfId="8392"/>
    <cellStyle name="Вычисление 3 2 3 2 2" xfId="8393"/>
    <cellStyle name="Вычисление 3 2 3 2 3" xfId="8394"/>
    <cellStyle name="Вычисление 3 2 3 2 4" xfId="8395"/>
    <cellStyle name="Вычисление 3 2 3 3" xfId="8396"/>
    <cellStyle name="Вычисление 3 2 3 4" xfId="8397"/>
    <cellStyle name="Вычисление 3 2 3 5" xfId="8398"/>
    <cellStyle name="Вычисление 3 2 3 6" xfId="8399"/>
    <cellStyle name="Вычисление 3 2 4" xfId="8400"/>
    <cellStyle name="Вычисление 3 2 4 2" xfId="8401"/>
    <cellStyle name="Вычисление 3 2 4 2 2" xfId="8402"/>
    <cellStyle name="Вычисление 3 2 4 2 3" xfId="8403"/>
    <cellStyle name="Вычисление 3 2 4 2 4" xfId="8404"/>
    <cellStyle name="Вычисление 3 2 4 3" xfId="8405"/>
    <cellStyle name="Вычисление 3 2 4 4" xfId="8406"/>
    <cellStyle name="Вычисление 3 2 4 5" xfId="8407"/>
    <cellStyle name="Вычисление 3 2 4 6" xfId="8408"/>
    <cellStyle name="Вычисление 3 2 5" xfId="8409"/>
    <cellStyle name="Вычисление 3 2 5 2" xfId="8410"/>
    <cellStyle name="Вычисление 3 2 5 3" xfId="8411"/>
    <cellStyle name="Вычисление 3 2 5 4" xfId="8412"/>
    <cellStyle name="Вычисление 3 2 6" xfId="8413"/>
    <cellStyle name="Вычисление 3 2 7" xfId="8414"/>
    <cellStyle name="Вычисление 3 2 8" xfId="8415"/>
    <cellStyle name="Вычисление 3 2 9" xfId="8416"/>
    <cellStyle name="Вычисление 3 3" xfId="8417"/>
    <cellStyle name="Вычисление 3 3 10" xfId="8418"/>
    <cellStyle name="Вычисление 3 3 11" xfId="8419"/>
    <cellStyle name="Вычисление 3 3 2" xfId="8420"/>
    <cellStyle name="Вычисление 3 3 2 2" xfId="8421"/>
    <cellStyle name="Вычисление 3 3 2 2 2" xfId="8422"/>
    <cellStyle name="Вычисление 3 3 2 2 3" xfId="8423"/>
    <cellStyle name="Вычисление 3 3 2 2 4" xfId="8424"/>
    <cellStyle name="Вычисление 3 3 2 3" xfId="8425"/>
    <cellStyle name="Вычисление 3 3 2 4" xfId="8426"/>
    <cellStyle name="Вычисление 3 3 2 5" xfId="8427"/>
    <cellStyle name="Вычисление 3 3 2 6" xfId="8428"/>
    <cellStyle name="Вычисление 3 3 3" xfId="8429"/>
    <cellStyle name="Вычисление 3 3 3 2" xfId="8430"/>
    <cellStyle name="Вычисление 3 3 3 2 2" xfId="8431"/>
    <cellStyle name="Вычисление 3 3 3 2 3" xfId="8432"/>
    <cellStyle name="Вычисление 3 3 3 2 4" xfId="8433"/>
    <cellStyle name="Вычисление 3 3 3 3" xfId="8434"/>
    <cellStyle name="Вычисление 3 3 3 4" xfId="8435"/>
    <cellStyle name="Вычисление 3 3 3 5" xfId="8436"/>
    <cellStyle name="Вычисление 3 3 3 6" xfId="8437"/>
    <cellStyle name="Вычисление 3 3 4" xfId="8438"/>
    <cellStyle name="Вычисление 3 3 4 2" xfId="8439"/>
    <cellStyle name="Вычисление 3 3 4 3" xfId="8440"/>
    <cellStyle name="Вычисление 3 3 4 4" xfId="8441"/>
    <cellStyle name="Вычисление 3 3 5" xfId="8442"/>
    <cellStyle name="Вычисление 3 3 6" xfId="8443"/>
    <cellStyle name="Вычисление 3 3 7" xfId="8444"/>
    <cellStyle name="Вычисление 3 3 8" xfId="8445"/>
    <cellStyle name="Вычисление 3 3 9" xfId="8446"/>
    <cellStyle name="Вычисление 3 4" xfId="8447"/>
    <cellStyle name="Вычисление 3 4 2" xfId="8448"/>
    <cellStyle name="Вычисление 3 4 3" xfId="8449"/>
    <cellStyle name="Вычисление 3 4 4" xfId="8450"/>
    <cellStyle name="Вычисление 3 4 5" xfId="8451"/>
    <cellStyle name="Вычисление 3 4 6" xfId="8452"/>
    <cellStyle name="Вычисление 3 4 7" xfId="8453"/>
    <cellStyle name="Вычисление 3 4 8" xfId="8454"/>
    <cellStyle name="Вычисление 3 5" xfId="8455"/>
    <cellStyle name="Вычисление 3 5 2" xfId="8456"/>
    <cellStyle name="Вычисление 3 5 3" xfId="8457"/>
    <cellStyle name="Вычисление 3 5 4" xfId="8458"/>
    <cellStyle name="Вычисление 3 5 5" xfId="8459"/>
    <cellStyle name="Вычисление 3 5 6" xfId="8460"/>
    <cellStyle name="Вычисление 3 5 7" xfId="8461"/>
    <cellStyle name="Вычисление 3 5 8" xfId="8462"/>
    <cellStyle name="Вычисление 3 6" xfId="8463"/>
    <cellStyle name="Вычисление 3 6 2" xfId="8464"/>
    <cellStyle name="Вычисление 3 6 3" xfId="8465"/>
    <cellStyle name="Вычисление 3 6 4" xfId="8466"/>
    <cellStyle name="Вычисление 3 6 5" xfId="8467"/>
    <cellStyle name="Вычисление 3 6 6" xfId="8468"/>
    <cellStyle name="Вычисление 3 6 7" xfId="8469"/>
    <cellStyle name="Вычисление 3 6 8" xfId="8470"/>
    <cellStyle name="Вычисление 3 7" xfId="8471"/>
    <cellStyle name="Вычисление 3 7 2" xfId="8472"/>
    <cellStyle name="Вычисление 3 7 3" xfId="8473"/>
    <cellStyle name="Вычисление 3 7 4" xfId="8474"/>
    <cellStyle name="Вычисление 3 8" xfId="8475"/>
    <cellStyle name="Вычисление 3 9" xfId="8476"/>
    <cellStyle name="Вычисление 4" xfId="8477"/>
    <cellStyle name="Вычисление 4 10" xfId="8478"/>
    <cellStyle name="Вычисление 4 11" xfId="8479"/>
    <cellStyle name="Вычисление 4 12" xfId="8480"/>
    <cellStyle name="Вычисление 4 13" xfId="8481"/>
    <cellStyle name="Вычисление 4 14" xfId="8482"/>
    <cellStyle name="Вычисление 4 2" xfId="8483"/>
    <cellStyle name="Вычисление 4 2 10" xfId="8484"/>
    <cellStyle name="Вычисление 4 2 11" xfId="8485"/>
    <cellStyle name="Вычисление 4 2 12" xfId="8486"/>
    <cellStyle name="Вычисление 4 2 2" xfId="8487"/>
    <cellStyle name="Вычисление 4 2 2 2" xfId="8488"/>
    <cellStyle name="Вычисление 4 2 2 2 2" xfId="8489"/>
    <cellStyle name="Вычисление 4 2 2 2 3" xfId="8490"/>
    <cellStyle name="Вычисление 4 2 2 2 4" xfId="8491"/>
    <cellStyle name="Вычисление 4 2 2 3" xfId="8492"/>
    <cellStyle name="Вычисление 4 2 2 4" xfId="8493"/>
    <cellStyle name="Вычисление 4 2 2 5" xfId="8494"/>
    <cellStyle name="Вычисление 4 2 2 6" xfId="8495"/>
    <cellStyle name="Вычисление 4 2 3" xfId="8496"/>
    <cellStyle name="Вычисление 4 2 3 2" xfId="8497"/>
    <cellStyle name="Вычисление 4 2 3 2 2" xfId="8498"/>
    <cellStyle name="Вычисление 4 2 3 2 3" xfId="8499"/>
    <cellStyle name="Вычисление 4 2 3 2 4" xfId="8500"/>
    <cellStyle name="Вычисление 4 2 3 3" xfId="8501"/>
    <cellStyle name="Вычисление 4 2 3 4" xfId="8502"/>
    <cellStyle name="Вычисление 4 2 3 5" xfId="8503"/>
    <cellStyle name="Вычисление 4 2 3 6" xfId="8504"/>
    <cellStyle name="Вычисление 4 2 4" xfId="8505"/>
    <cellStyle name="Вычисление 4 2 4 2" xfId="8506"/>
    <cellStyle name="Вычисление 4 2 4 2 2" xfId="8507"/>
    <cellStyle name="Вычисление 4 2 4 2 3" xfId="8508"/>
    <cellStyle name="Вычисление 4 2 4 2 4" xfId="8509"/>
    <cellStyle name="Вычисление 4 2 4 3" xfId="8510"/>
    <cellStyle name="Вычисление 4 2 4 4" xfId="8511"/>
    <cellStyle name="Вычисление 4 2 4 5" xfId="8512"/>
    <cellStyle name="Вычисление 4 2 4 6" xfId="8513"/>
    <cellStyle name="Вычисление 4 2 5" xfId="8514"/>
    <cellStyle name="Вычисление 4 2 5 2" xfId="8515"/>
    <cellStyle name="Вычисление 4 2 5 3" xfId="8516"/>
    <cellStyle name="Вычисление 4 2 5 4" xfId="8517"/>
    <cellStyle name="Вычисление 4 2 6" xfId="8518"/>
    <cellStyle name="Вычисление 4 2 7" xfId="8519"/>
    <cellStyle name="Вычисление 4 2 8" xfId="8520"/>
    <cellStyle name="Вычисление 4 2 9" xfId="8521"/>
    <cellStyle name="Вычисление 4 3" xfId="8522"/>
    <cellStyle name="Вычисление 4 3 10" xfId="8523"/>
    <cellStyle name="Вычисление 4 3 11" xfId="8524"/>
    <cellStyle name="Вычисление 4 3 2" xfId="8525"/>
    <cellStyle name="Вычисление 4 3 2 2" xfId="8526"/>
    <cellStyle name="Вычисление 4 3 2 2 2" xfId="8527"/>
    <cellStyle name="Вычисление 4 3 2 2 3" xfId="8528"/>
    <cellStyle name="Вычисление 4 3 2 2 4" xfId="8529"/>
    <cellStyle name="Вычисление 4 3 2 3" xfId="8530"/>
    <cellStyle name="Вычисление 4 3 2 4" xfId="8531"/>
    <cellStyle name="Вычисление 4 3 2 5" xfId="8532"/>
    <cellStyle name="Вычисление 4 3 2 6" xfId="8533"/>
    <cellStyle name="Вычисление 4 3 3" xfId="8534"/>
    <cellStyle name="Вычисление 4 3 3 2" xfId="8535"/>
    <cellStyle name="Вычисление 4 3 3 2 2" xfId="8536"/>
    <cellStyle name="Вычисление 4 3 3 2 3" xfId="8537"/>
    <cellStyle name="Вычисление 4 3 3 2 4" xfId="8538"/>
    <cellStyle name="Вычисление 4 3 3 3" xfId="8539"/>
    <cellStyle name="Вычисление 4 3 3 4" xfId="8540"/>
    <cellStyle name="Вычисление 4 3 3 5" xfId="8541"/>
    <cellStyle name="Вычисление 4 3 3 6" xfId="8542"/>
    <cellStyle name="Вычисление 4 3 4" xfId="8543"/>
    <cellStyle name="Вычисление 4 3 4 2" xfId="8544"/>
    <cellStyle name="Вычисление 4 3 4 3" xfId="8545"/>
    <cellStyle name="Вычисление 4 3 4 4" xfId="8546"/>
    <cellStyle name="Вычисление 4 3 5" xfId="8547"/>
    <cellStyle name="Вычисление 4 3 6" xfId="8548"/>
    <cellStyle name="Вычисление 4 3 7" xfId="8549"/>
    <cellStyle name="Вычисление 4 3 8" xfId="8550"/>
    <cellStyle name="Вычисление 4 3 9" xfId="8551"/>
    <cellStyle name="Вычисление 4 4" xfId="8552"/>
    <cellStyle name="Вычисление 4 4 2" xfId="8553"/>
    <cellStyle name="Вычисление 4 4 3" xfId="8554"/>
    <cellStyle name="Вычисление 4 4 4" xfId="8555"/>
    <cellStyle name="Вычисление 4 4 5" xfId="8556"/>
    <cellStyle name="Вычисление 4 4 6" xfId="8557"/>
    <cellStyle name="Вычисление 4 4 7" xfId="8558"/>
    <cellStyle name="Вычисление 4 4 8" xfId="8559"/>
    <cellStyle name="Вычисление 4 5" xfId="8560"/>
    <cellStyle name="Вычисление 4 5 2" xfId="8561"/>
    <cellStyle name="Вычисление 4 5 3" xfId="8562"/>
    <cellStyle name="Вычисление 4 5 4" xfId="8563"/>
    <cellStyle name="Вычисление 4 5 5" xfId="8564"/>
    <cellStyle name="Вычисление 4 5 6" xfId="8565"/>
    <cellStyle name="Вычисление 4 5 7" xfId="8566"/>
    <cellStyle name="Вычисление 4 5 8" xfId="8567"/>
    <cellStyle name="Вычисление 4 6" xfId="8568"/>
    <cellStyle name="Вычисление 4 6 2" xfId="8569"/>
    <cellStyle name="Вычисление 4 6 3" xfId="8570"/>
    <cellStyle name="Вычисление 4 6 4" xfId="8571"/>
    <cellStyle name="Вычисление 4 6 5" xfId="8572"/>
    <cellStyle name="Вычисление 4 6 6" xfId="8573"/>
    <cellStyle name="Вычисление 4 6 7" xfId="8574"/>
    <cellStyle name="Вычисление 4 6 8" xfId="8575"/>
    <cellStyle name="Вычисление 4 7" xfId="8576"/>
    <cellStyle name="Вычисление 4 7 2" xfId="8577"/>
    <cellStyle name="Вычисление 4 7 3" xfId="8578"/>
    <cellStyle name="Вычисление 4 7 4" xfId="8579"/>
    <cellStyle name="Вычисление 4 8" xfId="8580"/>
    <cellStyle name="Вычисление 4 9" xfId="8581"/>
    <cellStyle name="Вычисление 5" xfId="8582"/>
    <cellStyle name="Вычисление 5 10" xfId="8583"/>
    <cellStyle name="Вычисление 5 11" xfId="8584"/>
    <cellStyle name="Вычисление 5 12" xfId="8585"/>
    <cellStyle name="Вычисление 5 13" xfId="8586"/>
    <cellStyle name="Вычисление 5 14" xfId="8587"/>
    <cellStyle name="Вычисление 5 2" xfId="8588"/>
    <cellStyle name="Вычисление 5 2 10" xfId="8589"/>
    <cellStyle name="Вычисление 5 2 11" xfId="8590"/>
    <cellStyle name="Вычисление 5 2 12" xfId="8591"/>
    <cellStyle name="Вычисление 5 2 2" xfId="8592"/>
    <cellStyle name="Вычисление 5 2 2 2" xfId="8593"/>
    <cellStyle name="Вычисление 5 2 2 2 2" xfId="8594"/>
    <cellStyle name="Вычисление 5 2 2 2 3" xfId="8595"/>
    <cellStyle name="Вычисление 5 2 2 2 4" xfId="8596"/>
    <cellStyle name="Вычисление 5 2 2 3" xfId="8597"/>
    <cellStyle name="Вычисление 5 2 2 4" xfId="8598"/>
    <cellStyle name="Вычисление 5 2 2 5" xfId="8599"/>
    <cellStyle name="Вычисление 5 2 2 6" xfId="8600"/>
    <cellStyle name="Вычисление 5 2 3" xfId="8601"/>
    <cellStyle name="Вычисление 5 2 3 2" xfId="8602"/>
    <cellStyle name="Вычисление 5 2 3 2 2" xfId="8603"/>
    <cellStyle name="Вычисление 5 2 3 2 3" xfId="8604"/>
    <cellStyle name="Вычисление 5 2 3 2 4" xfId="8605"/>
    <cellStyle name="Вычисление 5 2 3 3" xfId="8606"/>
    <cellStyle name="Вычисление 5 2 3 4" xfId="8607"/>
    <cellStyle name="Вычисление 5 2 3 5" xfId="8608"/>
    <cellStyle name="Вычисление 5 2 3 6" xfId="8609"/>
    <cellStyle name="Вычисление 5 2 4" xfId="8610"/>
    <cellStyle name="Вычисление 5 2 4 2" xfId="8611"/>
    <cellStyle name="Вычисление 5 2 4 2 2" xfId="8612"/>
    <cellStyle name="Вычисление 5 2 4 2 3" xfId="8613"/>
    <cellStyle name="Вычисление 5 2 4 2 4" xfId="8614"/>
    <cellStyle name="Вычисление 5 2 4 3" xfId="8615"/>
    <cellStyle name="Вычисление 5 2 4 4" xfId="8616"/>
    <cellStyle name="Вычисление 5 2 4 5" xfId="8617"/>
    <cellStyle name="Вычисление 5 2 4 6" xfId="8618"/>
    <cellStyle name="Вычисление 5 2 5" xfId="8619"/>
    <cellStyle name="Вычисление 5 2 5 2" xfId="8620"/>
    <cellStyle name="Вычисление 5 2 5 3" xfId="8621"/>
    <cellStyle name="Вычисление 5 2 5 4" xfId="8622"/>
    <cellStyle name="Вычисление 5 2 6" xfId="8623"/>
    <cellStyle name="Вычисление 5 2 7" xfId="8624"/>
    <cellStyle name="Вычисление 5 2 8" xfId="8625"/>
    <cellStyle name="Вычисление 5 2 9" xfId="8626"/>
    <cellStyle name="Вычисление 5 3" xfId="8627"/>
    <cellStyle name="Вычисление 5 3 10" xfId="8628"/>
    <cellStyle name="Вычисление 5 3 11" xfId="8629"/>
    <cellStyle name="Вычисление 5 3 2" xfId="8630"/>
    <cellStyle name="Вычисление 5 3 2 2" xfId="8631"/>
    <cellStyle name="Вычисление 5 3 2 2 2" xfId="8632"/>
    <cellStyle name="Вычисление 5 3 2 2 3" xfId="8633"/>
    <cellStyle name="Вычисление 5 3 2 2 4" xfId="8634"/>
    <cellStyle name="Вычисление 5 3 2 3" xfId="8635"/>
    <cellStyle name="Вычисление 5 3 2 4" xfId="8636"/>
    <cellStyle name="Вычисление 5 3 2 5" xfId="8637"/>
    <cellStyle name="Вычисление 5 3 2 6" xfId="8638"/>
    <cellStyle name="Вычисление 5 3 3" xfId="8639"/>
    <cellStyle name="Вычисление 5 3 3 2" xfId="8640"/>
    <cellStyle name="Вычисление 5 3 3 2 2" xfId="8641"/>
    <cellStyle name="Вычисление 5 3 3 2 3" xfId="8642"/>
    <cellStyle name="Вычисление 5 3 3 2 4" xfId="8643"/>
    <cellStyle name="Вычисление 5 3 3 3" xfId="8644"/>
    <cellStyle name="Вычисление 5 3 3 4" xfId="8645"/>
    <cellStyle name="Вычисление 5 3 3 5" xfId="8646"/>
    <cellStyle name="Вычисление 5 3 3 6" xfId="8647"/>
    <cellStyle name="Вычисление 5 3 4" xfId="8648"/>
    <cellStyle name="Вычисление 5 3 4 2" xfId="8649"/>
    <cellStyle name="Вычисление 5 3 4 3" xfId="8650"/>
    <cellStyle name="Вычисление 5 3 4 4" xfId="8651"/>
    <cellStyle name="Вычисление 5 3 5" xfId="8652"/>
    <cellStyle name="Вычисление 5 3 6" xfId="8653"/>
    <cellStyle name="Вычисление 5 3 7" xfId="8654"/>
    <cellStyle name="Вычисление 5 3 8" xfId="8655"/>
    <cellStyle name="Вычисление 5 3 9" xfId="8656"/>
    <cellStyle name="Вычисление 5 4" xfId="8657"/>
    <cellStyle name="Вычисление 5 4 2" xfId="8658"/>
    <cellStyle name="Вычисление 5 4 3" xfId="8659"/>
    <cellStyle name="Вычисление 5 4 4" xfId="8660"/>
    <cellStyle name="Вычисление 5 4 5" xfId="8661"/>
    <cellStyle name="Вычисление 5 4 6" xfId="8662"/>
    <cellStyle name="Вычисление 5 4 7" xfId="8663"/>
    <cellStyle name="Вычисление 5 4 8" xfId="8664"/>
    <cellStyle name="Вычисление 5 5" xfId="8665"/>
    <cellStyle name="Вычисление 5 5 2" xfId="8666"/>
    <cellStyle name="Вычисление 5 5 3" xfId="8667"/>
    <cellStyle name="Вычисление 5 5 4" xfId="8668"/>
    <cellStyle name="Вычисление 5 5 5" xfId="8669"/>
    <cellStyle name="Вычисление 5 5 6" xfId="8670"/>
    <cellStyle name="Вычисление 5 5 7" xfId="8671"/>
    <cellStyle name="Вычисление 5 5 8" xfId="8672"/>
    <cellStyle name="Вычисление 5 6" xfId="8673"/>
    <cellStyle name="Вычисление 5 6 2" xfId="8674"/>
    <cellStyle name="Вычисление 5 6 3" xfId="8675"/>
    <cellStyle name="Вычисление 5 6 4" xfId="8676"/>
    <cellStyle name="Вычисление 5 6 5" xfId="8677"/>
    <cellStyle name="Вычисление 5 6 6" xfId="8678"/>
    <cellStyle name="Вычисление 5 6 7" xfId="8679"/>
    <cellStyle name="Вычисление 5 6 8" xfId="8680"/>
    <cellStyle name="Вычисление 5 7" xfId="8681"/>
    <cellStyle name="Вычисление 5 7 2" xfId="8682"/>
    <cellStyle name="Вычисление 5 7 3" xfId="8683"/>
    <cellStyle name="Вычисление 5 7 4" xfId="8684"/>
    <cellStyle name="Вычисление 5 8" xfId="8685"/>
    <cellStyle name="Вычисление 5 9" xfId="8686"/>
    <cellStyle name="Вычисление 6" xfId="8687"/>
    <cellStyle name="Вычисление 6 10" xfId="8688"/>
    <cellStyle name="Вычисление 6 11" xfId="8689"/>
    <cellStyle name="Вычисление 6 12" xfId="8690"/>
    <cellStyle name="Вычисление 6 13" xfId="8691"/>
    <cellStyle name="Вычисление 6 14" xfId="8692"/>
    <cellStyle name="Вычисление 6 2" xfId="8693"/>
    <cellStyle name="Вычисление 6 2 10" xfId="8694"/>
    <cellStyle name="Вычисление 6 2 11" xfId="8695"/>
    <cellStyle name="Вычисление 6 2 12" xfId="8696"/>
    <cellStyle name="Вычисление 6 2 2" xfId="8697"/>
    <cellStyle name="Вычисление 6 2 2 2" xfId="8698"/>
    <cellStyle name="Вычисление 6 2 2 2 2" xfId="8699"/>
    <cellStyle name="Вычисление 6 2 2 2 3" xfId="8700"/>
    <cellStyle name="Вычисление 6 2 2 2 4" xfId="8701"/>
    <cellStyle name="Вычисление 6 2 2 3" xfId="8702"/>
    <cellStyle name="Вычисление 6 2 2 4" xfId="8703"/>
    <cellStyle name="Вычисление 6 2 2 5" xfId="8704"/>
    <cellStyle name="Вычисление 6 2 2 6" xfId="8705"/>
    <cellStyle name="Вычисление 6 2 3" xfId="8706"/>
    <cellStyle name="Вычисление 6 2 3 2" xfId="8707"/>
    <cellStyle name="Вычисление 6 2 3 2 2" xfId="8708"/>
    <cellStyle name="Вычисление 6 2 3 2 3" xfId="8709"/>
    <cellStyle name="Вычисление 6 2 3 2 4" xfId="8710"/>
    <cellStyle name="Вычисление 6 2 3 3" xfId="8711"/>
    <cellStyle name="Вычисление 6 2 3 4" xfId="8712"/>
    <cellStyle name="Вычисление 6 2 3 5" xfId="8713"/>
    <cellStyle name="Вычисление 6 2 3 6" xfId="8714"/>
    <cellStyle name="Вычисление 6 2 4" xfId="8715"/>
    <cellStyle name="Вычисление 6 2 4 2" xfId="8716"/>
    <cellStyle name="Вычисление 6 2 4 2 2" xfId="8717"/>
    <cellStyle name="Вычисление 6 2 4 2 3" xfId="8718"/>
    <cellStyle name="Вычисление 6 2 4 2 4" xfId="8719"/>
    <cellStyle name="Вычисление 6 2 4 3" xfId="8720"/>
    <cellStyle name="Вычисление 6 2 4 4" xfId="8721"/>
    <cellStyle name="Вычисление 6 2 4 5" xfId="8722"/>
    <cellStyle name="Вычисление 6 2 4 6" xfId="8723"/>
    <cellStyle name="Вычисление 6 2 5" xfId="8724"/>
    <cellStyle name="Вычисление 6 2 5 2" xfId="8725"/>
    <cellStyle name="Вычисление 6 2 5 3" xfId="8726"/>
    <cellStyle name="Вычисление 6 2 5 4" xfId="8727"/>
    <cellStyle name="Вычисление 6 2 6" xfId="8728"/>
    <cellStyle name="Вычисление 6 2 7" xfId="8729"/>
    <cellStyle name="Вычисление 6 2 8" xfId="8730"/>
    <cellStyle name="Вычисление 6 2 9" xfId="8731"/>
    <cellStyle name="Вычисление 6 3" xfId="8732"/>
    <cellStyle name="Вычисление 6 3 10" xfId="8733"/>
    <cellStyle name="Вычисление 6 3 11" xfId="8734"/>
    <cellStyle name="Вычисление 6 3 2" xfId="8735"/>
    <cellStyle name="Вычисление 6 3 2 2" xfId="8736"/>
    <cellStyle name="Вычисление 6 3 2 2 2" xfId="8737"/>
    <cellStyle name="Вычисление 6 3 2 2 3" xfId="8738"/>
    <cellStyle name="Вычисление 6 3 2 2 4" xfId="8739"/>
    <cellStyle name="Вычисление 6 3 2 3" xfId="8740"/>
    <cellStyle name="Вычисление 6 3 2 4" xfId="8741"/>
    <cellStyle name="Вычисление 6 3 2 5" xfId="8742"/>
    <cellStyle name="Вычисление 6 3 2 6" xfId="8743"/>
    <cellStyle name="Вычисление 6 3 3" xfId="8744"/>
    <cellStyle name="Вычисление 6 3 3 2" xfId="8745"/>
    <cellStyle name="Вычисление 6 3 3 2 2" xfId="8746"/>
    <cellStyle name="Вычисление 6 3 3 2 3" xfId="8747"/>
    <cellStyle name="Вычисление 6 3 3 2 4" xfId="8748"/>
    <cellStyle name="Вычисление 6 3 3 3" xfId="8749"/>
    <cellStyle name="Вычисление 6 3 3 4" xfId="8750"/>
    <cellStyle name="Вычисление 6 3 3 5" xfId="8751"/>
    <cellStyle name="Вычисление 6 3 3 6" xfId="8752"/>
    <cellStyle name="Вычисление 6 3 4" xfId="8753"/>
    <cellStyle name="Вычисление 6 3 4 2" xfId="8754"/>
    <cellStyle name="Вычисление 6 3 4 3" xfId="8755"/>
    <cellStyle name="Вычисление 6 3 4 4" xfId="8756"/>
    <cellStyle name="Вычисление 6 3 5" xfId="8757"/>
    <cellStyle name="Вычисление 6 3 6" xfId="8758"/>
    <cellStyle name="Вычисление 6 3 7" xfId="8759"/>
    <cellStyle name="Вычисление 6 3 8" xfId="8760"/>
    <cellStyle name="Вычисление 6 3 9" xfId="8761"/>
    <cellStyle name="Вычисление 6 4" xfId="8762"/>
    <cellStyle name="Вычисление 6 4 2" xfId="8763"/>
    <cellStyle name="Вычисление 6 4 3" xfId="8764"/>
    <cellStyle name="Вычисление 6 4 4" xfId="8765"/>
    <cellStyle name="Вычисление 6 4 5" xfId="8766"/>
    <cellStyle name="Вычисление 6 4 6" xfId="8767"/>
    <cellStyle name="Вычисление 6 4 7" xfId="8768"/>
    <cellStyle name="Вычисление 6 4 8" xfId="8769"/>
    <cellStyle name="Вычисление 6 5" xfId="8770"/>
    <cellStyle name="Вычисление 6 5 2" xfId="8771"/>
    <cellStyle name="Вычисление 6 5 3" xfId="8772"/>
    <cellStyle name="Вычисление 6 5 4" xfId="8773"/>
    <cellStyle name="Вычисление 6 5 5" xfId="8774"/>
    <cellStyle name="Вычисление 6 5 6" xfId="8775"/>
    <cellStyle name="Вычисление 6 5 7" xfId="8776"/>
    <cellStyle name="Вычисление 6 5 8" xfId="8777"/>
    <cellStyle name="Вычисление 6 6" xfId="8778"/>
    <cellStyle name="Вычисление 6 6 2" xfId="8779"/>
    <cellStyle name="Вычисление 6 6 3" xfId="8780"/>
    <cellStyle name="Вычисление 6 6 4" xfId="8781"/>
    <cellStyle name="Вычисление 6 6 5" xfId="8782"/>
    <cellStyle name="Вычисление 6 6 6" xfId="8783"/>
    <cellStyle name="Вычисление 6 6 7" xfId="8784"/>
    <cellStyle name="Вычисление 6 6 8" xfId="8785"/>
    <cellStyle name="Вычисление 6 7" xfId="8786"/>
    <cellStyle name="Вычисление 6 7 2" xfId="8787"/>
    <cellStyle name="Вычисление 6 7 3" xfId="8788"/>
    <cellStyle name="Вычисление 6 7 4" xfId="8789"/>
    <cellStyle name="Вычисление 6 8" xfId="8790"/>
    <cellStyle name="Вычисление 6 9" xfId="8791"/>
    <cellStyle name="Гиперссылка" xfId="23835" builtinId="8"/>
    <cellStyle name="Гиперссылка 2" xfId="8792"/>
    <cellStyle name="Гиперссылка 2 10" xfId="8793"/>
    <cellStyle name="Гиперссылка 2 10 2" xfId="8794"/>
    <cellStyle name="Гиперссылка 2 10 2 2" xfId="8795"/>
    <cellStyle name="Гиперссылка 2 10 2 2 2" xfId="8796"/>
    <cellStyle name="Гиперссылка 2 10 2 2 3" xfId="8797"/>
    <cellStyle name="Гиперссылка 2 10 2 2 4" xfId="8798"/>
    <cellStyle name="Гиперссылка 2 10 2 2 5" xfId="8799"/>
    <cellStyle name="Гиперссылка 2 10 2 2 6" xfId="8800"/>
    <cellStyle name="Гиперссылка 2 10 2 3" xfId="8801"/>
    <cellStyle name="Гиперссылка 2 10 2 3 2" xfId="8802"/>
    <cellStyle name="Гиперссылка 2 10 2 3 3" xfId="8803"/>
    <cellStyle name="Гиперссылка 2 10 2 3 4" xfId="8804"/>
    <cellStyle name="Гиперссылка 2 10 2 3 5" xfId="8805"/>
    <cellStyle name="Гиперссылка 2 10 2 3 6" xfId="8806"/>
    <cellStyle name="Гиперссылка 2 10 2 4" xfId="8807"/>
    <cellStyle name="Гиперссылка 2 10 2 5" xfId="8808"/>
    <cellStyle name="Гиперссылка 2 10 2 6" xfId="8809"/>
    <cellStyle name="Гиперссылка 2 10 2 7" xfId="8810"/>
    <cellStyle name="Гиперссылка 2 10 2 8" xfId="8811"/>
    <cellStyle name="Гиперссылка 2 10 3" xfId="8812"/>
    <cellStyle name="Гиперссылка 2 10 3 2" xfId="8813"/>
    <cellStyle name="Гиперссылка 2 10 3 3" xfId="8814"/>
    <cellStyle name="Гиперссылка 2 10 3 4" xfId="8815"/>
    <cellStyle name="Гиперссылка 2 10 3 5" xfId="8816"/>
    <cellStyle name="Гиперссылка 2 10 3 6" xfId="8817"/>
    <cellStyle name="Гиперссылка 2 10 4" xfId="8818"/>
    <cellStyle name="Гиперссылка 2 10 4 2" xfId="8819"/>
    <cellStyle name="Гиперссылка 2 10 4 3" xfId="8820"/>
    <cellStyle name="Гиперссылка 2 10 4 4" xfId="8821"/>
    <cellStyle name="Гиперссылка 2 10 4 5" xfId="8822"/>
    <cellStyle name="Гиперссылка 2 10 5" xfId="8823"/>
    <cellStyle name="Гиперссылка 2 10 6" xfId="8824"/>
    <cellStyle name="Гиперссылка 2 10 7" xfId="8825"/>
    <cellStyle name="Гиперссылка 2 10 8" xfId="8826"/>
    <cellStyle name="Гиперссылка 2 11" xfId="8827"/>
    <cellStyle name="Гиперссылка 2 11 2" xfId="8828"/>
    <cellStyle name="Гиперссылка 2 11 2 2" xfId="8829"/>
    <cellStyle name="Гиперссылка 2 11 2 3" xfId="8830"/>
    <cellStyle name="Гиперссылка 2 11 3" xfId="8831"/>
    <cellStyle name="Гиперссылка 2 11 4" xfId="8832"/>
    <cellStyle name="Гиперссылка 2 11 4 2" xfId="8833"/>
    <cellStyle name="Гиперссылка 2 11 4 3" xfId="8834"/>
    <cellStyle name="Гиперссылка 2 11 4 4" xfId="8835"/>
    <cellStyle name="Гиперссылка 2 11 4 5" xfId="8836"/>
    <cellStyle name="Гиперссылка 2 11 5" xfId="8837"/>
    <cellStyle name="Гиперссылка 2 11 6" xfId="8838"/>
    <cellStyle name="Гиперссылка 2 11 7" xfId="8839"/>
    <cellStyle name="Гиперссылка 2 11 8" xfId="8840"/>
    <cellStyle name="Гиперссылка 2 12" xfId="8841"/>
    <cellStyle name="Гиперссылка 2 12 2" xfId="8842"/>
    <cellStyle name="Гиперссылка 2 12 2 2" xfId="8843"/>
    <cellStyle name="Гиперссылка 2 12 2 3" xfId="8844"/>
    <cellStyle name="Гиперссылка 2 12 3" xfId="8845"/>
    <cellStyle name="Гиперссылка 2 12 4" xfId="8846"/>
    <cellStyle name="Гиперссылка 2 12 4 2" xfId="8847"/>
    <cellStyle name="Гиперссылка 2 12 4 3" xfId="8848"/>
    <cellStyle name="Гиперссылка 2 12 4 4" xfId="8849"/>
    <cellStyle name="Гиперссылка 2 12 4 5" xfId="8850"/>
    <cellStyle name="Гиперссылка 2 12 5" xfId="8851"/>
    <cellStyle name="Гиперссылка 2 12 6" xfId="8852"/>
    <cellStyle name="Гиперссылка 2 12 7" xfId="8853"/>
    <cellStyle name="Гиперссылка 2 12 8" xfId="8854"/>
    <cellStyle name="Гиперссылка 2 13" xfId="8855"/>
    <cellStyle name="Гиперссылка 2 13 2" xfId="8856"/>
    <cellStyle name="Гиперссылка 2 13 2 2" xfId="8857"/>
    <cellStyle name="Гиперссылка 2 13 2 3" xfId="8858"/>
    <cellStyle name="Гиперссылка 2 13 2 4" xfId="8859"/>
    <cellStyle name="Гиперссылка 2 13 2 5" xfId="8860"/>
    <cellStyle name="Гиперссылка 2 13 2 6" xfId="8861"/>
    <cellStyle name="Гиперссылка 2 13 3" xfId="8862"/>
    <cellStyle name="Гиперссылка 2 13 3 2" xfId="8863"/>
    <cellStyle name="Гиперссылка 2 13 3 3" xfId="8864"/>
    <cellStyle name="Гиперссылка 2 13 3 4" xfId="8865"/>
    <cellStyle name="Гиперссылка 2 13 3 5" xfId="8866"/>
    <cellStyle name="Гиперссылка 2 13 3 6" xfId="8867"/>
    <cellStyle name="Гиперссылка 2 13 4" xfId="8868"/>
    <cellStyle name="Гиперссылка 2 13 5" xfId="8869"/>
    <cellStyle name="Гиперссылка 2 13 6" xfId="8870"/>
    <cellStyle name="Гиперссылка 2 13 7" xfId="8871"/>
    <cellStyle name="Гиперссылка 2 13 8" xfId="8872"/>
    <cellStyle name="Гиперссылка 2 14" xfId="8873"/>
    <cellStyle name="Гиперссылка 2 14 2" xfId="8874"/>
    <cellStyle name="Гиперссылка 2 14 3" xfId="8875"/>
    <cellStyle name="Гиперссылка 2 14 4" xfId="8876"/>
    <cellStyle name="Гиперссылка 2 14 5" xfId="8877"/>
    <cellStyle name="Гиперссылка 2 14 6" xfId="8878"/>
    <cellStyle name="Гиперссылка 2 15" xfId="8879"/>
    <cellStyle name="Гиперссылка 2 15 2" xfId="8880"/>
    <cellStyle name="Гиперссылка 2 15 3" xfId="8881"/>
    <cellStyle name="Гиперссылка 2 15 4" xfId="8882"/>
    <cellStyle name="Гиперссылка 2 15 5" xfId="8883"/>
    <cellStyle name="Гиперссылка 2 16" xfId="8884"/>
    <cellStyle name="Гиперссылка 2 17" xfId="8885"/>
    <cellStyle name="Гиперссылка 2 18" xfId="8886"/>
    <cellStyle name="Гиперссылка 2 19" xfId="8887"/>
    <cellStyle name="Гиперссылка 2 2" xfId="8888"/>
    <cellStyle name="Гиперссылка 2 2 2" xfId="8889"/>
    <cellStyle name="Гиперссылка 2 2 2 2" xfId="8890"/>
    <cellStyle name="Гиперссылка 2 2 2 3" xfId="8891"/>
    <cellStyle name="Гиперссылка 2 2 3" xfId="8892"/>
    <cellStyle name="Гиперссылка 2 2 4" xfId="8893"/>
    <cellStyle name="Гиперссылка 2 2 4 2" xfId="8894"/>
    <cellStyle name="Гиперссылка 2 2 4 3" xfId="8895"/>
    <cellStyle name="Гиперссылка 2 2 4 4" xfId="8896"/>
    <cellStyle name="Гиперссылка 2 2 4 5" xfId="8897"/>
    <cellStyle name="Гиперссылка 2 2 5" xfId="8898"/>
    <cellStyle name="Гиперссылка 2 2 6" xfId="8899"/>
    <cellStyle name="Гиперссылка 2 2 7" xfId="8900"/>
    <cellStyle name="Гиперссылка 2 2 8" xfId="8901"/>
    <cellStyle name="Гиперссылка 2 3" xfId="8902"/>
    <cellStyle name="Гиперссылка 2 3 2" xfId="8903"/>
    <cellStyle name="Гиперссылка 2 3 2 2" xfId="8904"/>
    <cellStyle name="Гиперссылка 2 3 2 3" xfId="8905"/>
    <cellStyle name="Гиперссылка 2 3 3" xfId="8906"/>
    <cellStyle name="Гиперссылка 2 3 4" xfId="8907"/>
    <cellStyle name="Гиперссылка 2 3 4 2" xfId="8908"/>
    <cellStyle name="Гиперссылка 2 3 4 3" xfId="8909"/>
    <cellStyle name="Гиперссылка 2 3 4 4" xfId="8910"/>
    <cellStyle name="Гиперссылка 2 3 4 5" xfId="8911"/>
    <cellStyle name="Гиперссылка 2 3 5" xfId="8912"/>
    <cellStyle name="Гиперссылка 2 3 6" xfId="8913"/>
    <cellStyle name="Гиперссылка 2 3 7" xfId="8914"/>
    <cellStyle name="Гиперссылка 2 3 8" xfId="8915"/>
    <cellStyle name="Гиперссылка 2 4" xfId="8916"/>
    <cellStyle name="Гиперссылка 2 4 2" xfId="8917"/>
    <cellStyle name="Гиперссылка 2 4 2 2" xfId="8918"/>
    <cellStyle name="Гиперссылка 2 4 2 3" xfId="8919"/>
    <cellStyle name="Гиперссылка 2 4 3" xfId="8920"/>
    <cellStyle name="Гиперссылка 2 4 4" xfId="8921"/>
    <cellStyle name="Гиперссылка 2 4 4 2" xfId="8922"/>
    <cellStyle name="Гиперссылка 2 4 4 3" xfId="8923"/>
    <cellStyle name="Гиперссылка 2 4 4 4" xfId="8924"/>
    <cellStyle name="Гиперссылка 2 4 4 5" xfId="8925"/>
    <cellStyle name="Гиперссылка 2 4 5" xfId="8926"/>
    <cellStyle name="Гиперссылка 2 4 6" xfId="8927"/>
    <cellStyle name="Гиперссылка 2 4 7" xfId="8928"/>
    <cellStyle name="Гиперссылка 2 4 8" xfId="8929"/>
    <cellStyle name="Гиперссылка 2 5" xfId="8930"/>
    <cellStyle name="Гиперссылка 2 5 2" xfId="8931"/>
    <cellStyle name="Гиперссылка 2 5 2 2" xfId="8932"/>
    <cellStyle name="Гиперссылка 2 5 2 3" xfId="8933"/>
    <cellStyle name="Гиперссылка 2 5 3" xfId="8934"/>
    <cellStyle name="Гиперссылка 2 5 4" xfId="8935"/>
    <cellStyle name="Гиперссылка 2 5 4 2" xfId="8936"/>
    <cellStyle name="Гиперссылка 2 5 4 3" xfId="8937"/>
    <cellStyle name="Гиперссылка 2 5 4 4" xfId="8938"/>
    <cellStyle name="Гиперссылка 2 5 4 5" xfId="8939"/>
    <cellStyle name="Гиперссылка 2 5 5" xfId="8940"/>
    <cellStyle name="Гиперссылка 2 5 6" xfId="8941"/>
    <cellStyle name="Гиперссылка 2 5 7" xfId="8942"/>
    <cellStyle name="Гиперссылка 2 5 8" xfId="8943"/>
    <cellStyle name="Гиперссылка 2 6" xfId="8944"/>
    <cellStyle name="Гиперссылка 2 6 2" xfId="8945"/>
    <cellStyle name="Гиперссылка 2 6 2 2" xfId="8946"/>
    <cellStyle name="Гиперссылка 2 6 2 2 2" xfId="8947"/>
    <cellStyle name="Гиперссылка 2 6 2 2 3" xfId="8948"/>
    <cellStyle name="Гиперссылка 2 6 2 2 4" xfId="8949"/>
    <cellStyle name="Гиперссылка 2 6 2 2 5" xfId="8950"/>
    <cellStyle name="Гиперссылка 2 6 2 2 6" xfId="8951"/>
    <cellStyle name="Гиперссылка 2 6 2 3" xfId="8952"/>
    <cellStyle name="Гиперссылка 2 6 2 3 2" xfId="8953"/>
    <cellStyle name="Гиперссылка 2 6 2 3 3" xfId="8954"/>
    <cellStyle name="Гиперссылка 2 6 2 3 4" xfId="8955"/>
    <cellStyle name="Гиперссылка 2 6 2 3 5" xfId="8956"/>
    <cellStyle name="Гиперссылка 2 6 2 3 6" xfId="8957"/>
    <cellStyle name="Гиперссылка 2 6 2 4" xfId="8958"/>
    <cellStyle name="Гиперссылка 2 6 2 5" xfId="8959"/>
    <cellStyle name="Гиперссылка 2 6 2 6" xfId="8960"/>
    <cellStyle name="Гиперссылка 2 6 2 7" xfId="8961"/>
    <cellStyle name="Гиперссылка 2 6 2 8" xfId="8962"/>
    <cellStyle name="Гиперссылка 2 6 3" xfId="8963"/>
    <cellStyle name="Гиперссылка 2 6 3 2" xfId="8964"/>
    <cellStyle name="Гиперссылка 2 6 3 3" xfId="8965"/>
    <cellStyle name="Гиперссылка 2 6 3 4" xfId="8966"/>
    <cellStyle name="Гиперссылка 2 6 3 5" xfId="8967"/>
    <cellStyle name="Гиперссылка 2 6 3 6" xfId="8968"/>
    <cellStyle name="Гиперссылка 2 6 4" xfId="8969"/>
    <cellStyle name="Гиперссылка 2 6 4 2" xfId="8970"/>
    <cellStyle name="Гиперссылка 2 6 4 3" xfId="8971"/>
    <cellStyle name="Гиперссылка 2 6 4 4" xfId="8972"/>
    <cellStyle name="Гиперссылка 2 6 4 5" xfId="8973"/>
    <cellStyle name="Гиперссылка 2 6 5" xfId="8974"/>
    <cellStyle name="Гиперссылка 2 6 6" xfId="8975"/>
    <cellStyle name="Гиперссылка 2 6 7" xfId="8976"/>
    <cellStyle name="Гиперссылка 2 6 8" xfId="8977"/>
    <cellStyle name="Гиперссылка 2 7" xfId="8978"/>
    <cellStyle name="Гиперссылка 2 7 2" xfId="8979"/>
    <cellStyle name="Гиперссылка 2 7 2 2" xfId="8980"/>
    <cellStyle name="Гиперссылка 2 7 2 2 2" xfId="8981"/>
    <cellStyle name="Гиперссылка 2 7 2 2 3" xfId="8982"/>
    <cellStyle name="Гиперссылка 2 7 2 2 4" xfId="8983"/>
    <cellStyle name="Гиперссылка 2 7 2 2 5" xfId="8984"/>
    <cellStyle name="Гиперссылка 2 7 2 2 6" xfId="8985"/>
    <cellStyle name="Гиперссылка 2 7 2 3" xfId="8986"/>
    <cellStyle name="Гиперссылка 2 7 2 3 2" xfId="8987"/>
    <cellStyle name="Гиперссылка 2 7 2 3 3" xfId="8988"/>
    <cellStyle name="Гиперссылка 2 7 2 3 4" xfId="8989"/>
    <cellStyle name="Гиперссылка 2 7 2 3 5" xfId="8990"/>
    <cellStyle name="Гиперссылка 2 7 2 3 6" xfId="8991"/>
    <cellStyle name="Гиперссылка 2 7 2 4" xfId="8992"/>
    <cellStyle name="Гиперссылка 2 7 2 5" xfId="8993"/>
    <cellStyle name="Гиперссылка 2 7 2 6" xfId="8994"/>
    <cellStyle name="Гиперссылка 2 7 2 7" xfId="8995"/>
    <cellStyle name="Гиперссылка 2 7 2 8" xfId="8996"/>
    <cellStyle name="Гиперссылка 2 7 3" xfId="8997"/>
    <cellStyle name="Гиперссылка 2 7 3 2" xfId="8998"/>
    <cellStyle name="Гиперссылка 2 7 3 3" xfId="8999"/>
    <cellStyle name="Гиперссылка 2 7 3 4" xfId="9000"/>
    <cellStyle name="Гиперссылка 2 7 3 5" xfId="9001"/>
    <cellStyle name="Гиперссылка 2 7 3 6" xfId="9002"/>
    <cellStyle name="Гиперссылка 2 7 4" xfId="9003"/>
    <cellStyle name="Гиперссылка 2 7 4 2" xfId="9004"/>
    <cellStyle name="Гиперссылка 2 7 4 3" xfId="9005"/>
    <cellStyle name="Гиперссылка 2 7 4 4" xfId="9006"/>
    <cellStyle name="Гиперссылка 2 7 4 5" xfId="9007"/>
    <cellStyle name="Гиперссылка 2 7 5" xfId="9008"/>
    <cellStyle name="Гиперссылка 2 7 6" xfId="9009"/>
    <cellStyle name="Гиперссылка 2 7 7" xfId="9010"/>
    <cellStyle name="Гиперссылка 2 7 8" xfId="9011"/>
    <cellStyle name="Гиперссылка 2 8" xfId="9012"/>
    <cellStyle name="Гиперссылка 2 8 2" xfId="9013"/>
    <cellStyle name="Гиперссылка 2 8 2 2" xfId="9014"/>
    <cellStyle name="Гиперссылка 2 8 2 2 2" xfId="9015"/>
    <cellStyle name="Гиперссылка 2 8 2 2 3" xfId="9016"/>
    <cellStyle name="Гиперссылка 2 8 2 2 4" xfId="9017"/>
    <cellStyle name="Гиперссылка 2 8 2 2 5" xfId="9018"/>
    <cellStyle name="Гиперссылка 2 8 2 2 6" xfId="9019"/>
    <cellStyle name="Гиперссылка 2 8 2 3" xfId="9020"/>
    <cellStyle name="Гиперссылка 2 8 2 3 2" xfId="9021"/>
    <cellStyle name="Гиперссылка 2 8 2 3 3" xfId="9022"/>
    <cellStyle name="Гиперссылка 2 8 2 3 4" xfId="9023"/>
    <cellStyle name="Гиперссылка 2 8 2 3 5" xfId="9024"/>
    <cellStyle name="Гиперссылка 2 8 2 3 6" xfId="9025"/>
    <cellStyle name="Гиперссылка 2 8 2 4" xfId="9026"/>
    <cellStyle name="Гиперссылка 2 8 2 5" xfId="9027"/>
    <cellStyle name="Гиперссылка 2 8 2 6" xfId="9028"/>
    <cellStyle name="Гиперссылка 2 8 2 7" xfId="9029"/>
    <cellStyle name="Гиперссылка 2 8 2 8" xfId="9030"/>
    <cellStyle name="Гиперссылка 2 8 3" xfId="9031"/>
    <cellStyle name="Гиперссылка 2 8 3 2" xfId="9032"/>
    <cellStyle name="Гиперссылка 2 8 3 3" xfId="9033"/>
    <cellStyle name="Гиперссылка 2 8 3 4" xfId="9034"/>
    <cellStyle name="Гиперссылка 2 8 3 5" xfId="9035"/>
    <cellStyle name="Гиперссылка 2 8 3 6" xfId="9036"/>
    <cellStyle name="Гиперссылка 2 8 4" xfId="9037"/>
    <cellStyle name="Гиперссылка 2 8 4 2" xfId="9038"/>
    <cellStyle name="Гиперссылка 2 8 4 3" xfId="9039"/>
    <cellStyle name="Гиперссылка 2 8 4 4" xfId="9040"/>
    <cellStyle name="Гиперссылка 2 8 4 5" xfId="9041"/>
    <cellStyle name="Гиперссылка 2 8 5" xfId="9042"/>
    <cellStyle name="Гиперссылка 2 8 6" xfId="9043"/>
    <cellStyle name="Гиперссылка 2 8 7" xfId="9044"/>
    <cellStyle name="Гиперссылка 2 8 8" xfId="9045"/>
    <cellStyle name="Гиперссылка 2 9" xfId="9046"/>
    <cellStyle name="Гиперссылка 2 9 2" xfId="9047"/>
    <cellStyle name="Гиперссылка 2 9 2 2" xfId="9048"/>
    <cellStyle name="Гиперссылка 2 9 2 2 2" xfId="9049"/>
    <cellStyle name="Гиперссылка 2 9 2 2 3" xfId="9050"/>
    <cellStyle name="Гиперссылка 2 9 2 2 4" xfId="9051"/>
    <cellStyle name="Гиперссылка 2 9 2 2 5" xfId="9052"/>
    <cellStyle name="Гиперссылка 2 9 2 2 6" xfId="9053"/>
    <cellStyle name="Гиперссылка 2 9 2 3" xfId="9054"/>
    <cellStyle name="Гиперссылка 2 9 2 3 2" xfId="9055"/>
    <cellStyle name="Гиперссылка 2 9 2 3 3" xfId="9056"/>
    <cellStyle name="Гиперссылка 2 9 2 3 4" xfId="9057"/>
    <cellStyle name="Гиперссылка 2 9 2 3 5" xfId="9058"/>
    <cellStyle name="Гиперссылка 2 9 2 3 6" xfId="9059"/>
    <cellStyle name="Гиперссылка 2 9 2 4" xfId="9060"/>
    <cellStyle name="Гиперссылка 2 9 2 5" xfId="9061"/>
    <cellStyle name="Гиперссылка 2 9 2 6" xfId="9062"/>
    <cellStyle name="Гиперссылка 2 9 2 7" xfId="9063"/>
    <cellStyle name="Гиперссылка 2 9 2 8" xfId="9064"/>
    <cellStyle name="Гиперссылка 2 9 3" xfId="9065"/>
    <cellStyle name="Гиперссылка 2 9 3 2" xfId="9066"/>
    <cellStyle name="Гиперссылка 2 9 3 3" xfId="9067"/>
    <cellStyle name="Гиперссылка 2 9 3 4" xfId="9068"/>
    <cellStyle name="Гиперссылка 2 9 3 5" xfId="9069"/>
    <cellStyle name="Гиперссылка 2 9 3 6" xfId="9070"/>
    <cellStyle name="Гиперссылка 2 9 4" xfId="9071"/>
    <cellStyle name="Гиперссылка 2 9 4 2" xfId="9072"/>
    <cellStyle name="Гиперссылка 2 9 4 3" xfId="9073"/>
    <cellStyle name="Гиперссылка 2 9 4 4" xfId="9074"/>
    <cellStyle name="Гиперссылка 2 9 4 5" xfId="9075"/>
    <cellStyle name="Гиперссылка 2 9 5" xfId="9076"/>
    <cellStyle name="Гиперссылка 2 9 6" xfId="9077"/>
    <cellStyle name="Гиперссылка 2 9 7" xfId="9078"/>
    <cellStyle name="Гиперссылка 2 9 8" xfId="9079"/>
    <cellStyle name="Гиперссылка 3" xfId="9080"/>
    <cellStyle name="Гиперссылка 3 2" xfId="9081"/>
    <cellStyle name="Гиперссылка 3 2 2" xfId="9082"/>
    <cellStyle name="Гиперссылка 3 2 2 2" xfId="9083"/>
    <cellStyle name="Гиперссылка 3 2 2 3" xfId="9084"/>
    <cellStyle name="Гиперссылка 3 2 2 4" xfId="9085"/>
    <cellStyle name="Гиперссылка 3 2 2 5" xfId="9086"/>
    <cellStyle name="Гиперссылка 3 2 2 6" xfId="9087"/>
    <cellStyle name="Гиперссылка 3 2 3" xfId="9088"/>
    <cellStyle name="Гиперссылка 3 2 3 2" xfId="9089"/>
    <cellStyle name="Гиперссылка 3 2 3 3" xfId="9090"/>
    <cellStyle name="Гиперссылка 3 2 3 4" xfId="9091"/>
    <cellStyle name="Гиперссылка 3 2 3 5" xfId="9092"/>
    <cellStyle name="Гиперссылка 3 2 3 6" xfId="9093"/>
    <cellStyle name="Гиперссылка 3 2 4" xfId="9094"/>
    <cellStyle name="Гиперссылка 3 2 5" xfId="9095"/>
    <cellStyle name="Гиперссылка 3 2 6" xfId="9096"/>
    <cellStyle name="Гиперссылка 3 2 7" xfId="9097"/>
    <cellStyle name="Гиперссылка 3 2 8" xfId="9098"/>
    <cellStyle name="Гиперссылка 3 3" xfId="9099"/>
    <cellStyle name="Гиперссылка 3 3 2" xfId="9100"/>
    <cellStyle name="Гиперссылка 3 3 3" xfId="9101"/>
    <cellStyle name="Гиперссылка 3 3 4" xfId="9102"/>
    <cellStyle name="Гиперссылка 3 3 5" xfId="9103"/>
    <cellStyle name="Гиперссылка 3 3 6" xfId="9104"/>
    <cellStyle name="Гиперссылка 3 4" xfId="9105"/>
    <cellStyle name="Гиперссылка 3 4 2" xfId="9106"/>
    <cellStyle name="Гиперссылка 3 4 3" xfId="9107"/>
    <cellStyle name="Гиперссылка 3 4 4" xfId="9108"/>
    <cellStyle name="Гиперссылка 3 4 5" xfId="9109"/>
    <cellStyle name="Гиперссылка 3 5" xfId="9110"/>
    <cellStyle name="Гиперссылка 3 6" xfId="9111"/>
    <cellStyle name="Гиперссылка 3 7" xfId="9112"/>
    <cellStyle name="Гиперссылка 3 8" xfId="9113"/>
    <cellStyle name="Денежный 2" xfId="9114"/>
    <cellStyle name="Денежный 2 2" xfId="9115"/>
    <cellStyle name="Денежный 2 3" xfId="9116"/>
    <cellStyle name="Денежный 2 4" xfId="9117"/>
    <cellStyle name="Денежный 2 5" xfId="9118"/>
    <cellStyle name="Денежный 2 6" xfId="9119"/>
    <cellStyle name="Денежный 2 7" xfId="9120"/>
    <cellStyle name="Денежный 2 8" xfId="9121"/>
    <cellStyle name="Денежный 2 9" xfId="9122"/>
    <cellStyle name="Денежный 3" xfId="9123"/>
    <cellStyle name="Денежный 3 2" xfId="9124"/>
    <cellStyle name="Денежный 3 3" xfId="9125"/>
    <cellStyle name="Денежный 3 4" xfId="9126"/>
    <cellStyle name="Денежный 3 5" xfId="9127"/>
    <cellStyle name="Денежный 3 6" xfId="9128"/>
    <cellStyle name="Денежный 3 7" xfId="9129"/>
    <cellStyle name="Денежный 3 8" xfId="9130"/>
    <cellStyle name="Денежный 3 9" xfId="9131"/>
    <cellStyle name="Заголовок 1 2" xfId="9132"/>
    <cellStyle name="Заголовок 1 2 2" xfId="9133"/>
    <cellStyle name="Заголовок 1 2 2 2" xfId="9134"/>
    <cellStyle name="Заголовок 1 2 2 2 2" xfId="9135"/>
    <cellStyle name="Заголовок 1 2 2 2 3" xfId="9136"/>
    <cellStyle name="Заголовок 1 2 2 3" xfId="9137"/>
    <cellStyle name="Заголовок 1 2 2 4" xfId="9138"/>
    <cellStyle name="Заголовок 1 2 2 4 2" xfId="9139"/>
    <cellStyle name="Заголовок 1 2 2 4 3" xfId="9140"/>
    <cellStyle name="Заголовок 1 2 2 4 4" xfId="9141"/>
    <cellStyle name="Заголовок 1 2 2 4 5" xfId="9142"/>
    <cellStyle name="Заголовок 1 2 2 5" xfId="9143"/>
    <cellStyle name="Заголовок 1 2 2 6" xfId="9144"/>
    <cellStyle name="Заголовок 1 2 2 7" xfId="9145"/>
    <cellStyle name="Заголовок 1 2 2 8" xfId="9146"/>
    <cellStyle name="Заголовок 1 2 3" xfId="9147"/>
    <cellStyle name="Заголовок 1 2 3 2" xfId="9148"/>
    <cellStyle name="Заголовок 1 2 3 2 2" xfId="9149"/>
    <cellStyle name="Заголовок 1 2 3 2 3" xfId="9150"/>
    <cellStyle name="Заголовок 1 2 3 2 4" xfId="9151"/>
    <cellStyle name="Заголовок 1 2 3 2 5" xfId="9152"/>
    <cellStyle name="Заголовок 1 2 3 2 6" xfId="9153"/>
    <cellStyle name="Заголовок 1 2 3 3" xfId="9154"/>
    <cellStyle name="Заголовок 1 2 3 3 2" xfId="9155"/>
    <cellStyle name="Заголовок 1 2 3 3 3" xfId="9156"/>
    <cellStyle name="Заголовок 1 2 3 3 4" xfId="9157"/>
    <cellStyle name="Заголовок 1 2 3 3 5" xfId="9158"/>
    <cellStyle name="Заголовок 1 2 3 3 6" xfId="9159"/>
    <cellStyle name="Заголовок 1 2 3 4" xfId="9160"/>
    <cellStyle name="Заголовок 1 2 3 5" xfId="9161"/>
    <cellStyle name="Заголовок 1 2 3 6" xfId="9162"/>
    <cellStyle name="Заголовок 1 2 3 7" xfId="9163"/>
    <cellStyle name="Заголовок 1 2 3 8" xfId="9164"/>
    <cellStyle name="Заголовок 1 2 4" xfId="9165"/>
    <cellStyle name="Заголовок 1 2 4 2" xfId="9166"/>
    <cellStyle name="Заголовок 1 2 4 3" xfId="9167"/>
    <cellStyle name="Заголовок 1 2 4 4" xfId="9168"/>
    <cellStyle name="Заголовок 1 2 4 5" xfId="9169"/>
    <cellStyle name="Заголовок 1 2 4 6" xfId="9170"/>
    <cellStyle name="Заголовок 1 2 5" xfId="9171"/>
    <cellStyle name="Заголовок 1 2 5 2" xfId="9172"/>
    <cellStyle name="Заголовок 1 2 5 3" xfId="9173"/>
    <cellStyle name="Заголовок 1 2 5 4" xfId="9174"/>
    <cellStyle name="Заголовок 1 2 5 5" xfId="9175"/>
    <cellStyle name="Заголовок 1 2 6" xfId="9176"/>
    <cellStyle name="Заголовок 1 2 7" xfId="9177"/>
    <cellStyle name="Заголовок 1 2 8" xfId="9178"/>
    <cellStyle name="Заголовок 1 2 9" xfId="9179"/>
    <cellStyle name="Заголовок 1 3" xfId="9180"/>
    <cellStyle name="Заголовок 1 3 2" xfId="9181"/>
    <cellStyle name="Заголовок 1 3 2 2" xfId="9182"/>
    <cellStyle name="Заголовок 1 3 2 2 2" xfId="9183"/>
    <cellStyle name="Заголовок 1 3 2 2 3" xfId="9184"/>
    <cellStyle name="Заголовок 1 3 2 2 4" xfId="9185"/>
    <cellStyle name="Заголовок 1 3 2 2 5" xfId="9186"/>
    <cellStyle name="Заголовок 1 3 2 2 6" xfId="9187"/>
    <cellStyle name="Заголовок 1 3 2 3" xfId="9188"/>
    <cellStyle name="Заголовок 1 3 2 3 2" xfId="9189"/>
    <cellStyle name="Заголовок 1 3 2 3 3" xfId="9190"/>
    <cellStyle name="Заголовок 1 3 2 3 4" xfId="9191"/>
    <cellStyle name="Заголовок 1 3 2 3 5" xfId="9192"/>
    <cellStyle name="Заголовок 1 3 2 3 6" xfId="9193"/>
    <cellStyle name="Заголовок 1 3 2 4" xfId="9194"/>
    <cellStyle name="Заголовок 1 3 2 5" xfId="9195"/>
    <cellStyle name="Заголовок 1 3 2 6" xfId="9196"/>
    <cellStyle name="Заголовок 1 3 2 7" xfId="9197"/>
    <cellStyle name="Заголовок 1 3 2 8" xfId="9198"/>
    <cellStyle name="Заголовок 1 3 3" xfId="9199"/>
    <cellStyle name="Заголовок 1 3 3 2" xfId="9200"/>
    <cellStyle name="Заголовок 1 3 3 3" xfId="9201"/>
    <cellStyle name="Заголовок 1 3 3 4" xfId="9202"/>
    <cellStyle name="Заголовок 1 3 3 5" xfId="9203"/>
    <cellStyle name="Заголовок 1 3 3 6" xfId="9204"/>
    <cellStyle name="Заголовок 1 3 4" xfId="9205"/>
    <cellStyle name="Заголовок 1 3 4 2" xfId="9206"/>
    <cellStyle name="Заголовок 1 3 4 3" xfId="9207"/>
    <cellStyle name="Заголовок 1 3 4 4" xfId="9208"/>
    <cellStyle name="Заголовок 1 3 4 5" xfId="9209"/>
    <cellStyle name="Заголовок 1 3 5" xfId="9210"/>
    <cellStyle name="Заголовок 1 3 6" xfId="9211"/>
    <cellStyle name="Заголовок 1 3 7" xfId="9212"/>
    <cellStyle name="Заголовок 1 3 8" xfId="9213"/>
    <cellStyle name="Заголовок 1 4" xfId="9214"/>
    <cellStyle name="Заголовок 1 4 2" xfId="9215"/>
    <cellStyle name="Заголовок 1 4 2 2" xfId="9216"/>
    <cellStyle name="Заголовок 1 4 2 2 2" xfId="9217"/>
    <cellStyle name="Заголовок 1 4 2 2 3" xfId="9218"/>
    <cellStyle name="Заголовок 1 4 2 2 4" xfId="9219"/>
    <cellStyle name="Заголовок 1 4 2 2 5" xfId="9220"/>
    <cellStyle name="Заголовок 1 4 2 2 6" xfId="9221"/>
    <cellStyle name="Заголовок 1 4 2 3" xfId="9222"/>
    <cellStyle name="Заголовок 1 4 2 3 2" xfId="9223"/>
    <cellStyle name="Заголовок 1 4 2 3 3" xfId="9224"/>
    <cellStyle name="Заголовок 1 4 2 3 4" xfId="9225"/>
    <cellStyle name="Заголовок 1 4 2 3 5" xfId="9226"/>
    <cellStyle name="Заголовок 1 4 2 3 6" xfId="9227"/>
    <cellStyle name="Заголовок 1 4 2 4" xfId="9228"/>
    <cellStyle name="Заголовок 1 4 2 5" xfId="9229"/>
    <cellStyle name="Заголовок 1 4 2 6" xfId="9230"/>
    <cellStyle name="Заголовок 1 4 2 7" xfId="9231"/>
    <cellStyle name="Заголовок 1 4 2 8" xfId="9232"/>
    <cellStyle name="Заголовок 1 4 3" xfId="9233"/>
    <cellStyle name="Заголовок 1 4 3 2" xfId="9234"/>
    <cellStyle name="Заголовок 1 4 3 3" xfId="9235"/>
    <cellStyle name="Заголовок 1 4 3 4" xfId="9236"/>
    <cellStyle name="Заголовок 1 4 3 5" xfId="9237"/>
    <cellStyle name="Заголовок 1 4 3 6" xfId="9238"/>
    <cellStyle name="Заголовок 1 4 4" xfId="9239"/>
    <cellStyle name="Заголовок 1 4 4 2" xfId="9240"/>
    <cellStyle name="Заголовок 1 4 4 3" xfId="9241"/>
    <cellStyle name="Заголовок 1 4 4 4" xfId="9242"/>
    <cellStyle name="Заголовок 1 4 4 5" xfId="9243"/>
    <cellStyle name="Заголовок 1 4 5" xfId="9244"/>
    <cellStyle name="Заголовок 1 4 6" xfId="9245"/>
    <cellStyle name="Заголовок 1 4 7" xfId="9246"/>
    <cellStyle name="Заголовок 1 4 8" xfId="9247"/>
    <cellStyle name="Заголовок 1 5" xfId="9248"/>
    <cellStyle name="Заголовок 1 5 2" xfId="9249"/>
    <cellStyle name="Заголовок 1 5 2 2" xfId="9250"/>
    <cellStyle name="Заголовок 1 5 2 2 2" xfId="9251"/>
    <cellStyle name="Заголовок 1 5 2 2 3" xfId="9252"/>
    <cellStyle name="Заголовок 1 5 2 2 4" xfId="9253"/>
    <cellStyle name="Заголовок 1 5 2 2 5" xfId="9254"/>
    <cellStyle name="Заголовок 1 5 2 2 6" xfId="9255"/>
    <cellStyle name="Заголовок 1 5 2 3" xfId="9256"/>
    <cellStyle name="Заголовок 1 5 2 3 2" xfId="9257"/>
    <cellStyle name="Заголовок 1 5 2 3 3" xfId="9258"/>
    <cellStyle name="Заголовок 1 5 2 3 4" xfId="9259"/>
    <cellStyle name="Заголовок 1 5 2 3 5" xfId="9260"/>
    <cellStyle name="Заголовок 1 5 2 3 6" xfId="9261"/>
    <cellStyle name="Заголовок 1 5 2 4" xfId="9262"/>
    <cellStyle name="Заголовок 1 5 2 5" xfId="9263"/>
    <cellStyle name="Заголовок 1 5 2 6" xfId="9264"/>
    <cellStyle name="Заголовок 1 5 2 7" xfId="9265"/>
    <cellStyle name="Заголовок 1 5 2 8" xfId="9266"/>
    <cellStyle name="Заголовок 1 5 3" xfId="9267"/>
    <cellStyle name="Заголовок 1 5 3 2" xfId="9268"/>
    <cellStyle name="Заголовок 1 5 3 3" xfId="9269"/>
    <cellStyle name="Заголовок 1 5 3 4" xfId="9270"/>
    <cellStyle name="Заголовок 1 5 3 5" xfId="9271"/>
    <cellStyle name="Заголовок 1 5 3 6" xfId="9272"/>
    <cellStyle name="Заголовок 1 5 4" xfId="9273"/>
    <cellStyle name="Заголовок 1 5 4 2" xfId="9274"/>
    <cellStyle name="Заголовок 1 5 4 3" xfId="9275"/>
    <cellStyle name="Заголовок 1 5 4 4" xfId="9276"/>
    <cellStyle name="Заголовок 1 5 4 5" xfId="9277"/>
    <cellStyle name="Заголовок 1 5 5" xfId="9278"/>
    <cellStyle name="Заголовок 1 5 6" xfId="9279"/>
    <cellStyle name="Заголовок 1 5 7" xfId="9280"/>
    <cellStyle name="Заголовок 1 5 8" xfId="9281"/>
    <cellStyle name="Заголовок 1 6" xfId="9282"/>
    <cellStyle name="Заголовок 1 6 2" xfId="9283"/>
    <cellStyle name="Заголовок 1 6 2 2" xfId="9284"/>
    <cellStyle name="Заголовок 1 6 2 2 2" xfId="9285"/>
    <cellStyle name="Заголовок 1 6 2 2 3" xfId="9286"/>
    <cellStyle name="Заголовок 1 6 2 2 4" xfId="9287"/>
    <cellStyle name="Заголовок 1 6 2 2 5" xfId="9288"/>
    <cellStyle name="Заголовок 1 6 2 2 6" xfId="9289"/>
    <cellStyle name="Заголовок 1 6 2 3" xfId="9290"/>
    <cellStyle name="Заголовок 1 6 2 3 2" xfId="9291"/>
    <cellStyle name="Заголовок 1 6 2 3 3" xfId="9292"/>
    <cellStyle name="Заголовок 1 6 2 3 4" xfId="9293"/>
    <cellStyle name="Заголовок 1 6 2 3 5" xfId="9294"/>
    <cellStyle name="Заголовок 1 6 2 3 6" xfId="9295"/>
    <cellStyle name="Заголовок 1 6 2 4" xfId="9296"/>
    <cellStyle name="Заголовок 1 6 2 5" xfId="9297"/>
    <cellStyle name="Заголовок 1 6 2 6" xfId="9298"/>
    <cellStyle name="Заголовок 1 6 2 7" xfId="9299"/>
    <cellStyle name="Заголовок 1 6 2 8" xfId="9300"/>
    <cellStyle name="Заголовок 1 6 3" xfId="9301"/>
    <cellStyle name="Заголовок 1 6 3 2" xfId="9302"/>
    <cellStyle name="Заголовок 1 6 3 3" xfId="9303"/>
    <cellStyle name="Заголовок 1 6 3 4" xfId="9304"/>
    <cellStyle name="Заголовок 1 6 3 5" xfId="9305"/>
    <cellStyle name="Заголовок 1 6 3 6" xfId="9306"/>
    <cellStyle name="Заголовок 1 6 4" xfId="9307"/>
    <cellStyle name="Заголовок 1 6 4 2" xfId="9308"/>
    <cellStyle name="Заголовок 1 6 4 3" xfId="9309"/>
    <cellStyle name="Заголовок 1 6 4 4" xfId="9310"/>
    <cellStyle name="Заголовок 1 6 4 5" xfId="9311"/>
    <cellStyle name="Заголовок 1 6 5" xfId="9312"/>
    <cellStyle name="Заголовок 1 6 6" xfId="9313"/>
    <cellStyle name="Заголовок 1 6 7" xfId="9314"/>
    <cellStyle name="Заголовок 1 6 8" xfId="9315"/>
    <cellStyle name="Заголовок 2 2" xfId="9316"/>
    <cellStyle name="Заголовок 2 2 2" xfId="9317"/>
    <cellStyle name="Заголовок 2 2 2 2" xfId="9318"/>
    <cellStyle name="Заголовок 2 2 2 2 2" xfId="9319"/>
    <cellStyle name="Заголовок 2 2 2 2 3" xfId="9320"/>
    <cellStyle name="Заголовок 2 2 2 3" xfId="9321"/>
    <cellStyle name="Заголовок 2 2 2 4" xfId="9322"/>
    <cellStyle name="Заголовок 2 2 2 4 2" xfId="9323"/>
    <cellStyle name="Заголовок 2 2 2 4 3" xfId="9324"/>
    <cellStyle name="Заголовок 2 2 2 4 4" xfId="9325"/>
    <cellStyle name="Заголовок 2 2 2 4 5" xfId="9326"/>
    <cellStyle name="Заголовок 2 2 2 5" xfId="9327"/>
    <cellStyle name="Заголовок 2 2 2 6" xfId="9328"/>
    <cellStyle name="Заголовок 2 2 2 7" xfId="9329"/>
    <cellStyle name="Заголовок 2 2 2 8" xfId="9330"/>
    <cellStyle name="Заголовок 2 2 3" xfId="9331"/>
    <cellStyle name="Заголовок 2 2 3 2" xfId="9332"/>
    <cellStyle name="Заголовок 2 2 3 2 2" xfId="9333"/>
    <cellStyle name="Заголовок 2 2 3 2 3" xfId="9334"/>
    <cellStyle name="Заголовок 2 2 3 2 4" xfId="9335"/>
    <cellStyle name="Заголовок 2 2 3 2 5" xfId="9336"/>
    <cellStyle name="Заголовок 2 2 3 2 6" xfId="9337"/>
    <cellStyle name="Заголовок 2 2 3 3" xfId="9338"/>
    <cellStyle name="Заголовок 2 2 3 3 2" xfId="9339"/>
    <cellStyle name="Заголовок 2 2 3 3 3" xfId="9340"/>
    <cellStyle name="Заголовок 2 2 3 3 4" xfId="9341"/>
    <cellStyle name="Заголовок 2 2 3 3 5" xfId="9342"/>
    <cellStyle name="Заголовок 2 2 3 3 6" xfId="9343"/>
    <cellStyle name="Заголовок 2 2 3 4" xfId="9344"/>
    <cellStyle name="Заголовок 2 2 3 5" xfId="9345"/>
    <cellStyle name="Заголовок 2 2 3 6" xfId="9346"/>
    <cellStyle name="Заголовок 2 2 3 7" xfId="9347"/>
    <cellStyle name="Заголовок 2 2 3 8" xfId="9348"/>
    <cellStyle name="Заголовок 2 2 4" xfId="9349"/>
    <cellStyle name="Заголовок 2 2 4 2" xfId="9350"/>
    <cellStyle name="Заголовок 2 2 4 3" xfId="9351"/>
    <cellStyle name="Заголовок 2 2 4 4" xfId="9352"/>
    <cellStyle name="Заголовок 2 2 4 5" xfId="9353"/>
    <cellStyle name="Заголовок 2 2 4 6" xfId="9354"/>
    <cellStyle name="Заголовок 2 2 5" xfId="9355"/>
    <cellStyle name="Заголовок 2 2 5 2" xfId="9356"/>
    <cellStyle name="Заголовок 2 2 5 3" xfId="9357"/>
    <cellStyle name="Заголовок 2 2 5 4" xfId="9358"/>
    <cellStyle name="Заголовок 2 2 5 5" xfId="9359"/>
    <cellStyle name="Заголовок 2 2 6" xfId="9360"/>
    <cellStyle name="Заголовок 2 2 7" xfId="9361"/>
    <cellStyle name="Заголовок 2 2 8" xfId="9362"/>
    <cellStyle name="Заголовок 2 2 9" xfId="9363"/>
    <cellStyle name="Заголовок 2 3" xfId="9364"/>
    <cellStyle name="Заголовок 2 3 2" xfId="9365"/>
    <cellStyle name="Заголовок 2 3 2 2" xfId="9366"/>
    <cellStyle name="Заголовок 2 3 2 2 2" xfId="9367"/>
    <cellStyle name="Заголовок 2 3 2 2 3" xfId="9368"/>
    <cellStyle name="Заголовок 2 3 2 2 4" xfId="9369"/>
    <cellStyle name="Заголовок 2 3 2 2 5" xfId="9370"/>
    <cellStyle name="Заголовок 2 3 2 2 6" xfId="9371"/>
    <cellStyle name="Заголовок 2 3 2 3" xfId="9372"/>
    <cellStyle name="Заголовок 2 3 2 3 2" xfId="9373"/>
    <cellStyle name="Заголовок 2 3 2 3 3" xfId="9374"/>
    <cellStyle name="Заголовок 2 3 2 3 4" xfId="9375"/>
    <cellStyle name="Заголовок 2 3 2 3 5" xfId="9376"/>
    <cellStyle name="Заголовок 2 3 2 3 6" xfId="9377"/>
    <cellStyle name="Заголовок 2 3 2 4" xfId="9378"/>
    <cellStyle name="Заголовок 2 3 2 5" xfId="9379"/>
    <cellStyle name="Заголовок 2 3 2 6" xfId="9380"/>
    <cellStyle name="Заголовок 2 3 2 7" xfId="9381"/>
    <cellStyle name="Заголовок 2 3 2 8" xfId="9382"/>
    <cellStyle name="Заголовок 2 3 3" xfId="9383"/>
    <cellStyle name="Заголовок 2 3 3 2" xfId="9384"/>
    <cellStyle name="Заголовок 2 3 3 3" xfId="9385"/>
    <cellStyle name="Заголовок 2 3 3 4" xfId="9386"/>
    <cellStyle name="Заголовок 2 3 3 5" xfId="9387"/>
    <cellStyle name="Заголовок 2 3 3 6" xfId="9388"/>
    <cellStyle name="Заголовок 2 3 4" xfId="9389"/>
    <cellStyle name="Заголовок 2 3 4 2" xfId="9390"/>
    <cellStyle name="Заголовок 2 3 4 3" xfId="9391"/>
    <cellStyle name="Заголовок 2 3 4 4" xfId="9392"/>
    <cellStyle name="Заголовок 2 3 4 5" xfId="9393"/>
    <cellStyle name="Заголовок 2 3 5" xfId="9394"/>
    <cellStyle name="Заголовок 2 3 6" xfId="9395"/>
    <cellStyle name="Заголовок 2 3 7" xfId="9396"/>
    <cellStyle name="Заголовок 2 3 8" xfId="9397"/>
    <cellStyle name="Заголовок 2 4" xfId="9398"/>
    <cellStyle name="Заголовок 2 4 2" xfId="9399"/>
    <cellStyle name="Заголовок 2 4 2 2" xfId="9400"/>
    <cellStyle name="Заголовок 2 4 2 2 2" xfId="9401"/>
    <cellStyle name="Заголовок 2 4 2 2 3" xfId="9402"/>
    <cellStyle name="Заголовок 2 4 2 2 4" xfId="9403"/>
    <cellStyle name="Заголовок 2 4 2 2 5" xfId="9404"/>
    <cellStyle name="Заголовок 2 4 2 2 6" xfId="9405"/>
    <cellStyle name="Заголовок 2 4 2 3" xfId="9406"/>
    <cellStyle name="Заголовок 2 4 2 3 2" xfId="9407"/>
    <cellStyle name="Заголовок 2 4 2 3 3" xfId="9408"/>
    <cellStyle name="Заголовок 2 4 2 3 4" xfId="9409"/>
    <cellStyle name="Заголовок 2 4 2 3 5" xfId="9410"/>
    <cellStyle name="Заголовок 2 4 2 3 6" xfId="9411"/>
    <cellStyle name="Заголовок 2 4 2 4" xfId="9412"/>
    <cellStyle name="Заголовок 2 4 2 5" xfId="9413"/>
    <cellStyle name="Заголовок 2 4 2 6" xfId="9414"/>
    <cellStyle name="Заголовок 2 4 2 7" xfId="9415"/>
    <cellStyle name="Заголовок 2 4 2 8" xfId="9416"/>
    <cellStyle name="Заголовок 2 4 3" xfId="9417"/>
    <cellStyle name="Заголовок 2 4 3 2" xfId="9418"/>
    <cellStyle name="Заголовок 2 4 3 3" xfId="9419"/>
    <cellStyle name="Заголовок 2 4 3 4" xfId="9420"/>
    <cellStyle name="Заголовок 2 4 3 5" xfId="9421"/>
    <cellStyle name="Заголовок 2 4 3 6" xfId="9422"/>
    <cellStyle name="Заголовок 2 4 4" xfId="9423"/>
    <cellStyle name="Заголовок 2 4 4 2" xfId="9424"/>
    <cellStyle name="Заголовок 2 4 4 3" xfId="9425"/>
    <cellStyle name="Заголовок 2 4 4 4" xfId="9426"/>
    <cellStyle name="Заголовок 2 4 4 5" xfId="9427"/>
    <cellStyle name="Заголовок 2 4 5" xfId="9428"/>
    <cellStyle name="Заголовок 2 4 6" xfId="9429"/>
    <cellStyle name="Заголовок 2 4 7" xfId="9430"/>
    <cellStyle name="Заголовок 2 4 8" xfId="9431"/>
    <cellStyle name="Заголовок 2 5" xfId="9432"/>
    <cellStyle name="Заголовок 2 5 2" xfId="9433"/>
    <cellStyle name="Заголовок 2 5 2 2" xfId="9434"/>
    <cellStyle name="Заголовок 2 5 2 2 2" xfId="9435"/>
    <cellStyle name="Заголовок 2 5 2 2 3" xfId="9436"/>
    <cellStyle name="Заголовок 2 5 2 2 4" xfId="9437"/>
    <cellStyle name="Заголовок 2 5 2 2 5" xfId="9438"/>
    <cellStyle name="Заголовок 2 5 2 2 6" xfId="9439"/>
    <cellStyle name="Заголовок 2 5 2 3" xfId="9440"/>
    <cellStyle name="Заголовок 2 5 2 3 2" xfId="9441"/>
    <cellStyle name="Заголовок 2 5 2 3 3" xfId="9442"/>
    <cellStyle name="Заголовок 2 5 2 3 4" xfId="9443"/>
    <cellStyle name="Заголовок 2 5 2 3 5" xfId="9444"/>
    <cellStyle name="Заголовок 2 5 2 3 6" xfId="9445"/>
    <cellStyle name="Заголовок 2 5 2 4" xfId="9446"/>
    <cellStyle name="Заголовок 2 5 2 5" xfId="9447"/>
    <cellStyle name="Заголовок 2 5 2 6" xfId="9448"/>
    <cellStyle name="Заголовок 2 5 2 7" xfId="9449"/>
    <cellStyle name="Заголовок 2 5 2 8" xfId="9450"/>
    <cellStyle name="Заголовок 2 5 3" xfId="9451"/>
    <cellStyle name="Заголовок 2 5 3 2" xfId="9452"/>
    <cellStyle name="Заголовок 2 5 3 3" xfId="9453"/>
    <cellStyle name="Заголовок 2 5 3 4" xfId="9454"/>
    <cellStyle name="Заголовок 2 5 3 5" xfId="9455"/>
    <cellStyle name="Заголовок 2 5 3 6" xfId="9456"/>
    <cellStyle name="Заголовок 2 5 4" xfId="9457"/>
    <cellStyle name="Заголовок 2 5 4 2" xfId="9458"/>
    <cellStyle name="Заголовок 2 5 4 3" xfId="9459"/>
    <cellStyle name="Заголовок 2 5 4 4" xfId="9460"/>
    <cellStyle name="Заголовок 2 5 4 5" xfId="9461"/>
    <cellStyle name="Заголовок 2 5 5" xfId="9462"/>
    <cellStyle name="Заголовок 2 5 6" xfId="9463"/>
    <cellStyle name="Заголовок 2 5 7" xfId="9464"/>
    <cellStyle name="Заголовок 2 5 8" xfId="9465"/>
    <cellStyle name="Заголовок 2 6" xfId="9466"/>
    <cellStyle name="Заголовок 2 6 2" xfId="9467"/>
    <cellStyle name="Заголовок 2 6 2 2" xfId="9468"/>
    <cellStyle name="Заголовок 2 6 2 2 2" xfId="9469"/>
    <cellStyle name="Заголовок 2 6 2 2 3" xfId="9470"/>
    <cellStyle name="Заголовок 2 6 2 2 4" xfId="9471"/>
    <cellStyle name="Заголовок 2 6 2 2 5" xfId="9472"/>
    <cellStyle name="Заголовок 2 6 2 2 6" xfId="9473"/>
    <cellStyle name="Заголовок 2 6 2 3" xfId="9474"/>
    <cellStyle name="Заголовок 2 6 2 3 2" xfId="9475"/>
    <cellStyle name="Заголовок 2 6 2 3 3" xfId="9476"/>
    <cellStyle name="Заголовок 2 6 2 3 4" xfId="9477"/>
    <cellStyle name="Заголовок 2 6 2 3 5" xfId="9478"/>
    <cellStyle name="Заголовок 2 6 2 3 6" xfId="9479"/>
    <cellStyle name="Заголовок 2 6 2 4" xfId="9480"/>
    <cellStyle name="Заголовок 2 6 2 5" xfId="9481"/>
    <cellStyle name="Заголовок 2 6 2 6" xfId="9482"/>
    <cellStyle name="Заголовок 2 6 2 7" xfId="9483"/>
    <cellStyle name="Заголовок 2 6 2 8" xfId="9484"/>
    <cellStyle name="Заголовок 2 6 3" xfId="9485"/>
    <cellStyle name="Заголовок 2 6 3 2" xfId="9486"/>
    <cellStyle name="Заголовок 2 6 3 3" xfId="9487"/>
    <cellStyle name="Заголовок 2 6 3 4" xfId="9488"/>
    <cellStyle name="Заголовок 2 6 3 5" xfId="9489"/>
    <cellStyle name="Заголовок 2 6 3 6" xfId="9490"/>
    <cellStyle name="Заголовок 2 6 4" xfId="9491"/>
    <cellStyle name="Заголовок 2 6 4 2" xfId="9492"/>
    <cellStyle name="Заголовок 2 6 4 3" xfId="9493"/>
    <cellStyle name="Заголовок 2 6 4 4" xfId="9494"/>
    <cellStyle name="Заголовок 2 6 4 5" xfId="9495"/>
    <cellStyle name="Заголовок 2 6 5" xfId="9496"/>
    <cellStyle name="Заголовок 2 6 6" xfId="9497"/>
    <cellStyle name="Заголовок 2 6 7" xfId="9498"/>
    <cellStyle name="Заголовок 2 6 8" xfId="9499"/>
    <cellStyle name="Заголовок 3 2" xfId="9500"/>
    <cellStyle name="Заголовок 3 2 2" xfId="9501"/>
    <cellStyle name="Заголовок 3 2 2 2" xfId="9502"/>
    <cellStyle name="Заголовок 3 2 2 2 2" xfId="9503"/>
    <cellStyle name="Заголовок 3 2 2 2 3" xfId="9504"/>
    <cellStyle name="Заголовок 3 2 2 3" xfId="9505"/>
    <cellStyle name="Заголовок 3 2 2 4" xfId="9506"/>
    <cellStyle name="Заголовок 3 2 2 4 2" xfId="9507"/>
    <cellStyle name="Заголовок 3 2 2 4 3" xfId="9508"/>
    <cellStyle name="Заголовок 3 2 2 4 4" xfId="9509"/>
    <cellStyle name="Заголовок 3 2 2 4 5" xfId="9510"/>
    <cellStyle name="Заголовок 3 2 2 5" xfId="9511"/>
    <cellStyle name="Заголовок 3 2 2 6" xfId="9512"/>
    <cellStyle name="Заголовок 3 2 2 7" xfId="9513"/>
    <cellStyle name="Заголовок 3 2 2 8" xfId="9514"/>
    <cellStyle name="Заголовок 3 2 3" xfId="9515"/>
    <cellStyle name="Заголовок 3 2 3 2" xfId="9516"/>
    <cellStyle name="Заголовок 3 2 3 2 2" xfId="9517"/>
    <cellStyle name="Заголовок 3 2 3 2 3" xfId="9518"/>
    <cellStyle name="Заголовок 3 2 3 2 4" xfId="9519"/>
    <cellStyle name="Заголовок 3 2 3 2 5" xfId="9520"/>
    <cellStyle name="Заголовок 3 2 3 2 6" xfId="9521"/>
    <cellStyle name="Заголовок 3 2 3 3" xfId="9522"/>
    <cellStyle name="Заголовок 3 2 3 3 2" xfId="9523"/>
    <cellStyle name="Заголовок 3 2 3 3 3" xfId="9524"/>
    <cellStyle name="Заголовок 3 2 3 3 4" xfId="9525"/>
    <cellStyle name="Заголовок 3 2 3 3 5" xfId="9526"/>
    <cellStyle name="Заголовок 3 2 3 3 6" xfId="9527"/>
    <cellStyle name="Заголовок 3 2 3 4" xfId="9528"/>
    <cellStyle name="Заголовок 3 2 3 5" xfId="9529"/>
    <cellStyle name="Заголовок 3 2 3 6" xfId="9530"/>
    <cellStyle name="Заголовок 3 2 3 7" xfId="9531"/>
    <cellStyle name="Заголовок 3 2 3 8" xfId="9532"/>
    <cellStyle name="Заголовок 3 2 4" xfId="9533"/>
    <cellStyle name="Заголовок 3 2 4 2" xfId="9534"/>
    <cellStyle name="Заголовок 3 2 4 3" xfId="9535"/>
    <cellStyle name="Заголовок 3 2 4 4" xfId="9536"/>
    <cellStyle name="Заголовок 3 2 4 5" xfId="9537"/>
    <cellStyle name="Заголовок 3 2 4 6" xfId="9538"/>
    <cellStyle name="Заголовок 3 2 5" xfId="9539"/>
    <cellStyle name="Заголовок 3 2 5 2" xfId="9540"/>
    <cellStyle name="Заголовок 3 2 5 3" xfId="9541"/>
    <cellStyle name="Заголовок 3 2 5 4" xfId="9542"/>
    <cellStyle name="Заголовок 3 2 5 5" xfId="9543"/>
    <cellStyle name="Заголовок 3 2 6" xfId="9544"/>
    <cellStyle name="Заголовок 3 2 7" xfId="9545"/>
    <cellStyle name="Заголовок 3 2 8" xfId="9546"/>
    <cellStyle name="Заголовок 3 2 9" xfId="9547"/>
    <cellStyle name="Заголовок 3 3" xfId="9548"/>
    <cellStyle name="Заголовок 3 3 2" xfId="9549"/>
    <cellStyle name="Заголовок 3 3 2 2" xfId="9550"/>
    <cellStyle name="Заголовок 3 3 2 2 2" xfId="9551"/>
    <cellStyle name="Заголовок 3 3 2 2 3" xfId="9552"/>
    <cellStyle name="Заголовок 3 3 2 2 4" xfId="9553"/>
    <cellStyle name="Заголовок 3 3 2 2 5" xfId="9554"/>
    <cellStyle name="Заголовок 3 3 2 2 6" xfId="9555"/>
    <cellStyle name="Заголовок 3 3 2 3" xfId="9556"/>
    <cellStyle name="Заголовок 3 3 2 3 2" xfId="9557"/>
    <cellStyle name="Заголовок 3 3 2 3 3" xfId="9558"/>
    <cellStyle name="Заголовок 3 3 2 3 4" xfId="9559"/>
    <cellStyle name="Заголовок 3 3 2 3 5" xfId="9560"/>
    <cellStyle name="Заголовок 3 3 2 3 6" xfId="9561"/>
    <cellStyle name="Заголовок 3 3 2 4" xfId="9562"/>
    <cellStyle name="Заголовок 3 3 2 5" xfId="9563"/>
    <cellStyle name="Заголовок 3 3 2 6" xfId="9564"/>
    <cellStyle name="Заголовок 3 3 2 7" xfId="9565"/>
    <cellStyle name="Заголовок 3 3 2 8" xfId="9566"/>
    <cellStyle name="Заголовок 3 3 3" xfId="9567"/>
    <cellStyle name="Заголовок 3 3 3 2" xfId="9568"/>
    <cellStyle name="Заголовок 3 3 3 3" xfId="9569"/>
    <cellStyle name="Заголовок 3 3 3 4" xfId="9570"/>
    <cellStyle name="Заголовок 3 3 3 5" xfId="9571"/>
    <cellStyle name="Заголовок 3 3 3 6" xfId="9572"/>
    <cellStyle name="Заголовок 3 3 4" xfId="9573"/>
    <cellStyle name="Заголовок 3 3 4 2" xfId="9574"/>
    <cellStyle name="Заголовок 3 3 4 3" xfId="9575"/>
    <cellStyle name="Заголовок 3 3 4 4" xfId="9576"/>
    <cellStyle name="Заголовок 3 3 4 5" xfId="9577"/>
    <cellStyle name="Заголовок 3 3 5" xfId="9578"/>
    <cellStyle name="Заголовок 3 3 6" xfId="9579"/>
    <cellStyle name="Заголовок 3 3 7" xfId="9580"/>
    <cellStyle name="Заголовок 3 3 8" xfId="9581"/>
    <cellStyle name="Заголовок 3 4" xfId="9582"/>
    <cellStyle name="Заголовок 3 4 2" xfId="9583"/>
    <cellStyle name="Заголовок 3 4 2 2" xfId="9584"/>
    <cellStyle name="Заголовок 3 4 2 2 2" xfId="9585"/>
    <cellStyle name="Заголовок 3 4 2 2 3" xfId="9586"/>
    <cellStyle name="Заголовок 3 4 2 2 4" xfId="9587"/>
    <cellStyle name="Заголовок 3 4 2 2 5" xfId="9588"/>
    <cellStyle name="Заголовок 3 4 2 2 6" xfId="9589"/>
    <cellStyle name="Заголовок 3 4 2 3" xfId="9590"/>
    <cellStyle name="Заголовок 3 4 2 3 2" xfId="9591"/>
    <cellStyle name="Заголовок 3 4 2 3 3" xfId="9592"/>
    <cellStyle name="Заголовок 3 4 2 3 4" xfId="9593"/>
    <cellStyle name="Заголовок 3 4 2 3 5" xfId="9594"/>
    <cellStyle name="Заголовок 3 4 2 3 6" xfId="9595"/>
    <cellStyle name="Заголовок 3 4 2 4" xfId="9596"/>
    <cellStyle name="Заголовок 3 4 2 5" xfId="9597"/>
    <cellStyle name="Заголовок 3 4 2 6" xfId="9598"/>
    <cellStyle name="Заголовок 3 4 2 7" xfId="9599"/>
    <cellStyle name="Заголовок 3 4 2 8" xfId="9600"/>
    <cellStyle name="Заголовок 3 4 3" xfId="9601"/>
    <cellStyle name="Заголовок 3 4 3 2" xfId="9602"/>
    <cellStyle name="Заголовок 3 4 3 3" xfId="9603"/>
    <cellStyle name="Заголовок 3 4 3 4" xfId="9604"/>
    <cellStyle name="Заголовок 3 4 3 5" xfId="9605"/>
    <cellStyle name="Заголовок 3 4 3 6" xfId="9606"/>
    <cellStyle name="Заголовок 3 4 4" xfId="9607"/>
    <cellStyle name="Заголовок 3 4 4 2" xfId="9608"/>
    <cellStyle name="Заголовок 3 4 4 3" xfId="9609"/>
    <cellStyle name="Заголовок 3 4 4 4" xfId="9610"/>
    <cellStyle name="Заголовок 3 4 4 5" xfId="9611"/>
    <cellStyle name="Заголовок 3 4 5" xfId="9612"/>
    <cellStyle name="Заголовок 3 4 6" xfId="9613"/>
    <cellStyle name="Заголовок 3 4 7" xfId="9614"/>
    <cellStyle name="Заголовок 3 4 8" xfId="9615"/>
    <cellStyle name="Заголовок 3 5" xfId="9616"/>
    <cellStyle name="Заголовок 3 5 2" xfId="9617"/>
    <cellStyle name="Заголовок 3 5 2 2" xfId="9618"/>
    <cellStyle name="Заголовок 3 5 2 2 2" xfId="9619"/>
    <cellStyle name="Заголовок 3 5 2 2 3" xfId="9620"/>
    <cellStyle name="Заголовок 3 5 2 2 4" xfId="9621"/>
    <cellStyle name="Заголовок 3 5 2 2 5" xfId="9622"/>
    <cellStyle name="Заголовок 3 5 2 2 6" xfId="9623"/>
    <cellStyle name="Заголовок 3 5 2 3" xfId="9624"/>
    <cellStyle name="Заголовок 3 5 2 3 2" xfId="9625"/>
    <cellStyle name="Заголовок 3 5 2 3 3" xfId="9626"/>
    <cellStyle name="Заголовок 3 5 2 3 4" xfId="9627"/>
    <cellStyle name="Заголовок 3 5 2 3 5" xfId="9628"/>
    <cellStyle name="Заголовок 3 5 2 3 6" xfId="9629"/>
    <cellStyle name="Заголовок 3 5 2 4" xfId="9630"/>
    <cellStyle name="Заголовок 3 5 2 5" xfId="9631"/>
    <cellStyle name="Заголовок 3 5 2 6" xfId="9632"/>
    <cellStyle name="Заголовок 3 5 2 7" xfId="9633"/>
    <cellStyle name="Заголовок 3 5 2 8" xfId="9634"/>
    <cellStyle name="Заголовок 3 5 3" xfId="9635"/>
    <cellStyle name="Заголовок 3 5 3 2" xfId="9636"/>
    <cellStyle name="Заголовок 3 5 3 3" xfId="9637"/>
    <cellStyle name="Заголовок 3 5 3 4" xfId="9638"/>
    <cellStyle name="Заголовок 3 5 3 5" xfId="9639"/>
    <cellStyle name="Заголовок 3 5 3 6" xfId="9640"/>
    <cellStyle name="Заголовок 3 5 4" xfId="9641"/>
    <cellStyle name="Заголовок 3 5 4 2" xfId="9642"/>
    <cellStyle name="Заголовок 3 5 4 3" xfId="9643"/>
    <cellStyle name="Заголовок 3 5 4 4" xfId="9644"/>
    <cellStyle name="Заголовок 3 5 4 5" xfId="9645"/>
    <cellStyle name="Заголовок 3 5 5" xfId="9646"/>
    <cellStyle name="Заголовок 3 5 6" xfId="9647"/>
    <cellStyle name="Заголовок 3 5 7" xfId="9648"/>
    <cellStyle name="Заголовок 3 5 8" xfId="9649"/>
    <cellStyle name="Заголовок 3 6" xfId="9650"/>
    <cellStyle name="Заголовок 3 6 2" xfId="9651"/>
    <cellStyle name="Заголовок 3 6 2 2" xfId="9652"/>
    <cellStyle name="Заголовок 3 6 2 2 2" xfId="9653"/>
    <cellStyle name="Заголовок 3 6 2 2 3" xfId="9654"/>
    <cellStyle name="Заголовок 3 6 2 2 4" xfId="9655"/>
    <cellStyle name="Заголовок 3 6 2 2 5" xfId="9656"/>
    <cellStyle name="Заголовок 3 6 2 2 6" xfId="9657"/>
    <cellStyle name="Заголовок 3 6 2 3" xfId="9658"/>
    <cellStyle name="Заголовок 3 6 2 3 2" xfId="9659"/>
    <cellStyle name="Заголовок 3 6 2 3 3" xfId="9660"/>
    <cellStyle name="Заголовок 3 6 2 3 4" xfId="9661"/>
    <cellStyle name="Заголовок 3 6 2 3 5" xfId="9662"/>
    <cellStyle name="Заголовок 3 6 2 3 6" xfId="9663"/>
    <cellStyle name="Заголовок 3 6 2 4" xfId="9664"/>
    <cellStyle name="Заголовок 3 6 2 5" xfId="9665"/>
    <cellStyle name="Заголовок 3 6 2 6" xfId="9666"/>
    <cellStyle name="Заголовок 3 6 2 7" xfId="9667"/>
    <cellStyle name="Заголовок 3 6 2 8" xfId="9668"/>
    <cellStyle name="Заголовок 3 6 3" xfId="9669"/>
    <cellStyle name="Заголовок 3 6 3 2" xfId="9670"/>
    <cellStyle name="Заголовок 3 6 3 3" xfId="9671"/>
    <cellStyle name="Заголовок 3 6 3 4" xfId="9672"/>
    <cellStyle name="Заголовок 3 6 3 5" xfId="9673"/>
    <cellStyle name="Заголовок 3 6 3 6" xfId="9674"/>
    <cellStyle name="Заголовок 3 6 4" xfId="9675"/>
    <cellStyle name="Заголовок 3 6 4 2" xfId="9676"/>
    <cellStyle name="Заголовок 3 6 4 3" xfId="9677"/>
    <cellStyle name="Заголовок 3 6 4 4" xfId="9678"/>
    <cellStyle name="Заголовок 3 6 4 5" xfId="9679"/>
    <cellStyle name="Заголовок 3 6 5" xfId="9680"/>
    <cellStyle name="Заголовок 3 6 6" xfId="9681"/>
    <cellStyle name="Заголовок 3 6 7" xfId="9682"/>
    <cellStyle name="Заголовок 3 6 8" xfId="9683"/>
    <cellStyle name="Заголовок 4 2" xfId="9684"/>
    <cellStyle name="Заголовок 4 2 2" xfId="9685"/>
    <cellStyle name="Заголовок 4 2 2 2" xfId="9686"/>
    <cellStyle name="Заголовок 4 2 2 2 2" xfId="9687"/>
    <cellStyle name="Заголовок 4 2 2 2 3" xfId="9688"/>
    <cellStyle name="Заголовок 4 2 2 3" xfId="9689"/>
    <cellStyle name="Заголовок 4 2 2 4" xfId="9690"/>
    <cellStyle name="Заголовок 4 2 2 4 2" xfId="9691"/>
    <cellStyle name="Заголовок 4 2 2 4 3" xfId="9692"/>
    <cellStyle name="Заголовок 4 2 2 4 4" xfId="9693"/>
    <cellStyle name="Заголовок 4 2 2 4 5" xfId="9694"/>
    <cellStyle name="Заголовок 4 2 2 5" xfId="9695"/>
    <cellStyle name="Заголовок 4 2 2 6" xfId="9696"/>
    <cellStyle name="Заголовок 4 2 2 7" xfId="9697"/>
    <cellStyle name="Заголовок 4 2 2 8" xfId="9698"/>
    <cellStyle name="Заголовок 4 2 3" xfId="9699"/>
    <cellStyle name="Заголовок 4 2 3 2" xfId="9700"/>
    <cellStyle name="Заголовок 4 2 3 2 2" xfId="9701"/>
    <cellStyle name="Заголовок 4 2 3 2 3" xfId="9702"/>
    <cellStyle name="Заголовок 4 2 3 2 4" xfId="9703"/>
    <cellStyle name="Заголовок 4 2 3 2 5" xfId="9704"/>
    <cellStyle name="Заголовок 4 2 3 2 6" xfId="9705"/>
    <cellStyle name="Заголовок 4 2 3 3" xfId="9706"/>
    <cellStyle name="Заголовок 4 2 3 3 2" xfId="9707"/>
    <cellStyle name="Заголовок 4 2 3 3 3" xfId="9708"/>
    <cellStyle name="Заголовок 4 2 3 3 4" xfId="9709"/>
    <cellStyle name="Заголовок 4 2 3 3 5" xfId="9710"/>
    <cellStyle name="Заголовок 4 2 3 3 6" xfId="9711"/>
    <cellStyle name="Заголовок 4 2 3 4" xfId="9712"/>
    <cellStyle name="Заголовок 4 2 3 5" xfId="9713"/>
    <cellStyle name="Заголовок 4 2 3 6" xfId="9714"/>
    <cellStyle name="Заголовок 4 2 3 7" xfId="9715"/>
    <cellStyle name="Заголовок 4 2 3 8" xfId="9716"/>
    <cellStyle name="Заголовок 4 2 4" xfId="9717"/>
    <cellStyle name="Заголовок 4 2 4 2" xfId="9718"/>
    <cellStyle name="Заголовок 4 2 4 3" xfId="9719"/>
    <cellStyle name="Заголовок 4 2 4 4" xfId="9720"/>
    <cellStyle name="Заголовок 4 2 4 5" xfId="9721"/>
    <cellStyle name="Заголовок 4 2 4 6" xfId="9722"/>
    <cellStyle name="Заголовок 4 2 5" xfId="9723"/>
    <cellStyle name="Заголовок 4 2 5 2" xfId="9724"/>
    <cellStyle name="Заголовок 4 2 5 3" xfId="9725"/>
    <cellStyle name="Заголовок 4 2 5 4" xfId="9726"/>
    <cellStyle name="Заголовок 4 2 5 5" xfId="9727"/>
    <cellStyle name="Заголовок 4 2 6" xfId="9728"/>
    <cellStyle name="Заголовок 4 2 7" xfId="9729"/>
    <cellStyle name="Заголовок 4 2 8" xfId="9730"/>
    <cellStyle name="Заголовок 4 2 9" xfId="9731"/>
    <cellStyle name="Заголовок 4 3" xfId="9732"/>
    <cellStyle name="Заголовок 4 3 2" xfId="9733"/>
    <cellStyle name="Заголовок 4 3 2 2" xfId="9734"/>
    <cellStyle name="Заголовок 4 3 2 2 2" xfId="9735"/>
    <cellStyle name="Заголовок 4 3 2 2 3" xfId="9736"/>
    <cellStyle name="Заголовок 4 3 2 2 4" xfId="9737"/>
    <cellStyle name="Заголовок 4 3 2 2 5" xfId="9738"/>
    <cellStyle name="Заголовок 4 3 2 2 6" xfId="9739"/>
    <cellStyle name="Заголовок 4 3 2 3" xfId="9740"/>
    <cellStyle name="Заголовок 4 3 2 3 2" xfId="9741"/>
    <cellStyle name="Заголовок 4 3 2 3 3" xfId="9742"/>
    <cellStyle name="Заголовок 4 3 2 3 4" xfId="9743"/>
    <cellStyle name="Заголовок 4 3 2 3 5" xfId="9744"/>
    <cellStyle name="Заголовок 4 3 2 3 6" xfId="9745"/>
    <cellStyle name="Заголовок 4 3 2 4" xfId="9746"/>
    <cellStyle name="Заголовок 4 3 2 5" xfId="9747"/>
    <cellStyle name="Заголовок 4 3 2 6" xfId="9748"/>
    <cellStyle name="Заголовок 4 3 2 7" xfId="9749"/>
    <cellStyle name="Заголовок 4 3 2 8" xfId="9750"/>
    <cellStyle name="Заголовок 4 3 3" xfId="9751"/>
    <cellStyle name="Заголовок 4 3 3 2" xfId="9752"/>
    <cellStyle name="Заголовок 4 3 3 3" xfId="9753"/>
    <cellStyle name="Заголовок 4 3 3 4" xfId="9754"/>
    <cellStyle name="Заголовок 4 3 3 5" xfId="9755"/>
    <cellStyle name="Заголовок 4 3 3 6" xfId="9756"/>
    <cellStyle name="Заголовок 4 3 4" xfId="9757"/>
    <cellStyle name="Заголовок 4 3 4 2" xfId="9758"/>
    <cellStyle name="Заголовок 4 3 4 3" xfId="9759"/>
    <cellStyle name="Заголовок 4 3 4 4" xfId="9760"/>
    <cellStyle name="Заголовок 4 3 4 5" xfId="9761"/>
    <cellStyle name="Заголовок 4 3 5" xfId="9762"/>
    <cellStyle name="Заголовок 4 3 6" xfId="9763"/>
    <cellStyle name="Заголовок 4 3 7" xfId="9764"/>
    <cellStyle name="Заголовок 4 3 8" xfId="9765"/>
    <cellStyle name="Заголовок 4 4" xfId="9766"/>
    <cellStyle name="Заголовок 4 4 2" xfId="9767"/>
    <cellStyle name="Заголовок 4 4 2 2" xfId="9768"/>
    <cellStyle name="Заголовок 4 4 2 2 2" xfId="9769"/>
    <cellStyle name="Заголовок 4 4 2 2 3" xfId="9770"/>
    <cellStyle name="Заголовок 4 4 2 2 4" xfId="9771"/>
    <cellStyle name="Заголовок 4 4 2 2 5" xfId="9772"/>
    <cellStyle name="Заголовок 4 4 2 2 6" xfId="9773"/>
    <cellStyle name="Заголовок 4 4 2 3" xfId="9774"/>
    <cellStyle name="Заголовок 4 4 2 3 2" xfId="9775"/>
    <cellStyle name="Заголовок 4 4 2 3 3" xfId="9776"/>
    <cellStyle name="Заголовок 4 4 2 3 4" xfId="9777"/>
    <cellStyle name="Заголовок 4 4 2 3 5" xfId="9778"/>
    <cellStyle name="Заголовок 4 4 2 3 6" xfId="9779"/>
    <cellStyle name="Заголовок 4 4 2 4" xfId="9780"/>
    <cellStyle name="Заголовок 4 4 2 5" xfId="9781"/>
    <cellStyle name="Заголовок 4 4 2 6" xfId="9782"/>
    <cellStyle name="Заголовок 4 4 2 7" xfId="9783"/>
    <cellStyle name="Заголовок 4 4 2 8" xfId="9784"/>
    <cellStyle name="Заголовок 4 4 3" xfId="9785"/>
    <cellStyle name="Заголовок 4 4 3 2" xfId="9786"/>
    <cellStyle name="Заголовок 4 4 3 3" xfId="9787"/>
    <cellStyle name="Заголовок 4 4 3 4" xfId="9788"/>
    <cellStyle name="Заголовок 4 4 3 5" xfId="9789"/>
    <cellStyle name="Заголовок 4 4 3 6" xfId="9790"/>
    <cellStyle name="Заголовок 4 4 4" xfId="9791"/>
    <cellStyle name="Заголовок 4 4 4 2" xfId="9792"/>
    <cellStyle name="Заголовок 4 4 4 3" xfId="9793"/>
    <cellStyle name="Заголовок 4 4 4 4" xfId="9794"/>
    <cellStyle name="Заголовок 4 4 4 5" xfId="9795"/>
    <cellStyle name="Заголовок 4 4 5" xfId="9796"/>
    <cellStyle name="Заголовок 4 4 6" xfId="9797"/>
    <cellStyle name="Заголовок 4 4 7" xfId="9798"/>
    <cellStyle name="Заголовок 4 4 8" xfId="9799"/>
    <cellStyle name="Заголовок 4 5" xfId="9800"/>
    <cellStyle name="Заголовок 4 5 2" xfId="9801"/>
    <cellStyle name="Заголовок 4 5 2 2" xfId="9802"/>
    <cellStyle name="Заголовок 4 5 2 2 2" xfId="9803"/>
    <cellStyle name="Заголовок 4 5 2 2 3" xfId="9804"/>
    <cellStyle name="Заголовок 4 5 2 2 4" xfId="9805"/>
    <cellStyle name="Заголовок 4 5 2 2 5" xfId="9806"/>
    <cellStyle name="Заголовок 4 5 2 2 6" xfId="9807"/>
    <cellStyle name="Заголовок 4 5 2 3" xfId="9808"/>
    <cellStyle name="Заголовок 4 5 2 3 2" xfId="9809"/>
    <cellStyle name="Заголовок 4 5 2 3 3" xfId="9810"/>
    <cellStyle name="Заголовок 4 5 2 3 4" xfId="9811"/>
    <cellStyle name="Заголовок 4 5 2 3 5" xfId="9812"/>
    <cellStyle name="Заголовок 4 5 2 3 6" xfId="9813"/>
    <cellStyle name="Заголовок 4 5 2 4" xfId="9814"/>
    <cellStyle name="Заголовок 4 5 2 5" xfId="9815"/>
    <cellStyle name="Заголовок 4 5 2 6" xfId="9816"/>
    <cellStyle name="Заголовок 4 5 2 7" xfId="9817"/>
    <cellStyle name="Заголовок 4 5 2 8" xfId="9818"/>
    <cellStyle name="Заголовок 4 5 3" xfId="9819"/>
    <cellStyle name="Заголовок 4 5 3 2" xfId="9820"/>
    <cellStyle name="Заголовок 4 5 3 3" xfId="9821"/>
    <cellStyle name="Заголовок 4 5 3 4" xfId="9822"/>
    <cellStyle name="Заголовок 4 5 3 5" xfId="9823"/>
    <cellStyle name="Заголовок 4 5 3 6" xfId="9824"/>
    <cellStyle name="Заголовок 4 5 4" xfId="9825"/>
    <cellStyle name="Заголовок 4 5 4 2" xfId="9826"/>
    <cellStyle name="Заголовок 4 5 4 3" xfId="9827"/>
    <cellStyle name="Заголовок 4 5 4 4" xfId="9828"/>
    <cellStyle name="Заголовок 4 5 4 5" xfId="9829"/>
    <cellStyle name="Заголовок 4 5 5" xfId="9830"/>
    <cellStyle name="Заголовок 4 5 6" xfId="9831"/>
    <cellStyle name="Заголовок 4 5 7" xfId="9832"/>
    <cellStyle name="Заголовок 4 5 8" xfId="9833"/>
    <cellStyle name="Заголовок 4 6" xfId="9834"/>
    <cellStyle name="Заголовок 4 6 2" xfId="9835"/>
    <cellStyle name="Заголовок 4 6 2 2" xfId="9836"/>
    <cellStyle name="Заголовок 4 6 2 2 2" xfId="9837"/>
    <cellStyle name="Заголовок 4 6 2 2 3" xfId="9838"/>
    <cellStyle name="Заголовок 4 6 2 2 4" xfId="9839"/>
    <cellStyle name="Заголовок 4 6 2 2 5" xfId="9840"/>
    <cellStyle name="Заголовок 4 6 2 2 6" xfId="9841"/>
    <cellStyle name="Заголовок 4 6 2 3" xfId="9842"/>
    <cellStyle name="Заголовок 4 6 2 3 2" xfId="9843"/>
    <cellStyle name="Заголовок 4 6 2 3 3" xfId="9844"/>
    <cellStyle name="Заголовок 4 6 2 3 4" xfId="9845"/>
    <cellStyle name="Заголовок 4 6 2 3 5" xfId="9846"/>
    <cellStyle name="Заголовок 4 6 2 3 6" xfId="9847"/>
    <cellStyle name="Заголовок 4 6 2 4" xfId="9848"/>
    <cellStyle name="Заголовок 4 6 2 5" xfId="9849"/>
    <cellStyle name="Заголовок 4 6 2 6" xfId="9850"/>
    <cellStyle name="Заголовок 4 6 2 7" xfId="9851"/>
    <cellStyle name="Заголовок 4 6 2 8" xfId="9852"/>
    <cellStyle name="Заголовок 4 6 3" xfId="9853"/>
    <cellStyle name="Заголовок 4 6 3 2" xfId="9854"/>
    <cellStyle name="Заголовок 4 6 3 3" xfId="9855"/>
    <cellStyle name="Заголовок 4 6 3 4" xfId="9856"/>
    <cellStyle name="Заголовок 4 6 3 5" xfId="9857"/>
    <cellStyle name="Заголовок 4 6 3 6" xfId="9858"/>
    <cellStyle name="Заголовок 4 6 4" xfId="9859"/>
    <cellStyle name="Заголовок 4 6 4 2" xfId="9860"/>
    <cellStyle name="Заголовок 4 6 4 3" xfId="9861"/>
    <cellStyle name="Заголовок 4 6 4 4" xfId="9862"/>
    <cellStyle name="Заголовок 4 6 4 5" xfId="9863"/>
    <cellStyle name="Заголовок 4 6 5" xfId="9864"/>
    <cellStyle name="Заголовок 4 6 6" xfId="9865"/>
    <cellStyle name="Заголовок 4 6 7" xfId="9866"/>
    <cellStyle name="Заголовок 4 6 8" xfId="9867"/>
    <cellStyle name="Итог 2" xfId="9868"/>
    <cellStyle name="Итог 2 10" xfId="9869"/>
    <cellStyle name="Итог 2 11" xfId="9870"/>
    <cellStyle name="Итог 2 12" xfId="9871"/>
    <cellStyle name="Итог 2 13" xfId="9872"/>
    <cellStyle name="Итог 2 14" xfId="9873"/>
    <cellStyle name="Итог 2 15" xfId="9874"/>
    <cellStyle name="Итог 2 2" xfId="9875"/>
    <cellStyle name="Итог 2 2 10" xfId="9876"/>
    <cellStyle name="Итог 2 2 11" xfId="9877"/>
    <cellStyle name="Итог 2 2 12" xfId="9878"/>
    <cellStyle name="Итог 2 2 13" xfId="9879"/>
    <cellStyle name="Итог 2 2 14" xfId="9880"/>
    <cellStyle name="Итог 2 2 2" xfId="9881"/>
    <cellStyle name="Итог 2 2 2 10" xfId="9882"/>
    <cellStyle name="Итог 2 2 2 11" xfId="9883"/>
    <cellStyle name="Итог 2 2 2 12" xfId="9884"/>
    <cellStyle name="Итог 2 2 2 2" xfId="9885"/>
    <cellStyle name="Итог 2 2 2 2 2" xfId="9886"/>
    <cellStyle name="Итог 2 2 2 2 3" xfId="9887"/>
    <cellStyle name="Итог 2 2 2 2 4" xfId="9888"/>
    <cellStyle name="Итог 2 2 2 2 5" xfId="9889"/>
    <cellStyle name="Итог 2 2 2 3" xfId="9890"/>
    <cellStyle name="Итог 2 2 2 3 2" xfId="9891"/>
    <cellStyle name="Итог 2 2 2 3 3" xfId="9892"/>
    <cellStyle name="Итог 2 2 2 3 4" xfId="9893"/>
    <cellStyle name="Итог 2 2 2 3 5" xfId="9894"/>
    <cellStyle name="Итог 2 2 2 4" xfId="9895"/>
    <cellStyle name="Итог 2 2 2 4 2" xfId="9896"/>
    <cellStyle name="Итог 2 2 2 4 3" xfId="9897"/>
    <cellStyle name="Итог 2 2 2 4 4" xfId="9898"/>
    <cellStyle name="Итог 2 2 2 4 5" xfId="9899"/>
    <cellStyle name="Итог 2 2 2 5" xfId="9900"/>
    <cellStyle name="Итог 2 2 2 5 2" xfId="9901"/>
    <cellStyle name="Итог 2 2 2 5 3" xfId="9902"/>
    <cellStyle name="Итог 2 2 2 5 4" xfId="9903"/>
    <cellStyle name="Итог 2 2 2 6" xfId="9904"/>
    <cellStyle name="Итог 2 2 2 7" xfId="9905"/>
    <cellStyle name="Итог 2 2 2 8" xfId="9906"/>
    <cellStyle name="Итог 2 2 2 9" xfId="9907"/>
    <cellStyle name="Итог 2 2 3" xfId="9908"/>
    <cellStyle name="Итог 2 2 3 10" xfId="9909"/>
    <cellStyle name="Итог 2 2 3 11" xfId="9910"/>
    <cellStyle name="Итог 2 2 3 2" xfId="9911"/>
    <cellStyle name="Итог 2 2 3 2 2" xfId="9912"/>
    <cellStyle name="Итог 2 2 3 2 3" xfId="9913"/>
    <cellStyle name="Итог 2 2 3 2 4" xfId="9914"/>
    <cellStyle name="Итог 2 2 3 2 5" xfId="9915"/>
    <cellStyle name="Итог 2 2 3 3" xfId="9916"/>
    <cellStyle name="Итог 2 2 3 3 2" xfId="9917"/>
    <cellStyle name="Итог 2 2 3 3 3" xfId="9918"/>
    <cellStyle name="Итог 2 2 3 3 4" xfId="9919"/>
    <cellStyle name="Итог 2 2 3 3 5" xfId="9920"/>
    <cellStyle name="Итог 2 2 3 4" xfId="9921"/>
    <cellStyle name="Итог 2 2 3 4 2" xfId="9922"/>
    <cellStyle name="Итог 2 2 3 4 3" xfId="9923"/>
    <cellStyle name="Итог 2 2 3 4 4" xfId="9924"/>
    <cellStyle name="Итог 2 2 3 5" xfId="9925"/>
    <cellStyle name="Итог 2 2 3 6" xfId="9926"/>
    <cellStyle name="Итог 2 2 3 7" xfId="9927"/>
    <cellStyle name="Итог 2 2 3 8" xfId="9928"/>
    <cellStyle name="Итог 2 2 3 9" xfId="9929"/>
    <cellStyle name="Итог 2 2 4" xfId="9930"/>
    <cellStyle name="Итог 2 2 4 2" xfId="9931"/>
    <cellStyle name="Итог 2 2 4 3" xfId="9932"/>
    <cellStyle name="Итог 2 2 4 4" xfId="9933"/>
    <cellStyle name="Итог 2 2 4 5" xfId="9934"/>
    <cellStyle name="Итог 2 2 4 6" xfId="9935"/>
    <cellStyle name="Итог 2 2 4 7" xfId="9936"/>
    <cellStyle name="Итог 2 2 4 8" xfId="9937"/>
    <cellStyle name="Итог 2 2 5" xfId="9938"/>
    <cellStyle name="Итог 2 2 5 2" xfId="9939"/>
    <cellStyle name="Итог 2 2 5 3" xfId="9940"/>
    <cellStyle name="Итог 2 2 5 4" xfId="9941"/>
    <cellStyle name="Итог 2 2 5 5" xfId="9942"/>
    <cellStyle name="Итог 2 2 5 6" xfId="9943"/>
    <cellStyle name="Итог 2 2 5 7" xfId="9944"/>
    <cellStyle name="Итог 2 2 5 8" xfId="9945"/>
    <cellStyle name="Итог 2 2 6" xfId="9946"/>
    <cellStyle name="Итог 2 2 6 2" xfId="9947"/>
    <cellStyle name="Итог 2 2 6 3" xfId="9948"/>
    <cellStyle name="Итог 2 2 6 4" xfId="9949"/>
    <cellStyle name="Итог 2 2 6 5" xfId="9950"/>
    <cellStyle name="Итог 2 2 6 6" xfId="9951"/>
    <cellStyle name="Итог 2 2 6 7" xfId="9952"/>
    <cellStyle name="Итог 2 2 6 8" xfId="9953"/>
    <cellStyle name="Итог 2 2 7" xfId="9954"/>
    <cellStyle name="Итог 2 2 7 2" xfId="9955"/>
    <cellStyle name="Итог 2 2 7 3" xfId="9956"/>
    <cellStyle name="Итог 2 2 7 4" xfId="9957"/>
    <cellStyle name="Итог 2 2 8" xfId="9958"/>
    <cellStyle name="Итог 2 2 9" xfId="9959"/>
    <cellStyle name="Итог 2 3" xfId="9960"/>
    <cellStyle name="Итог 2 3 10" xfId="9961"/>
    <cellStyle name="Итог 2 3 11" xfId="9962"/>
    <cellStyle name="Итог 2 3 12" xfId="9963"/>
    <cellStyle name="Итог 2 3 2" xfId="9964"/>
    <cellStyle name="Итог 2 3 2 2" xfId="9965"/>
    <cellStyle name="Итог 2 3 2 3" xfId="9966"/>
    <cellStyle name="Итог 2 3 2 4" xfId="9967"/>
    <cellStyle name="Итог 2 3 2 5" xfId="9968"/>
    <cellStyle name="Итог 2 3 3" xfId="9969"/>
    <cellStyle name="Итог 2 3 3 2" xfId="9970"/>
    <cellStyle name="Итог 2 3 3 3" xfId="9971"/>
    <cellStyle name="Итог 2 3 3 4" xfId="9972"/>
    <cellStyle name="Итог 2 3 3 5" xfId="9973"/>
    <cellStyle name="Итог 2 3 4" xfId="9974"/>
    <cellStyle name="Итог 2 3 4 2" xfId="9975"/>
    <cellStyle name="Итог 2 3 4 3" xfId="9976"/>
    <cellStyle name="Итог 2 3 4 4" xfId="9977"/>
    <cellStyle name="Итог 2 3 4 5" xfId="9978"/>
    <cellStyle name="Итог 2 3 5" xfId="9979"/>
    <cellStyle name="Итог 2 3 5 2" xfId="9980"/>
    <cellStyle name="Итог 2 3 5 3" xfId="9981"/>
    <cellStyle name="Итог 2 3 5 4" xfId="9982"/>
    <cellStyle name="Итог 2 3 6" xfId="9983"/>
    <cellStyle name="Итог 2 3 7" xfId="9984"/>
    <cellStyle name="Итог 2 3 8" xfId="9985"/>
    <cellStyle name="Итог 2 3 9" xfId="9986"/>
    <cellStyle name="Итог 2 4" xfId="9987"/>
    <cellStyle name="Итог 2 4 10" xfId="9988"/>
    <cellStyle name="Итог 2 4 11" xfId="9989"/>
    <cellStyle name="Итог 2 4 2" xfId="9990"/>
    <cellStyle name="Итог 2 4 2 2" xfId="9991"/>
    <cellStyle name="Итог 2 4 2 3" xfId="9992"/>
    <cellStyle name="Итог 2 4 2 4" xfId="9993"/>
    <cellStyle name="Итог 2 4 2 5" xfId="9994"/>
    <cellStyle name="Итог 2 4 3" xfId="9995"/>
    <cellStyle name="Итог 2 4 3 2" xfId="9996"/>
    <cellStyle name="Итог 2 4 3 3" xfId="9997"/>
    <cellStyle name="Итог 2 4 3 4" xfId="9998"/>
    <cellStyle name="Итог 2 4 3 5" xfId="9999"/>
    <cellStyle name="Итог 2 4 4" xfId="10000"/>
    <cellStyle name="Итог 2 4 4 2" xfId="10001"/>
    <cellStyle name="Итог 2 4 4 3" xfId="10002"/>
    <cellStyle name="Итог 2 4 4 4" xfId="10003"/>
    <cellStyle name="Итог 2 4 5" xfId="10004"/>
    <cellStyle name="Итог 2 4 6" xfId="10005"/>
    <cellStyle name="Итог 2 4 7" xfId="10006"/>
    <cellStyle name="Итог 2 4 8" xfId="10007"/>
    <cellStyle name="Итог 2 4 9" xfId="10008"/>
    <cellStyle name="Итог 2 5" xfId="10009"/>
    <cellStyle name="Итог 2 5 2" xfId="10010"/>
    <cellStyle name="Итог 2 5 3" xfId="10011"/>
    <cellStyle name="Итог 2 5 4" xfId="10012"/>
    <cellStyle name="Итог 2 5 5" xfId="10013"/>
    <cellStyle name="Итог 2 5 6" xfId="10014"/>
    <cellStyle name="Итог 2 5 7" xfId="10015"/>
    <cellStyle name="Итог 2 5 8" xfId="10016"/>
    <cellStyle name="Итог 2 6" xfId="10017"/>
    <cellStyle name="Итог 2 6 2" xfId="10018"/>
    <cellStyle name="Итог 2 6 3" xfId="10019"/>
    <cellStyle name="Итог 2 6 4" xfId="10020"/>
    <cellStyle name="Итог 2 6 5" xfId="10021"/>
    <cellStyle name="Итог 2 6 6" xfId="10022"/>
    <cellStyle name="Итог 2 6 7" xfId="10023"/>
    <cellStyle name="Итог 2 6 8" xfId="10024"/>
    <cellStyle name="Итог 2 7" xfId="10025"/>
    <cellStyle name="Итог 2 7 2" xfId="10026"/>
    <cellStyle name="Итог 2 7 3" xfId="10027"/>
    <cellStyle name="Итог 2 7 4" xfId="10028"/>
    <cellStyle name="Итог 2 7 5" xfId="10029"/>
    <cellStyle name="Итог 2 7 6" xfId="10030"/>
    <cellStyle name="Итог 2 7 7" xfId="10031"/>
    <cellStyle name="Итог 2 7 8" xfId="10032"/>
    <cellStyle name="Итог 2 8" xfId="10033"/>
    <cellStyle name="Итог 2 8 2" xfId="10034"/>
    <cellStyle name="Итог 2 8 3" xfId="10035"/>
    <cellStyle name="Итог 2 8 4" xfId="10036"/>
    <cellStyle name="Итог 2 9" xfId="10037"/>
    <cellStyle name="Итог 3" xfId="10038"/>
    <cellStyle name="Итог 3 10" xfId="10039"/>
    <cellStyle name="Итог 3 11" xfId="10040"/>
    <cellStyle name="Итог 3 12" xfId="10041"/>
    <cellStyle name="Итог 3 13" xfId="10042"/>
    <cellStyle name="Итог 3 14" xfId="10043"/>
    <cellStyle name="Итог 3 2" xfId="10044"/>
    <cellStyle name="Итог 3 2 10" xfId="10045"/>
    <cellStyle name="Итог 3 2 11" xfId="10046"/>
    <cellStyle name="Итог 3 2 12" xfId="10047"/>
    <cellStyle name="Итог 3 2 2" xfId="10048"/>
    <cellStyle name="Итог 3 2 2 2" xfId="10049"/>
    <cellStyle name="Итог 3 2 2 3" xfId="10050"/>
    <cellStyle name="Итог 3 2 2 4" xfId="10051"/>
    <cellStyle name="Итог 3 2 2 5" xfId="10052"/>
    <cellStyle name="Итог 3 2 3" xfId="10053"/>
    <cellStyle name="Итог 3 2 3 2" xfId="10054"/>
    <cellStyle name="Итог 3 2 3 3" xfId="10055"/>
    <cellStyle name="Итог 3 2 3 4" xfId="10056"/>
    <cellStyle name="Итог 3 2 3 5" xfId="10057"/>
    <cellStyle name="Итог 3 2 4" xfId="10058"/>
    <cellStyle name="Итог 3 2 4 2" xfId="10059"/>
    <cellStyle name="Итог 3 2 4 3" xfId="10060"/>
    <cellStyle name="Итог 3 2 4 4" xfId="10061"/>
    <cellStyle name="Итог 3 2 4 5" xfId="10062"/>
    <cellStyle name="Итог 3 2 5" xfId="10063"/>
    <cellStyle name="Итог 3 2 5 2" xfId="10064"/>
    <cellStyle name="Итог 3 2 5 3" xfId="10065"/>
    <cellStyle name="Итог 3 2 5 4" xfId="10066"/>
    <cellStyle name="Итог 3 2 6" xfId="10067"/>
    <cellStyle name="Итог 3 2 7" xfId="10068"/>
    <cellStyle name="Итог 3 2 8" xfId="10069"/>
    <cellStyle name="Итог 3 2 9" xfId="10070"/>
    <cellStyle name="Итог 3 3" xfId="10071"/>
    <cellStyle name="Итог 3 3 10" xfId="10072"/>
    <cellStyle name="Итог 3 3 11" xfId="10073"/>
    <cellStyle name="Итог 3 3 2" xfId="10074"/>
    <cellStyle name="Итог 3 3 2 2" xfId="10075"/>
    <cellStyle name="Итог 3 3 2 3" xfId="10076"/>
    <cellStyle name="Итог 3 3 2 4" xfId="10077"/>
    <cellStyle name="Итог 3 3 2 5" xfId="10078"/>
    <cellStyle name="Итог 3 3 3" xfId="10079"/>
    <cellStyle name="Итог 3 3 3 2" xfId="10080"/>
    <cellStyle name="Итог 3 3 3 3" xfId="10081"/>
    <cellStyle name="Итог 3 3 3 4" xfId="10082"/>
    <cellStyle name="Итог 3 3 3 5" xfId="10083"/>
    <cellStyle name="Итог 3 3 4" xfId="10084"/>
    <cellStyle name="Итог 3 3 4 2" xfId="10085"/>
    <cellStyle name="Итог 3 3 4 3" xfId="10086"/>
    <cellStyle name="Итог 3 3 4 4" xfId="10087"/>
    <cellStyle name="Итог 3 3 5" xfId="10088"/>
    <cellStyle name="Итог 3 3 6" xfId="10089"/>
    <cellStyle name="Итог 3 3 7" xfId="10090"/>
    <cellStyle name="Итог 3 3 8" xfId="10091"/>
    <cellStyle name="Итог 3 3 9" xfId="10092"/>
    <cellStyle name="Итог 3 4" xfId="10093"/>
    <cellStyle name="Итог 3 4 2" xfId="10094"/>
    <cellStyle name="Итог 3 4 3" xfId="10095"/>
    <cellStyle name="Итог 3 4 4" xfId="10096"/>
    <cellStyle name="Итог 3 4 5" xfId="10097"/>
    <cellStyle name="Итог 3 4 6" xfId="10098"/>
    <cellStyle name="Итог 3 4 7" xfId="10099"/>
    <cellStyle name="Итог 3 4 8" xfId="10100"/>
    <cellStyle name="Итог 3 5" xfId="10101"/>
    <cellStyle name="Итог 3 5 2" xfId="10102"/>
    <cellStyle name="Итог 3 5 3" xfId="10103"/>
    <cellStyle name="Итог 3 5 4" xfId="10104"/>
    <cellStyle name="Итог 3 5 5" xfId="10105"/>
    <cellStyle name="Итог 3 5 6" xfId="10106"/>
    <cellStyle name="Итог 3 5 7" xfId="10107"/>
    <cellStyle name="Итог 3 5 8" xfId="10108"/>
    <cellStyle name="Итог 3 6" xfId="10109"/>
    <cellStyle name="Итог 3 6 2" xfId="10110"/>
    <cellStyle name="Итог 3 6 3" xfId="10111"/>
    <cellStyle name="Итог 3 6 4" xfId="10112"/>
    <cellStyle name="Итог 3 6 5" xfId="10113"/>
    <cellStyle name="Итог 3 6 6" xfId="10114"/>
    <cellStyle name="Итог 3 6 7" xfId="10115"/>
    <cellStyle name="Итог 3 6 8" xfId="10116"/>
    <cellStyle name="Итог 3 7" xfId="10117"/>
    <cellStyle name="Итог 3 7 2" xfId="10118"/>
    <cellStyle name="Итог 3 7 3" xfId="10119"/>
    <cellStyle name="Итог 3 7 4" xfId="10120"/>
    <cellStyle name="Итог 3 8" xfId="10121"/>
    <cellStyle name="Итог 3 9" xfId="10122"/>
    <cellStyle name="Итог 4" xfId="10123"/>
    <cellStyle name="Итог 4 10" xfId="10124"/>
    <cellStyle name="Итог 4 11" xfId="10125"/>
    <cellStyle name="Итог 4 12" xfId="10126"/>
    <cellStyle name="Итог 4 13" xfId="10127"/>
    <cellStyle name="Итог 4 14" xfId="10128"/>
    <cellStyle name="Итог 4 2" xfId="10129"/>
    <cellStyle name="Итог 4 2 10" xfId="10130"/>
    <cellStyle name="Итог 4 2 11" xfId="10131"/>
    <cellStyle name="Итог 4 2 12" xfId="10132"/>
    <cellStyle name="Итог 4 2 2" xfId="10133"/>
    <cellStyle name="Итог 4 2 2 2" xfId="10134"/>
    <cellStyle name="Итог 4 2 2 3" xfId="10135"/>
    <cellStyle name="Итог 4 2 2 4" xfId="10136"/>
    <cellStyle name="Итог 4 2 2 5" xfId="10137"/>
    <cellStyle name="Итог 4 2 3" xfId="10138"/>
    <cellStyle name="Итог 4 2 3 2" xfId="10139"/>
    <cellStyle name="Итог 4 2 3 3" xfId="10140"/>
    <cellStyle name="Итог 4 2 3 4" xfId="10141"/>
    <cellStyle name="Итог 4 2 3 5" xfId="10142"/>
    <cellStyle name="Итог 4 2 4" xfId="10143"/>
    <cellStyle name="Итог 4 2 4 2" xfId="10144"/>
    <cellStyle name="Итог 4 2 4 3" xfId="10145"/>
    <cellStyle name="Итог 4 2 4 4" xfId="10146"/>
    <cellStyle name="Итог 4 2 4 5" xfId="10147"/>
    <cellStyle name="Итог 4 2 5" xfId="10148"/>
    <cellStyle name="Итог 4 2 5 2" xfId="10149"/>
    <cellStyle name="Итог 4 2 5 3" xfId="10150"/>
    <cellStyle name="Итог 4 2 5 4" xfId="10151"/>
    <cellStyle name="Итог 4 2 6" xfId="10152"/>
    <cellStyle name="Итог 4 2 7" xfId="10153"/>
    <cellStyle name="Итог 4 2 8" xfId="10154"/>
    <cellStyle name="Итог 4 2 9" xfId="10155"/>
    <cellStyle name="Итог 4 3" xfId="10156"/>
    <cellStyle name="Итог 4 3 10" xfId="10157"/>
    <cellStyle name="Итог 4 3 11" xfId="10158"/>
    <cellStyle name="Итог 4 3 2" xfId="10159"/>
    <cellStyle name="Итог 4 3 2 2" xfId="10160"/>
    <cellStyle name="Итог 4 3 2 3" xfId="10161"/>
    <cellStyle name="Итог 4 3 2 4" xfId="10162"/>
    <cellStyle name="Итог 4 3 2 5" xfId="10163"/>
    <cellStyle name="Итог 4 3 3" xfId="10164"/>
    <cellStyle name="Итог 4 3 3 2" xfId="10165"/>
    <cellStyle name="Итог 4 3 3 3" xfId="10166"/>
    <cellStyle name="Итог 4 3 3 4" xfId="10167"/>
    <cellStyle name="Итог 4 3 3 5" xfId="10168"/>
    <cellStyle name="Итог 4 3 4" xfId="10169"/>
    <cellStyle name="Итог 4 3 4 2" xfId="10170"/>
    <cellStyle name="Итог 4 3 4 3" xfId="10171"/>
    <cellStyle name="Итог 4 3 4 4" xfId="10172"/>
    <cellStyle name="Итог 4 3 5" xfId="10173"/>
    <cellStyle name="Итог 4 3 6" xfId="10174"/>
    <cellStyle name="Итог 4 3 7" xfId="10175"/>
    <cellStyle name="Итог 4 3 8" xfId="10176"/>
    <cellStyle name="Итог 4 3 9" xfId="10177"/>
    <cellStyle name="Итог 4 4" xfId="10178"/>
    <cellStyle name="Итог 4 4 2" xfId="10179"/>
    <cellStyle name="Итог 4 4 3" xfId="10180"/>
    <cellStyle name="Итог 4 4 4" xfId="10181"/>
    <cellStyle name="Итог 4 4 5" xfId="10182"/>
    <cellStyle name="Итог 4 4 6" xfId="10183"/>
    <cellStyle name="Итог 4 4 7" xfId="10184"/>
    <cellStyle name="Итог 4 4 8" xfId="10185"/>
    <cellStyle name="Итог 4 5" xfId="10186"/>
    <cellStyle name="Итог 4 5 2" xfId="10187"/>
    <cellStyle name="Итог 4 5 3" xfId="10188"/>
    <cellStyle name="Итог 4 5 4" xfId="10189"/>
    <cellStyle name="Итог 4 5 5" xfId="10190"/>
    <cellStyle name="Итог 4 5 6" xfId="10191"/>
    <cellStyle name="Итог 4 5 7" xfId="10192"/>
    <cellStyle name="Итог 4 5 8" xfId="10193"/>
    <cellStyle name="Итог 4 6" xfId="10194"/>
    <cellStyle name="Итог 4 6 2" xfId="10195"/>
    <cellStyle name="Итог 4 6 3" xfId="10196"/>
    <cellStyle name="Итог 4 6 4" xfId="10197"/>
    <cellStyle name="Итог 4 6 5" xfId="10198"/>
    <cellStyle name="Итог 4 6 6" xfId="10199"/>
    <cellStyle name="Итог 4 6 7" xfId="10200"/>
    <cellStyle name="Итог 4 6 8" xfId="10201"/>
    <cellStyle name="Итог 4 7" xfId="10202"/>
    <cellStyle name="Итог 4 7 2" xfId="10203"/>
    <cellStyle name="Итог 4 7 3" xfId="10204"/>
    <cellStyle name="Итог 4 7 4" xfId="10205"/>
    <cellStyle name="Итог 4 8" xfId="10206"/>
    <cellStyle name="Итог 4 9" xfId="10207"/>
    <cellStyle name="Итог 5" xfId="10208"/>
    <cellStyle name="Итог 5 10" xfId="10209"/>
    <cellStyle name="Итог 5 11" xfId="10210"/>
    <cellStyle name="Итог 5 12" xfId="10211"/>
    <cellStyle name="Итог 5 13" xfId="10212"/>
    <cellStyle name="Итог 5 14" xfId="10213"/>
    <cellStyle name="Итог 5 2" xfId="10214"/>
    <cellStyle name="Итог 5 2 10" xfId="10215"/>
    <cellStyle name="Итог 5 2 11" xfId="10216"/>
    <cellStyle name="Итог 5 2 12" xfId="10217"/>
    <cellStyle name="Итог 5 2 2" xfId="10218"/>
    <cellStyle name="Итог 5 2 2 2" xfId="10219"/>
    <cellStyle name="Итог 5 2 2 3" xfId="10220"/>
    <cellStyle name="Итог 5 2 2 4" xfId="10221"/>
    <cellStyle name="Итог 5 2 2 5" xfId="10222"/>
    <cellStyle name="Итог 5 2 3" xfId="10223"/>
    <cellStyle name="Итог 5 2 3 2" xfId="10224"/>
    <cellStyle name="Итог 5 2 3 3" xfId="10225"/>
    <cellStyle name="Итог 5 2 3 4" xfId="10226"/>
    <cellStyle name="Итог 5 2 3 5" xfId="10227"/>
    <cellStyle name="Итог 5 2 4" xfId="10228"/>
    <cellStyle name="Итог 5 2 4 2" xfId="10229"/>
    <cellStyle name="Итог 5 2 4 3" xfId="10230"/>
    <cellStyle name="Итог 5 2 4 4" xfId="10231"/>
    <cellStyle name="Итог 5 2 4 5" xfId="10232"/>
    <cellStyle name="Итог 5 2 5" xfId="10233"/>
    <cellStyle name="Итог 5 2 5 2" xfId="10234"/>
    <cellStyle name="Итог 5 2 5 3" xfId="10235"/>
    <cellStyle name="Итог 5 2 5 4" xfId="10236"/>
    <cellStyle name="Итог 5 2 6" xfId="10237"/>
    <cellStyle name="Итог 5 2 7" xfId="10238"/>
    <cellStyle name="Итог 5 2 8" xfId="10239"/>
    <cellStyle name="Итог 5 2 9" xfId="10240"/>
    <cellStyle name="Итог 5 3" xfId="10241"/>
    <cellStyle name="Итог 5 3 10" xfId="10242"/>
    <cellStyle name="Итог 5 3 11" xfId="10243"/>
    <cellStyle name="Итог 5 3 2" xfId="10244"/>
    <cellStyle name="Итог 5 3 2 2" xfId="10245"/>
    <cellStyle name="Итог 5 3 2 3" xfId="10246"/>
    <cellStyle name="Итог 5 3 2 4" xfId="10247"/>
    <cellStyle name="Итог 5 3 2 5" xfId="10248"/>
    <cellStyle name="Итог 5 3 3" xfId="10249"/>
    <cellStyle name="Итог 5 3 3 2" xfId="10250"/>
    <cellStyle name="Итог 5 3 3 3" xfId="10251"/>
    <cellStyle name="Итог 5 3 3 4" xfId="10252"/>
    <cellStyle name="Итог 5 3 3 5" xfId="10253"/>
    <cellStyle name="Итог 5 3 4" xfId="10254"/>
    <cellStyle name="Итог 5 3 4 2" xfId="10255"/>
    <cellStyle name="Итог 5 3 4 3" xfId="10256"/>
    <cellStyle name="Итог 5 3 4 4" xfId="10257"/>
    <cellStyle name="Итог 5 3 5" xfId="10258"/>
    <cellStyle name="Итог 5 3 6" xfId="10259"/>
    <cellStyle name="Итог 5 3 7" xfId="10260"/>
    <cellStyle name="Итог 5 3 8" xfId="10261"/>
    <cellStyle name="Итог 5 3 9" xfId="10262"/>
    <cellStyle name="Итог 5 4" xfId="10263"/>
    <cellStyle name="Итог 5 4 2" xfId="10264"/>
    <cellStyle name="Итог 5 4 3" xfId="10265"/>
    <cellStyle name="Итог 5 4 4" xfId="10266"/>
    <cellStyle name="Итог 5 4 5" xfId="10267"/>
    <cellStyle name="Итог 5 4 6" xfId="10268"/>
    <cellStyle name="Итог 5 4 7" xfId="10269"/>
    <cellStyle name="Итог 5 4 8" xfId="10270"/>
    <cellStyle name="Итог 5 5" xfId="10271"/>
    <cellStyle name="Итог 5 5 2" xfId="10272"/>
    <cellStyle name="Итог 5 5 3" xfId="10273"/>
    <cellStyle name="Итог 5 5 4" xfId="10274"/>
    <cellStyle name="Итог 5 5 5" xfId="10275"/>
    <cellStyle name="Итог 5 5 6" xfId="10276"/>
    <cellStyle name="Итог 5 5 7" xfId="10277"/>
    <cellStyle name="Итог 5 5 8" xfId="10278"/>
    <cellStyle name="Итог 5 6" xfId="10279"/>
    <cellStyle name="Итог 5 6 2" xfId="10280"/>
    <cellStyle name="Итог 5 6 3" xfId="10281"/>
    <cellStyle name="Итог 5 6 4" xfId="10282"/>
    <cellStyle name="Итог 5 6 5" xfId="10283"/>
    <cellStyle name="Итог 5 6 6" xfId="10284"/>
    <cellStyle name="Итог 5 6 7" xfId="10285"/>
    <cellStyle name="Итог 5 6 8" xfId="10286"/>
    <cellStyle name="Итог 5 7" xfId="10287"/>
    <cellStyle name="Итог 5 7 2" xfId="10288"/>
    <cellStyle name="Итог 5 7 3" xfId="10289"/>
    <cellStyle name="Итог 5 7 4" xfId="10290"/>
    <cellStyle name="Итог 5 8" xfId="10291"/>
    <cellStyle name="Итог 5 9" xfId="10292"/>
    <cellStyle name="Итог 6" xfId="10293"/>
    <cellStyle name="Итог 6 10" xfId="10294"/>
    <cellStyle name="Итог 6 11" xfId="10295"/>
    <cellStyle name="Итог 6 12" xfId="10296"/>
    <cellStyle name="Итог 6 13" xfId="10297"/>
    <cellStyle name="Итог 6 14" xfId="10298"/>
    <cellStyle name="Итог 6 2" xfId="10299"/>
    <cellStyle name="Итог 6 2 10" xfId="10300"/>
    <cellStyle name="Итог 6 2 11" xfId="10301"/>
    <cellStyle name="Итог 6 2 12" xfId="10302"/>
    <cellStyle name="Итог 6 2 2" xfId="10303"/>
    <cellStyle name="Итог 6 2 2 2" xfId="10304"/>
    <cellStyle name="Итог 6 2 2 3" xfId="10305"/>
    <cellStyle name="Итог 6 2 2 4" xfId="10306"/>
    <cellStyle name="Итог 6 2 2 5" xfId="10307"/>
    <cellStyle name="Итог 6 2 3" xfId="10308"/>
    <cellStyle name="Итог 6 2 3 2" xfId="10309"/>
    <cellStyle name="Итог 6 2 3 3" xfId="10310"/>
    <cellStyle name="Итог 6 2 3 4" xfId="10311"/>
    <cellStyle name="Итог 6 2 3 5" xfId="10312"/>
    <cellStyle name="Итог 6 2 4" xfId="10313"/>
    <cellStyle name="Итог 6 2 4 2" xfId="10314"/>
    <cellStyle name="Итог 6 2 4 3" xfId="10315"/>
    <cellStyle name="Итог 6 2 4 4" xfId="10316"/>
    <cellStyle name="Итог 6 2 4 5" xfId="10317"/>
    <cellStyle name="Итог 6 2 5" xfId="10318"/>
    <cellStyle name="Итог 6 2 5 2" xfId="10319"/>
    <cellStyle name="Итог 6 2 5 3" xfId="10320"/>
    <cellStyle name="Итог 6 2 5 4" xfId="10321"/>
    <cellStyle name="Итог 6 2 6" xfId="10322"/>
    <cellStyle name="Итог 6 2 7" xfId="10323"/>
    <cellStyle name="Итог 6 2 8" xfId="10324"/>
    <cellStyle name="Итог 6 2 9" xfId="10325"/>
    <cellStyle name="Итог 6 3" xfId="10326"/>
    <cellStyle name="Итог 6 3 10" xfId="10327"/>
    <cellStyle name="Итог 6 3 11" xfId="10328"/>
    <cellStyle name="Итог 6 3 2" xfId="10329"/>
    <cellStyle name="Итог 6 3 2 2" xfId="10330"/>
    <cellStyle name="Итог 6 3 2 3" xfId="10331"/>
    <cellStyle name="Итог 6 3 2 4" xfId="10332"/>
    <cellStyle name="Итог 6 3 2 5" xfId="10333"/>
    <cellStyle name="Итог 6 3 3" xfId="10334"/>
    <cellStyle name="Итог 6 3 3 2" xfId="10335"/>
    <cellStyle name="Итог 6 3 3 3" xfId="10336"/>
    <cellStyle name="Итог 6 3 3 4" xfId="10337"/>
    <cellStyle name="Итог 6 3 3 5" xfId="10338"/>
    <cellStyle name="Итог 6 3 4" xfId="10339"/>
    <cellStyle name="Итог 6 3 4 2" xfId="10340"/>
    <cellStyle name="Итог 6 3 4 3" xfId="10341"/>
    <cellStyle name="Итог 6 3 4 4" xfId="10342"/>
    <cellStyle name="Итог 6 3 5" xfId="10343"/>
    <cellStyle name="Итог 6 3 6" xfId="10344"/>
    <cellStyle name="Итог 6 3 7" xfId="10345"/>
    <cellStyle name="Итог 6 3 8" xfId="10346"/>
    <cellStyle name="Итог 6 3 9" xfId="10347"/>
    <cellStyle name="Итог 6 4" xfId="10348"/>
    <cellStyle name="Итог 6 4 2" xfId="10349"/>
    <cellStyle name="Итог 6 4 3" xfId="10350"/>
    <cellStyle name="Итог 6 4 4" xfId="10351"/>
    <cellStyle name="Итог 6 4 5" xfId="10352"/>
    <cellStyle name="Итог 6 4 6" xfId="10353"/>
    <cellStyle name="Итог 6 4 7" xfId="10354"/>
    <cellStyle name="Итог 6 4 8" xfId="10355"/>
    <cellStyle name="Итог 6 5" xfId="10356"/>
    <cellStyle name="Итог 6 5 2" xfId="10357"/>
    <cellStyle name="Итог 6 5 3" xfId="10358"/>
    <cellStyle name="Итог 6 5 4" xfId="10359"/>
    <cellStyle name="Итог 6 5 5" xfId="10360"/>
    <cellStyle name="Итог 6 5 6" xfId="10361"/>
    <cellStyle name="Итог 6 5 7" xfId="10362"/>
    <cellStyle name="Итог 6 5 8" xfId="10363"/>
    <cellStyle name="Итог 6 6" xfId="10364"/>
    <cellStyle name="Итог 6 6 2" xfId="10365"/>
    <cellStyle name="Итог 6 6 3" xfId="10366"/>
    <cellStyle name="Итог 6 6 4" xfId="10367"/>
    <cellStyle name="Итог 6 6 5" xfId="10368"/>
    <cellStyle name="Итог 6 6 6" xfId="10369"/>
    <cellStyle name="Итог 6 6 7" xfId="10370"/>
    <cellStyle name="Итог 6 6 8" xfId="10371"/>
    <cellStyle name="Итог 6 7" xfId="10372"/>
    <cellStyle name="Итог 6 7 2" xfId="10373"/>
    <cellStyle name="Итог 6 7 3" xfId="10374"/>
    <cellStyle name="Итог 6 7 4" xfId="10375"/>
    <cellStyle name="Итог 6 8" xfId="10376"/>
    <cellStyle name="Итог 6 9" xfId="10377"/>
    <cellStyle name="Контрольная ячейка 2" xfId="10378"/>
    <cellStyle name="Контрольная ячейка 2 2" xfId="10379"/>
    <cellStyle name="Контрольная ячейка 2 2 2" xfId="10380"/>
    <cellStyle name="Контрольная ячейка 2 2 2 2" xfId="10381"/>
    <cellStyle name="Контрольная ячейка 2 2 2 3" xfId="10382"/>
    <cellStyle name="Контрольная ячейка 2 2 3" xfId="10383"/>
    <cellStyle name="Контрольная ячейка 2 2 4" xfId="10384"/>
    <cellStyle name="Контрольная ячейка 2 2 4 2" xfId="10385"/>
    <cellStyle name="Контрольная ячейка 2 2 4 3" xfId="10386"/>
    <cellStyle name="Контрольная ячейка 2 2 4 4" xfId="10387"/>
    <cellStyle name="Контрольная ячейка 2 2 4 5" xfId="10388"/>
    <cellStyle name="Контрольная ячейка 2 2 5" xfId="10389"/>
    <cellStyle name="Контрольная ячейка 2 2 6" xfId="10390"/>
    <cellStyle name="Контрольная ячейка 2 2 7" xfId="10391"/>
    <cellStyle name="Контрольная ячейка 2 2 8" xfId="10392"/>
    <cellStyle name="Контрольная ячейка 2 3" xfId="10393"/>
    <cellStyle name="Контрольная ячейка 2 3 2" xfId="10394"/>
    <cellStyle name="Контрольная ячейка 2 3 3" xfId="10395"/>
    <cellStyle name="Контрольная ячейка 2 4" xfId="10396"/>
    <cellStyle name="Контрольная ячейка 2 5" xfId="10397"/>
    <cellStyle name="Контрольная ячейка 2 5 2" xfId="10398"/>
    <cellStyle name="Контрольная ячейка 2 5 3" xfId="10399"/>
    <cellStyle name="Контрольная ячейка 2 5 4" xfId="10400"/>
    <cellStyle name="Контрольная ячейка 2 5 5" xfId="10401"/>
    <cellStyle name="Контрольная ячейка 2 6" xfId="10402"/>
    <cellStyle name="Контрольная ячейка 2 7" xfId="10403"/>
    <cellStyle name="Контрольная ячейка 2 8" xfId="10404"/>
    <cellStyle name="Контрольная ячейка 2 9" xfId="10405"/>
    <cellStyle name="Контрольная ячейка 3" xfId="10406"/>
    <cellStyle name="Контрольная ячейка 3 2" xfId="10407"/>
    <cellStyle name="Контрольная ячейка 3 2 2" xfId="10408"/>
    <cellStyle name="Контрольная ячейка 3 2 3" xfId="10409"/>
    <cellStyle name="Контрольная ячейка 3 3" xfId="10410"/>
    <cellStyle name="Контрольная ячейка 3 4" xfId="10411"/>
    <cellStyle name="Контрольная ячейка 3 4 2" xfId="10412"/>
    <cellStyle name="Контрольная ячейка 3 4 3" xfId="10413"/>
    <cellStyle name="Контрольная ячейка 3 4 4" xfId="10414"/>
    <cellStyle name="Контрольная ячейка 3 4 5" xfId="10415"/>
    <cellStyle name="Контрольная ячейка 3 5" xfId="10416"/>
    <cellStyle name="Контрольная ячейка 3 6" xfId="10417"/>
    <cellStyle name="Контрольная ячейка 3 7" xfId="10418"/>
    <cellStyle name="Контрольная ячейка 3 8" xfId="10419"/>
    <cellStyle name="Контрольная ячейка 4" xfId="10420"/>
    <cellStyle name="Контрольная ячейка 4 2" xfId="10421"/>
    <cellStyle name="Контрольная ячейка 4 2 2" xfId="10422"/>
    <cellStyle name="Контрольная ячейка 4 2 3" xfId="10423"/>
    <cellStyle name="Контрольная ячейка 4 3" xfId="10424"/>
    <cellStyle name="Контрольная ячейка 4 4" xfId="10425"/>
    <cellStyle name="Контрольная ячейка 4 4 2" xfId="10426"/>
    <cellStyle name="Контрольная ячейка 4 4 3" xfId="10427"/>
    <cellStyle name="Контрольная ячейка 4 4 4" xfId="10428"/>
    <cellStyle name="Контрольная ячейка 4 4 5" xfId="10429"/>
    <cellStyle name="Контрольная ячейка 4 5" xfId="10430"/>
    <cellStyle name="Контрольная ячейка 4 6" xfId="10431"/>
    <cellStyle name="Контрольная ячейка 4 7" xfId="10432"/>
    <cellStyle name="Контрольная ячейка 4 8" xfId="10433"/>
    <cellStyle name="Контрольная ячейка 5" xfId="10434"/>
    <cellStyle name="Контрольная ячейка 5 2" xfId="10435"/>
    <cellStyle name="Контрольная ячейка 5 2 2" xfId="10436"/>
    <cellStyle name="Контрольная ячейка 5 2 3" xfId="10437"/>
    <cellStyle name="Контрольная ячейка 5 3" xfId="10438"/>
    <cellStyle name="Контрольная ячейка 5 4" xfId="10439"/>
    <cellStyle name="Контрольная ячейка 5 4 2" xfId="10440"/>
    <cellStyle name="Контрольная ячейка 5 4 3" xfId="10441"/>
    <cellStyle name="Контрольная ячейка 5 4 4" xfId="10442"/>
    <cellStyle name="Контрольная ячейка 5 4 5" xfId="10443"/>
    <cellStyle name="Контрольная ячейка 5 5" xfId="10444"/>
    <cellStyle name="Контрольная ячейка 5 6" xfId="10445"/>
    <cellStyle name="Контрольная ячейка 5 7" xfId="10446"/>
    <cellStyle name="Контрольная ячейка 5 8" xfId="10447"/>
    <cellStyle name="Контрольная ячейка 6" xfId="10448"/>
    <cellStyle name="Контрольная ячейка 6 2" xfId="10449"/>
    <cellStyle name="Контрольная ячейка 6 2 2" xfId="10450"/>
    <cellStyle name="Контрольная ячейка 6 2 3" xfId="10451"/>
    <cellStyle name="Контрольная ячейка 6 3" xfId="10452"/>
    <cellStyle name="Контрольная ячейка 6 4" xfId="10453"/>
    <cellStyle name="Контрольная ячейка 6 4 2" xfId="10454"/>
    <cellStyle name="Контрольная ячейка 6 4 3" xfId="10455"/>
    <cellStyle name="Контрольная ячейка 6 4 4" xfId="10456"/>
    <cellStyle name="Контрольная ячейка 6 4 5" xfId="10457"/>
    <cellStyle name="Контрольная ячейка 6 5" xfId="10458"/>
    <cellStyle name="Контрольная ячейка 6 6" xfId="10459"/>
    <cellStyle name="Контрольная ячейка 6 7" xfId="10460"/>
    <cellStyle name="Контрольная ячейка 6 8" xfId="10461"/>
    <cellStyle name="Название 2" xfId="10462"/>
    <cellStyle name="Название 2 2" xfId="10463"/>
    <cellStyle name="Название 2 2 2" xfId="10464"/>
    <cellStyle name="Название 2 2 3" xfId="10465"/>
    <cellStyle name="Название 2 3" xfId="10466"/>
    <cellStyle name="Название 2 4" xfId="10467"/>
    <cellStyle name="Название 2 4 2" xfId="10468"/>
    <cellStyle name="Название 2 4 3" xfId="10469"/>
    <cellStyle name="Название 2 4 4" xfId="10470"/>
    <cellStyle name="Название 2 4 5" xfId="10471"/>
    <cellStyle name="Название 2 5" xfId="10472"/>
    <cellStyle name="Название 2 6" xfId="10473"/>
    <cellStyle name="Название 2 7" xfId="10474"/>
    <cellStyle name="Название 2 8" xfId="10475"/>
    <cellStyle name="Название 3" xfId="10476"/>
    <cellStyle name="Название 3 2" xfId="10477"/>
    <cellStyle name="Название 3 2 2" xfId="10478"/>
    <cellStyle name="Название 3 2 3" xfId="10479"/>
    <cellStyle name="Название 3 3" xfId="10480"/>
    <cellStyle name="Название 3 4" xfId="10481"/>
    <cellStyle name="Название 3 4 2" xfId="10482"/>
    <cellStyle name="Название 3 4 3" xfId="10483"/>
    <cellStyle name="Название 3 4 4" xfId="10484"/>
    <cellStyle name="Название 3 4 5" xfId="10485"/>
    <cellStyle name="Название 3 5" xfId="10486"/>
    <cellStyle name="Название 3 6" xfId="10487"/>
    <cellStyle name="Название 3 7" xfId="10488"/>
    <cellStyle name="Название 3 8" xfId="10489"/>
    <cellStyle name="Название 4" xfId="10490"/>
    <cellStyle name="Название 4 2" xfId="10491"/>
    <cellStyle name="Название 4 2 2" xfId="10492"/>
    <cellStyle name="Название 4 2 3" xfId="10493"/>
    <cellStyle name="Название 4 3" xfId="10494"/>
    <cellStyle name="Название 4 4" xfId="10495"/>
    <cellStyle name="Название 4 4 2" xfId="10496"/>
    <cellStyle name="Название 4 4 3" xfId="10497"/>
    <cellStyle name="Название 4 4 4" xfId="10498"/>
    <cellStyle name="Название 4 4 5" xfId="10499"/>
    <cellStyle name="Название 4 5" xfId="10500"/>
    <cellStyle name="Название 4 6" xfId="10501"/>
    <cellStyle name="Название 4 7" xfId="10502"/>
    <cellStyle name="Название 4 8" xfId="10503"/>
    <cellStyle name="Название 5" xfId="10504"/>
    <cellStyle name="Название 5 2" xfId="10505"/>
    <cellStyle name="Название 5 2 2" xfId="10506"/>
    <cellStyle name="Название 5 2 3" xfId="10507"/>
    <cellStyle name="Название 5 3" xfId="10508"/>
    <cellStyle name="Название 5 4" xfId="10509"/>
    <cellStyle name="Название 5 4 2" xfId="10510"/>
    <cellStyle name="Название 5 4 3" xfId="10511"/>
    <cellStyle name="Название 5 4 4" xfId="10512"/>
    <cellStyle name="Название 5 4 5" xfId="10513"/>
    <cellStyle name="Название 5 5" xfId="10514"/>
    <cellStyle name="Название 5 6" xfId="10515"/>
    <cellStyle name="Название 5 7" xfId="10516"/>
    <cellStyle name="Название 5 8" xfId="10517"/>
    <cellStyle name="Название 6" xfId="10518"/>
    <cellStyle name="Название 6 2" xfId="10519"/>
    <cellStyle name="Название 6 2 2" xfId="10520"/>
    <cellStyle name="Название 6 2 3" xfId="10521"/>
    <cellStyle name="Название 6 3" xfId="10522"/>
    <cellStyle name="Название 6 4" xfId="10523"/>
    <cellStyle name="Название 6 4 2" xfId="10524"/>
    <cellStyle name="Название 6 4 3" xfId="10525"/>
    <cellStyle name="Название 6 4 4" xfId="10526"/>
    <cellStyle name="Название 6 4 5" xfId="10527"/>
    <cellStyle name="Название 6 5" xfId="10528"/>
    <cellStyle name="Название 6 6" xfId="10529"/>
    <cellStyle name="Название 6 7" xfId="10530"/>
    <cellStyle name="Название 6 8" xfId="10531"/>
    <cellStyle name="Нейтральный 2" xfId="10532"/>
    <cellStyle name="Нейтральный 2 2" xfId="10533"/>
    <cellStyle name="Нейтральный 2 2 2" xfId="10534"/>
    <cellStyle name="Нейтральный 2 2 2 2" xfId="10535"/>
    <cellStyle name="Нейтральный 2 2 2 3" xfId="10536"/>
    <cellStyle name="Нейтральный 2 2 3" xfId="10537"/>
    <cellStyle name="Нейтральный 2 2 4" xfId="10538"/>
    <cellStyle name="Нейтральный 2 2 4 2" xfId="10539"/>
    <cellStyle name="Нейтральный 2 2 4 3" xfId="10540"/>
    <cellStyle name="Нейтральный 2 2 4 4" xfId="10541"/>
    <cellStyle name="Нейтральный 2 2 4 5" xfId="10542"/>
    <cellStyle name="Нейтральный 2 2 5" xfId="10543"/>
    <cellStyle name="Нейтральный 2 2 6" xfId="10544"/>
    <cellStyle name="Нейтральный 2 2 7" xfId="10545"/>
    <cellStyle name="Нейтральный 2 2 8" xfId="10546"/>
    <cellStyle name="Нейтральный 2 3" xfId="10547"/>
    <cellStyle name="Нейтральный 2 3 2" xfId="10548"/>
    <cellStyle name="Нейтральный 2 3 2 2" xfId="10549"/>
    <cellStyle name="Нейтральный 2 3 2 3" xfId="10550"/>
    <cellStyle name="Нейтральный 2 3 2 4" xfId="10551"/>
    <cellStyle name="Нейтральный 2 3 2 5" xfId="10552"/>
    <cellStyle name="Нейтральный 2 3 2 6" xfId="10553"/>
    <cellStyle name="Нейтральный 2 3 3" xfId="10554"/>
    <cellStyle name="Нейтральный 2 3 3 2" xfId="10555"/>
    <cellStyle name="Нейтральный 2 3 3 3" xfId="10556"/>
    <cellStyle name="Нейтральный 2 3 3 4" xfId="10557"/>
    <cellStyle name="Нейтральный 2 3 3 5" xfId="10558"/>
    <cellStyle name="Нейтральный 2 3 3 6" xfId="10559"/>
    <cellStyle name="Нейтральный 2 3 4" xfId="10560"/>
    <cellStyle name="Нейтральный 2 3 5" xfId="10561"/>
    <cellStyle name="Нейтральный 2 3 6" xfId="10562"/>
    <cellStyle name="Нейтральный 2 3 7" xfId="10563"/>
    <cellStyle name="Нейтральный 2 3 8" xfId="10564"/>
    <cellStyle name="Нейтральный 2 4" xfId="10565"/>
    <cellStyle name="Нейтральный 2 4 2" xfId="10566"/>
    <cellStyle name="Нейтральный 2 4 3" xfId="10567"/>
    <cellStyle name="Нейтральный 2 4 4" xfId="10568"/>
    <cellStyle name="Нейтральный 2 4 5" xfId="10569"/>
    <cellStyle name="Нейтральный 2 4 6" xfId="10570"/>
    <cellStyle name="Нейтральный 2 5" xfId="10571"/>
    <cellStyle name="Нейтральный 2 5 2" xfId="10572"/>
    <cellStyle name="Нейтральный 2 5 3" xfId="10573"/>
    <cellStyle name="Нейтральный 2 5 4" xfId="10574"/>
    <cellStyle name="Нейтральный 2 5 5" xfId="10575"/>
    <cellStyle name="Нейтральный 2 6" xfId="10576"/>
    <cellStyle name="Нейтральный 2 7" xfId="10577"/>
    <cellStyle name="Нейтральный 2 8" xfId="10578"/>
    <cellStyle name="Нейтральный 2 9" xfId="10579"/>
    <cellStyle name="Нейтральный 3" xfId="10580"/>
    <cellStyle name="Нейтральный 3 2" xfId="10581"/>
    <cellStyle name="Нейтральный 3 2 2" xfId="10582"/>
    <cellStyle name="Нейтральный 3 2 2 2" xfId="10583"/>
    <cellStyle name="Нейтральный 3 2 2 3" xfId="10584"/>
    <cellStyle name="Нейтральный 3 2 2 4" xfId="10585"/>
    <cellStyle name="Нейтральный 3 2 2 5" xfId="10586"/>
    <cellStyle name="Нейтральный 3 2 2 6" xfId="10587"/>
    <cellStyle name="Нейтральный 3 2 3" xfId="10588"/>
    <cellStyle name="Нейтральный 3 2 3 2" xfId="10589"/>
    <cellStyle name="Нейтральный 3 2 3 3" xfId="10590"/>
    <cellStyle name="Нейтральный 3 2 3 4" xfId="10591"/>
    <cellStyle name="Нейтральный 3 2 3 5" xfId="10592"/>
    <cellStyle name="Нейтральный 3 2 3 6" xfId="10593"/>
    <cellStyle name="Нейтральный 3 2 4" xfId="10594"/>
    <cellStyle name="Нейтральный 3 2 5" xfId="10595"/>
    <cellStyle name="Нейтральный 3 2 6" xfId="10596"/>
    <cellStyle name="Нейтральный 3 2 7" xfId="10597"/>
    <cellStyle name="Нейтральный 3 2 8" xfId="10598"/>
    <cellStyle name="Нейтральный 3 3" xfId="10599"/>
    <cellStyle name="Нейтральный 3 3 2" xfId="10600"/>
    <cellStyle name="Нейтральный 3 3 3" xfId="10601"/>
    <cellStyle name="Нейтральный 3 3 4" xfId="10602"/>
    <cellStyle name="Нейтральный 3 3 5" xfId="10603"/>
    <cellStyle name="Нейтральный 3 3 6" xfId="10604"/>
    <cellStyle name="Нейтральный 3 4" xfId="10605"/>
    <cellStyle name="Нейтральный 3 4 2" xfId="10606"/>
    <cellStyle name="Нейтральный 3 4 3" xfId="10607"/>
    <cellStyle name="Нейтральный 3 4 4" xfId="10608"/>
    <cellStyle name="Нейтральный 3 4 5" xfId="10609"/>
    <cellStyle name="Нейтральный 3 5" xfId="10610"/>
    <cellStyle name="Нейтральный 3 6" xfId="10611"/>
    <cellStyle name="Нейтральный 3 7" xfId="10612"/>
    <cellStyle name="Нейтральный 3 8" xfId="10613"/>
    <cellStyle name="Нейтральный 4" xfId="10614"/>
    <cellStyle name="Нейтральный 4 2" xfId="10615"/>
    <cellStyle name="Нейтральный 4 2 2" xfId="10616"/>
    <cellStyle name="Нейтральный 4 2 2 2" xfId="10617"/>
    <cellStyle name="Нейтральный 4 2 2 3" xfId="10618"/>
    <cellStyle name="Нейтральный 4 2 2 4" xfId="10619"/>
    <cellStyle name="Нейтральный 4 2 2 5" xfId="10620"/>
    <cellStyle name="Нейтральный 4 2 2 6" xfId="10621"/>
    <cellStyle name="Нейтральный 4 2 3" xfId="10622"/>
    <cellStyle name="Нейтральный 4 2 3 2" xfId="10623"/>
    <cellStyle name="Нейтральный 4 2 3 3" xfId="10624"/>
    <cellStyle name="Нейтральный 4 2 3 4" xfId="10625"/>
    <cellStyle name="Нейтральный 4 2 3 5" xfId="10626"/>
    <cellStyle name="Нейтральный 4 2 3 6" xfId="10627"/>
    <cellStyle name="Нейтральный 4 2 4" xfId="10628"/>
    <cellStyle name="Нейтральный 4 2 5" xfId="10629"/>
    <cellStyle name="Нейтральный 4 2 6" xfId="10630"/>
    <cellStyle name="Нейтральный 4 2 7" xfId="10631"/>
    <cellStyle name="Нейтральный 4 2 8" xfId="10632"/>
    <cellStyle name="Нейтральный 4 3" xfId="10633"/>
    <cellStyle name="Нейтральный 4 3 2" xfId="10634"/>
    <cellStyle name="Нейтральный 4 3 3" xfId="10635"/>
    <cellStyle name="Нейтральный 4 3 4" xfId="10636"/>
    <cellStyle name="Нейтральный 4 3 5" xfId="10637"/>
    <cellStyle name="Нейтральный 4 3 6" xfId="10638"/>
    <cellStyle name="Нейтральный 4 4" xfId="10639"/>
    <cellStyle name="Нейтральный 4 4 2" xfId="10640"/>
    <cellStyle name="Нейтральный 4 4 3" xfId="10641"/>
    <cellStyle name="Нейтральный 4 4 4" xfId="10642"/>
    <cellStyle name="Нейтральный 4 4 5" xfId="10643"/>
    <cellStyle name="Нейтральный 4 5" xfId="10644"/>
    <cellStyle name="Нейтральный 4 6" xfId="10645"/>
    <cellStyle name="Нейтральный 4 7" xfId="10646"/>
    <cellStyle name="Нейтральный 4 8" xfId="10647"/>
    <cellStyle name="Нейтральный 5" xfId="10648"/>
    <cellStyle name="Нейтральный 5 2" xfId="10649"/>
    <cellStyle name="Нейтральный 5 2 2" xfId="10650"/>
    <cellStyle name="Нейтральный 5 2 2 2" xfId="10651"/>
    <cellStyle name="Нейтральный 5 2 2 3" xfId="10652"/>
    <cellStyle name="Нейтральный 5 2 2 4" xfId="10653"/>
    <cellStyle name="Нейтральный 5 2 2 5" xfId="10654"/>
    <cellStyle name="Нейтральный 5 2 2 6" xfId="10655"/>
    <cellStyle name="Нейтральный 5 2 3" xfId="10656"/>
    <cellStyle name="Нейтральный 5 2 3 2" xfId="10657"/>
    <cellStyle name="Нейтральный 5 2 3 3" xfId="10658"/>
    <cellStyle name="Нейтральный 5 2 3 4" xfId="10659"/>
    <cellStyle name="Нейтральный 5 2 3 5" xfId="10660"/>
    <cellStyle name="Нейтральный 5 2 3 6" xfId="10661"/>
    <cellStyle name="Нейтральный 5 2 4" xfId="10662"/>
    <cellStyle name="Нейтральный 5 2 5" xfId="10663"/>
    <cellStyle name="Нейтральный 5 2 6" xfId="10664"/>
    <cellStyle name="Нейтральный 5 2 7" xfId="10665"/>
    <cellStyle name="Нейтральный 5 2 8" xfId="10666"/>
    <cellStyle name="Нейтральный 5 3" xfId="10667"/>
    <cellStyle name="Нейтральный 5 3 2" xfId="10668"/>
    <cellStyle name="Нейтральный 5 3 3" xfId="10669"/>
    <cellStyle name="Нейтральный 5 3 4" xfId="10670"/>
    <cellStyle name="Нейтральный 5 3 5" xfId="10671"/>
    <cellStyle name="Нейтральный 5 3 6" xfId="10672"/>
    <cellStyle name="Нейтральный 5 4" xfId="10673"/>
    <cellStyle name="Нейтральный 5 4 2" xfId="10674"/>
    <cellStyle name="Нейтральный 5 4 3" xfId="10675"/>
    <cellStyle name="Нейтральный 5 4 4" xfId="10676"/>
    <cellStyle name="Нейтральный 5 4 5" xfId="10677"/>
    <cellStyle name="Нейтральный 5 5" xfId="10678"/>
    <cellStyle name="Нейтральный 5 6" xfId="10679"/>
    <cellStyle name="Нейтральный 5 7" xfId="10680"/>
    <cellStyle name="Нейтральный 5 8" xfId="10681"/>
    <cellStyle name="Нейтральный 6" xfId="10682"/>
    <cellStyle name="Нейтральный 6 2" xfId="10683"/>
    <cellStyle name="Нейтральный 6 2 2" xfId="10684"/>
    <cellStyle name="Нейтральный 6 2 2 2" xfId="10685"/>
    <cellStyle name="Нейтральный 6 2 2 3" xfId="10686"/>
    <cellStyle name="Нейтральный 6 2 2 4" xfId="10687"/>
    <cellStyle name="Нейтральный 6 2 2 5" xfId="10688"/>
    <cellStyle name="Нейтральный 6 2 2 6" xfId="10689"/>
    <cellStyle name="Нейтральный 6 2 3" xfId="10690"/>
    <cellStyle name="Нейтральный 6 2 3 2" xfId="10691"/>
    <cellStyle name="Нейтральный 6 2 3 3" xfId="10692"/>
    <cellStyle name="Нейтральный 6 2 3 4" xfId="10693"/>
    <cellStyle name="Нейтральный 6 2 3 5" xfId="10694"/>
    <cellStyle name="Нейтральный 6 2 3 6" xfId="10695"/>
    <cellStyle name="Нейтральный 6 2 4" xfId="10696"/>
    <cellStyle name="Нейтральный 6 2 5" xfId="10697"/>
    <cellStyle name="Нейтральный 6 2 6" xfId="10698"/>
    <cellStyle name="Нейтральный 6 2 7" xfId="10699"/>
    <cellStyle name="Нейтральный 6 2 8" xfId="10700"/>
    <cellStyle name="Нейтральный 6 3" xfId="10701"/>
    <cellStyle name="Нейтральный 6 3 2" xfId="10702"/>
    <cellStyle name="Нейтральный 6 3 3" xfId="10703"/>
    <cellStyle name="Нейтральный 6 3 4" xfId="10704"/>
    <cellStyle name="Нейтральный 6 3 5" xfId="10705"/>
    <cellStyle name="Нейтральный 6 3 6" xfId="10706"/>
    <cellStyle name="Нейтральный 6 4" xfId="10707"/>
    <cellStyle name="Нейтральный 6 4 2" xfId="10708"/>
    <cellStyle name="Нейтральный 6 4 3" xfId="10709"/>
    <cellStyle name="Нейтральный 6 4 4" xfId="10710"/>
    <cellStyle name="Нейтральный 6 4 5" xfId="10711"/>
    <cellStyle name="Нейтральный 6 5" xfId="10712"/>
    <cellStyle name="Нейтральный 6 6" xfId="10713"/>
    <cellStyle name="Нейтральный 6 7" xfId="10714"/>
    <cellStyle name="Нейтральный 6 8" xfId="10715"/>
    <cellStyle name="Обычный" xfId="0" builtinId="0"/>
    <cellStyle name="Обычный 10" xfId="10716"/>
    <cellStyle name="Обычный 10 10" xfId="10717"/>
    <cellStyle name="Обычный 10 10 10" xfId="10718"/>
    <cellStyle name="Обычный 10 10 11" xfId="10719"/>
    <cellStyle name="Обычный 10 10 12" xfId="10720"/>
    <cellStyle name="Обычный 10 10 2" xfId="10721"/>
    <cellStyle name="Обычный 10 10 2 10" xfId="10722"/>
    <cellStyle name="Обычный 10 10 2 11" xfId="10723"/>
    <cellStyle name="Обычный 10 10 2 12" xfId="10724"/>
    <cellStyle name="Обычный 10 10 2 2" xfId="10725"/>
    <cellStyle name="Обычный 10 10 2 2 2" xfId="10726"/>
    <cellStyle name="Обычный 10 10 2 2 3" xfId="10727"/>
    <cellStyle name="Обычный 10 10 2 2 4" xfId="10728"/>
    <cellStyle name="Обычный 10 10 2 2 5" xfId="10729"/>
    <cellStyle name="Обычный 10 10 2 2 6" xfId="10730"/>
    <cellStyle name="Обычный 10 10 2 2 7" xfId="10731"/>
    <cellStyle name="Обычный 10 10 2 2 8" xfId="10732"/>
    <cellStyle name="Обычный 10 10 2 2 9" xfId="10733"/>
    <cellStyle name="Обычный 10 10 2 3" xfId="10734"/>
    <cellStyle name="Обычный 10 10 2 3 2" xfId="10735"/>
    <cellStyle name="Обычный 10 10 2 3 3" xfId="10736"/>
    <cellStyle name="Обычный 10 10 2 3 4" xfId="10737"/>
    <cellStyle name="Обычный 10 10 2 3 5" xfId="10738"/>
    <cellStyle name="Обычный 10 10 2 3 6" xfId="10739"/>
    <cellStyle name="Обычный 10 10 2 3 7" xfId="10740"/>
    <cellStyle name="Обычный 10 10 2 3 8" xfId="10741"/>
    <cellStyle name="Обычный 10 10 2 3 9" xfId="10742"/>
    <cellStyle name="Обычный 10 10 2 4" xfId="10743"/>
    <cellStyle name="Обычный 10 10 2 4 2" xfId="10744"/>
    <cellStyle name="Обычный 10 10 2 4 3" xfId="10745"/>
    <cellStyle name="Обычный 10 10 2 4 4" xfId="10746"/>
    <cellStyle name="Обычный 10 10 2 4 5" xfId="10747"/>
    <cellStyle name="Обычный 10 10 2 4 6" xfId="10748"/>
    <cellStyle name="Обычный 10 10 2 4 7" xfId="10749"/>
    <cellStyle name="Обычный 10 10 2 4 8" xfId="10750"/>
    <cellStyle name="Обычный 10 10 2 4 9" xfId="10751"/>
    <cellStyle name="Обычный 10 10 2 5" xfId="10752"/>
    <cellStyle name="Обычный 10 10 2 6" xfId="10753"/>
    <cellStyle name="Обычный 10 10 2 7" xfId="10754"/>
    <cellStyle name="Обычный 10 10 2 8" xfId="10755"/>
    <cellStyle name="Обычный 10 10 2 9" xfId="10756"/>
    <cellStyle name="Обычный 10 10 3" xfId="10757"/>
    <cellStyle name="Обычный 10 10 3 10" xfId="10758"/>
    <cellStyle name="Обычный 10 10 3 11" xfId="10759"/>
    <cellStyle name="Обычный 10 10 3 2" xfId="10760"/>
    <cellStyle name="Обычный 10 10 3 2 2" xfId="10761"/>
    <cellStyle name="Обычный 10 10 3 2 3" xfId="10762"/>
    <cellStyle name="Обычный 10 10 3 2 4" xfId="10763"/>
    <cellStyle name="Обычный 10 10 3 2 5" xfId="10764"/>
    <cellStyle name="Обычный 10 10 3 2 6" xfId="10765"/>
    <cellStyle name="Обычный 10 10 3 2 7" xfId="10766"/>
    <cellStyle name="Обычный 10 10 3 2 8" xfId="10767"/>
    <cellStyle name="Обычный 10 10 3 2 9" xfId="10768"/>
    <cellStyle name="Обычный 10 10 3 3" xfId="10769"/>
    <cellStyle name="Обычный 10 10 3 3 2" xfId="10770"/>
    <cellStyle name="Обычный 10 10 3 3 3" xfId="10771"/>
    <cellStyle name="Обычный 10 10 3 3 4" xfId="10772"/>
    <cellStyle name="Обычный 10 10 3 3 5" xfId="10773"/>
    <cellStyle name="Обычный 10 10 3 3 6" xfId="10774"/>
    <cellStyle name="Обычный 10 10 3 3 7" xfId="10775"/>
    <cellStyle name="Обычный 10 10 3 3 8" xfId="10776"/>
    <cellStyle name="Обычный 10 10 3 3 9" xfId="10777"/>
    <cellStyle name="Обычный 10 10 3 4" xfId="10778"/>
    <cellStyle name="Обычный 10 10 3 5" xfId="10779"/>
    <cellStyle name="Обычный 10 10 3 6" xfId="10780"/>
    <cellStyle name="Обычный 10 10 3 7" xfId="10781"/>
    <cellStyle name="Обычный 10 10 3 8" xfId="10782"/>
    <cellStyle name="Обычный 10 10 3 9" xfId="10783"/>
    <cellStyle name="Обычный 10 10 4" xfId="10784"/>
    <cellStyle name="Обычный 10 10 4 2" xfId="10785"/>
    <cellStyle name="Обычный 10 10 4 3" xfId="10786"/>
    <cellStyle name="Обычный 10 10 4 4" xfId="10787"/>
    <cellStyle name="Обычный 10 10 4 5" xfId="10788"/>
    <cellStyle name="Обычный 10 10 4 6" xfId="10789"/>
    <cellStyle name="Обычный 10 10 4 7" xfId="10790"/>
    <cellStyle name="Обычный 10 10 4 8" xfId="10791"/>
    <cellStyle name="Обычный 10 10 4 9" xfId="10792"/>
    <cellStyle name="Обычный 10 10 5" xfId="10793"/>
    <cellStyle name="Обычный 10 10 6" xfId="10794"/>
    <cellStyle name="Обычный 10 10 7" xfId="10795"/>
    <cellStyle name="Обычный 10 10 8" xfId="10796"/>
    <cellStyle name="Обычный 10 10 9" xfId="10797"/>
    <cellStyle name="Обычный 10 2" xfId="10798"/>
    <cellStyle name="Обычный 10 2 2" xfId="10799"/>
    <cellStyle name="Обычный 10 2 2 2" xfId="10800"/>
    <cellStyle name="Обычный 10 2 2 3" xfId="10801"/>
    <cellStyle name="Обычный 10 2 2 4" xfId="10802"/>
    <cellStyle name="Обычный 10 2 2 5" xfId="10803"/>
    <cellStyle name="Обычный 10 2 2 6" xfId="10804"/>
    <cellStyle name="Обычный 10 2 3" xfId="10805"/>
    <cellStyle name="Обычный 10 2 3 2" xfId="10806"/>
    <cellStyle name="Обычный 10 2 3 3" xfId="10807"/>
    <cellStyle name="Обычный 10 2 3 4" xfId="10808"/>
    <cellStyle name="Обычный 10 2 3 5" xfId="10809"/>
    <cellStyle name="Обычный 10 2 3 6" xfId="10810"/>
    <cellStyle name="Обычный 10 2 4" xfId="10811"/>
    <cellStyle name="Обычный 10 2 5" xfId="10812"/>
    <cellStyle name="Обычный 10 2 6" xfId="10813"/>
    <cellStyle name="Обычный 10 2 7" xfId="10814"/>
    <cellStyle name="Обычный 10 2 8" xfId="10815"/>
    <cellStyle name="Обычный 10 3" xfId="10816"/>
    <cellStyle name="Обычный 10 3 2" xfId="10817"/>
    <cellStyle name="Обычный 10 3 3" xfId="10818"/>
    <cellStyle name="Обычный 10 3 4" xfId="10819"/>
    <cellStyle name="Обычный 10 3 5" xfId="10820"/>
    <cellStyle name="Обычный 10 3 6" xfId="10821"/>
    <cellStyle name="Обычный 10 4" xfId="10822"/>
    <cellStyle name="Обычный 10 4 2" xfId="10823"/>
    <cellStyle name="Обычный 10 4 3" xfId="10824"/>
    <cellStyle name="Обычный 10 4 4" xfId="10825"/>
    <cellStyle name="Обычный 10 4 5" xfId="10826"/>
    <cellStyle name="Обычный 10 5" xfId="10827"/>
    <cellStyle name="Обычный 10 6" xfId="10828"/>
    <cellStyle name="Обычный 10 7" xfId="10829"/>
    <cellStyle name="Обычный 10 8" xfId="10830"/>
    <cellStyle name="Обычный 11" xfId="10831"/>
    <cellStyle name="Обычный 11 2" xfId="10832"/>
    <cellStyle name="Обычный 11 2 2" xfId="10833"/>
    <cellStyle name="Обычный 11 2 2 10" xfId="10834"/>
    <cellStyle name="Обычный 11 2 2 11" xfId="10835"/>
    <cellStyle name="Обычный 11 2 2 12" xfId="10836"/>
    <cellStyle name="Обычный 11 2 2 2" xfId="10837"/>
    <cellStyle name="Обычный 11 2 2 2 10" xfId="10838"/>
    <cellStyle name="Обычный 11 2 2 2 11" xfId="10839"/>
    <cellStyle name="Обычный 11 2 2 2 12" xfId="10840"/>
    <cellStyle name="Обычный 11 2 2 2 2" xfId="10841"/>
    <cellStyle name="Обычный 11 2 2 2 2 2" xfId="10842"/>
    <cellStyle name="Обычный 11 2 2 2 2 3" xfId="10843"/>
    <cellStyle name="Обычный 11 2 2 2 2 4" xfId="10844"/>
    <cellStyle name="Обычный 11 2 2 2 2 5" xfId="10845"/>
    <cellStyle name="Обычный 11 2 2 2 2 6" xfId="10846"/>
    <cellStyle name="Обычный 11 2 2 2 2 7" xfId="10847"/>
    <cellStyle name="Обычный 11 2 2 2 2 8" xfId="10848"/>
    <cellStyle name="Обычный 11 2 2 2 2 9" xfId="10849"/>
    <cellStyle name="Обычный 11 2 2 2 3" xfId="10850"/>
    <cellStyle name="Обычный 11 2 2 2 3 2" xfId="10851"/>
    <cellStyle name="Обычный 11 2 2 2 3 3" xfId="10852"/>
    <cellStyle name="Обычный 11 2 2 2 3 4" xfId="10853"/>
    <cellStyle name="Обычный 11 2 2 2 3 5" xfId="10854"/>
    <cellStyle name="Обычный 11 2 2 2 3 6" xfId="10855"/>
    <cellStyle name="Обычный 11 2 2 2 3 7" xfId="10856"/>
    <cellStyle name="Обычный 11 2 2 2 3 8" xfId="10857"/>
    <cellStyle name="Обычный 11 2 2 2 3 9" xfId="10858"/>
    <cellStyle name="Обычный 11 2 2 2 4" xfId="10859"/>
    <cellStyle name="Обычный 11 2 2 2 4 2" xfId="10860"/>
    <cellStyle name="Обычный 11 2 2 2 4 3" xfId="10861"/>
    <cellStyle name="Обычный 11 2 2 2 4 4" xfId="10862"/>
    <cellStyle name="Обычный 11 2 2 2 4 5" xfId="10863"/>
    <cellStyle name="Обычный 11 2 2 2 4 6" xfId="10864"/>
    <cellStyle name="Обычный 11 2 2 2 4 7" xfId="10865"/>
    <cellStyle name="Обычный 11 2 2 2 4 8" xfId="10866"/>
    <cellStyle name="Обычный 11 2 2 2 4 9" xfId="10867"/>
    <cellStyle name="Обычный 11 2 2 2 5" xfId="10868"/>
    <cellStyle name="Обычный 11 2 2 2 6" xfId="10869"/>
    <cellStyle name="Обычный 11 2 2 2 7" xfId="10870"/>
    <cellStyle name="Обычный 11 2 2 2 8" xfId="10871"/>
    <cellStyle name="Обычный 11 2 2 2 9" xfId="10872"/>
    <cellStyle name="Обычный 11 2 2 3" xfId="10873"/>
    <cellStyle name="Обычный 11 2 2 3 10" xfId="10874"/>
    <cellStyle name="Обычный 11 2 2 3 11" xfId="10875"/>
    <cellStyle name="Обычный 11 2 2 3 2" xfId="10876"/>
    <cellStyle name="Обычный 11 2 2 3 2 2" xfId="10877"/>
    <cellStyle name="Обычный 11 2 2 3 2 3" xfId="10878"/>
    <cellStyle name="Обычный 11 2 2 3 2 4" xfId="10879"/>
    <cellStyle name="Обычный 11 2 2 3 2 5" xfId="10880"/>
    <cellStyle name="Обычный 11 2 2 3 2 6" xfId="10881"/>
    <cellStyle name="Обычный 11 2 2 3 2 7" xfId="10882"/>
    <cellStyle name="Обычный 11 2 2 3 2 8" xfId="10883"/>
    <cellStyle name="Обычный 11 2 2 3 2 9" xfId="10884"/>
    <cellStyle name="Обычный 11 2 2 3 3" xfId="10885"/>
    <cellStyle name="Обычный 11 2 2 3 3 2" xfId="10886"/>
    <cellStyle name="Обычный 11 2 2 3 3 3" xfId="10887"/>
    <cellStyle name="Обычный 11 2 2 3 3 4" xfId="10888"/>
    <cellStyle name="Обычный 11 2 2 3 3 5" xfId="10889"/>
    <cellStyle name="Обычный 11 2 2 3 3 6" xfId="10890"/>
    <cellStyle name="Обычный 11 2 2 3 3 7" xfId="10891"/>
    <cellStyle name="Обычный 11 2 2 3 3 8" xfId="10892"/>
    <cellStyle name="Обычный 11 2 2 3 3 9" xfId="10893"/>
    <cellStyle name="Обычный 11 2 2 3 4" xfId="10894"/>
    <cellStyle name="Обычный 11 2 2 3 5" xfId="10895"/>
    <cellStyle name="Обычный 11 2 2 3 6" xfId="10896"/>
    <cellStyle name="Обычный 11 2 2 3 7" xfId="10897"/>
    <cellStyle name="Обычный 11 2 2 3 8" xfId="10898"/>
    <cellStyle name="Обычный 11 2 2 3 9" xfId="10899"/>
    <cellStyle name="Обычный 11 2 2 4" xfId="10900"/>
    <cellStyle name="Обычный 11 2 2 4 2" xfId="10901"/>
    <cellStyle name="Обычный 11 2 2 4 3" xfId="10902"/>
    <cellStyle name="Обычный 11 2 2 4 4" xfId="10903"/>
    <cellStyle name="Обычный 11 2 2 4 5" xfId="10904"/>
    <cellStyle name="Обычный 11 2 2 4 6" xfId="10905"/>
    <cellStyle name="Обычный 11 2 2 4 7" xfId="10906"/>
    <cellStyle name="Обычный 11 2 2 4 8" xfId="10907"/>
    <cellStyle name="Обычный 11 2 2 4 9" xfId="10908"/>
    <cellStyle name="Обычный 11 2 2 5" xfId="10909"/>
    <cellStyle name="Обычный 11 2 2 6" xfId="10910"/>
    <cellStyle name="Обычный 11 2 2 7" xfId="10911"/>
    <cellStyle name="Обычный 11 2 2 8" xfId="10912"/>
    <cellStyle name="Обычный 11 2 2 9" xfId="10913"/>
    <cellStyle name="Обычный 11 2 3" xfId="10914"/>
    <cellStyle name="Обычный 11 2 3 2" xfId="10915"/>
    <cellStyle name="Обычный 11 2 3 3" xfId="10916"/>
    <cellStyle name="Обычный 11 2 4" xfId="10917"/>
    <cellStyle name="Обычный 11 2 5" xfId="10918"/>
    <cellStyle name="Обычный 11 3" xfId="10919"/>
    <cellStyle name="Обычный 11 3 2" xfId="10920"/>
    <cellStyle name="Обычный 11 3 2 2" xfId="10921"/>
    <cellStyle name="Обычный 11 3 2 2 2" xfId="10922"/>
    <cellStyle name="Обычный 11 3 2 2 3" xfId="10923"/>
    <cellStyle name="Обычный 11 3 2 2 4" xfId="10924"/>
    <cellStyle name="Обычный 11 3 2 2 5" xfId="10925"/>
    <cellStyle name="Обычный 11 3 2 2 6" xfId="10926"/>
    <cellStyle name="Обычный 11 3 2 3" xfId="10927"/>
    <cellStyle name="Обычный 11 3 2 3 2" xfId="10928"/>
    <cellStyle name="Обычный 11 3 2 3 3" xfId="10929"/>
    <cellStyle name="Обычный 11 3 2 3 4" xfId="10930"/>
    <cellStyle name="Обычный 11 3 2 3 5" xfId="10931"/>
    <cellStyle name="Обычный 11 3 2 3 6" xfId="10932"/>
    <cellStyle name="Обычный 11 3 2 4" xfId="10933"/>
    <cellStyle name="Обычный 11 3 2 5" xfId="10934"/>
    <cellStyle name="Обычный 11 3 2 6" xfId="10935"/>
    <cellStyle name="Обычный 11 3 2 7" xfId="10936"/>
    <cellStyle name="Обычный 11 3 2 8" xfId="10937"/>
    <cellStyle name="Обычный 11 3 3" xfId="10938"/>
    <cellStyle name="Обычный 11 3 3 2" xfId="10939"/>
    <cellStyle name="Обычный 11 3 3 3" xfId="10940"/>
    <cellStyle name="Обычный 11 3 3 4" xfId="10941"/>
    <cellStyle name="Обычный 11 3 3 5" xfId="10942"/>
    <cellStyle name="Обычный 11 3 3 6" xfId="10943"/>
    <cellStyle name="Обычный 11 3 4" xfId="10944"/>
    <cellStyle name="Обычный 11 3 4 2" xfId="10945"/>
    <cellStyle name="Обычный 11 3 4 3" xfId="10946"/>
    <cellStyle name="Обычный 11 3 4 4" xfId="10947"/>
    <cellStyle name="Обычный 11 3 4 5" xfId="10948"/>
    <cellStyle name="Обычный 11 3 5" xfId="10949"/>
    <cellStyle name="Обычный 11 3 6" xfId="10950"/>
    <cellStyle name="Обычный 11 3 7" xfId="10951"/>
    <cellStyle name="Обычный 11 3 8" xfId="10952"/>
    <cellStyle name="Обычный 11 4" xfId="10953"/>
    <cellStyle name="Обычный 11 4 10" xfId="10954"/>
    <cellStyle name="Обычный 11 4 11" xfId="10955"/>
    <cellStyle name="Обычный 11 4 12" xfId="10956"/>
    <cellStyle name="Обычный 11 4 2" xfId="10957"/>
    <cellStyle name="Обычный 11 4 2 10" xfId="10958"/>
    <cellStyle name="Обычный 11 4 2 11" xfId="10959"/>
    <cellStyle name="Обычный 11 4 2 12" xfId="10960"/>
    <cellStyle name="Обычный 11 4 2 2" xfId="10961"/>
    <cellStyle name="Обычный 11 4 2 2 2" xfId="10962"/>
    <cellStyle name="Обычный 11 4 2 2 3" xfId="10963"/>
    <cellStyle name="Обычный 11 4 2 2 4" xfId="10964"/>
    <cellStyle name="Обычный 11 4 2 2 5" xfId="10965"/>
    <cellStyle name="Обычный 11 4 2 2 6" xfId="10966"/>
    <cellStyle name="Обычный 11 4 2 2 7" xfId="10967"/>
    <cellStyle name="Обычный 11 4 2 2 8" xfId="10968"/>
    <cellStyle name="Обычный 11 4 2 2 9" xfId="10969"/>
    <cellStyle name="Обычный 11 4 2 3" xfId="10970"/>
    <cellStyle name="Обычный 11 4 2 3 2" xfId="10971"/>
    <cellStyle name="Обычный 11 4 2 3 3" xfId="10972"/>
    <cellStyle name="Обычный 11 4 2 3 4" xfId="10973"/>
    <cellStyle name="Обычный 11 4 2 3 5" xfId="10974"/>
    <cellStyle name="Обычный 11 4 2 3 6" xfId="10975"/>
    <cellStyle name="Обычный 11 4 2 3 7" xfId="10976"/>
    <cellStyle name="Обычный 11 4 2 3 8" xfId="10977"/>
    <cellStyle name="Обычный 11 4 2 3 9" xfId="10978"/>
    <cellStyle name="Обычный 11 4 2 4" xfId="10979"/>
    <cellStyle name="Обычный 11 4 2 4 2" xfId="10980"/>
    <cellStyle name="Обычный 11 4 2 4 3" xfId="10981"/>
    <cellStyle name="Обычный 11 4 2 4 4" xfId="10982"/>
    <cellStyle name="Обычный 11 4 2 4 5" xfId="10983"/>
    <cellStyle name="Обычный 11 4 2 4 6" xfId="10984"/>
    <cellStyle name="Обычный 11 4 2 4 7" xfId="10985"/>
    <cellStyle name="Обычный 11 4 2 4 8" xfId="10986"/>
    <cellStyle name="Обычный 11 4 2 4 9" xfId="10987"/>
    <cellStyle name="Обычный 11 4 2 5" xfId="10988"/>
    <cellStyle name="Обычный 11 4 2 6" xfId="10989"/>
    <cellStyle name="Обычный 11 4 2 7" xfId="10990"/>
    <cellStyle name="Обычный 11 4 2 8" xfId="10991"/>
    <cellStyle name="Обычный 11 4 2 9" xfId="10992"/>
    <cellStyle name="Обычный 11 4 3" xfId="10993"/>
    <cellStyle name="Обычный 11 4 3 10" xfId="10994"/>
    <cellStyle name="Обычный 11 4 3 11" xfId="10995"/>
    <cellStyle name="Обычный 11 4 3 2" xfId="10996"/>
    <cellStyle name="Обычный 11 4 3 2 2" xfId="10997"/>
    <cellStyle name="Обычный 11 4 3 2 3" xfId="10998"/>
    <cellStyle name="Обычный 11 4 3 2 4" xfId="10999"/>
    <cellStyle name="Обычный 11 4 3 2 5" xfId="11000"/>
    <cellStyle name="Обычный 11 4 3 2 6" xfId="11001"/>
    <cellStyle name="Обычный 11 4 3 2 7" xfId="11002"/>
    <cellStyle name="Обычный 11 4 3 2 8" xfId="11003"/>
    <cellStyle name="Обычный 11 4 3 2 9" xfId="11004"/>
    <cellStyle name="Обычный 11 4 3 3" xfId="11005"/>
    <cellStyle name="Обычный 11 4 3 3 2" xfId="11006"/>
    <cellStyle name="Обычный 11 4 3 3 3" xfId="11007"/>
    <cellStyle name="Обычный 11 4 3 3 4" xfId="11008"/>
    <cellStyle name="Обычный 11 4 3 3 5" xfId="11009"/>
    <cellStyle name="Обычный 11 4 3 3 6" xfId="11010"/>
    <cellStyle name="Обычный 11 4 3 3 7" xfId="11011"/>
    <cellStyle name="Обычный 11 4 3 3 8" xfId="11012"/>
    <cellStyle name="Обычный 11 4 3 3 9" xfId="11013"/>
    <cellStyle name="Обычный 11 4 3 4" xfId="11014"/>
    <cellStyle name="Обычный 11 4 3 5" xfId="11015"/>
    <cellStyle name="Обычный 11 4 3 6" xfId="11016"/>
    <cellStyle name="Обычный 11 4 3 7" xfId="11017"/>
    <cellStyle name="Обычный 11 4 3 8" xfId="11018"/>
    <cellStyle name="Обычный 11 4 3 9" xfId="11019"/>
    <cellStyle name="Обычный 11 4 4" xfId="11020"/>
    <cellStyle name="Обычный 11 4 4 2" xfId="11021"/>
    <cellStyle name="Обычный 11 4 4 3" xfId="11022"/>
    <cellStyle name="Обычный 11 4 4 4" xfId="11023"/>
    <cellStyle name="Обычный 11 4 4 5" xfId="11024"/>
    <cellStyle name="Обычный 11 4 4 6" xfId="11025"/>
    <cellStyle name="Обычный 11 4 4 7" xfId="11026"/>
    <cellStyle name="Обычный 11 4 4 8" xfId="11027"/>
    <cellStyle name="Обычный 11 4 4 9" xfId="11028"/>
    <cellStyle name="Обычный 11 4 5" xfId="11029"/>
    <cellStyle name="Обычный 11 4 6" xfId="11030"/>
    <cellStyle name="Обычный 11 4 7" xfId="11031"/>
    <cellStyle name="Обычный 11 4 8" xfId="11032"/>
    <cellStyle name="Обычный 11 4 9" xfId="11033"/>
    <cellStyle name="Обычный 11 5" xfId="11034"/>
    <cellStyle name="Обычный 11 5 2" xfId="11035"/>
    <cellStyle name="Обычный 11 5 3" xfId="11036"/>
    <cellStyle name="Обычный 11 6" xfId="11037"/>
    <cellStyle name="Обычный 11 7" xfId="11038"/>
    <cellStyle name="Обычный 12" xfId="11039"/>
    <cellStyle name="Обычный 12 10" xfId="11040"/>
    <cellStyle name="Обычный 12 10 2" xfId="11041"/>
    <cellStyle name="Обычный 12 10 3" xfId="11042"/>
    <cellStyle name="Обычный 12 10 4" xfId="11043"/>
    <cellStyle name="Обычный 12 10 5" xfId="11044"/>
    <cellStyle name="Обычный 12 11" xfId="11045"/>
    <cellStyle name="Обычный 12 12" xfId="11046"/>
    <cellStyle name="Обычный 12 13" xfId="11047"/>
    <cellStyle name="Обычный 12 14" xfId="11048"/>
    <cellStyle name="Обычный 12 2" xfId="11049"/>
    <cellStyle name="Обычный 12 2 2" xfId="11050"/>
    <cellStyle name="Обычный 12 2 2 2" xfId="11051"/>
    <cellStyle name="Обычный 12 2 2 2 2" xfId="11052"/>
    <cellStyle name="Обычный 12 2 2 2 2 2" xfId="11053"/>
    <cellStyle name="Обычный 12 2 2 2 2 3" xfId="11054"/>
    <cellStyle name="Обычный 12 2 2 2 2 4" xfId="11055"/>
    <cellStyle name="Обычный 12 2 2 2 2 5" xfId="11056"/>
    <cellStyle name="Обычный 12 2 2 2 2 6" xfId="11057"/>
    <cellStyle name="Обычный 12 2 2 2 3" xfId="11058"/>
    <cellStyle name="Обычный 12 2 2 2 3 2" xfId="11059"/>
    <cellStyle name="Обычный 12 2 2 2 3 3" xfId="11060"/>
    <cellStyle name="Обычный 12 2 2 2 3 4" xfId="11061"/>
    <cellStyle name="Обычный 12 2 2 2 3 5" xfId="11062"/>
    <cellStyle name="Обычный 12 2 2 2 3 6" xfId="11063"/>
    <cellStyle name="Обычный 12 2 2 2 4" xfId="11064"/>
    <cellStyle name="Обычный 12 2 2 2 5" xfId="11065"/>
    <cellStyle name="Обычный 12 2 2 2 6" xfId="11066"/>
    <cellStyle name="Обычный 12 2 2 2 7" xfId="11067"/>
    <cellStyle name="Обычный 12 2 2 2 8" xfId="11068"/>
    <cellStyle name="Обычный 12 2 2 3" xfId="11069"/>
    <cellStyle name="Обычный 12 2 2 3 2" xfId="11070"/>
    <cellStyle name="Обычный 12 2 2 3 3" xfId="11071"/>
    <cellStyle name="Обычный 12 2 2 3 4" xfId="11072"/>
    <cellStyle name="Обычный 12 2 2 3 5" xfId="11073"/>
    <cellStyle name="Обычный 12 2 2 3 6" xfId="11074"/>
    <cellStyle name="Обычный 12 2 2 4" xfId="11075"/>
    <cellStyle name="Обычный 12 2 2 4 2" xfId="11076"/>
    <cellStyle name="Обычный 12 2 2 4 3" xfId="11077"/>
    <cellStyle name="Обычный 12 2 2 4 4" xfId="11078"/>
    <cellStyle name="Обычный 12 2 2 4 5" xfId="11079"/>
    <cellStyle name="Обычный 12 2 2 5" xfId="11080"/>
    <cellStyle name="Обычный 12 2 2 6" xfId="11081"/>
    <cellStyle name="Обычный 12 2 2 7" xfId="11082"/>
    <cellStyle name="Обычный 12 2 2 8" xfId="11083"/>
    <cellStyle name="Обычный 12 2 3" xfId="11084"/>
    <cellStyle name="Обычный 12 2 3 2" xfId="11085"/>
    <cellStyle name="Обычный 12 2 3 2 2" xfId="11086"/>
    <cellStyle name="Обычный 12 2 3 2 3" xfId="11087"/>
    <cellStyle name="Обычный 12 2 3 2 4" xfId="11088"/>
    <cellStyle name="Обычный 12 2 3 2 5" xfId="11089"/>
    <cellStyle name="Обычный 12 2 3 2 6" xfId="11090"/>
    <cellStyle name="Обычный 12 2 3 3" xfId="11091"/>
    <cellStyle name="Обычный 12 2 3 3 2" xfId="11092"/>
    <cellStyle name="Обычный 12 2 3 3 3" xfId="11093"/>
    <cellStyle name="Обычный 12 2 3 3 4" xfId="11094"/>
    <cellStyle name="Обычный 12 2 3 3 5" xfId="11095"/>
    <cellStyle name="Обычный 12 2 3 3 6" xfId="11096"/>
    <cellStyle name="Обычный 12 2 3 4" xfId="11097"/>
    <cellStyle name="Обычный 12 2 3 5" xfId="11098"/>
    <cellStyle name="Обычный 12 2 3 6" xfId="11099"/>
    <cellStyle name="Обычный 12 2 3 7" xfId="11100"/>
    <cellStyle name="Обычный 12 2 3 8" xfId="11101"/>
    <cellStyle name="Обычный 12 2 4" xfId="11102"/>
    <cellStyle name="Обычный 12 2 4 2" xfId="11103"/>
    <cellStyle name="Обычный 12 2 4 3" xfId="11104"/>
    <cellStyle name="Обычный 12 2 4 4" xfId="11105"/>
    <cellStyle name="Обычный 12 2 4 5" xfId="11106"/>
    <cellStyle name="Обычный 12 2 4 6" xfId="11107"/>
    <cellStyle name="Обычный 12 2 5" xfId="11108"/>
    <cellStyle name="Обычный 12 2 5 2" xfId="11109"/>
    <cellStyle name="Обычный 12 2 5 3" xfId="11110"/>
    <cellStyle name="Обычный 12 2 5 4" xfId="11111"/>
    <cellStyle name="Обычный 12 2 5 5" xfId="11112"/>
    <cellStyle name="Обычный 12 2 6" xfId="11113"/>
    <cellStyle name="Обычный 12 2 7" xfId="11114"/>
    <cellStyle name="Обычный 12 2 8" xfId="11115"/>
    <cellStyle name="Обычный 12 2 9" xfId="11116"/>
    <cellStyle name="Обычный 12 3" xfId="11117"/>
    <cellStyle name="Обычный 12 3 2" xfId="11118"/>
    <cellStyle name="Обычный 12 3 2 2" xfId="11119"/>
    <cellStyle name="Обычный 12 3 2 2 2" xfId="11120"/>
    <cellStyle name="Обычный 12 3 2 2 3" xfId="11121"/>
    <cellStyle name="Обычный 12 3 2 2 4" xfId="11122"/>
    <cellStyle name="Обычный 12 3 2 2 5" xfId="11123"/>
    <cellStyle name="Обычный 12 3 2 2 6" xfId="11124"/>
    <cellStyle name="Обычный 12 3 2 3" xfId="11125"/>
    <cellStyle name="Обычный 12 3 2 3 2" xfId="11126"/>
    <cellStyle name="Обычный 12 3 2 3 3" xfId="11127"/>
    <cellStyle name="Обычный 12 3 2 3 4" xfId="11128"/>
    <cellStyle name="Обычный 12 3 2 3 5" xfId="11129"/>
    <cellStyle name="Обычный 12 3 2 3 6" xfId="11130"/>
    <cellStyle name="Обычный 12 3 2 4" xfId="11131"/>
    <cellStyle name="Обычный 12 3 2 5" xfId="11132"/>
    <cellStyle name="Обычный 12 3 2 6" xfId="11133"/>
    <cellStyle name="Обычный 12 3 2 7" xfId="11134"/>
    <cellStyle name="Обычный 12 3 2 8" xfId="11135"/>
    <cellStyle name="Обычный 12 3 3" xfId="11136"/>
    <cellStyle name="Обычный 12 3 3 2" xfId="11137"/>
    <cellStyle name="Обычный 12 3 3 3" xfId="11138"/>
    <cellStyle name="Обычный 12 3 3 4" xfId="11139"/>
    <cellStyle name="Обычный 12 3 3 5" xfId="11140"/>
    <cellStyle name="Обычный 12 3 3 6" xfId="11141"/>
    <cellStyle name="Обычный 12 3 4" xfId="11142"/>
    <cellStyle name="Обычный 12 3 4 2" xfId="11143"/>
    <cellStyle name="Обычный 12 3 4 3" xfId="11144"/>
    <cellStyle name="Обычный 12 3 4 4" xfId="11145"/>
    <cellStyle name="Обычный 12 3 4 5" xfId="11146"/>
    <cellStyle name="Обычный 12 3 5" xfId="11147"/>
    <cellStyle name="Обычный 12 3 6" xfId="11148"/>
    <cellStyle name="Обычный 12 3 7" xfId="11149"/>
    <cellStyle name="Обычный 12 3 8" xfId="11150"/>
    <cellStyle name="Обычный 12 4" xfId="11151"/>
    <cellStyle name="Обычный 12 4 10" xfId="11152"/>
    <cellStyle name="Обычный 12 4 11" xfId="11153"/>
    <cellStyle name="Обычный 12 4 12" xfId="11154"/>
    <cellStyle name="Обычный 12 4 13" xfId="11155"/>
    <cellStyle name="Обычный 12 4 2" xfId="11156"/>
    <cellStyle name="Обычный 12 4 2 2" xfId="11157"/>
    <cellStyle name="Обычный 12 4 2 2 2" xfId="11158"/>
    <cellStyle name="Обычный 12 4 2 2 2 2" xfId="11159"/>
    <cellStyle name="Обычный 12 4 2 2 2 3" xfId="11160"/>
    <cellStyle name="Обычный 12 4 2 2 2 4" xfId="11161"/>
    <cellStyle name="Обычный 12 4 2 2 2 5" xfId="11162"/>
    <cellStyle name="Обычный 12 4 2 2 2 6" xfId="11163"/>
    <cellStyle name="Обычный 12 4 2 2 3" xfId="11164"/>
    <cellStyle name="Обычный 12 4 2 2 3 2" xfId="11165"/>
    <cellStyle name="Обычный 12 4 2 2 3 3" xfId="11166"/>
    <cellStyle name="Обычный 12 4 2 2 3 4" xfId="11167"/>
    <cellStyle name="Обычный 12 4 2 2 3 5" xfId="11168"/>
    <cellStyle name="Обычный 12 4 2 2 3 6" xfId="11169"/>
    <cellStyle name="Обычный 12 4 2 2 4" xfId="11170"/>
    <cellStyle name="Обычный 12 4 2 2 5" xfId="11171"/>
    <cellStyle name="Обычный 12 4 2 2 6" xfId="11172"/>
    <cellStyle name="Обычный 12 4 2 2 7" xfId="11173"/>
    <cellStyle name="Обычный 12 4 2 2 8" xfId="11174"/>
    <cellStyle name="Обычный 12 4 2 3" xfId="11175"/>
    <cellStyle name="Обычный 12 4 2 3 2" xfId="11176"/>
    <cellStyle name="Обычный 12 4 2 3 3" xfId="11177"/>
    <cellStyle name="Обычный 12 4 2 3 4" xfId="11178"/>
    <cellStyle name="Обычный 12 4 2 3 5" xfId="11179"/>
    <cellStyle name="Обычный 12 4 2 3 6" xfId="11180"/>
    <cellStyle name="Обычный 12 4 2 4" xfId="11181"/>
    <cellStyle name="Обычный 12 4 2 4 2" xfId="11182"/>
    <cellStyle name="Обычный 12 4 2 4 3" xfId="11183"/>
    <cellStyle name="Обычный 12 4 2 4 4" xfId="11184"/>
    <cellStyle name="Обычный 12 4 2 4 5" xfId="11185"/>
    <cellStyle name="Обычный 12 4 2 5" xfId="11186"/>
    <cellStyle name="Обычный 12 4 2 6" xfId="11187"/>
    <cellStyle name="Обычный 12 4 2 7" xfId="11188"/>
    <cellStyle name="Обычный 12 4 2 8" xfId="11189"/>
    <cellStyle name="Обычный 12 4 3" xfId="11190"/>
    <cellStyle name="Обычный 12 4 3 10" xfId="11191"/>
    <cellStyle name="Обычный 12 4 3 11" xfId="11192"/>
    <cellStyle name="Обычный 12 4 3 12" xfId="11193"/>
    <cellStyle name="Обычный 12 4 3 2" xfId="11194"/>
    <cellStyle name="Обычный 12 4 3 2 2" xfId="11195"/>
    <cellStyle name="Обычный 12 4 3 2 3" xfId="11196"/>
    <cellStyle name="Обычный 12 4 3 2 4" xfId="11197"/>
    <cellStyle name="Обычный 12 4 3 2 5" xfId="11198"/>
    <cellStyle name="Обычный 12 4 3 2 6" xfId="11199"/>
    <cellStyle name="Обычный 12 4 3 2 7" xfId="11200"/>
    <cellStyle name="Обычный 12 4 3 2 8" xfId="11201"/>
    <cellStyle name="Обычный 12 4 3 2 9" xfId="11202"/>
    <cellStyle name="Обычный 12 4 3 3" xfId="11203"/>
    <cellStyle name="Обычный 12 4 3 3 2" xfId="11204"/>
    <cellStyle name="Обычный 12 4 3 3 3" xfId="11205"/>
    <cellStyle name="Обычный 12 4 3 3 4" xfId="11206"/>
    <cellStyle name="Обычный 12 4 3 3 5" xfId="11207"/>
    <cellStyle name="Обычный 12 4 3 3 6" xfId="11208"/>
    <cellStyle name="Обычный 12 4 3 3 7" xfId="11209"/>
    <cellStyle name="Обычный 12 4 3 3 8" xfId="11210"/>
    <cellStyle name="Обычный 12 4 3 3 9" xfId="11211"/>
    <cellStyle name="Обычный 12 4 3 4" xfId="11212"/>
    <cellStyle name="Обычный 12 4 3 4 2" xfId="11213"/>
    <cellStyle name="Обычный 12 4 3 4 3" xfId="11214"/>
    <cellStyle name="Обычный 12 4 3 4 4" xfId="11215"/>
    <cellStyle name="Обычный 12 4 3 4 5" xfId="11216"/>
    <cellStyle name="Обычный 12 4 3 4 6" xfId="11217"/>
    <cellStyle name="Обычный 12 4 3 4 7" xfId="11218"/>
    <cellStyle name="Обычный 12 4 3 4 8" xfId="11219"/>
    <cellStyle name="Обычный 12 4 3 4 9" xfId="11220"/>
    <cellStyle name="Обычный 12 4 3 5" xfId="11221"/>
    <cellStyle name="Обычный 12 4 3 6" xfId="11222"/>
    <cellStyle name="Обычный 12 4 3 7" xfId="11223"/>
    <cellStyle name="Обычный 12 4 3 8" xfId="11224"/>
    <cellStyle name="Обычный 12 4 3 9" xfId="11225"/>
    <cellStyle name="Обычный 12 4 4" xfId="11226"/>
    <cellStyle name="Обычный 12 4 4 10" xfId="11227"/>
    <cellStyle name="Обычный 12 4 4 11" xfId="11228"/>
    <cellStyle name="Обычный 12 4 4 2" xfId="11229"/>
    <cellStyle name="Обычный 12 4 4 2 2" xfId="11230"/>
    <cellStyle name="Обычный 12 4 4 2 3" xfId="11231"/>
    <cellStyle name="Обычный 12 4 4 2 4" xfId="11232"/>
    <cellStyle name="Обычный 12 4 4 2 5" xfId="11233"/>
    <cellStyle name="Обычный 12 4 4 2 6" xfId="11234"/>
    <cellStyle name="Обычный 12 4 4 2 7" xfId="11235"/>
    <cellStyle name="Обычный 12 4 4 2 8" xfId="11236"/>
    <cellStyle name="Обычный 12 4 4 2 9" xfId="11237"/>
    <cellStyle name="Обычный 12 4 4 3" xfId="11238"/>
    <cellStyle name="Обычный 12 4 4 3 2" xfId="11239"/>
    <cellStyle name="Обычный 12 4 4 3 3" xfId="11240"/>
    <cellStyle name="Обычный 12 4 4 3 4" xfId="11241"/>
    <cellStyle name="Обычный 12 4 4 3 5" xfId="11242"/>
    <cellStyle name="Обычный 12 4 4 3 6" xfId="11243"/>
    <cellStyle name="Обычный 12 4 4 3 7" xfId="11244"/>
    <cellStyle name="Обычный 12 4 4 3 8" xfId="11245"/>
    <cellStyle name="Обычный 12 4 4 3 9" xfId="11246"/>
    <cellStyle name="Обычный 12 4 4 4" xfId="11247"/>
    <cellStyle name="Обычный 12 4 4 5" xfId="11248"/>
    <cellStyle name="Обычный 12 4 4 6" xfId="11249"/>
    <cellStyle name="Обычный 12 4 4 7" xfId="11250"/>
    <cellStyle name="Обычный 12 4 4 8" xfId="11251"/>
    <cellStyle name="Обычный 12 4 4 9" xfId="11252"/>
    <cellStyle name="Обычный 12 4 5" xfId="11253"/>
    <cellStyle name="Обычный 12 4 5 2" xfId="11254"/>
    <cellStyle name="Обычный 12 4 5 3" xfId="11255"/>
    <cellStyle name="Обычный 12 4 5 4" xfId="11256"/>
    <cellStyle name="Обычный 12 4 5 5" xfId="11257"/>
    <cellStyle name="Обычный 12 4 5 6" xfId="11258"/>
    <cellStyle name="Обычный 12 4 5 7" xfId="11259"/>
    <cellStyle name="Обычный 12 4 5 8" xfId="11260"/>
    <cellStyle name="Обычный 12 4 5 9" xfId="11261"/>
    <cellStyle name="Обычный 12 4 6" xfId="11262"/>
    <cellStyle name="Обычный 12 4 7" xfId="11263"/>
    <cellStyle name="Обычный 12 4 8" xfId="11264"/>
    <cellStyle name="Обычный 12 4 9" xfId="11265"/>
    <cellStyle name="Обычный 12 5" xfId="11266"/>
    <cellStyle name="Обычный 12 5 2" xfId="11267"/>
    <cellStyle name="Обычный 12 5 2 2" xfId="11268"/>
    <cellStyle name="Обычный 12 5 2 2 2" xfId="11269"/>
    <cellStyle name="Обычный 12 5 2 2 3" xfId="11270"/>
    <cellStyle name="Обычный 12 5 2 2 4" xfId="11271"/>
    <cellStyle name="Обычный 12 5 2 2 5" xfId="11272"/>
    <cellStyle name="Обычный 12 5 2 2 6" xfId="11273"/>
    <cellStyle name="Обычный 12 5 2 3" xfId="11274"/>
    <cellStyle name="Обычный 12 5 2 3 2" xfId="11275"/>
    <cellStyle name="Обычный 12 5 2 3 3" xfId="11276"/>
    <cellStyle name="Обычный 12 5 2 3 4" xfId="11277"/>
    <cellStyle name="Обычный 12 5 2 3 5" xfId="11278"/>
    <cellStyle name="Обычный 12 5 2 3 6" xfId="11279"/>
    <cellStyle name="Обычный 12 5 2 4" xfId="11280"/>
    <cellStyle name="Обычный 12 5 2 5" xfId="11281"/>
    <cellStyle name="Обычный 12 5 2 6" xfId="11282"/>
    <cellStyle name="Обычный 12 5 2 7" xfId="11283"/>
    <cellStyle name="Обычный 12 5 2 8" xfId="11284"/>
    <cellStyle name="Обычный 12 5 3" xfId="11285"/>
    <cellStyle name="Обычный 12 5 3 2" xfId="11286"/>
    <cellStyle name="Обычный 12 5 3 3" xfId="11287"/>
    <cellStyle name="Обычный 12 5 3 4" xfId="11288"/>
    <cellStyle name="Обычный 12 5 3 5" xfId="11289"/>
    <cellStyle name="Обычный 12 5 3 6" xfId="11290"/>
    <cellStyle name="Обычный 12 5 4" xfId="11291"/>
    <cellStyle name="Обычный 12 5 4 2" xfId="11292"/>
    <cellStyle name="Обычный 12 5 4 3" xfId="11293"/>
    <cellStyle name="Обычный 12 5 4 4" xfId="11294"/>
    <cellStyle name="Обычный 12 5 4 5" xfId="11295"/>
    <cellStyle name="Обычный 12 5 5" xfId="11296"/>
    <cellStyle name="Обычный 12 5 6" xfId="11297"/>
    <cellStyle name="Обычный 12 5 7" xfId="11298"/>
    <cellStyle name="Обычный 12 5 8" xfId="11299"/>
    <cellStyle name="Обычный 12 6" xfId="11300"/>
    <cellStyle name="Обычный 12 6 2" xfId="11301"/>
    <cellStyle name="Обычный 12 6 2 2" xfId="11302"/>
    <cellStyle name="Обычный 12 6 2 3" xfId="11303"/>
    <cellStyle name="Обычный 12 6 3" xfId="11304"/>
    <cellStyle name="Обычный 12 6 4" xfId="11305"/>
    <cellStyle name="Обычный 12 6 4 2" xfId="11306"/>
    <cellStyle name="Обычный 12 6 4 3" xfId="11307"/>
    <cellStyle name="Обычный 12 6 4 4" xfId="11308"/>
    <cellStyle name="Обычный 12 6 4 5" xfId="11309"/>
    <cellStyle name="Обычный 12 6 5" xfId="11310"/>
    <cellStyle name="Обычный 12 6 6" xfId="11311"/>
    <cellStyle name="Обычный 12 6 7" xfId="11312"/>
    <cellStyle name="Обычный 12 6 8" xfId="11313"/>
    <cellStyle name="Обычный 12 7" xfId="11314"/>
    <cellStyle name="Обычный 12 7 10" xfId="11315"/>
    <cellStyle name="Обычный 12 7 11" xfId="11316"/>
    <cellStyle name="Обычный 12 7 12" xfId="11317"/>
    <cellStyle name="Обычный 12 7 2" xfId="11318"/>
    <cellStyle name="Обычный 12 7 2 10" xfId="11319"/>
    <cellStyle name="Обычный 12 7 2 11" xfId="11320"/>
    <cellStyle name="Обычный 12 7 2 12" xfId="11321"/>
    <cellStyle name="Обычный 12 7 2 2" xfId="11322"/>
    <cellStyle name="Обычный 12 7 2 2 2" xfId="11323"/>
    <cellStyle name="Обычный 12 7 2 2 3" xfId="11324"/>
    <cellStyle name="Обычный 12 7 2 2 4" xfId="11325"/>
    <cellStyle name="Обычный 12 7 2 2 5" xfId="11326"/>
    <cellStyle name="Обычный 12 7 2 2 6" xfId="11327"/>
    <cellStyle name="Обычный 12 7 2 2 7" xfId="11328"/>
    <cellStyle name="Обычный 12 7 2 2 8" xfId="11329"/>
    <cellStyle name="Обычный 12 7 2 2 9" xfId="11330"/>
    <cellStyle name="Обычный 12 7 2 3" xfId="11331"/>
    <cellStyle name="Обычный 12 7 2 3 2" xfId="11332"/>
    <cellStyle name="Обычный 12 7 2 3 3" xfId="11333"/>
    <cellStyle name="Обычный 12 7 2 3 4" xfId="11334"/>
    <cellStyle name="Обычный 12 7 2 3 5" xfId="11335"/>
    <cellStyle name="Обычный 12 7 2 3 6" xfId="11336"/>
    <cellStyle name="Обычный 12 7 2 3 7" xfId="11337"/>
    <cellStyle name="Обычный 12 7 2 3 8" xfId="11338"/>
    <cellStyle name="Обычный 12 7 2 3 9" xfId="11339"/>
    <cellStyle name="Обычный 12 7 2 4" xfId="11340"/>
    <cellStyle name="Обычный 12 7 2 4 2" xfId="11341"/>
    <cellStyle name="Обычный 12 7 2 4 3" xfId="11342"/>
    <cellStyle name="Обычный 12 7 2 4 4" xfId="11343"/>
    <cellStyle name="Обычный 12 7 2 4 5" xfId="11344"/>
    <cellStyle name="Обычный 12 7 2 4 6" xfId="11345"/>
    <cellStyle name="Обычный 12 7 2 4 7" xfId="11346"/>
    <cellStyle name="Обычный 12 7 2 4 8" xfId="11347"/>
    <cellStyle name="Обычный 12 7 2 4 9" xfId="11348"/>
    <cellStyle name="Обычный 12 7 2 5" xfId="11349"/>
    <cellStyle name="Обычный 12 7 2 6" xfId="11350"/>
    <cellStyle name="Обычный 12 7 2 7" xfId="11351"/>
    <cellStyle name="Обычный 12 7 2 8" xfId="11352"/>
    <cellStyle name="Обычный 12 7 2 9" xfId="11353"/>
    <cellStyle name="Обычный 12 7 3" xfId="11354"/>
    <cellStyle name="Обычный 12 7 3 10" xfId="11355"/>
    <cellStyle name="Обычный 12 7 3 11" xfId="11356"/>
    <cellStyle name="Обычный 12 7 3 2" xfId="11357"/>
    <cellStyle name="Обычный 12 7 3 2 2" xfId="11358"/>
    <cellStyle name="Обычный 12 7 3 2 3" xfId="11359"/>
    <cellStyle name="Обычный 12 7 3 2 4" xfId="11360"/>
    <cellStyle name="Обычный 12 7 3 2 5" xfId="11361"/>
    <cellStyle name="Обычный 12 7 3 2 6" xfId="11362"/>
    <cellStyle name="Обычный 12 7 3 2 7" xfId="11363"/>
    <cellStyle name="Обычный 12 7 3 2 8" xfId="11364"/>
    <cellStyle name="Обычный 12 7 3 2 9" xfId="11365"/>
    <cellStyle name="Обычный 12 7 3 3" xfId="11366"/>
    <cellStyle name="Обычный 12 7 3 3 2" xfId="11367"/>
    <cellStyle name="Обычный 12 7 3 3 3" xfId="11368"/>
    <cellStyle name="Обычный 12 7 3 3 4" xfId="11369"/>
    <cellStyle name="Обычный 12 7 3 3 5" xfId="11370"/>
    <cellStyle name="Обычный 12 7 3 3 6" xfId="11371"/>
    <cellStyle name="Обычный 12 7 3 3 7" xfId="11372"/>
    <cellStyle name="Обычный 12 7 3 3 8" xfId="11373"/>
    <cellStyle name="Обычный 12 7 3 3 9" xfId="11374"/>
    <cellStyle name="Обычный 12 7 3 4" xfId="11375"/>
    <cellStyle name="Обычный 12 7 3 5" xfId="11376"/>
    <cellStyle name="Обычный 12 7 3 6" xfId="11377"/>
    <cellStyle name="Обычный 12 7 3 7" xfId="11378"/>
    <cellStyle name="Обычный 12 7 3 8" xfId="11379"/>
    <cellStyle name="Обычный 12 7 3 9" xfId="11380"/>
    <cellStyle name="Обычный 12 7 4" xfId="11381"/>
    <cellStyle name="Обычный 12 7 4 2" xfId="11382"/>
    <cellStyle name="Обычный 12 7 4 3" xfId="11383"/>
    <cellStyle name="Обычный 12 7 4 4" xfId="11384"/>
    <cellStyle name="Обычный 12 7 4 5" xfId="11385"/>
    <cellStyle name="Обычный 12 7 4 6" xfId="11386"/>
    <cellStyle name="Обычный 12 7 4 7" xfId="11387"/>
    <cellStyle name="Обычный 12 7 4 8" xfId="11388"/>
    <cellStyle name="Обычный 12 7 4 9" xfId="11389"/>
    <cellStyle name="Обычный 12 7 5" xfId="11390"/>
    <cellStyle name="Обычный 12 7 6" xfId="11391"/>
    <cellStyle name="Обычный 12 7 7" xfId="11392"/>
    <cellStyle name="Обычный 12 7 8" xfId="11393"/>
    <cellStyle name="Обычный 12 7 9" xfId="11394"/>
    <cellStyle name="Обычный 12 8" xfId="11395"/>
    <cellStyle name="Обычный 12 8 2" xfId="11396"/>
    <cellStyle name="Обычный 12 8 2 2" xfId="11397"/>
    <cellStyle name="Обычный 12 8 2 3" xfId="11398"/>
    <cellStyle name="Обычный 12 8 2 4" xfId="11399"/>
    <cellStyle name="Обычный 12 8 2 5" xfId="11400"/>
    <cellStyle name="Обычный 12 8 2 6" xfId="11401"/>
    <cellStyle name="Обычный 12 8 3" xfId="11402"/>
    <cellStyle name="Обычный 12 8 3 2" xfId="11403"/>
    <cellStyle name="Обычный 12 8 3 3" xfId="11404"/>
    <cellStyle name="Обычный 12 8 3 4" xfId="11405"/>
    <cellStyle name="Обычный 12 8 3 5" xfId="11406"/>
    <cellStyle name="Обычный 12 8 3 6" xfId="11407"/>
    <cellStyle name="Обычный 12 8 4" xfId="11408"/>
    <cellStyle name="Обычный 12 8 5" xfId="11409"/>
    <cellStyle name="Обычный 12 8 6" xfId="11410"/>
    <cellStyle name="Обычный 12 8 7" xfId="11411"/>
    <cellStyle name="Обычный 12 8 8" xfId="11412"/>
    <cellStyle name="Обычный 12 9" xfId="11413"/>
    <cellStyle name="Обычный 12 9 2" xfId="11414"/>
    <cellStyle name="Обычный 12 9 3" xfId="11415"/>
    <cellStyle name="Обычный 12 9 4" xfId="11416"/>
    <cellStyle name="Обычный 12 9 5" xfId="11417"/>
    <cellStyle name="Обычный 12 9 6" xfId="11418"/>
    <cellStyle name="Обычный 13" xfId="11419"/>
    <cellStyle name="Обычный 13 2" xfId="11420"/>
    <cellStyle name="Обычный 13 2 2" xfId="11421"/>
    <cellStyle name="Обычный 13 2 3" xfId="11422"/>
    <cellStyle name="Обычный 13 3" xfId="11423"/>
    <cellStyle name="Обычный 13 4" xfId="11424"/>
    <cellStyle name="Обычный 13 4 2" xfId="11425"/>
    <cellStyle name="Обычный 13 4 3" xfId="11426"/>
    <cellStyle name="Обычный 13 4 4" xfId="11427"/>
    <cellStyle name="Обычный 13 4 5" xfId="11428"/>
    <cellStyle name="Обычный 13 5" xfId="11429"/>
    <cellStyle name="Обычный 13 6" xfId="11430"/>
    <cellStyle name="Обычный 13 7" xfId="11431"/>
    <cellStyle name="Обычный 13 8" xfId="11432"/>
    <cellStyle name="Обычный 14" xfId="11433"/>
    <cellStyle name="Обычный 14 10" xfId="11434"/>
    <cellStyle name="Обычный 14 11" xfId="11435"/>
    <cellStyle name="Обычный 14 12" xfId="11436"/>
    <cellStyle name="Обычный 14 13" xfId="11437"/>
    <cellStyle name="Обычный 14 2" xfId="11438"/>
    <cellStyle name="Обычный 14 2 10" xfId="11439"/>
    <cellStyle name="Обычный 14 2 11" xfId="11440"/>
    <cellStyle name="Обычный 14 2 12" xfId="11441"/>
    <cellStyle name="Обычный 14 2 2" xfId="11442"/>
    <cellStyle name="Обычный 14 2 2 10" xfId="11443"/>
    <cellStyle name="Обычный 14 2 2 11" xfId="11444"/>
    <cellStyle name="Обычный 14 2 2 12" xfId="11445"/>
    <cellStyle name="Обычный 14 2 2 2" xfId="11446"/>
    <cellStyle name="Обычный 14 2 2 2 2" xfId="11447"/>
    <cellStyle name="Обычный 14 2 2 2 3" xfId="11448"/>
    <cellStyle name="Обычный 14 2 2 2 4" xfId="11449"/>
    <cellStyle name="Обычный 14 2 2 2 5" xfId="11450"/>
    <cellStyle name="Обычный 14 2 2 2 6" xfId="11451"/>
    <cellStyle name="Обычный 14 2 2 2 7" xfId="11452"/>
    <cellStyle name="Обычный 14 2 2 2 8" xfId="11453"/>
    <cellStyle name="Обычный 14 2 2 2 9" xfId="11454"/>
    <cellStyle name="Обычный 14 2 2 3" xfId="11455"/>
    <cellStyle name="Обычный 14 2 2 3 2" xfId="11456"/>
    <cellStyle name="Обычный 14 2 2 3 3" xfId="11457"/>
    <cellStyle name="Обычный 14 2 2 3 4" xfId="11458"/>
    <cellStyle name="Обычный 14 2 2 3 5" xfId="11459"/>
    <cellStyle name="Обычный 14 2 2 3 6" xfId="11460"/>
    <cellStyle name="Обычный 14 2 2 3 7" xfId="11461"/>
    <cellStyle name="Обычный 14 2 2 3 8" xfId="11462"/>
    <cellStyle name="Обычный 14 2 2 3 9" xfId="11463"/>
    <cellStyle name="Обычный 14 2 2 4" xfId="11464"/>
    <cellStyle name="Обычный 14 2 2 4 2" xfId="11465"/>
    <cellStyle name="Обычный 14 2 2 4 3" xfId="11466"/>
    <cellStyle name="Обычный 14 2 2 4 4" xfId="11467"/>
    <cellStyle name="Обычный 14 2 2 4 5" xfId="11468"/>
    <cellStyle name="Обычный 14 2 2 4 6" xfId="11469"/>
    <cellStyle name="Обычный 14 2 2 4 7" xfId="11470"/>
    <cellStyle name="Обычный 14 2 2 4 8" xfId="11471"/>
    <cellStyle name="Обычный 14 2 2 4 9" xfId="11472"/>
    <cellStyle name="Обычный 14 2 2 5" xfId="11473"/>
    <cellStyle name="Обычный 14 2 2 6" xfId="11474"/>
    <cellStyle name="Обычный 14 2 2 7" xfId="11475"/>
    <cellStyle name="Обычный 14 2 2 8" xfId="11476"/>
    <cellStyle name="Обычный 14 2 2 9" xfId="11477"/>
    <cellStyle name="Обычный 14 2 3" xfId="11478"/>
    <cellStyle name="Обычный 14 2 3 10" xfId="11479"/>
    <cellStyle name="Обычный 14 2 3 11" xfId="11480"/>
    <cellStyle name="Обычный 14 2 3 2" xfId="11481"/>
    <cellStyle name="Обычный 14 2 3 2 2" xfId="11482"/>
    <cellStyle name="Обычный 14 2 3 2 3" xfId="11483"/>
    <cellStyle name="Обычный 14 2 3 2 4" xfId="11484"/>
    <cellStyle name="Обычный 14 2 3 2 5" xfId="11485"/>
    <cellStyle name="Обычный 14 2 3 2 6" xfId="11486"/>
    <cellStyle name="Обычный 14 2 3 2 7" xfId="11487"/>
    <cellStyle name="Обычный 14 2 3 2 8" xfId="11488"/>
    <cellStyle name="Обычный 14 2 3 2 9" xfId="11489"/>
    <cellStyle name="Обычный 14 2 3 3" xfId="11490"/>
    <cellStyle name="Обычный 14 2 3 3 2" xfId="11491"/>
    <cellStyle name="Обычный 14 2 3 3 3" xfId="11492"/>
    <cellStyle name="Обычный 14 2 3 3 4" xfId="11493"/>
    <cellStyle name="Обычный 14 2 3 3 5" xfId="11494"/>
    <cellStyle name="Обычный 14 2 3 3 6" xfId="11495"/>
    <cellStyle name="Обычный 14 2 3 3 7" xfId="11496"/>
    <cellStyle name="Обычный 14 2 3 3 8" xfId="11497"/>
    <cellStyle name="Обычный 14 2 3 3 9" xfId="11498"/>
    <cellStyle name="Обычный 14 2 3 4" xfId="11499"/>
    <cellStyle name="Обычный 14 2 3 5" xfId="11500"/>
    <cellStyle name="Обычный 14 2 3 6" xfId="11501"/>
    <cellStyle name="Обычный 14 2 3 7" xfId="11502"/>
    <cellStyle name="Обычный 14 2 3 8" xfId="11503"/>
    <cellStyle name="Обычный 14 2 3 9" xfId="11504"/>
    <cellStyle name="Обычный 14 2 4" xfId="11505"/>
    <cellStyle name="Обычный 14 2 4 2" xfId="11506"/>
    <cellStyle name="Обычный 14 2 4 3" xfId="11507"/>
    <cellStyle name="Обычный 14 2 4 4" xfId="11508"/>
    <cellStyle name="Обычный 14 2 4 5" xfId="11509"/>
    <cellStyle name="Обычный 14 2 4 6" xfId="11510"/>
    <cellStyle name="Обычный 14 2 4 7" xfId="11511"/>
    <cellStyle name="Обычный 14 2 4 8" xfId="11512"/>
    <cellStyle name="Обычный 14 2 4 9" xfId="11513"/>
    <cellStyle name="Обычный 14 2 5" xfId="11514"/>
    <cellStyle name="Обычный 14 2 6" xfId="11515"/>
    <cellStyle name="Обычный 14 2 7" xfId="11516"/>
    <cellStyle name="Обычный 14 2 8" xfId="11517"/>
    <cellStyle name="Обычный 14 2 9" xfId="11518"/>
    <cellStyle name="Обычный 14 3" xfId="11519"/>
    <cellStyle name="Обычный 14 3 2" xfId="11520"/>
    <cellStyle name="Обычный 14 3 3" xfId="11521"/>
    <cellStyle name="Обычный 14 4" xfId="11522"/>
    <cellStyle name="Обычный 14 5" xfId="11523"/>
    <cellStyle name="Обычный 14 5 2" xfId="11524"/>
    <cellStyle name="Обычный 14 5 3" xfId="11525"/>
    <cellStyle name="Обычный 14 5 4" xfId="11526"/>
    <cellStyle name="Обычный 14 5 5" xfId="11527"/>
    <cellStyle name="Обычный 14 5 6" xfId="11528"/>
    <cellStyle name="Обычный 14 5 7" xfId="11529"/>
    <cellStyle name="Обычный 14 5 8" xfId="11530"/>
    <cellStyle name="Обычный 14 5 9" xfId="11531"/>
    <cellStyle name="Обычный 14 6" xfId="11532"/>
    <cellStyle name="Обычный 14 7" xfId="11533"/>
    <cellStyle name="Обычный 14 8" xfId="11534"/>
    <cellStyle name="Обычный 14 9" xfId="11535"/>
    <cellStyle name="Обычный 15" xfId="11536"/>
    <cellStyle name="Обычный 15 10" xfId="11537"/>
    <cellStyle name="Обычный 15 11" xfId="11538"/>
    <cellStyle name="Обычный 15 12" xfId="11539"/>
    <cellStyle name="Обычный 15 2" xfId="11540"/>
    <cellStyle name="Обычный 15 2 2" xfId="11541"/>
    <cellStyle name="Обычный 15 2 3" xfId="11542"/>
    <cellStyle name="Обычный 15 2 4" xfId="11543"/>
    <cellStyle name="Обычный 15 2 5" xfId="11544"/>
    <cellStyle name="Обычный 15 2 6" xfId="11545"/>
    <cellStyle name="Обычный 15 2 7" xfId="11546"/>
    <cellStyle name="Обычный 15 2 8" xfId="11547"/>
    <cellStyle name="Обычный 15 2 9" xfId="11548"/>
    <cellStyle name="Обычный 15 3" xfId="11549"/>
    <cellStyle name="Обычный 15 3 2" xfId="11550"/>
    <cellStyle name="Обычный 15 3 3" xfId="11551"/>
    <cellStyle name="Обычный 15 3 4" xfId="11552"/>
    <cellStyle name="Обычный 15 3 5" xfId="11553"/>
    <cellStyle name="Обычный 15 3 6" xfId="11554"/>
    <cellStyle name="Обычный 15 3 7" xfId="11555"/>
    <cellStyle name="Обычный 15 3 8" xfId="11556"/>
    <cellStyle name="Обычный 15 3 9" xfId="11557"/>
    <cellStyle name="Обычный 15 4" xfId="11558"/>
    <cellStyle name="Обычный 15 4 2" xfId="11559"/>
    <cellStyle name="Обычный 15 4 3" xfId="11560"/>
    <cellStyle name="Обычный 15 4 4" xfId="11561"/>
    <cellStyle name="Обычный 15 4 5" xfId="11562"/>
    <cellStyle name="Обычный 15 4 6" xfId="11563"/>
    <cellStyle name="Обычный 15 4 7" xfId="11564"/>
    <cellStyle name="Обычный 15 4 8" xfId="11565"/>
    <cellStyle name="Обычный 15 4 9" xfId="11566"/>
    <cellStyle name="Обычный 15 5" xfId="11567"/>
    <cellStyle name="Обычный 15 6" xfId="11568"/>
    <cellStyle name="Обычный 15 7" xfId="11569"/>
    <cellStyle name="Обычный 15 8" xfId="11570"/>
    <cellStyle name="Обычный 15 9" xfId="11571"/>
    <cellStyle name="Обычный 16" xfId="11572"/>
    <cellStyle name="Обычный 16 10" xfId="11573"/>
    <cellStyle name="Обычный 16 11" xfId="11574"/>
    <cellStyle name="Обычный 16 2" xfId="11575"/>
    <cellStyle name="Обычный 16 2 2" xfId="11576"/>
    <cellStyle name="Обычный 16 2 3" xfId="11577"/>
    <cellStyle name="Обычный 16 2 4" xfId="11578"/>
    <cellStyle name="Обычный 16 2 5" xfId="11579"/>
    <cellStyle name="Обычный 16 2 6" xfId="11580"/>
    <cellStyle name="Обычный 16 2 7" xfId="11581"/>
    <cellStyle name="Обычный 16 2 8" xfId="11582"/>
    <cellStyle name="Обычный 16 2 9" xfId="11583"/>
    <cellStyle name="Обычный 16 3" xfId="11584"/>
    <cellStyle name="Обычный 16 3 2" xfId="11585"/>
    <cellStyle name="Обычный 16 3 3" xfId="11586"/>
    <cellStyle name="Обычный 16 3 4" xfId="11587"/>
    <cellStyle name="Обычный 16 3 5" xfId="11588"/>
    <cellStyle name="Обычный 16 3 6" xfId="11589"/>
    <cellStyle name="Обычный 16 3 7" xfId="11590"/>
    <cellStyle name="Обычный 16 3 8" xfId="11591"/>
    <cellStyle name="Обычный 16 3 9" xfId="11592"/>
    <cellStyle name="Обычный 16 4" xfId="11593"/>
    <cellStyle name="Обычный 16 5" xfId="11594"/>
    <cellStyle name="Обычный 16 6" xfId="11595"/>
    <cellStyle name="Обычный 16 7" xfId="11596"/>
    <cellStyle name="Обычный 16 8" xfId="11597"/>
    <cellStyle name="Обычный 16 9" xfId="11598"/>
    <cellStyle name="Обычный 17" xfId="11599"/>
    <cellStyle name="Обычный 17 2" xfId="11600"/>
    <cellStyle name="Обычный 17 3" xfId="11601"/>
    <cellStyle name="Обычный 17 4" xfId="11602"/>
    <cellStyle name="Обычный 17 5" xfId="11603"/>
    <cellStyle name="Обычный 17 6" xfId="11604"/>
    <cellStyle name="Обычный 17 7" xfId="11605"/>
    <cellStyle name="Обычный 17 8" xfId="11606"/>
    <cellStyle name="Обычный 17 9" xfId="11607"/>
    <cellStyle name="Обычный 18" xfId="11608"/>
    <cellStyle name="Обычный 18 2" xfId="11609"/>
    <cellStyle name="Обычный 18 3" xfId="11610"/>
    <cellStyle name="Обычный 18 4" xfId="11611"/>
    <cellStyle name="Обычный 18 5" xfId="11612"/>
    <cellStyle name="Обычный 18 6" xfId="11613"/>
    <cellStyle name="Обычный 18 7" xfId="11614"/>
    <cellStyle name="Обычный 18 8" xfId="11615"/>
    <cellStyle name="Обычный 18 9" xfId="11616"/>
    <cellStyle name="Обычный 19 2" xfId="11617"/>
    <cellStyle name="Обычный 2" xfId="11618"/>
    <cellStyle name="Обычный 2 10" xfId="11619"/>
    <cellStyle name="Обычный 2 10 2" xfId="11620"/>
    <cellStyle name="Обычный 2 10 2 2" xfId="11621"/>
    <cellStyle name="Обычный 2 10 2 3" xfId="11622"/>
    <cellStyle name="Обычный 2 10 3" xfId="11623"/>
    <cellStyle name="Обычный 2 10 4" xfId="11624"/>
    <cellStyle name="Обычный 2 10 4 2" xfId="11625"/>
    <cellStyle name="Обычный 2 10 4 3" xfId="11626"/>
    <cellStyle name="Обычный 2 10 4 4" xfId="11627"/>
    <cellStyle name="Обычный 2 10 4 5" xfId="11628"/>
    <cellStyle name="Обычный 2 10 5" xfId="11629"/>
    <cellStyle name="Обычный 2 10 6" xfId="11630"/>
    <cellStyle name="Обычный 2 10 7" xfId="11631"/>
    <cellStyle name="Обычный 2 10 8" xfId="11632"/>
    <cellStyle name="Обычный 2 11" xfId="11633"/>
    <cellStyle name="Обычный 2 11 2" xfId="11634"/>
    <cellStyle name="Обычный 2 11 2 2" xfId="11635"/>
    <cellStyle name="Обычный 2 11 2 3" xfId="11636"/>
    <cellStyle name="Обычный 2 11 3" xfId="11637"/>
    <cellStyle name="Обычный 2 11 4" xfId="11638"/>
    <cellStyle name="Обычный 2 11 4 2" xfId="11639"/>
    <cellStyle name="Обычный 2 11 4 3" xfId="11640"/>
    <cellStyle name="Обычный 2 11 4 4" xfId="11641"/>
    <cellStyle name="Обычный 2 11 4 5" xfId="11642"/>
    <cellStyle name="Обычный 2 11 5" xfId="11643"/>
    <cellStyle name="Обычный 2 11 6" xfId="11644"/>
    <cellStyle name="Обычный 2 11 7" xfId="11645"/>
    <cellStyle name="Обычный 2 11 8" xfId="11646"/>
    <cellStyle name="Обычный 2 12" xfId="11647"/>
    <cellStyle name="Обычный 2 12 2" xfId="11648"/>
    <cellStyle name="Обычный 2 12 2 2" xfId="11649"/>
    <cellStyle name="Обычный 2 12 2 3" xfId="11650"/>
    <cellStyle name="Обычный 2 12 3" xfId="11651"/>
    <cellStyle name="Обычный 2 12 4" xfId="11652"/>
    <cellStyle name="Обычный 2 12 4 2" xfId="11653"/>
    <cellStyle name="Обычный 2 12 4 3" xfId="11654"/>
    <cellStyle name="Обычный 2 12 4 4" xfId="11655"/>
    <cellStyle name="Обычный 2 12 4 5" xfId="11656"/>
    <cellStyle name="Обычный 2 12 5" xfId="11657"/>
    <cellStyle name="Обычный 2 12 6" xfId="11658"/>
    <cellStyle name="Обычный 2 12 7" xfId="11659"/>
    <cellStyle name="Обычный 2 12 8" xfId="11660"/>
    <cellStyle name="Обычный 2 13" xfId="11661"/>
    <cellStyle name="Обычный 2 13 2" xfId="11662"/>
    <cellStyle name="Обычный 2 13 2 2" xfId="11663"/>
    <cellStyle name="Обычный 2 13 2 3" xfId="11664"/>
    <cellStyle name="Обычный 2 13 3" xfId="11665"/>
    <cellStyle name="Обычный 2 13 4" xfId="11666"/>
    <cellStyle name="Обычный 2 13 4 2" xfId="11667"/>
    <cellStyle name="Обычный 2 13 4 3" xfId="11668"/>
    <cellStyle name="Обычный 2 13 4 4" xfId="11669"/>
    <cellStyle name="Обычный 2 13 4 5" xfId="11670"/>
    <cellStyle name="Обычный 2 13 5" xfId="11671"/>
    <cellStyle name="Обычный 2 13 6" xfId="11672"/>
    <cellStyle name="Обычный 2 13 7" xfId="11673"/>
    <cellStyle name="Обычный 2 13 8" xfId="11674"/>
    <cellStyle name="Обычный 2 14" xfId="11675"/>
    <cellStyle name="Обычный 2 14 2" xfId="11676"/>
    <cellStyle name="Обычный 2 14 2 2" xfId="11677"/>
    <cellStyle name="Обычный 2 14 2 3" xfId="11678"/>
    <cellStyle name="Обычный 2 14 3" xfId="11679"/>
    <cellStyle name="Обычный 2 14 4" xfId="11680"/>
    <cellStyle name="Обычный 2 14 4 2" xfId="11681"/>
    <cellStyle name="Обычный 2 14 4 3" xfId="11682"/>
    <cellStyle name="Обычный 2 14 4 4" xfId="11683"/>
    <cellStyle name="Обычный 2 14 4 5" xfId="11684"/>
    <cellStyle name="Обычный 2 14 5" xfId="11685"/>
    <cellStyle name="Обычный 2 14 6" xfId="11686"/>
    <cellStyle name="Обычный 2 14 7" xfId="11687"/>
    <cellStyle name="Обычный 2 14 8" xfId="11688"/>
    <cellStyle name="Обычный 2 15" xfId="11689"/>
    <cellStyle name="Обычный 2 15 2" xfId="11690"/>
    <cellStyle name="Обычный 2 15 2 2" xfId="11691"/>
    <cellStyle name="Обычный 2 15 2 3" xfId="11692"/>
    <cellStyle name="Обычный 2 15 3" xfId="11693"/>
    <cellStyle name="Обычный 2 15 4" xfId="11694"/>
    <cellStyle name="Обычный 2 15 4 2" xfId="11695"/>
    <cellStyle name="Обычный 2 15 4 3" xfId="11696"/>
    <cellStyle name="Обычный 2 15 4 4" xfId="11697"/>
    <cellStyle name="Обычный 2 15 4 5" xfId="11698"/>
    <cellStyle name="Обычный 2 15 5" xfId="11699"/>
    <cellStyle name="Обычный 2 15 6" xfId="11700"/>
    <cellStyle name="Обычный 2 15 7" xfId="11701"/>
    <cellStyle name="Обычный 2 15 8" xfId="11702"/>
    <cellStyle name="Обычный 2 16" xfId="11703"/>
    <cellStyle name="Обычный 2 16 2" xfId="11704"/>
    <cellStyle name="Обычный 2 16 2 2" xfId="11705"/>
    <cellStyle name="Обычный 2 16 2 3" xfId="11706"/>
    <cellStyle name="Обычный 2 16 3" xfId="11707"/>
    <cellStyle name="Обычный 2 16 4" xfId="11708"/>
    <cellStyle name="Обычный 2 16 4 2" xfId="11709"/>
    <cellStyle name="Обычный 2 16 4 3" xfId="11710"/>
    <cellStyle name="Обычный 2 16 4 4" xfId="11711"/>
    <cellStyle name="Обычный 2 16 4 5" xfId="11712"/>
    <cellStyle name="Обычный 2 16 5" xfId="11713"/>
    <cellStyle name="Обычный 2 16 6" xfId="11714"/>
    <cellStyle name="Обычный 2 16 7" xfId="11715"/>
    <cellStyle name="Обычный 2 16 8" xfId="11716"/>
    <cellStyle name="Обычный 2 17" xfId="11717"/>
    <cellStyle name="Обычный 2 17 2" xfId="11718"/>
    <cellStyle name="Обычный 2 17 2 2" xfId="11719"/>
    <cellStyle name="Обычный 2 17 2 3" xfId="11720"/>
    <cellStyle name="Обычный 2 17 2 4" xfId="11721"/>
    <cellStyle name="Обычный 2 17 2 5" xfId="11722"/>
    <cellStyle name="Обычный 2 17 3" xfId="11723"/>
    <cellStyle name="Обычный 2 17 3 2" xfId="11724"/>
    <cellStyle name="Обычный 2 17 3 3" xfId="11725"/>
    <cellStyle name="Обычный 2 17 3 4" xfId="11726"/>
    <cellStyle name="Обычный 2 17 3 5" xfId="11727"/>
    <cellStyle name="Обычный 2 17 3 6" xfId="11728"/>
    <cellStyle name="Обычный 2 17 4" xfId="11729"/>
    <cellStyle name="Обычный 2 17 4 2" xfId="11730"/>
    <cellStyle name="Обычный 2 17 4 3" xfId="11731"/>
    <cellStyle name="Обычный 2 17 4 4" xfId="11732"/>
    <cellStyle name="Обычный 2 17 4 5" xfId="11733"/>
    <cellStyle name="Обычный 2 17 4 6" xfId="11734"/>
    <cellStyle name="Обычный 2 17 5" xfId="11735"/>
    <cellStyle name="Обычный 2 17 5 2" xfId="11736"/>
    <cellStyle name="Обычный 2 17 5 3" xfId="11737"/>
    <cellStyle name="Обычный 2 17 5 4" xfId="11738"/>
    <cellStyle name="Обычный 2 17 5 5" xfId="11739"/>
    <cellStyle name="Обычный 2 17 6" xfId="11740"/>
    <cellStyle name="Обычный 2 17 7" xfId="11741"/>
    <cellStyle name="Обычный 2 17 8" xfId="11742"/>
    <cellStyle name="Обычный 2 17 9" xfId="11743"/>
    <cellStyle name="Обычный 2 18" xfId="11744"/>
    <cellStyle name="Обычный 2 18 2" xfId="11745"/>
    <cellStyle name="Обычный 2 18 2 2" xfId="11746"/>
    <cellStyle name="Обычный 2 18 2 3" xfId="11747"/>
    <cellStyle name="Обычный 2 18 3" xfId="11748"/>
    <cellStyle name="Обычный 2 18 4" xfId="11749"/>
    <cellStyle name="Обычный 2 18 4 2" xfId="11750"/>
    <cellStyle name="Обычный 2 18 4 3" xfId="11751"/>
    <cellStyle name="Обычный 2 18 4 4" xfId="11752"/>
    <cellStyle name="Обычный 2 18 4 5" xfId="11753"/>
    <cellStyle name="Обычный 2 18 5" xfId="11754"/>
    <cellStyle name="Обычный 2 18 6" xfId="11755"/>
    <cellStyle name="Обычный 2 18 7" xfId="11756"/>
    <cellStyle name="Обычный 2 18 8" xfId="11757"/>
    <cellStyle name="Обычный 2 19" xfId="11758"/>
    <cellStyle name="Обычный 2 19 2" xfId="11759"/>
    <cellStyle name="Обычный 2 19 2 2" xfId="11760"/>
    <cellStyle name="Обычный 2 19 2 3" xfId="11761"/>
    <cellStyle name="Обычный 2 19 3" xfId="11762"/>
    <cellStyle name="Обычный 2 19 4" xfId="11763"/>
    <cellStyle name="Обычный 2 19 4 2" xfId="11764"/>
    <cellStyle name="Обычный 2 19 4 3" xfId="11765"/>
    <cellStyle name="Обычный 2 19 4 4" xfId="11766"/>
    <cellStyle name="Обычный 2 19 4 5" xfId="11767"/>
    <cellStyle name="Обычный 2 19 5" xfId="11768"/>
    <cellStyle name="Обычный 2 19 6" xfId="11769"/>
    <cellStyle name="Обычный 2 19 7" xfId="11770"/>
    <cellStyle name="Обычный 2 19 8" xfId="11771"/>
    <cellStyle name="Обычный 2 2" xfId="11772"/>
    <cellStyle name="Обычный 2 2 10" xfId="11773"/>
    <cellStyle name="Обычный 2 2 10 10" xfId="11774"/>
    <cellStyle name="Обычный 2 2 10 11" xfId="11775"/>
    <cellStyle name="Обычный 2 2 10 12" xfId="11776"/>
    <cellStyle name="Обычный 2 2 10 2" xfId="11777"/>
    <cellStyle name="Обычный 2 2 10 2 10" xfId="11778"/>
    <cellStyle name="Обычный 2 2 10 2 11" xfId="11779"/>
    <cellStyle name="Обычный 2 2 10 2 12" xfId="11780"/>
    <cellStyle name="Обычный 2 2 10 2 2" xfId="11781"/>
    <cellStyle name="Обычный 2 2 10 2 2 2" xfId="11782"/>
    <cellStyle name="Обычный 2 2 10 2 2 3" xfId="11783"/>
    <cellStyle name="Обычный 2 2 10 2 2 4" xfId="11784"/>
    <cellStyle name="Обычный 2 2 10 2 2 5" xfId="11785"/>
    <cellStyle name="Обычный 2 2 10 2 2 6" xfId="11786"/>
    <cellStyle name="Обычный 2 2 10 2 2 7" xfId="11787"/>
    <cellStyle name="Обычный 2 2 10 2 2 8" xfId="11788"/>
    <cellStyle name="Обычный 2 2 10 2 2 9" xfId="11789"/>
    <cellStyle name="Обычный 2 2 10 2 3" xfId="11790"/>
    <cellStyle name="Обычный 2 2 10 2 3 2" xfId="11791"/>
    <cellStyle name="Обычный 2 2 10 2 3 3" xfId="11792"/>
    <cellStyle name="Обычный 2 2 10 2 3 4" xfId="11793"/>
    <cellStyle name="Обычный 2 2 10 2 3 5" xfId="11794"/>
    <cellStyle name="Обычный 2 2 10 2 3 6" xfId="11795"/>
    <cellStyle name="Обычный 2 2 10 2 3 7" xfId="11796"/>
    <cellStyle name="Обычный 2 2 10 2 3 8" xfId="11797"/>
    <cellStyle name="Обычный 2 2 10 2 3 9" xfId="11798"/>
    <cellStyle name="Обычный 2 2 10 2 4" xfId="11799"/>
    <cellStyle name="Обычный 2 2 10 2 4 2" xfId="11800"/>
    <cellStyle name="Обычный 2 2 10 2 4 3" xfId="11801"/>
    <cellStyle name="Обычный 2 2 10 2 4 4" xfId="11802"/>
    <cellStyle name="Обычный 2 2 10 2 4 5" xfId="11803"/>
    <cellStyle name="Обычный 2 2 10 2 4 6" xfId="11804"/>
    <cellStyle name="Обычный 2 2 10 2 4 7" xfId="11805"/>
    <cellStyle name="Обычный 2 2 10 2 4 8" xfId="11806"/>
    <cellStyle name="Обычный 2 2 10 2 4 9" xfId="11807"/>
    <cellStyle name="Обычный 2 2 10 2 5" xfId="11808"/>
    <cellStyle name="Обычный 2 2 10 2 6" xfId="11809"/>
    <cellStyle name="Обычный 2 2 10 2 7" xfId="11810"/>
    <cellStyle name="Обычный 2 2 10 2 8" xfId="11811"/>
    <cellStyle name="Обычный 2 2 10 2 9" xfId="11812"/>
    <cellStyle name="Обычный 2 2 10 3" xfId="11813"/>
    <cellStyle name="Обычный 2 2 10 3 10" xfId="11814"/>
    <cellStyle name="Обычный 2 2 10 3 11" xfId="11815"/>
    <cellStyle name="Обычный 2 2 10 3 2" xfId="11816"/>
    <cellStyle name="Обычный 2 2 10 3 2 2" xfId="11817"/>
    <cellStyle name="Обычный 2 2 10 3 2 3" xfId="11818"/>
    <cellStyle name="Обычный 2 2 10 3 2 4" xfId="11819"/>
    <cellStyle name="Обычный 2 2 10 3 2 5" xfId="11820"/>
    <cellStyle name="Обычный 2 2 10 3 2 6" xfId="11821"/>
    <cellStyle name="Обычный 2 2 10 3 2 7" xfId="11822"/>
    <cellStyle name="Обычный 2 2 10 3 2 8" xfId="11823"/>
    <cellStyle name="Обычный 2 2 10 3 2 9" xfId="11824"/>
    <cellStyle name="Обычный 2 2 10 3 3" xfId="11825"/>
    <cellStyle name="Обычный 2 2 10 3 3 2" xfId="11826"/>
    <cellStyle name="Обычный 2 2 10 3 3 3" xfId="11827"/>
    <cellStyle name="Обычный 2 2 10 3 3 4" xfId="11828"/>
    <cellStyle name="Обычный 2 2 10 3 3 5" xfId="11829"/>
    <cellStyle name="Обычный 2 2 10 3 3 6" xfId="11830"/>
    <cellStyle name="Обычный 2 2 10 3 3 7" xfId="11831"/>
    <cellStyle name="Обычный 2 2 10 3 3 8" xfId="11832"/>
    <cellStyle name="Обычный 2 2 10 3 3 9" xfId="11833"/>
    <cellStyle name="Обычный 2 2 10 3 4" xfId="11834"/>
    <cellStyle name="Обычный 2 2 10 3 5" xfId="11835"/>
    <cellStyle name="Обычный 2 2 10 3 6" xfId="11836"/>
    <cellStyle name="Обычный 2 2 10 3 7" xfId="11837"/>
    <cellStyle name="Обычный 2 2 10 3 8" xfId="11838"/>
    <cellStyle name="Обычный 2 2 10 3 9" xfId="11839"/>
    <cellStyle name="Обычный 2 2 10 4" xfId="11840"/>
    <cellStyle name="Обычный 2 2 10 4 2" xfId="11841"/>
    <cellStyle name="Обычный 2 2 10 4 3" xfId="11842"/>
    <cellStyle name="Обычный 2 2 10 4 4" xfId="11843"/>
    <cellStyle name="Обычный 2 2 10 4 5" xfId="11844"/>
    <cellStyle name="Обычный 2 2 10 4 6" xfId="11845"/>
    <cellStyle name="Обычный 2 2 10 4 7" xfId="11846"/>
    <cellStyle name="Обычный 2 2 10 4 8" xfId="11847"/>
    <cellStyle name="Обычный 2 2 10 4 9" xfId="11848"/>
    <cellStyle name="Обычный 2 2 10 5" xfId="11849"/>
    <cellStyle name="Обычный 2 2 10 6" xfId="11850"/>
    <cellStyle name="Обычный 2 2 10 7" xfId="11851"/>
    <cellStyle name="Обычный 2 2 10 8" xfId="11852"/>
    <cellStyle name="Обычный 2 2 10 9" xfId="11853"/>
    <cellStyle name="Обычный 2 2 11" xfId="11854"/>
    <cellStyle name="Обычный 2 2 11 10" xfId="11855"/>
    <cellStyle name="Обычный 2 2 11 11" xfId="11856"/>
    <cellStyle name="Обычный 2 2 11 12" xfId="11857"/>
    <cellStyle name="Обычный 2 2 11 2" xfId="11858"/>
    <cellStyle name="Обычный 2 2 11 2 10" xfId="11859"/>
    <cellStyle name="Обычный 2 2 11 2 11" xfId="11860"/>
    <cellStyle name="Обычный 2 2 11 2 12" xfId="11861"/>
    <cellStyle name="Обычный 2 2 11 2 2" xfId="11862"/>
    <cellStyle name="Обычный 2 2 11 2 2 2" xfId="11863"/>
    <cellStyle name="Обычный 2 2 11 2 2 3" xfId="11864"/>
    <cellStyle name="Обычный 2 2 11 2 2 4" xfId="11865"/>
    <cellStyle name="Обычный 2 2 11 2 2 5" xfId="11866"/>
    <cellStyle name="Обычный 2 2 11 2 2 6" xfId="11867"/>
    <cellStyle name="Обычный 2 2 11 2 2 7" xfId="11868"/>
    <cellStyle name="Обычный 2 2 11 2 2 8" xfId="11869"/>
    <cellStyle name="Обычный 2 2 11 2 2 9" xfId="11870"/>
    <cellStyle name="Обычный 2 2 11 2 3" xfId="11871"/>
    <cellStyle name="Обычный 2 2 11 2 3 2" xfId="11872"/>
    <cellStyle name="Обычный 2 2 11 2 3 3" xfId="11873"/>
    <cellStyle name="Обычный 2 2 11 2 3 4" xfId="11874"/>
    <cellStyle name="Обычный 2 2 11 2 3 5" xfId="11875"/>
    <cellStyle name="Обычный 2 2 11 2 3 6" xfId="11876"/>
    <cellStyle name="Обычный 2 2 11 2 3 7" xfId="11877"/>
    <cellStyle name="Обычный 2 2 11 2 3 8" xfId="11878"/>
    <cellStyle name="Обычный 2 2 11 2 3 9" xfId="11879"/>
    <cellStyle name="Обычный 2 2 11 2 4" xfId="11880"/>
    <cellStyle name="Обычный 2 2 11 2 4 2" xfId="11881"/>
    <cellStyle name="Обычный 2 2 11 2 4 3" xfId="11882"/>
    <cellStyle name="Обычный 2 2 11 2 4 4" xfId="11883"/>
    <cellStyle name="Обычный 2 2 11 2 4 5" xfId="11884"/>
    <cellStyle name="Обычный 2 2 11 2 4 6" xfId="11885"/>
    <cellStyle name="Обычный 2 2 11 2 4 7" xfId="11886"/>
    <cellStyle name="Обычный 2 2 11 2 4 8" xfId="11887"/>
    <cellStyle name="Обычный 2 2 11 2 4 9" xfId="11888"/>
    <cellStyle name="Обычный 2 2 11 2 5" xfId="11889"/>
    <cellStyle name="Обычный 2 2 11 2 6" xfId="11890"/>
    <cellStyle name="Обычный 2 2 11 2 7" xfId="11891"/>
    <cellStyle name="Обычный 2 2 11 2 8" xfId="11892"/>
    <cellStyle name="Обычный 2 2 11 2 9" xfId="11893"/>
    <cellStyle name="Обычный 2 2 11 3" xfId="11894"/>
    <cellStyle name="Обычный 2 2 11 3 10" xfId="11895"/>
    <cellStyle name="Обычный 2 2 11 3 11" xfId="11896"/>
    <cellStyle name="Обычный 2 2 11 3 2" xfId="11897"/>
    <cellStyle name="Обычный 2 2 11 3 2 2" xfId="11898"/>
    <cellStyle name="Обычный 2 2 11 3 2 3" xfId="11899"/>
    <cellStyle name="Обычный 2 2 11 3 2 4" xfId="11900"/>
    <cellStyle name="Обычный 2 2 11 3 2 5" xfId="11901"/>
    <cellStyle name="Обычный 2 2 11 3 2 6" xfId="11902"/>
    <cellStyle name="Обычный 2 2 11 3 2 7" xfId="11903"/>
    <cellStyle name="Обычный 2 2 11 3 2 8" xfId="11904"/>
    <cellStyle name="Обычный 2 2 11 3 2 9" xfId="11905"/>
    <cellStyle name="Обычный 2 2 11 3 3" xfId="11906"/>
    <cellStyle name="Обычный 2 2 11 3 3 2" xfId="11907"/>
    <cellStyle name="Обычный 2 2 11 3 3 3" xfId="11908"/>
    <cellStyle name="Обычный 2 2 11 3 3 4" xfId="11909"/>
    <cellStyle name="Обычный 2 2 11 3 3 5" xfId="11910"/>
    <cellStyle name="Обычный 2 2 11 3 3 6" xfId="11911"/>
    <cellStyle name="Обычный 2 2 11 3 3 7" xfId="11912"/>
    <cellStyle name="Обычный 2 2 11 3 3 8" xfId="11913"/>
    <cellStyle name="Обычный 2 2 11 3 3 9" xfId="11914"/>
    <cellStyle name="Обычный 2 2 11 3 4" xfId="11915"/>
    <cellStyle name="Обычный 2 2 11 3 5" xfId="11916"/>
    <cellStyle name="Обычный 2 2 11 3 6" xfId="11917"/>
    <cellStyle name="Обычный 2 2 11 3 7" xfId="11918"/>
    <cellStyle name="Обычный 2 2 11 3 8" xfId="11919"/>
    <cellStyle name="Обычный 2 2 11 3 9" xfId="11920"/>
    <cellStyle name="Обычный 2 2 11 4" xfId="11921"/>
    <cellStyle name="Обычный 2 2 11 4 2" xfId="11922"/>
    <cellStyle name="Обычный 2 2 11 4 3" xfId="11923"/>
    <cellStyle name="Обычный 2 2 11 4 4" xfId="11924"/>
    <cellStyle name="Обычный 2 2 11 4 5" xfId="11925"/>
    <cellStyle name="Обычный 2 2 11 4 6" xfId="11926"/>
    <cellStyle name="Обычный 2 2 11 4 7" xfId="11927"/>
    <cellStyle name="Обычный 2 2 11 4 8" xfId="11928"/>
    <cellStyle name="Обычный 2 2 11 4 9" xfId="11929"/>
    <cellStyle name="Обычный 2 2 11 5" xfId="11930"/>
    <cellStyle name="Обычный 2 2 11 6" xfId="11931"/>
    <cellStyle name="Обычный 2 2 11 7" xfId="11932"/>
    <cellStyle name="Обычный 2 2 11 8" xfId="11933"/>
    <cellStyle name="Обычный 2 2 11 9" xfId="11934"/>
    <cellStyle name="Обычный 2 2 12" xfId="11935"/>
    <cellStyle name="Обычный 2 2 12 2" xfId="11936"/>
    <cellStyle name="Обычный 2 2 12 2 2" xfId="11937"/>
    <cellStyle name="Обычный 2 2 12 2 3" xfId="11938"/>
    <cellStyle name="Обычный 2 2 12 2 4" xfId="11939"/>
    <cellStyle name="Обычный 2 2 12 2 5" xfId="11940"/>
    <cellStyle name="Обычный 2 2 12 3" xfId="11941"/>
    <cellStyle name="Обычный 2 2 12 4" xfId="11942"/>
    <cellStyle name="Обычный 2 2 12 5" xfId="11943"/>
    <cellStyle name="Обычный 2 2 12 5 2" xfId="11944"/>
    <cellStyle name="Обычный 2 2 12 5 3" xfId="11945"/>
    <cellStyle name="Обычный 2 2 12 5 4" xfId="11946"/>
    <cellStyle name="Обычный 2 2 12 5 5" xfId="11947"/>
    <cellStyle name="Обычный 2 2 12 6" xfId="11948"/>
    <cellStyle name="Обычный 2 2 12 7" xfId="11949"/>
    <cellStyle name="Обычный 2 2 12 8" xfId="11950"/>
    <cellStyle name="Обычный 2 2 12 9" xfId="11951"/>
    <cellStyle name="Обычный 2 2 13" xfId="11952"/>
    <cellStyle name="Обычный 2 2 13 10" xfId="11953"/>
    <cellStyle name="Обычный 2 2 13 11" xfId="11954"/>
    <cellStyle name="Обычный 2 2 13 12" xfId="11955"/>
    <cellStyle name="Обычный 2 2 13 2" xfId="11956"/>
    <cellStyle name="Обычный 2 2 13 2 10" xfId="11957"/>
    <cellStyle name="Обычный 2 2 13 2 11" xfId="11958"/>
    <cellStyle name="Обычный 2 2 13 2 12" xfId="11959"/>
    <cellStyle name="Обычный 2 2 13 2 2" xfId="11960"/>
    <cellStyle name="Обычный 2 2 13 2 2 2" xfId="11961"/>
    <cellStyle name="Обычный 2 2 13 2 2 3" xfId="11962"/>
    <cellStyle name="Обычный 2 2 13 2 2 4" xfId="11963"/>
    <cellStyle name="Обычный 2 2 13 2 2 5" xfId="11964"/>
    <cellStyle name="Обычный 2 2 13 2 2 6" xfId="11965"/>
    <cellStyle name="Обычный 2 2 13 2 2 7" xfId="11966"/>
    <cellStyle name="Обычный 2 2 13 2 2 8" xfId="11967"/>
    <cellStyle name="Обычный 2 2 13 2 2 9" xfId="11968"/>
    <cellStyle name="Обычный 2 2 13 2 3" xfId="11969"/>
    <cellStyle name="Обычный 2 2 13 2 3 2" xfId="11970"/>
    <cellStyle name="Обычный 2 2 13 2 3 3" xfId="11971"/>
    <cellStyle name="Обычный 2 2 13 2 3 4" xfId="11972"/>
    <cellStyle name="Обычный 2 2 13 2 3 5" xfId="11973"/>
    <cellStyle name="Обычный 2 2 13 2 3 6" xfId="11974"/>
    <cellStyle name="Обычный 2 2 13 2 3 7" xfId="11975"/>
    <cellStyle name="Обычный 2 2 13 2 3 8" xfId="11976"/>
    <cellStyle name="Обычный 2 2 13 2 3 9" xfId="11977"/>
    <cellStyle name="Обычный 2 2 13 2 4" xfId="11978"/>
    <cellStyle name="Обычный 2 2 13 2 4 2" xfId="11979"/>
    <cellStyle name="Обычный 2 2 13 2 4 3" xfId="11980"/>
    <cellStyle name="Обычный 2 2 13 2 4 4" xfId="11981"/>
    <cellStyle name="Обычный 2 2 13 2 4 5" xfId="11982"/>
    <cellStyle name="Обычный 2 2 13 2 4 6" xfId="11983"/>
    <cellStyle name="Обычный 2 2 13 2 4 7" xfId="11984"/>
    <cellStyle name="Обычный 2 2 13 2 4 8" xfId="11985"/>
    <cellStyle name="Обычный 2 2 13 2 4 9" xfId="11986"/>
    <cellStyle name="Обычный 2 2 13 2 5" xfId="11987"/>
    <cellStyle name="Обычный 2 2 13 2 6" xfId="11988"/>
    <cellStyle name="Обычный 2 2 13 2 7" xfId="11989"/>
    <cellStyle name="Обычный 2 2 13 2 8" xfId="11990"/>
    <cellStyle name="Обычный 2 2 13 2 9" xfId="11991"/>
    <cellStyle name="Обычный 2 2 13 3" xfId="11992"/>
    <cellStyle name="Обычный 2 2 13 3 10" xfId="11993"/>
    <cellStyle name="Обычный 2 2 13 3 11" xfId="11994"/>
    <cellStyle name="Обычный 2 2 13 3 2" xfId="11995"/>
    <cellStyle name="Обычный 2 2 13 3 2 2" xfId="11996"/>
    <cellStyle name="Обычный 2 2 13 3 2 3" xfId="11997"/>
    <cellStyle name="Обычный 2 2 13 3 2 4" xfId="11998"/>
    <cellStyle name="Обычный 2 2 13 3 2 5" xfId="11999"/>
    <cellStyle name="Обычный 2 2 13 3 2 6" xfId="12000"/>
    <cellStyle name="Обычный 2 2 13 3 2 7" xfId="12001"/>
    <cellStyle name="Обычный 2 2 13 3 2 8" xfId="12002"/>
    <cellStyle name="Обычный 2 2 13 3 2 9" xfId="12003"/>
    <cellStyle name="Обычный 2 2 13 3 3" xfId="12004"/>
    <cellStyle name="Обычный 2 2 13 3 3 2" xfId="12005"/>
    <cellStyle name="Обычный 2 2 13 3 3 3" xfId="12006"/>
    <cellStyle name="Обычный 2 2 13 3 3 4" xfId="12007"/>
    <cellStyle name="Обычный 2 2 13 3 3 5" xfId="12008"/>
    <cellStyle name="Обычный 2 2 13 3 3 6" xfId="12009"/>
    <cellStyle name="Обычный 2 2 13 3 3 7" xfId="12010"/>
    <cellStyle name="Обычный 2 2 13 3 3 8" xfId="12011"/>
    <cellStyle name="Обычный 2 2 13 3 3 9" xfId="12012"/>
    <cellStyle name="Обычный 2 2 13 3 4" xfId="12013"/>
    <cellStyle name="Обычный 2 2 13 3 5" xfId="12014"/>
    <cellStyle name="Обычный 2 2 13 3 6" xfId="12015"/>
    <cellStyle name="Обычный 2 2 13 3 7" xfId="12016"/>
    <cellStyle name="Обычный 2 2 13 3 8" xfId="12017"/>
    <cellStyle name="Обычный 2 2 13 3 9" xfId="12018"/>
    <cellStyle name="Обычный 2 2 13 4" xfId="12019"/>
    <cellStyle name="Обычный 2 2 13 4 2" xfId="12020"/>
    <cellStyle name="Обычный 2 2 13 4 3" xfId="12021"/>
    <cellStyle name="Обычный 2 2 13 4 4" xfId="12022"/>
    <cellStyle name="Обычный 2 2 13 4 5" xfId="12023"/>
    <cellStyle name="Обычный 2 2 13 4 6" xfId="12024"/>
    <cellStyle name="Обычный 2 2 13 4 7" xfId="12025"/>
    <cellStyle name="Обычный 2 2 13 4 8" xfId="12026"/>
    <cellStyle name="Обычный 2 2 13 4 9" xfId="12027"/>
    <cellStyle name="Обычный 2 2 13 5" xfId="12028"/>
    <cellStyle name="Обычный 2 2 13 6" xfId="12029"/>
    <cellStyle name="Обычный 2 2 13 7" xfId="12030"/>
    <cellStyle name="Обычный 2 2 13 8" xfId="12031"/>
    <cellStyle name="Обычный 2 2 13 9" xfId="12032"/>
    <cellStyle name="Обычный 2 2 14" xfId="12033"/>
    <cellStyle name="Обычный 2 2 14 10" xfId="12034"/>
    <cellStyle name="Обычный 2 2 14 11" xfId="12035"/>
    <cellStyle name="Обычный 2 2 14 12" xfId="12036"/>
    <cellStyle name="Обычный 2 2 14 2" xfId="12037"/>
    <cellStyle name="Обычный 2 2 14 2 10" xfId="12038"/>
    <cellStyle name="Обычный 2 2 14 2 11" xfId="12039"/>
    <cellStyle name="Обычный 2 2 14 2 12" xfId="12040"/>
    <cellStyle name="Обычный 2 2 14 2 2" xfId="12041"/>
    <cellStyle name="Обычный 2 2 14 2 2 2" xfId="12042"/>
    <cellStyle name="Обычный 2 2 14 2 2 3" xfId="12043"/>
    <cellStyle name="Обычный 2 2 14 2 2 4" xfId="12044"/>
    <cellStyle name="Обычный 2 2 14 2 2 5" xfId="12045"/>
    <cellStyle name="Обычный 2 2 14 2 2 6" xfId="12046"/>
    <cellStyle name="Обычный 2 2 14 2 2 7" xfId="12047"/>
    <cellStyle name="Обычный 2 2 14 2 2 8" xfId="12048"/>
    <cellStyle name="Обычный 2 2 14 2 2 9" xfId="12049"/>
    <cellStyle name="Обычный 2 2 14 2 3" xfId="12050"/>
    <cellStyle name="Обычный 2 2 14 2 3 2" xfId="12051"/>
    <cellStyle name="Обычный 2 2 14 2 3 3" xfId="12052"/>
    <cellStyle name="Обычный 2 2 14 2 3 4" xfId="12053"/>
    <cellStyle name="Обычный 2 2 14 2 3 5" xfId="12054"/>
    <cellStyle name="Обычный 2 2 14 2 3 6" xfId="12055"/>
    <cellStyle name="Обычный 2 2 14 2 3 7" xfId="12056"/>
    <cellStyle name="Обычный 2 2 14 2 3 8" xfId="12057"/>
    <cellStyle name="Обычный 2 2 14 2 3 9" xfId="12058"/>
    <cellStyle name="Обычный 2 2 14 2 4" xfId="12059"/>
    <cellStyle name="Обычный 2 2 14 2 4 2" xfId="12060"/>
    <cellStyle name="Обычный 2 2 14 2 4 3" xfId="12061"/>
    <cellStyle name="Обычный 2 2 14 2 4 4" xfId="12062"/>
    <cellStyle name="Обычный 2 2 14 2 4 5" xfId="12063"/>
    <cellStyle name="Обычный 2 2 14 2 4 6" xfId="12064"/>
    <cellStyle name="Обычный 2 2 14 2 4 7" xfId="12065"/>
    <cellStyle name="Обычный 2 2 14 2 4 8" xfId="12066"/>
    <cellStyle name="Обычный 2 2 14 2 4 9" xfId="12067"/>
    <cellStyle name="Обычный 2 2 14 2 5" xfId="12068"/>
    <cellStyle name="Обычный 2 2 14 2 6" xfId="12069"/>
    <cellStyle name="Обычный 2 2 14 2 7" xfId="12070"/>
    <cellStyle name="Обычный 2 2 14 2 8" xfId="12071"/>
    <cellStyle name="Обычный 2 2 14 2 9" xfId="12072"/>
    <cellStyle name="Обычный 2 2 14 3" xfId="12073"/>
    <cellStyle name="Обычный 2 2 14 3 10" xfId="12074"/>
    <cellStyle name="Обычный 2 2 14 3 11" xfId="12075"/>
    <cellStyle name="Обычный 2 2 14 3 2" xfId="12076"/>
    <cellStyle name="Обычный 2 2 14 3 2 2" xfId="12077"/>
    <cellStyle name="Обычный 2 2 14 3 2 3" xfId="12078"/>
    <cellStyle name="Обычный 2 2 14 3 2 4" xfId="12079"/>
    <cellStyle name="Обычный 2 2 14 3 2 5" xfId="12080"/>
    <cellStyle name="Обычный 2 2 14 3 2 6" xfId="12081"/>
    <cellStyle name="Обычный 2 2 14 3 2 7" xfId="12082"/>
    <cellStyle name="Обычный 2 2 14 3 2 8" xfId="12083"/>
    <cellStyle name="Обычный 2 2 14 3 2 9" xfId="12084"/>
    <cellStyle name="Обычный 2 2 14 3 3" xfId="12085"/>
    <cellStyle name="Обычный 2 2 14 3 3 2" xfId="12086"/>
    <cellStyle name="Обычный 2 2 14 3 3 3" xfId="12087"/>
    <cellStyle name="Обычный 2 2 14 3 3 4" xfId="12088"/>
    <cellStyle name="Обычный 2 2 14 3 3 5" xfId="12089"/>
    <cellStyle name="Обычный 2 2 14 3 3 6" xfId="12090"/>
    <cellStyle name="Обычный 2 2 14 3 3 7" xfId="12091"/>
    <cellStyle name="Обычный 2 2 14 3 3 8" xfId="12092"/>
    <cellStyle name="Обычный 2 2 14 3 3 9" xfId="12093"/>
    <cellStyle name="Обычный 2 2 14 3 4" xfId="12094"/>
    <cellStyle name="Обычный 2 2 14 3 5" xfId="12095"/>
    <cellStyle name="Обычный 2 2 14 3 6" xfId="12096"/>
    <cellStyle name="Обычный 2 2 14 3 7" xfId="12097"/>
    <cellStyle name="Обычный 2 2 14 3 8" xfId="12098"/>
    <cellStyle name="Обычный 2 2 14 3 9" xfId="12099"/>
    <cellStyle name="Обычный 2 2 14 4" xfId="12100"/>
    <cellStyle name="Обычный 2 2 14 4 2" xfId="12101"/>
    <cellStyle name="Обычный 2 2 14 4 3" xfId="12102"/>
    <cellStyle name="Обычный 2 2 14 4 4" xfId="12103"/>
    <cellStyle name="Обычный 2 2 14 4 5" xfId="12104"/>
    <cellStyle name="Обычный 2 2 14 4 6" xfId="12105"/>
    <cellStyle name="Обычный 2 2 14 4 7" xfId="12106"/>
    <cellStyle name="Обычный 2 2 14 4 8" xfId="12107"/>
    <cellStyle name="Обычный 2 2 14 4 9" xfId="12108"/>
    <cellStyle name="Обычный 2 2 14 5" xfId="12109"/>
    <cellStyle name="Обычный 2 2 14 6" xfId="12110"/>
    <cellStyle name="Обычный 2 2 14 7" xfId="12111"/>
    <cellStyle name="Обычный 2 2 14 8" xfId="12112"/>
    <cellStyle name="Обычный 2 2 14 9" xfId="12113"/>
    <cellStyle name="Обычный 2 2 15" xfId="12114"/>
    <cellStyle name="Обычный 2 2 15 10" xfId="12115"/>
    <cellStyle name="Обычный 2 2 15 11" xfId="12116"/>
    <cellStyle name="Обычный 2 2 15 12" xfId="12117"/>
    <cellStyle name="Обычный 2 2 15 2" xfId="12118"/>
    <cellStyle name="Обычный 2 2 15 2 10" xfId="12119"/>
    <cellStyle name="Обычный 2 2 15 2 11" xfId="12120"/>
    <cellStyle name="Обычный 2 2 15 2 12" xfId="12121"/>
    <cellStyle name="Обычный 2 2 15 2 2" xfId="12122"/>
    <cellStyle name="Обычный 2 2 15 2 2 2" xfId="12123"/>
    <cellStyle name="Обычный 2 2 15 2 2 3" xfId="12124"/>
    <cellStyle name="Обычный 2 2 15 2 2 4" xfId="12125"/>
    <cellStyle name="Обычный 2 2 15 2 2 5" xfId="12126"/>
    <cellStyle name="Обычный 2 2 15 2 2 6" xfId="12127"/>
    <cellStyle name="Обычный 2 2 15 2 2 7" xfId="12128"/>
    <cellStyle name="Обычный 2 2 15 2 2 8" xfId="12129"/>
    <cellStyle name="Обычный 2 2 15 2 2 9" xfId="12130"/>
    <cellStyle name="Обычный 2 2 15 2 3" xfId="12131"/>
    <cellStyle name="Обычный 2 2 15 2 3 2" xfId="12132"/>
    <cellStyle name="Обычный 2 2 15 2 3 3" xfId="12133"/>
    <cellStyle name="Обычный 2 2 15 2 3 4" xfId="12134"/>
    <cellStyle name="Обычный 2 2 15 2 3 5" xfId="12135"/>
    <cellStyle name="Обычный 2 2 15 2 3 6" xfId="12136"/>
    <cellStyle name="Обычный 2 2 15 2 3 7" xfId="12137"/>
    <cellStyle name="Обычный 2 2 15 2 3 8" xfId="12138"/>
    <cellStyle name="Обычный 2 2 15 2 3 9" xfId="12139"/>
    <cellStyle name="Обычный 2 2 15 2 4" xfId="12140"/>
    <cellStyle name="Обычный 2 2 15 2 4 2" xfId="12141"/>
    <cellStyle name="Обычный 2 2 15 2 4 3" xfId="12142"/>
    <cellStyle name="Обычный 2 2 15 2 4 4" xfId="12143"/>
    <cellStyle name="Обычный 2 2 15 2 4 5" xfId="12144"/>
    <cellStyle name="Обычный 2 2 15 2 4 6" xfId="12145"/>
    <cellStyle name="Обычный 2 2 15 2 4 7" xfId="12146"/>
    <cellStyle name="Обычный 2 2 15 2 4 8" xfId="12147"/>
    <cellStyle name="Обычный 2 2 15 2 4 9" xfId="12148"/>
    <cellStyle name="Обычный 2 2 15 2 5" xfId="12149"/>
    <cellStyle name="Обычный 2 2 15 2 6" xfId="12150"/>
    <cellStyle name="Обычный 2 2 15 2 7" xfId="12151"/>
    <cellStyle name="Обычный 2 2 15 2 8" xfId="12152"/>
    <cellStyle name="Обычный 2 2 15 2 9" xfId="12153"/>
    <cellStyle name="Обычный 2 2 15 3" xfId="12154"/>
    <cellStyle name="Обычный 2 2 15 3 10" xfId="12155"/>
    <cellStyle name="Обычный 2 2 15 3 11" xfId="12156"/>
    <cellStyle name="Обычный 2 2 15 3 2" xfId="12157"/>
    <cellStyle name="Обычный 2 2 15 3 2 2" xfId="12158"/>
    <cellStyle name="Обычный 2 2 15 3 2 3" xfId="12159"/>
    <cellStyle name="Обычный 2 2 15 3 2 4" xfId="12160"/>
    <cellStyle name="Обычный 2 2 15 3 2 5" xfId="12161"/>
    <cellStyle name="Обычный 2 2 15 3 2 6" xfId="12162"/>
    <cellStyle name="Обычный 2 2 15 3 2 7" xfId="12163"/>
    <cellStyle name="Обычный 2 2 15 3 2 8" xfId="12164"/>
    <cellStyle name="Обычный 2 2 15 3 2 9" xfId="12165"/>
    <cellStyle name="Обычный 2 2 15 3 3" xfId="12166"/>
    <cellStyle name="Обычный 2 2 15 3 3 2" xfId="12167"/>
    <cellStyle name="Обычный 2 2 15 3 3 3" xfId="12168"/>
    <cellStyle name="Обычный 2 2 15 3 3 4" xfId="12169"/>
    <cellStyle name="Обычный 2 2 15 3 3 5" xfId="12170"/>
    <cellStyle name="Обычный 2 2 15 3 3 6" xfId="12171"/>
    <cellStyle name="Обычный 2 2 15 3 3 7" xfId="12172"/>
    <cellStyle name="Обычный 2 2 15 3 3 8" xfId="12173"/>
    <cellStyle name="Обычный 2 2 15 3 3 9" xfId="12174"/>
    <cellStyle name="Обычный 2 2 15 3 4" xfId="12175"/>
    <cellStyle name="Обычный 2 2 15 3 5" xfId="12176"/>
    <cellStyle name="Обычный 2 2 15 3 6" xfId="12177"/>
    <cellStyle name="Обычный 2 2 15 3 7" xfId="12178"/>
    <cellStyle name="Обычный 2 2 15 3 8" xfId="12179"/>
    <cellStyle name="Обычный 2 2 15 3 9" xfId="12180"/>
    <cellStyle name="Обычный 2 2 15 4" xfId="12181"/>
    <cellStyle name="Обычный 2 2 15 4 2" xfId="12182"/>
    <cellStyle name="Обычный 2 2 15 4 3" xfId="12183"/>
    <cellStyle name="Обычный 2 2 15 4 4" xfId="12184"/>
    <cellStyle name="Обычный 2 2 15 4 5" xfId="12185"/>
    <cellStyle name="Обычный 2 2 15 4 6" xfId="12186"/>
    <cellStyle name="Обычный 2 2 15 4 7" xfId="12187"/>
    <cellStyle name="Обычный 2 2 15 4 8" xfId="12188"/>
    <cellStyle name="Обычный 2 2 15 4 9" xfId="12189"/>
    <cellStyle name="Обычный 2 2 15 5" xfId="12190"/>
    <cellStyle name="Обычный 2 2 15 6" xfId="12191"/>
    <cellStyle name="Обычный 2 2 15 7" xfId="12192"/>
    <cellStyle name="Обычный 2 2 15 8" xfId="12193"/>
    <cellStyle name="Обычный 2 2 15 9" xfId="12194"/>
    <cellStyle name="Обычный 2 2 16" xfId="12195"/>
    <cellStyle name="Обычный 2 2 16 10" xfId="12196"/>
    <cellStyle name="Обычный 2 2 16 11" xfId="12197"/>
    <cellStyle name="Обычный 2 2 16 12" xfId="12198"/>
    <cellStyle name="Обычный 2 2 16 2" xfId="12199"/>
    <cellStyle name="Обычный 2 2 16 2 10" xfId="12200"/>
    <cellStyle name="Обычный 2 2 16 2 11" xfId="12201"/>
    <cellStyle name="Обычный 2 2 16 2 12" xfId="12202"/>
    <cellStyle name="Обычный 2 2 16 2 2" xfId="12203"/>
    <cellStyle name="Обычный 2 2 16 2 2 2" xfId="12204"/>
    <cellStyle name="Обычный 2 2 16 2 2 3" xfId="12205"/>
    <cellStyle name="Обычный 2 2 16 2 2 4" xfId="12206"/>
    <cellStyle name="Обычный 2 2 16 2 2 5" xfId="12207"/>
    <cellStyle name="Обычный 2 2 16 2 2 6" xfId="12208"/>
    <cellStyle name="Обычный 2 2 16 2 2 7" xfId="12209"/>
    <cellStyle name="Обычный 2 2 16 2 2 8" xfId="12210"/>
    <cellStyle name="Обычный 2 2 16 2 2 9" xfId="12211"/>
    <cellStyle name="Обычный 2 2 16 2 3" xfId="12212"/>
    <cellStyle name="Обычный 2 2 16 2 3 2" xfId="12213"/>
    <cellStyle name="Обычный 2 2 16 2 3 3" xfId="12214"/>
    <cellStyle name="Обычный 2 2 16 2 3 4" xfId="12215"/>
    <cellStyle name="Обычный 2 2 16 2 3 5" xfId="12216"/>
    <cellStyle name="Обычный 2 2 16 2 3 6" xfId="12217"/>
    <cellStyle name="Обычный 2 2 16 2 3 7" xfId="12218"/>
    <cellStyle name="Обычный 2 2 16 2 3 8" xfId="12219"/>
    <cellStyle name="Обычный 2 2 16 2 3 9" xfId="12220"/>
    <cellStyle name="Обычный 2 2 16 2 4" xfId="12221"/>
    <cellStyle name="Обычный 2 2 16 2 4 2" xfId="12222"/>
    <cellStyle name="Обычный 2 2 16 2 4 3" xfId="12223"/>
    <cellStyle name="Обычный 2 2 16 2 4 4" xfId="12224"/>
    <cellStyle name="Обычный 2 2 16 2 4 5" xfId="12225"/>
    <cellStyle name="Обычный 2 2 16 2 4 6" xfId="12226"/>
    <cellStyle name="Обычный 2 2 16 2 4 7" xfId="12227"/>
    <cellStyle name="Обычный 2 2 16 2 4 8" xfId="12228"/>
    <cellStyle name="Обычный 2 2 16 2 4 9" xfId="12229"/>
    <cellStyle name="Обычный 2 2 16 2 5" xfId="12230"/>
    <cellStyle name="Обычный 2 2 16 2 6" xfId="12231"/>
    <cellStyle name="Обычный 2 2 16 2 7" xfId="12232"/>
    <cellStyle name="Обычный 2 2 16 2 8" xfId="12233"/>
    <cellStyle name="Обычный 2 2 16 2 9" xfId="12234"/>
    <cellStyle name="Обычный 2 2 16 3" xfId="12235"/>
    <cellStyle name="Обычный 2 2 16 3 10" xfId="12236"/>
    <cellStyle name="Обычный 2 2 16 3 11" xfId="12237"/>
    <cellStyle name="Обычный 2 2 16 3 2" xfId="12238"/>
    <cellStyle name="Обычный 2 2 16 3 2 2" xfId="12239"/>
    <cellStyle name="Обычный 2 2 16 3 2 3" xfId="12240"/>
    <cellStyle name="Обычный 2 2 16 3 2 4" xfId="12241"/>
    <cellStyle name="Обычный 2 2 16 3 2 5" xfId="12242"/>
    <cellStyle name="Обычный 2 2 16 3 2 6" xfId="12243"/>
    <cellStyle name="Обычный 2 2 16 3 2 7" xfId="12244"/>
    <cellStyle name="Обычный 2 2 16 3 2 8" xfId="12245"/>
    <cellStyle name="Обычный 2 2 16 3 2 9" xfId="12246"/>
    <cellStyle name="Обычный 2 2 16 3 3" xfId="12247"/>
    <cellStyle name="Обычный 2 2 16 3 3 2" xfId="12248"/>
    <cellStyle name="Обычный 2 2 16 3 3 3" xfId="12249"/>
    <cellStyle name="Обычный 2 2 16 3 3 4" xfId="12250"/>
    <cellStyle name="Обычный 2 2 16 3 3 5" xfId="12251"/>
    <cellStyle name="Обычный 2 2 16 3 3 6" xfId="12252"/>
    <cellStyle name="Обычный 2 2 16 3 3 7" xfId="12253"/>
    <cellStyle name="Обычный 2 2 16 3 3 8" xfId="12254"/>
    <cellStyle name="Обычный 2 2 16 3 3 9" xfId="12255"/>
    <cellStyle name="Обычный 2 2 16 3 4" xfId="12256"/>
    <cellStyle name="Обычный 2 2 16 3 5" xfId="12257"/>
    <cellStyle name="Обычный 2 2 16 3 6" xfId="12258"/>
    <cellStyle name="Обычный 2 2 16 3 7" xfId="12259"/>
    <cellStyle name="Обычный 2 2 16 3 8" xfId="12260"/>
    <cellStyle name="Обычный 2 2 16 3 9" xfId="12261"/>
    <cellStyle name="Обычный 2 2 16 4" xfId="12262"/>
    <cellStyle name="Обычный 2 2 16 4 2" xfId="12263"/>
    <cellStyle name="Обычный 2 2 16 4 3" xfId="12264"/>
    <cellStyle name="Обычный 2 2 16 4 4" xfId="12265"/>
    <cellStyle name="Обычный 2 2 16 4 5" xfId="12266"/>
    <cellStyle name="Обычный 2 2 16 4 6" xfId="12267"/>
    <cellStyle name="Обычный 2 2 16 4 7" xfId="12268"/>
    <cellStyle name="Обычный 2 2 16 4 8" xfId="12269"/>
    <cellStyle name="Обычный 2 2 16 4 9" xfId="12270"/>
    <cellStyle name="Обычный 2 2 16 5" xfId="12271"/>
    <cellStyle name="Обычный 2 2 16 6" xfId="12272"/>
    <cellStyle name="Обычный 2 2 16 7" xfId="12273"/>
    <cellStyle name="Обычный 2 2 16 8" xfId="12274"/>
    <cellStyle name="Обычный 2 2 16 9" xfId="12275"/>
    <cellStyle name="Обычный 2 2 17" xfId="12276"/>
    <cellStyle name="Обычный 2 2 17 2" xfId="12277"/>
    <cellStyle name="Обычный 2 2 17 2 2" xfId="12278"/>
    <cellStyle name="Обычный 2 2 17 2 3" xfId="12279"/>
    <cellStyle name="Обычный 2 2 17 3" xfId="12280"/>
    <cellStyle name="Обычный 2 2 17 4" xfId="12281"/>
    <cellStyle name="Обычный 2 2 18" xfId="12282"/>
    <cellStyle name="Обычный 2 2 18 2" xfId="12283"/>
    <cellStyle name="Обычный 2 2 18 2 2" xfId="12284"/>
    <cellStyle name="Обычный 2 2 18 2 3" xfId="12285"/>
    <cellStyle name="Обычный 2 2 18 3" xfId="12286"/>
    <cellStyle name="Обычный 2 2 18 4" xfId="12287"/>
    <cellStyle name="Обычный 2 2 19" xfId="12288"/>
    <cellStyle name="Обычный 2 2 19 2" xfId="12289"/>
    <cellStyle name="Обычный 2 2 19 2 2" xfId="12290"/>
    <cellStyle name="Обычный 2 2 19 2 3" xfId="12291"/>
    <cellStyle name="Обычный 2 2 19 3" xfId="12292"/>
    <cellStyle name="Обычный 2 2 19 4" xfId="12293"/>
    <cellStyle name="Обычный 2 2 2" xfId="12294"/>
    <cellStyle name="Обычный 2 2 2 10" xfId="12295"/>
    <cellStyle name="Обычный 2 2 2 10 2" xfId="12296"/>
    <cellStyle name="Обычный 2 2 2 10 2 2" xfId="12297"/>
    <cellStyle name="Обычный 2 2 2 10 2 3" xfId="12298"/>
    <cellStyle name="Обычный 2 2 2 10 3" xfId="12299"/>
    <cellStyle name="Обычный 2 2 2 10 4" xfId="12300"/>
    <cellStyle name="Обычный 2 2 2 11" xfId="12301"/>
    <cellStyle name="Обычный 2 2 2 11 10" xfId="12302"/>
    <cellStyle name="Обычный 2 2 2 11 11" xfId="12303"/>
    <cellStyle name="Обычный 2 2 2 11 12" xfId="12304"/>
    <cellStyle name="Обычный 2 2 2 11 13" xfId="12305"/>
    <cellStyle name="Обычный 2 2 2 11 2" xfId="12306"/>
    <cellStyle name="Обычный 2 2 2 11 2 2" xfId="12307"/>
    <cellStyle name="Обычный 2 2 2 11 2 3" xfId="12308"/>
    <cellStyle name="Обычный 2 2 2 11 2 4" xfId="12309"/>
    <cellStyle name="Обычный 2 2 2 11 2 5" xfId="12310"/>
    <cellStyle name="Обычный 2 2 2 11 2 6" xfId="12311"/>
    <cellStyle name="Обычный 2 2 2 11 2 7" xfId="12312"/>
    <cellStyle name="Обычный 2 2 2 11 2 8" xfId="12313"/>
    <cellStyle name="Обычный 2 2 2 11 2 9" xfId="12314"/>
    <cellStyle name="Обычный 2 2 2 11 3" xfId="12315"/>
    <cellStyle name="Обычный 2 2 2 11 3 10" xfId="12316"/>
    <cellStyle name="Обычный 2 2 2 11 3 11" xfId="12317"/>
    <cellStyle name="Обычный 2 2 2 11 3 2" xfId="12318"/>
    <cellStyle name="Обычный 2 2 2 11 3 2 2" xfId="12319"/>
    <cellStyle name="Обычный 2 2 2 11 3 2 3" xfId="12320"/>
    <cellStyle name="Обычный 2 2 2 11 3 2 4" xfId="12321"/>
    <cellStyle name="Обычный 2 2 2 11 3 2 5" xfId="12322"/>
    <cellStyle name="Обычный 2 2 2 11 3 2 6" xfId="12323"/>
    <cellStyle name="Обычный 2 2 2 11 3 2 7" xfId="12324"/>
    <cellStyle name="Обычный 2 2 2 11 3 2 8" xfId="12325"/>
    <cellStyle name="Обычный 2 2 2 11 3 2 9" xfId="12326"/>
    <cellStyle name="Обычный 2 2 2 11 3 3" xfId="12327"/>
    <cellStyle name="Обычный 2 2 2 11 3 3 2" xfId="12328"/>
    <cellStyle name="Обычный 2 2 2 11 3 3 3" xfId="12329"/>
    <cellStyle name="Обычный 2 2 2 11 3 3 4" xfId="12330"/>
    <cellStyle name="Обычный 2 2 2 11 3 3 5" xfId="12331"/>
    <cellStyle name="Обычный 2 2 2 11 3 3 6" xfId="12332"/>
    <cellStyle name="Обычный 2 2 2 11 3 3 7" xfId="12333"/>
    <cellStyle name="Обычный 2 2 2 11 3 3 8" xfId="12334"/>
    <cellStyle name="Обычный 2 2 2 11 3 3 9" xfId="12335"/>
    <cellStyle name="Обычный 2 2 2 11 3 4" xfId="12336"/>
    <cellStyle name="Обычный 2 2 2 11 3 5" xfId="12337"/>
    <cellStyle name="Обычный 2 2 2 11 3 6" xfId="12338"/>
    <cellStyle name="Обычный 2 2 2 11 3 7" xfId="12339"/>
    <cellStyle name="Обычный 2 2 2 11 3 8" xfId="12340"/>
    <cellStyle name="Обычный 2 2 2 11 3 9" xfId="12341"/>
    <cellStyle name="Обычный 2 2 2 11 4" xfId="12342"/>
    <cellStyle name="Обычный 2 2 2 11 4 10" xfId="12343"/>
    <cellStyle name="Обычный 2 2 2 11 4 11" xfId="12344"/>
    <cellStyle name="Обычный 2 2 2 11 4 2" xfId="12345"/>
    <cellStyle name="Обычный 2 2 2 11 4 2 2" xfId="12346"/>
    <cellStyle name="Обычный 2 2 2 11 4 2 3" xfId="12347"/>
    <cellStyle name="Обычный 2 2 2 11 4 2 4" xfId="12348"/>
    <cellStyle name="Обычный 2 2 2 11 4 2 5" xfId="12349"/>
    <cellStyle name="Обычный 2 2 2 11 4 2 6" xfId="12350"/>
    <cellStyle name="Обычный 2 2 2 11 4 2 7" xfId="12351"/>
    <cellStyle name="Обычный 2 2 2 11 4 2 8" xfId="12352"/>
    <cellStyle name="Обычный 2 2 2 11 4 2 9" xfId="12353"/>
    <cellStyle name="Обычный 2 2 2 11 4 3" xfId="12354"/>
    <cellStyle name="Обычный 2 2 2 11 4 3 2" xfId="12355"/>
    <cellStyle name="Обычный 2 2 2 11 4 3 3" xfId="12356"/>
    <cellStyle name="Обычный 2 2 2 11 4 3 4" xfId="12357"/>
    <cellStyle name="Обычный 2 2 2 11 4 3 5" xfId="12358"/>
    <cellStyle name="Обычный 2 2 2 11 4 3 6" xfId="12359"/>
    <cellStyle name="Обычный 2 2 2 11 4 3 7" xfId="12360"/>
    <cellStyle name="Обычный 2 2 2 11 4 3 8" xfId="12361"/>
    <cellStyle name="Обычный 2 2 2 11 4 3 9" xfId="12362"/>
    <cellStyle name="Обычный 2 2 2 11 4 4" xfId="12363"/>
    <cellStyle name="Обычный 2 2 2 11 4 5" xfId="12364"/>
    <cellStyle name="Обычный 2 2 2 11 4 6" xfId="12365"/>
    <cellStyle name="Обычный 2 2 2 11 4 7" xfId="12366"/>
    <cellStyle name="Обычный 2 2 2 11 4 8" xfId="12367"/>
    <cellStyle name="Обычный 2 2 2 11 4 9" xfId="12368"/>
    <cellStyle name="Обычный 2 2 2 11 5" xfId="12369"/>
    <cellStyle name="Обычный 2 2 2 11 5 2" xfId="12370"/>
    <cellStyle name="Обычный 2 2 2 11 5 3" xfId="12371"/>
    <cellStyle name="Обычный 2 2 2 11 5 4" xfId="12372"/>
    <cellStyle name="Обычный 2 2 2 11 5 5" xfId="12373"/>
    <cellStyle name="Обычный 2 2 2 11 5 6" xfId="12374"/>
    <cellStyle name="Обычный 2 2 2 11 5 7" xfId="12375"/>
    <cellStyle name="Обычный 2 2 2 11 5 8" xfId="12376"/>
    <cellStyle name="Обычный 2 2 2 11 5 9" xfId="12377"/>
    <cellStyle name="Обычный 2 2 2 11 6" xfId="12378"/>
    <cellStyle name="Обычный 2 2 2 11 7" xfId="12379"/>
    <cellStyle name="Обычный 2 2 2 11 8" xfId="12380"/>
    <cellStyle name="Обычный 2 2 2 11 9" xfId="12381"/>
    <cellStyle name="Обычный 2 2 2 12" xfId="12382"/>
    <cellStyle name="Обычный 2 2 2 12 10" xfId="12383"/>
    <cellStyle name="Обычный 2 2 2 12 11" xfId="12384"/>
    <cellStyle name="Обычный 2 2 2 12 12" xfId="12385"/>
    <cellStyle name="Обычный 2 2 2 12 2" xfId="12386"/>
    <cellStyle name="Обычный 2 2 2 12 2 10" xfId="12387"/>
    <cellStyle name="Обычный 2 2 2 12 2 11" xfId="12388"/>
    <cellStyle name="Обычный 2 2 2 12 2 12" xfId="12389"/>
    <cellStyle name="Обычный 2 2 2 12 2 2" xfId="12390"/>
    <cellStyle name="Обычный 2 2 2 12 2 2 2" xfId="12391"/>
    <cellStyle name="Обычный 2 2 2 12 2 2 3" xfId="12392"/>
    <cellStyle name="Обычный 2 2 2 12 2 2 4" xfId="12393"/>
    <cellStyle name="Обычный 2 2 2 12 2 2 5" xfId="12394"/>
    <cellStyle name="Обычный 2 2 2 12 2 2 6" xfId="12395"/>
    <cellStyle name="Обычный 2 2 2 12 2 2 7" xfId="12396"/>
    <cellStyle name="Обычный 2 2 2 12 2 2 8" xfId="12397"/>
    <cellStyle name="Обычный 2 2 2 12 2 2 9" xfId="12398"/>
    <cellStyle name="Обычный 2 2 2 12 2 3" xfId="12399"/>
    <cellStyle name="Обычный 2 2 2 12 2 3 2" xfId="12400"/>
    <cellStyle name="Обычный 2 2 2 12 2 3 3" xfId="12401"/>
    <cellStyle name="Обычный 2 2 2 12 2 3 4" xfId="12402"/>
    <cellStyle name="Обычный 2 2 2 12 2 3 5" xfId="12403"/>
    <cellStyle name="Обычный 2 2 2 12 2 3 6" xfId="12404"/>
    <cellStyle name="Обычный 2 2 2 12 2 3 7" xfId="12405"/>
    <cellStyle name="Обычный 2 2 2 12 2 3 8" xfId="12406"/>
    <cellStyle name="Обычный 2 2 2 12 2 3 9" xfId="12407"/>
    <cellStyle name="Обычный 2 2 2 12 2 4" xfId="12408"/>
    <cellStyle name="Обычный 2 2 2 12 2 4 2" xfId="12409"/>
    <cellStyle name="Обычный 2 2 2 12 2 4 3" xfId="12410"/>
    <cellStyle name="Обычный 2 2 2 12 2 4 4" xfId="12411"/>
    <cellStyle name="Обычный 2 2 2 12 2 4 5" xfId="12412"/>
    <cellStyle name="Обычный 2 2 2 12 2 4 6" xfId="12413"/>
    <cellStyle name="Обычный 2 2 2 12 2 4 7" xfId="12414"/>
    <cellStyle name="Обычный 2 2 2 12 2 4 8" xfId="12415"/>
    <cellStyle name="Обычный 2 2 2 12 2 4 9" xfId="12416"/>
    <cellStyle name="Обычный 2 2 2 12 2 5" xfId="12417"/>
    <cellStyle name="Обычный 2 2 2 12 2 6" xfId="12418"/>
    <cellStyle name="Обычный 2 2 2 12 2 7" xfId="12419"/>
    <cellStyle name="Обычный 2 2 2 12 2 8" xfId="12420"/>
    <cellStyle name="Обычный 2 2 2 12 2 9" xfId="12421"/>
    <cellStyle name="Обычный 2 2 2 12 3" xfId="12422"/>
    <cellStyle name="Обычный 2 2 2 12 3 10" xfId="12423"/>
    <cellStyle name="Обычный 2 2 2 12 3 11" xfId="12424"/>
    <cellStyle name="Обычный 2 2 2 12 3 2" xfId="12425"/>
    <cellStyle name="Обычный 2 2 2 12 3 2 2" xfId="12426"/>
    <cellStyle name="Обычный 2 2 2 12 3 2 3" xfId="12427"/>
    <cellStyle name="Обычный 2 2 2 12 3 2 4" xfId="12428"/>
    <cellStyle name="Обычный 2 2 2 12 3 2 5" xfId="12429"/>
    <cellStyle name="Обычный 2 2 2 12 3 2 6" xfId="12430"/>
    <cellStyle name="Обычный 2 2 2 12 3 2 7" xfId="12431"/>
    <cellStyle name="Обычный 2 2 2 12 3 2 8" xfId="12432"/>
    <cellStyle name="Обычный 2 2 2 12 3 2 9" xfId="12433"/>
    <cellStyle name="Обычный 2 2 2 12 3 3" xfId="12434"/>
    <cellStyle name="Обычный 2 2 2 12 3 3 2" xfId="12435"/>
    <cellStyle name="Обычный 2 2 2 12 3 3 3" xfId="12436"/>
    <cellStyle name="Обычный 2 2 2 12 3 3 4" xfId="12437"/>
    <cellStyle name="Обычный 2 2 2 12 3 3 5" xfId="12438"/>
    <cellStyle name="Обычный 2 2 2 12 3 3 6" xfId="12439"/>
    <cellStyle name="Обычный 2 2 2 12 3 3 7" xfId="12440"/>
    <cellStyle name="Обычный 2 2 2 12 3 3 8" xfId="12441"/>
    <cellStyle name="Обычный 2 2 2 12 3 3 9" xfId="12442"/>
    <cellStyle name="Обычный 2 2 2 12 3 4" xfId="12443"/>
    <cellStyle name="Обычный 2 2 2 12 3 5" xfId="12444"/>
    <cellStyle name="Обычный 2 2 2 12 3 6" xfId="12445"/>
    <cellStyle name="Обычный 2 2 2 12 3 7" xfId="12446"/>
    <cellStyle name="Обычный 2 2 2 12 3 8" xfId="12447"/>
    <cellStyle name="Обычный 2 2 2 12 3 9" xfId="12448"/>
    <cellStyle name="Обычный 2 2 2 12 4" xfId="12449"/>
    <cellStyle name="Обычный 2 2 2 12 4 2" xfId="12450"/>
    <cellStyle name="Обычный 2 2 2 12 4 3" xfId="12451"/>
    <cellStyle name="Обычный 2 2 2 12 4 4" xfId="12452"/>
    <cellStyle name="Обычный 2 2 2 12 4 5" xfId="12453"/>
    <cellStyle name="Обычный 2 2 2 12 4 6" xfId="12454"/>
    <cellStyle name="Обычный 2 2 2 12 4 7" xfId="12455"/>
    <cellStyle name="Обычный 2 2 2 12 4 8" xfId="12456"/>
    <cellStyle name="Обычный 2 2 2 12 4 9" xfId="12457"/>
    <cellStyle name="Обычный 2 2 2 12 5" xfId="12458"/>
    <cellStyle name="Обычный 2 2 2 12 6" xfId="12459"/>
    <cellStyle name="Обычный 2 2 2 12 7" xfId="12460"/>
    <cellStyle name="Обычный 2 2 2 12 8" xfId="12461"/>
    <cellStyle name="Обычный 2 2 2 12 9" xfId="12462"/>
    <cellStyle name="Обычный 2 2 2 13" xfId="12463"/>
    <cellStyle name="Обычный 2 2 2 13 10" xfId="12464"/>
    <cellStyle name="Обычный 2 2 2 13 11" xfId="12465"/>
    <cellStyle name="Обычный 2 2 2 13 12" xfId="12466"/>
    <cellStyle name="Обычный 2 2 2 13 2" xfId="12467"/>
    <cellStyle name="Обычный 2 2 2 13 2 10" xfId="12468"/>
    <cellStyle name="Обычный 2 2 2 13 2 11" xfId="12469"/>
    <cellStyle name="Обычный 2 2 2 13 2 12" xfId="12470"/>
    <cellStyle name="Обычный 2 2 2 13 2 2" xfId="12471"/>
    <cellStyle name="Обычный 2 2 2 13 2 2 2" xfId="12472"/>
    <cellStyle name="Обычный 2 2 2 13 2 2 3" xfId="12473"/>
    <cellStyle name="Обычный 2 2 2 13 2 2 4" xfId="12474"/>
    <cellStyle name="Обычный 2 2 2 13 2 2 5" xfId="12475"/>
    <cellStyle name="Обычный 2 2 2 13 2 2 6" xfId="12476"/>
    <cellStyle name="Обычный 2 2 2 13 2 2 7" xfId="12477"/>
    <cellStyle name="Обычный 2 2 2 13 2 2 8" xfId="12478"/>
    <cellStyle name="Обычный 2 2 2 13 2 2 9" xfId="12479"/>
    <cellStyle name="Обычный 2 2 2 13 2 3" xfId="12480"/>
    <cellStyle name="Обычный 2 2 2 13 2 3 2" xfId="12481"/>
    <cellStyle name="Обычный 2 2 2 13 2 3 3" xfId="12482"/>
    <cellStyle name="Обычный 2 2 2 13 2 3 4" xfId="12483"/>
    <cellStyle name="Обычный 2 2 2 13 2 3 5" xfId="12484"/>
    <cellStyle name="Обычный 2 2 2 13 2 3 6" xfId="12485"/>
    <cellStyle name="Обычный 2 2 2 13 2 3 7" xfId="12486"/>
    <cellStyle name="Обычный 2 2 2 13 2 3 8" xfId="12487"/>
    <cellStyle name="Обычный 2 2 2 13 2 3 9" xfId="12488"/>
    <cellStyle name="Обычный 2 2 2 13 2 4" xfId="12489"/>
    <cellStyle name="Обычный 2 2 2 13 2 4 2" xfId="12490"/>
    <cellStyle name="Обычный 2 2 2 13 2 4 3" xfId="12491"/>
    <cellStyle name="Обычный 2 2 2 13 2 4 4" xfId="12492"/>
    <cellStyle name="Обычный 2 2 2 13 2 4 5" xfId="12493"/>
    <cellStyle name="Обычный 2 2 2 13 2 4 6" xfId="12494"/>
    <cellStyle name="Обычный 2 2 2 13 2 4 7" xfId="12495"/>
    <cellStyle name="Обычный 2 2 2 13 2 4 8" xfId="12496"/>
    <cellStyle name="Обычный 2 2 2 13 2 4 9" xfId="12497"/>
    <cellStyle name="Обычный 2 2 2 13 2 5" xfId="12498"/>
    <cellStyle name="Обычный 2 2 2 13 2 6" xfId="12499"/>
    <cellStyle name="Обычный 2 2 2 13 2 7" xfId="12500"/>
    <cellStyle name="Обычный 2 2 2 13 2 8" xfId="12501"/>
    <cellStyle name="Обычный 2 2 2 13 2 9" xfId="12502"/>
    <cellStyle name="Обычный 2 2 2 13 3" xfId="12503"/>
    <cellStyle name="Обычный 2 2 2 13 3 10" xfId="12504"/>
    <cellStyle name="Обычный 2 2 2 13 3 11" xfId="12505"/>
    <cellStyle name="Обычный 2 2 2 13 3 2" xfId="12506"/>
    <cellStyle name="Обычный 2 2 2 13 3 2 2" xfId="12507"/>
    <cellStyle name="Обычный 2 2 2 13 3 2 3" xfId="12508"/>
    <cellStyle name="Обычный 2 2 2 13 3 2 4" xfId="12509"/>
    <cellStyle name="Обычный 2 2 2 13 3 2 5" xfId="12510"/>
    <cellStyle name="Обычный 2 2 2 13 3 2 6" xfId="12511"/>
    <cellStyle name="Обычный 2 2 2 13 3 2 7" xfId="12512"/>
    <cellStyle name="Обычный 2 2 2 13 3 2 8" xfId="12513"/>
    <cellStyle name="Обычный 2 2 2 13 3 2 9" xfId="12514"/>
    <cellStyle name="Обычный 2 2 2 13 3 3" xfId="12515"/>
    <cellStyle name="Обычный 2 2 2 13 3 3 2" xfId="12516"/>
    <cellStyle name="Обычный 2 2 2 13 3 3 3" xfId="12517"/>
    <cellStyle name="Обычный 2 2 2 13 3 3 4" xfId="12518"/>
    <cellStyle name="Обычный 2 2 2 13 3 3 5" xfId="12519"/>
    <cellStyle name="Обычный 2 2 2 13 3 3 6" xfId="12520"/>
    <cellStyle name="Обычный 2 2 2 13 3 3 7" xfId="12521"/>
    <cellStyle name="Обычный 2 2 2 13 3 3 8" xfId="12522"/>
    <cellStyle name="Обычный 2 2 2 13 3 3 9" xfId="12523"/>
    <cellStyle name="Обычный 2 2 2 13 3 4" xfId="12524"/>
    <cellStyle name="Обычный 2 2 2 13 3 5" xfId="12525"/>
    <cellStyle name="Обычный 2 2 2 13 3 6" xfId="12526"/>
    <cellStyle name="Обычный 2 2 2 13 3 7" xfId="12527"/>
    <cellStyle name="Обычный 2 2 2 13 3 8" xfId="12528"/>
    <cellStyle name="Обычный 2 2 2 13 3 9" xfId="12529"/>
    <cellStyle name="Обычный 2 2 2 13 4" xfId="12530"/>
    <cellStyle name="Обычный 2 2 2 13 4 2" xfId="12531"/>
    <cellStyle name="Обычный 2 2 2 13 4 3" xfId="12532"/>
    <cellStyle name="Обычный 2 2 2 13 4 4" xfId="12533"/>
    <cellStyle name="Обычный 2 2 2 13 4 5" xfId="12534"/>
    <cellStyle name="Обычный 2 2 2 13 4 6" xfId="12535"/>
    <cellStyle name="Обычный 2 2 2 13 4 7" xfId="12536"/>
    <cellStyle name="Обычный 2 2 2 13 4 8" xfId="12537"/>
    <cellStyle name="Обычный 2 2 2 13 4 9" xfId="12538"/>
    <cellStyle name="Обычный 2 2 2 13 5" xfId="12539"/>
    <cellStyle name="Обычный 2 2 2 13 6" xfId="12540"/>
    <cellStyle name="Обычный 2 2 2 13 7" xfId="12541"/>
    <cellStyle name="Обычный 2 2 2 13 8" xfId="12542"/>
    <cellStyle name="Обычный 2 2 2 13 9" xfId="12543"/>
    <cellStyle name="Обычный 2 2 2 14" xfId="12544"/>
    <cellStyle name="Обычный 2 2 2 14 10" xfId="12545"/>
    <cellStyle name="Обычный 2 2 2 14 11" xfId="12546"/>
    <cellStyle name="Обычный 2 2 2 14 12" xfId="12547"/>
    <cellStyle name="Обычный 2 2 2 14 2" xfId="12548"/>
    <cellStyle name="Обычный 2 2 2 14 2 10" xfId="12549"/>
    <cellStyle name="Обычный 2 2 2 14 2 11" xfId="12550"/>
    <cellStyle name="Обычный 2 2 2 14 2 12" xfId="12551"/>
    <cellStyle name="Обычный 2 2 2 14 2 2" xfId="12552"/>
    <cellStyle name="Обычный 2 2 2 14 2 2 2" xfId="12553"/>
    <cellStyle name="Обычный 2 2 2 14 2 2 3" xfId="12554"/>
    <cellStyle name="Обычный 2 2 2 14 2 2 4" xfId="12555"/>
    <cellStyle name="Обычный 2 2 2 14 2 2 5" xfId="12556"/>
    <cellStyle name="Обычный 2 2 2 14 2 2 6" xfId="12557"/>
    <cellStyle name="Обычный 2 2 2 14 2 2 7" xfId="12558"/>
    <cellStyle name="Обычный 2 2 2 14 2 2 8" xfId="12559"/>
    <cellStyle name="Обычный 2 2 2 14 2 2 9" xfId="12560"/>
    <cellStyle name="Обычный 2 2 2 14 2 3" xfId="12561"/>
    <cellStyle name="Обычный 2 2 2 14 2 3 2" xfId="12562"/>
    <cellStyle name="Обычный 2 2 2 14 2 3 3" xfId="12563"/>
    <cellStyle name="Обычный 2 2 2 14 2 3 4" xfId="12564"/>
    <cellStyle name="Обычный 2 2 2 14 2 3 5" xfId="12565"/>
    <cellStyle name="Обычный 2 2 2 14 2 3 6" xfId="12566"/>
    <cellStyle name="Обычный 2 2 2 14 2 3 7" xfId="12567"/>
    <cellStyle name="Обычный 2 2 2 14 2 3 8" xfId="12568"/>
    <cellStyle name="Обычный 2 2 2 14 2 3 9" xfId="12569"/>
    <cellStyle name="Обычный 2 2 2 14 2 4" xfId="12570"/>
    <cellStyle name="Обычный 2 2 2 14 2 4 2" xfId="12571"/>
    <cellStyle name="Обычный 2 2 2 14 2 4 3" xfId="12572"/>
    <cellStyle name="Обычный 2 2 2 14 2 4 4" xfId="12573"/>
    <cellStyle name="Обычный 2 2 2 14 2 4 5" xfId="12574"/>
    <cellStyle name="Обычный 2 2 2 14 2 4 6" xfId="12575"/>
    <cellStyle name="Обычный 2 2 2 14 2 4 7" xfId="12576"/>
    <cellStyle name="Обычный 2 2 2 14 2 4 8" xfId="12577"/>
    <cellStyle name="Обычный 2 2 2 14 2 4 9" xfId="12578"/>
    <cellStyle name="Обычный 2 2 2 14 2 5" xfId="12579"/>
    <cellStyle name="Обычный 2 2 2 14 2 6" xfId="12580"/>
    <cellStyle name="Обычный 2 2 2 14 2 7" xfId="12581"/>
    <cellStyle name="Обычный 2 2 2 14 2 8" xfId="12582"/>
    <cellStyle name="Обычный 2 2 2 14 2 9" xfId="12583"/>
    <cellStyle name="Обычный 2 2 2 14 3" xfId="12584"/>
    <cellStyle name="Обычный 2 2 2 14 3 10" xfId="12585"/>
    <cellStyle name="Обычный 2 2 2 14 3 11" xfId="12586"/>
    <cellStyle name="Обычный 2 2 2 14 3 2" xfId="12587"/>
    <cellStyle name="Обычный 2 2 2 14 3 2 2" xfId="12588"/>
    <cellStyle name="Обычный 2 2 2 14 3 2 3" xfId="12589"/>
    <cellStyle name="Обычный 2 2 2 14 3 2 4" xfId="12590"/>
    <cellStyle name="Обычный 2 2 2 14 3 2 5" xfId="12591"/>
    <cellStyle name="Обычный 2 2 2 14 3 2 6" xfId="12592"/>
    <cellStyle name="Обычный 2 2 2 14 3 2 7" xfId="12593"/>
    <cellStyle name="Обычный 2 2 2 14 3 2 8" xfId="12594"/>
    <cellStyle name="Обычный 2 2 2 14 3 2 9" xfId="12595"/>
    <cellStyle name="Обычный 2 2 2 14 3 3" xfId="12596"/>
    <cellStyle name="Обычный 2 2 2 14 3 3 2" xfId="12597"/>
    <cellStyle name="Обычный 2 2 2 14 3 3 3" xfId="12598"/>
    <cellStyle name="Обычный 2 2 2 14 3 3 4" xfId="12599"/>
    <cellStyle name="Обычный 2 2 2 14 3 3 5" xfId="12600"/>
    <cellStyle name="Обычный 2 2 2 14 3 3 6" xfId="12601"/>
    <cellStyle name="Обычный 2 2 2 14 3 3 7" xfId="12602"/>
    <cellStyle name="Обычный 2 2 2 14 3 3 8" xfId="12603"/>
    <cellStyle name="Обычный 2 2 2 14 3 3 9" xfId="12604"/>
    <cellStyle name="Обычный 2 2 2 14 3 4" xfId="12605"/>
    <cellStyle name="Обычный 2 2 2 14 3 5" xfId="12606"/>
    <cellStyle name="Обычный 2 2 2 14 3 6" xfId="12607"/>
    <cellStyle name="Обычный 2 2 2 14 3 7" xfId="12608"/>
    <cellStyle name="Обычный 2 2 2 14 3 8" xfId="12609"/>
    <cellStyle name="Обычный 2 2 2 14 3 9" xfId="12610"/>
    <cellStyle name="Обычный 2 2 2 14 4" xfId="12611"/>
    <cellStyle name="Обычный 2 2 2 14 4 2" xfId="12612"/>
    <cellStyle name="Обычный 2 2 2 14 4 3" xfId="12613"/>
    <cellStyle name="Обычный 2 2 2 14 4 4" xfId="12614"/>
    <cellStyle name="Обычный 2 2 2 14 4 5" xfId="12615"/>
    <cellStyle name="Обычный 2 2 2 14 4 6" xfId="12616"/>
    <cellStyle name="Обычный 2 2 2 14 4 7" xfId="12617"/>
    <cellStyle name="Обычный 2 2 2 14 4 8" xfId="12618"/>
    <cellStyle name="Обычный 2 2 2 14 4 9" xfId="12619"/>
    <cellStyle name="Обычный 2 2 2 14 5" xfId="12620"/>
    <cellStyle name="Обычный 2 2 2 14 6" xfId="12621"/>
    <cellStyle name="Обычный 2 2 2 14 7" xfId="12622"/>
    <cellStyle name="Обычный 2 2 2 14 8" xfId="12623"/>
    <cellStyle name="Обычный 2 2 2 14 9" xfId="12624"/>
    <cellStyle name="Обычный 2 2 2 15" xfId="12625"/>
    <cellStyle name="Обычный 2 2 2 15 10" xfId="12626"/>
    <cellStyle name="Обычный 2 2 2 15 11" xfId="12627"/>
    <cellStyle name="Обычный 2 2 2 15 12" xfId="12628"/>
    <cellStyle name="Обычный 2 2 2 15 2" xfId="12629"/>
    <cellStyle name="Обычный 2 2 2 15 2 10" xfId="12630"/>
    <cellStyle name="Обычный 2 2 2 15 2 11" xfId="12631"/>
    <cellStyle name="Обычный 2 2 2 15 2 12" xfId="12632"/>
    <cellStyle name="Обычный 2 2 2 15 2 2" xfId="12633"/>
    <cellStyle name="Обычный 2 2 2 15 2 2 2" xfId="12634"/>
    <cellStyle name="Обычный 2 2 2 15 2 2 3" xfId="12635"/>
    <cellStyle name="Обычный 2 2 2 15 2 2 4" xfId="12636"/>
    <cellStyle name="Обычный 2 2 2 15 2 2 5" xfId="12637"/>
    <cellStyle name="Обычный 2 2 2 15 2 2 6" xfId="12638"/>
    <cellStyle name="Обычный 2 2 2 15 2 2 7" xfId="12639"/>
    <cellStyle name="Обычный 2 2 2 15 2 2 8" xfId="12640"/>
    <cellStyle name="Обычный 2 2 2 15 2 2 9" xfId="12641"/>
    <cellStyle name="Обычный 2 2 2 15 2 3" xfId="12642"/>
    <cellStyle name="Обычный 2 2 2 15 2 3 2" xfId="12643"/>
    <cellStyle name="Обычный 2 2 2 15 2 3 3" xfId="12644"/>
    <cellStyle name="Обычный 2 2 2 15 2 3 4" xfId="12645"/>
    <cellStyle name="Обычный 2 2 2 15 2 3 5" xfId="12646"/>
    <cellStyle name="Обычный 2 2 2 15 2 3 6" xfId="12647"/>
    <cellStyle name="Обычный 2 2 2 15 2 3 7" xfId="12648"/>
    <cellStyle name="Обычный 2 2 2 15 2 3 8" xfId="12649"/>
    <cellStyle name="Обычный 2 2 2 15 2 3 9" xfId="12650"/>
    <cellStyle name="Обычный 2 2 2 15 2 4" xfId="12651"/>
    <cellStyle name="Обычный 2 2 2 15 2 4 2" xfId="12652"/>
    <cellStyle name="Обычный 2 2 2 15 2 4 3" xfId="12653"/>
    <cellStyle name="Обычный 2 2 2 15 2 4 4" xfId="12654"/>
    <cellStyle name="Обычный 2 2 2 15 2 4 5" xfId="12655"/>
    <cellStyle name="Обычный 2 2 2 15 2 4 6" xfId="12656"/>
    <cellStyle name="Обычный 2 2 2 15 2 4 7" xfId="12657"/>
    <cellStyle name="Обычный 2 2 2 15 2 4 8" xfId="12658"/>
    <cellStyle name="Обычный 2 2 2 15 2 4 9" xfId="12659"/>
    <cellStyle name="Обычный 2 2 2 15 2 5" xfId="12660"/>
    <cellStyle name="Обычный 2 2 2 15 2 6" xfId="12661"/>
    <cellStyle name="Обычный 2 2 2 15 2 7" xfId="12662"/>
    <cellStyle name="Обычный 2 2 2 15 2 8" xfId="12663"/>
    <cellStyle name="Обычный 2 2 2 15 2 9" xfId="12664"/>
    <cellStyle name="Обычный 2 2 2 15 3" xfId="12665"/>
    <cellStyle name="Обычный 2 2 2 15 3 10" xfId="12666"/>
    <cellStyle name="Обычный 2 2 2 15 3 11" xfId="12667"/>
    <cellStyle name="Обычный 2 2 2 15 3 2" xfId="12668"/>
    <cellStyle name="Обычный 2 2 2 15 3 2 2" xfId="12669"/>
    <cellStyle name="Обычный 2 2 2 15 3 2 3" xfId="12670"/>
    <cellStyle name="Обычный 2 2 2 15 3 2 4" xfId="12671"/>
    <cellStyle name="Обычный 2 2 2 15 3 2 5" xfId="12672"/>
    <cellStyle name="Обычный 2 2 2 15 3 2 6" xfId="12673"/>
    <cellStyle name="Обычный 2 2 2 15 3 2 7" xfId="12674"/>
    <cellStyle name="Обычный 2 2 2 15 3 2 8" xfId="12675"/>
    <cellStyle name="Обычный 2 2 2 15 3 2 9" xfId="12676"/>
    <cellStyle name="Обычный 2 2 2 15 3 3" xfId="12677"/>
    <cellStyle name="Обычный 2 2 2 15 3 3 2" xfId="12678"/>
    <cellStyle name="Обычный 2 2 2 15 3 3 3" xfId="12679"/>
    <cellStyle name="Обычный 2 2 2 15 3 3 4" xfId="12680"/>
    <cellStyle name="Обычный 2 2 2 15 3 3 5" xfId="12681"/>
    <cellStyle name="Обычный 2 2 2 15 3 3 6" xfId="12682"/>
    <cellStyle name="Обычный 2 2 2 15 3 3 7" xfId="12683"/>
    <cellStyle name="Обычный 2 2 2 15 3 3 8" xfId="12684"/>
    <cellStyle name="Обычный 2 2 2 15 3 3 9" xfId="12685"/>
    <cellStyle name="Обычный 2 2 2 15 3 4" xfId="12686"/>
    <cellStyle name="Обычный 2 2 2 15 3 5" xfId="12687"/>
    <cellStyle name="Обычный 2 2 2 15 3 6" xfId="12688"/>
    <cellStyle name="Обычный 2 2 2 15 3 7" xfId="12689"/>
    <cellStyle name="Обычный 2 2 2 15 3 8" xfId="12690"/>
    <cellStyle name="Обычный 2 2 2 15 3 9" xfId="12691"/>
    <cellStyle name="Обычный 2 2 2 15 4" xfId="12692"/>
    <cellStyle name="Обычный 2 2 2 15 4 2" xfId="12693"/>
    <cellStyle name="Обычный 2 2 2 15 4 3" xfId="12694"/>
    <cellStyle name="Обычный 2 2 2 15 4 4" xfId="12695"/>
    <cellStyle name="Обычный 2 2 2 15 4 5" xfId="12696"/>
    <cellStyle name="Обычный 2 2 2 15 4 6" xfId="12697"/>
    <cellStyle name="Обычный 2 2 2 15 4 7" xfId="12698"/>
    <cellStyle name="Обычный 2 2 2 15 4 8" xfId="12699"/>
    <cellStyle name="Обычный 2 2 2 15 4 9" xfId="12700"/>
    <cellStyle name="Обычный 2 2 2 15 5" xfId="12701"/>
    <cellStyle name="Обычный 2 2 2 15 6" xfId="12702"/>
    <cellStyle name="Обычный 2 2 2 15 7" xfId="12703"/>
    <cellStyle name="Обычный 2 2 2 15 8" xfId="12704"/>
    <cellStyle name="Обычный 2 2 2 15 9" xfId="12705"/>
    <cellStyle name="Обычный 2 2 2 16" xfId="12706"/>
    <cellStyle name="Обычный 2 2 2 16 10" xfId="12707"/>
    <cellStyle name="Обычный 2 2 2 16 11" xfId="12708"/>
    <cellStyle name="Обычный 2 2 2 16 2" xfId="12709"/>
    <cellStyle name="Обычный 2 2 2 16 2 2" xfId="12710"/>
    <cellStyle name="Обычный 2 2 2 16 2 3" xfId="12711"/>
    <cellStyle name="Обычный 2 2 2 16 2 4" xfId="12712"/>
    <cellStyle name="Обычный 2 2 2 16 2 5" xfId="12713"/>
    <cellStyle name="Обычный 2 2 2 16 2 6" xfId="12714"/>
    <cellStyle name="Обычный 2 2 2 16 2 7" xfId="12715"/>
    <cellStyle name="Обычный 2 2 2 16 2 8" xfId="12716"/>
    <cellStyle name="Обычный 2 2 2 16 2 9" xfId="12717"/>
    <cellStyle name="Обычный 2 2 2 16 3" xfId="12718"/>
    <cellStyle name="Обычный 2 2 2 16 3 2" xfId="12719"/>
    <cellStyle name="Обычный 2 2 2 16 3 3" xfId="12720"/>
    <cellStyle name="Обычный 2 2 2 16 3 4" xfId="12721"/>
    <cellStyle name="Обычный 2 2 2 16 3 5" xfId="12722"/>
    <cellStyle name="Обычный 2 2 2 16 3 6" xfId="12723"/>
    <cellStyle name="Обычный 2 2 2 16 3 7" xfId="12724"/>
    <cellStyle name="Обычный 2 2 2 16 3 8" xfId="12725"/>
    <cellStyle name="Обычный 2 2 2 16 3 9" xfId="12726"/>
    <cellStyle name="Обычный 2 2 2 16 4" xfId="12727"/>
    <cellStyle name="Обычный 2 2 2 16 5" xfId="12728"/>
    <cellStyle name="Обычный 2 2 2 16 6" xfId="12729"/>
    <cellStyle name="Обычный 2 2 2 16 7" xfId="12730"/>
    <cellStyle name="Обычный 2 2 2 16 8" xfId="12731"/>
    <cellStyle name="Обычный 2 2 2 16 9" xfId="12732"/>
    <cellStyle name="Обычный 2 2 2 17" xfId="12733"/>
    <cellStyle name="Обычный 2 2 2 17 2" xfId="12734"/>
    <cellStyle name="Обычный 2 2 2 17 3" xfId="12735"/>
    <cellStyle name="Обычный 2 2 2 17 4" xfId="12736"/>
    <cellStyle name="Обычный 2 2 2 17 5" xfId="12737"/>
    <cellStyle name="Обычный 2 2 2 17 6" xfId="12738"/>
    <cellStyle name="Обычный 2 2 2 17 7" xfId="12739"/>
    <cellStyle name="Обычный 2 2 2 17 8" xfId="12740"/>
    <cellStyle name="Обычный 2 2 2 17 9" xfId="12741"/>
    <cellStyle name="Обычный 2 2 2 18" xfId="12742"/>
    <cellStyle name="Обычный 2 2 2 18 2" xfId="12743"/>
    <cellStyle name="Обычный 2 2 2 18 3" xfId="12744"/>
    <cellStyle name="Обычный 2 2 2 18 4" xfId="12745"/>
    <cellStyle name="Обычный 2 2 2 18 5" xfId="12746"/>
    <cellStyle name="Обычный 2 2 2 18 6" xfId="12747"/>
    <cellStyle name="Обычный 2 2 2 18 7" xfId="12748"/>
    <cellStyle name="Обычный 2 2 2 18 8" xfId="12749"/>
    <cellStyle name="Обычный 2 2 2 18 9" xfId="12750"/>
    <cellStyle name="Обычный 2 2 2 19" xfId="12751"/>
    <cellStyle name="Обычный 2 2 2 19 2" xfId="12752"/>
    <cellStyle name="Обычный 2 2 2 19 3" xfId="12753"/>
    <cellStyle name="Обычный 2 2 2 19 4" xfId="12754"/>
    <cellStyle name="Обычный 2 2 2 19 5" xfId="12755"/>
    <cellStyle name="Обычный 2 2 2 19 6" xfId="12756"/>
    <cellStyle name="Обычный 2 2 2 19 7" xfId="12757"/>
    <cellStyle name="Обычный 2 2 2 19 8" xfId="12758"/>
    <cellStyle name="Обычный 2 2 2 19 9" xfId="12759"/>
    <cellStyle name="Обычный 2 2 2 2" xfId="12760"/>
    <cellStyle name="Обычный 2 2 2 2 10" xfId="12761"/>
    <cellStyle name="Обычный 2 2 2 2 10 10" xfId="12762"/>
    <cellStyle name="Обычный 2 2 2 2 10 11" xfId="12763"/>
    <cellStyle name="Обычный 2 2 2 2 10 2" xfId="12764"/>
    <cellStyle name="Обычный 2 2 2 2 10 2 2" xfId="12765"/>
    <cellStyle name="Обычный 2 2 2 2 10 2 3" xfId="12766"/>
    <cellStyle name="Обычный 2 2 2 2 10 2 4" xfId="12767"/>
    <cellStyle name="Обычный 2 2 2 2 10 2 5" xfId="12768"/>
    <cellStyle name="Обычный 2 2 2 2 10 2 6" xfId="12769"/>
    <cellStyle name="Обычный 2 2 2 2 10 2 7" xfId="12770"/>
    <cellStyle name="Обычный 2 2 2 2 10 2 8" xfId="12771"/>
    <cellStyle name="Обычный 2 2 2 2 10 2 9" xfId="12772"/>
    <cellStyle name="Обычный 2 2 2 2 10 3" xfId="12773"/>
    <cellStyle name="Обычный 2 2 2 2 10 3 2" xfId="12774"/>
    <cellStyle name="Обычный 2 2 2 2 10 3 3" xfId="12775"/>
    <cellStyle name="Обычный 2 2 2 2 10 3 4" xfId="12776"/>
    <cellStyle name="Обычный 2 2 2 2 10 3 5" xfId="12777"/>
    <cellStyle name="Обычный 2 2 2 2 10 3 6" xfId="12778"/>
    <cellStyle name="Обычный 2 2 2 2 10 3 7" xfId="12779"/>
    <cellStyle name="Обычный 2 2 2 2 10 3 8" xfId="12780"/>
    <cellStyle name="Обычный 2 2 2 2 10 3 9" xfId="12781"/>
    <cellStyle name="Обычный 2 2 2 2 10 4" xfId="12782"/>
    <cellStyle name="Обычный 2 2 2 2 10 5" xfId="12783"/>
    <cellStyle name="Обычный 2 2 2 2 10 6" xfId="12784"/>
    <cellStyle name="Обычный 2 2 2 2 10 7" xfId="12785"/>
    <cellStyle name="Обычный 2 2 2 2 10 8" xfId="12786"/>
    <cellStyle name="Обычный 2 2 2 2 10 9" xfId="12787"/>
    <cellStyle name="Обычный 2 2 2 2 11" xfId="12788"/>
    <cellStyle name="Обычный 2 2 2 2 11 10" xfId="12789"/>
    <cellStyle name="Обычный 2 2 2 2 11 11" xfId="12790"/>
    <cellStyle name="Обычный 2 2 2 2 11 2" xfId="12791"/>
    <cellStyle name="Обычный 2 2 2 2 11 2 2" xfId="12792"/>
    <cellStyle name="Обычный 2 2 2 2 11 2 3" xfId="12793"/>
    <cellStyle name="Обычный 2 2 2 2 11 2 4" xfId="12794"/>
    <cellStyle name="Обычный 2 2 2 2 11 2 5" xfId="12795"/>
    <cellStyle name="Обычный 2 2 2 2 11 2 6" xfId="12796"/>
    <cellStyle name="Обычный 2 2 2 2 11 2 7" xfId="12797"/>
    <cellStyle name="Обычный 2 2 2 2 11 2 8" xfId="12798"/>
    <cellStyle name="Обычный 2 2 2 2 11 2 9" xfId="12799"/>
    <cellStyle name="Обычный 2 2 2 2 11 3" xfId="12800"/>
    <cellStyle name="Обычный 2 2 2 2 11 3 2" xfId="12801"/>
    <cellStyle name="Обычный 2 2 2 2 11 3 3" xfId="12802"/>
    <cellStyle name="Обычный 2 2 2 2 11 3 4" xfId="12803"/>
    <cellStyle name="Обычный 2 2 2 2 11 3 5" xfId="12804"/>
    <cellStyle name="Обычный 2 2 2 2 11 3 6" xfId="12805"/>
    <cellStyle name="Обычный 2 2 2 2 11 3 7" xfId="12806"/>
    <cellStyle name="Обычный 2 2 2 2 11 3 8" xfId="12807"/>
    <cellStyle name="Обычный 2 2 2 2 11 3 9" xfId="12808"/>
    <cellStyle name="Обычный 2 2 2 2 11 4" xfId="12809"/>
    <cellStyle name="Обычный 2 2 2 2 11 5" xfId="12810"/>
    <cellStyle name="Обычный 2 2 2 2 11 6" xfId="12811"/>
    <cellStyle name="Обычный 2 2 2 2 11 7" xfId="12812"/>
    <cellStyle name="Обычный 2 2 2 2 11 8" xfId="12813"/>
    <cellStyle name="Обычный 2 2 2 2 11 9" xfId="12814"/>
    <cellStyle name="Обычный 2 2 2 2 12" xfId="12815"/>
    <cellStyle name="Обычный 2 2 2 2 12 2" xfId="12816"/>
    <cellStyle name="Обычный 2 2 2 2 12 2 2" xfId="12817"/>
    <cellStyle name="Обычный 2 2 2 2 12 2 3" xfId="12818"/>
    <cellStyle name="Обычный 2 2 2 2 12 2 4" xfId="12819"/>
    <cellStyle name="Обычный 2 2 2 2 12 2 5" xfId="12820"/>
    <cellStyle name="Обычный 2 2 2 2 12 2 6" xfId="12821"/>
    <cellStyle name="Обычный 2 2 2 2 12 2 7" xfId="12822"/>
    <cellStyle name="Обычный 2 2 2 2 12 2 8" xfId="12823"/>
    <cellStyle name="Обычный 2 2 2 2 12 2 9" xfId="12824"/>
    <cellStyle name="Обычный 2 2 2 2 12 3" xfId="12825"/>
    <cellStyle name="Обычный 2 2 2 2 12 3 2" xfId="12826"/>
    <cellStyle name="Обычный 2 2 2 2 12 3 3" xfId="12827"/>
    <cellStyle name="Обычный 2 2 2 2 12 3 4" xfId="12828"/>
    <cellStyle name="Обычный 2 2 2 2 12 3 5" xfId="12829"/>
    <cellStyle name="Обычный 2 2 2 2 12 3 6" xfId="12830"/>
    <cellStyle name="Обычный 2 2 2 2 12 3 7" xfId="12831"/>
    <cellStyle name="Обычный 2 2 2 2 12 3 8" xfId="12832"/>
    <cellStyle name="Обычный 2 2 2 2 12 3 9" xfId="12833"/>
    <cellStyle name="Обычный 2 2 2 2 12 4" xfId="12834"/>
    <cellStyle name="Обычный 2 2 2 2 12 5" xfId="12835"/>
    <cellStyle name="Обычный 2 2 2 2 12 6" xfId="12836"/>
    <cellStyle name="Обычный 2 2 2 2 12 7" xfId="12837"/>
    <cellStyle name="Обычный 2 2 2 2 13" xfId="12838"/>
    <cellStyle name="Обычный 2 2 2 2 13 2" xfId="12839"/>
    <cellStyle name="Обычный 2 2 2 2 13 3" xfId="12840"/>
    <cellStyle name="Обычный 2 2 2 2 13 4" xfId="12841"/>
    <cellStyle name="Обычный 2 2 2 2 13 5" xfId="12842"/>
    <cellStyle name="Обычный 2 2 2 2 14" xfId="12843"/>
    <cellStyle name="Обычный 2 2 2 2 14 2" xfId="12844"/>
    <cellStyle name="Обычный 2 2 2 2 14 3" xfId="12845"/>
    <cellStyle name="Обычный 2 2 2 2 14 4" xfId="12846"/>
    <cellStyle name="Обычный 2 2 2 2 14 5" xfId="12847"/>
    <cellStyle name="Обычный 2 2 2 2 14 6" xfId="12848"/>
    <cellStyle name="Обычный 2 2 2 2 14 7" xfId="12849"/>
    <cellStyle name="Обычный 2 2 2 2 14 8" xfId="12850"/>
    <cellStyle name="Обычный 2 2 2 2 14 9" xfId="12851"/>
    <cellStyle name="Обычный 2 2 2 2 15" xfId="12852"/>
    <cellStyle name="Обычный 2 2 2 2 15 2" xfId="12853"/>
    <cellStyle name="Обычный 2 2 2 2 15 3" xfId="12854"/>
    <cellStyle name="Обычный 2 2 2 2 15 4" xfId="12855"/>
    <cellStyle name="Обычный 2 2 2 2 15 5" xfId="12856"/>
    <cellStyle name="Обычный 2 2 2 2 16" xfId="12857"/>
    <cellStyle name="Обычный 2 2 2 2 16 2" xfId="12858"/>
    <cellStyle name="Обычный 2 2 2 2 16 2 2" xfId="12859"/>
    <cellStyle name="Обычный 2 2 2 2 16 2 2 2" xfId="12860"/>
    <cellStyle name="Обычный 2 2 2 2 16 2 2 2 2" xfId="12861"/>
    <cellStyle name="Обычный 2 2 2 2 16 2 3" xfId="12862"/>
    <cellStyle name="Обычный 2 2 2 2 16 3" xfId="12863"/>
    <cellStyle name="Обычный 2 2 2 2 16 3 2" xfId="12864"/>
    <cellStyle name="Обычный 2 2 2 2 17" xfId="12865"/>
    <cellStyle name="Обычный 2 2 2 2 17 2" xfId="12866"/>
    <cellStyle name="Обычный 2 2 2 2 17 2 2" xfId="12867"/>
    <cellStyle name="Обычный 2 2 2 2 18" xfId="12868"/>
    <cellStyle name="Обычный 2 2 2 2 19" xfId="12869"/>
    <cellStyle name="Обычный 2 2 2 2 2" xfId="12870"/>
    <cellStyle name="Обычный 2 2 2 2 2 10" xfId="12871"/>
    <cellStyle name="Обычный 2 2 2 2 2 10 2" xfId="12872"/>
    <cellStyle name="Обычный 2 2 2 2 2 10 2 2" xfId="12873"/>
    <cellStyle name="Обычный 2 2 2 2 2 11" xfId="12874"/>
    <cellStyle name="Обычный 2 2 2 2 2 2" xfId="12875"/>
    <cellStyle name="Обычный 2 2 2 2 2 3" xfId="12876"/>
    <cellStyle name="Обычный 2 2 2 2 2 4" xfId="12877"/>
    <cellStyle name="Обычный 2 2 2 2 2 5" xfId="12878"/>
    <cellStyle name="Обычный 2 2 2 2 2 5 10" xfId="12879"/>
    <cellStyle name="Обычный 2 2 2 2 2 5 11" xfId="12880"/>
    <cellStyle name="Обычный 2 2 2 2 2 5 2" xfId="12881"/>
    <cellStyle name="Обычный 2 2 2 2 2 5 3" xfId="12882"/>
    <cellStyle name="Обычный 2 2 2 2 2 5 4" xfId="12883"/>
    <cellStyle name="Обычный 2 2 2 2 2 5 5" xfId="12884"/>
    <cellStyle name="Обычный 2 2 2 2 2 5 6" xfId="12885"/>
    <cellStyle name="Обычный 2 2 2 2 2 5 7" xfId="12886"/>
    <cellStyle name="Обычный 2 2 2 2 2 5 8" xfId="12887"/>
    <cellStyle name="Обычный 2 2 2 2 2 5 9" xfId="12888"/>
    <cellStyle name="Обычный 2 2 2 2 2 6" xfId="12889"/>
    <cellStyle name="Обычный 2 2 2 2 2 6 2" xfId="12890"/>
    <cellStyle name="Обычный 2 2 2 2 2 6 3" xfId="12891"/>
    <cellStyle name="Обычный 2 2 2 2 2 6 4" xfId="12892"/>
    <cellStyle name="Обычный 2 2 2 2 2 6 5" xfId="12893"/>
    <cellStyle name="Обычный 2 2 2 2 2 6 6" xfId="12894"/>
    <cellStyle name="Обычный 2 2 2 2 2 6 7" xfId="12895"/>
    <cellStyle name="Обычный 2 2 2 2 2 6 8" xfId="12896"/>
    <cellStyle name="Обычный 2 2 2 2 2 6 9" xfId="12897"/>
    <cellStyle name="Обычный 2 2 2 2 2 7" xfId="12898"/>
    <cellStyle name="Обычный 2 2 2 2 2 8" xfId="12899"/>
    <cellStyle name="Обычный 2 2 2 2 2 9" xfId="12900"/>
    <cellStyle name="Обычный 2 2 2 2 2 9 2" xfId="12901"/>
    <cellStyle name="Обычный 2 2 2 2 2 9 2 2" xfId="12902"/>
    <cellStyle name="Обычный 2 2 2 2 2 9 2 2 2" xfId="12903"/>
    <cellStyle name="Обычный 2 2 2 2 2 9 2 2 2 2" xfId="12904"/>
    <cellStyle name="Обычный 2 2 2 2 2 9 2 3" xfId="12905"/>
    <cellStyle name="Обычный 2 2 2 2 2 9 3" xfId="12906"/>
    <cellStyle name="Обычный 2 2 2 2 2 9 3 2" xfId="12907"/>
    <cellStyle name="Обычный 2 2 2 2 20" xfId="12908"/>
    <cellStyle name="Обычный 2 2 2 2 21" xfId="12909"/>
    <cellStyle name="Обычный 2 2 2 2 22" xfId="12910"/>
    <cellStyle name="Обычный 2 2 2 2 3" xfId="12911"/>
    <cellStyle name="Обычный 2 2 2 2 3 2" xfId="12912"/>
    <cellStyle name="Обычный 2 2 2 2 3 2 2" xfId="12913"/>
    <cellStyle name="Обычный 2 2 2 2 3 2 3" xfId="12914"/>
    <cellStyle name="Обычный 2 2 2 2 3 3" xfId="12915"/>
    <cellStyle name="Обычный 2 2 2 2 3 4" xfId="12916"/>
    <cellStyle name="Обычный 2 2 2 2 4" xfId="12917"/>
    <cellStyle name="Обычный 2 2 2 2 4 2" xfId="12918"/>
    <cellStyle name="Обычный 2 2 2 2 4 3" xfId="12919"/>
    <cellStyle name="Обычный 2 2 2 2 5" xfId="12920"/>
    <cellStyle name="Обычный 2 2 2 2 6" xfId="12921"/>
    <cellStyle name="Обычный 2 2 2 2 7" xfId="12922"/>
    <cellStyle name="Обычный 2 2 2 2 8" xfId="12923"/>
    <cellStyle name="Обычный 2 2 2 2 9" xfId="12924"/>
    <cellStyle name="Обычный 2 2 2 20" xfId="12925"/>
    <cellStyle name="Обычный 2 2 2 20 2" xfId="12926"/>
    <cellStyle name="Обычный 2 2 2 20 3" xfId="12927"/>
    <cellStyle name="Обычный 2 2 2 20 4" xfId="12928"/>
    <cellStyle name="Обычный 2 2 2 20 5" xfId="12929"/>
    <cellStyle name="Обычный 2 2 2 20 6" xfId="12930"/>
    <cellStyle name="Обычный 2 2 2 20 7" xfId="12931"/>
    <cellStyle name="Обычный 2 2 2 20 8" xfId="12932"/>
    <cellStyle name="Обычный 2 2 2 20 9" xfId="12933"/>
    <cellStyle name="Обычный 2 2 2 21" xfId="12934"/>
    <cellStyle name="Обычный 2 2 2 21 2" xfId="12935"/>
    <cellStyle name="Обычный 2 2 2 21 3" xfId="12936"/>
    <cellStyle name="Обычный 2 2 2 21 4" xfId="12937"/>
    <cellStyle name="Обычный 2 2 2 21 5" xfId="12938"/>
    <cellStyle name="Обычный 2 2 2 21 6" xfId="12939"/>
    <cellStyle name="Обычный 2 2 2 21 7" xfId="12940"/>
    <cellStyle name="Обычный 2 2 2 21 8" xfId="12941"/>
    <cellStyle name="Обычный 2 2 2 21 9" xfId="12942"/>
    <cellStyle name="Обычный 2 2 2 22" xfId="12943"/>
    <cellStyle name="Обычный 2 2 2 22 2" xfId="12944"/>
    <cellStyle name="Обычный 2 2 2 22 3" xfId="12945"/>
    <cellStyle name="Обычный 2 2 2 22 4" xfId="12946"/>
    <cellStyle name="Обычный 2 2 2 22 5" xfId="12947"/>
    <cellStyle name="Обычный 2 2 2 22 6" xfId="12948"/>
    <cellStyle name="Обычный 2 2 2 22 7" xfId="12949"/>
    <cellStyle name="Обычный 2 2 2 22 8" xfId="12950"/>
    <cellStyle name="Обычный 2 2 2 22 9" xfId="12951"/>
    <cellStyle name="Обычный 2 2 2 23" xfId="12952"/>
    <cellStyle name="Обычный 2 2 2 23 2" xfId="12953"/>
    <cellStyle name="Обычный 2 2 2 23 3" xfId="12954"/>
    <cellStyle name="Обычный 2 2 2 23 4" xfId="12955"/>
    <cellStyle name="Обычный 2 2 2 23 5" xfId="12956"/>
    <cellStyle name="Обычный 2 2 2 23 6" xfId="12957"/>
    <cellStyle name="Обычный 2 2 2 23 7" xfId="12958"/>
    <cellStyle name="Обычный 2 2 2 23 8" xfId="12959"/>
    <cellStyle name="Обычный 2 2 2 23 9" xfId="12960"/>
    <cellStyle name="Обычный 2 2 2 24" xfId="12961"/>
    <cellStyle name="Обычный 2 2 2 25" xfId="12962"/>
    <cellStyle name="Обычный 2 2 2 26" xfId="12963"/>
    <cellStyle name="Обычный 2 2 2 26 2" xfId="12964"/>
    <cellStyle name="Обычный 2 2 2 26 2 2" xfId="12965"/>
    <cellStyle name="Обычный 2 2 2 26 2 3" xfId="12966"/>
    <cellStyle name="Обычный 2 2 2 26 2 4" xfId="12967"/>
    <cellStyle name="Обычный 2 2 2 26 2 5" xfId="12968"/>
    <cellStyle name="Обычный 2 2 2 26 3" xfId="12969"/>
    <cellStyle name="Обычный 2 2 2 26 3 2" xfId="12970"/>
    <cellStyle name="Обычный 2 2 2 26 3 3" xfId="12971"/>
    <cellStyle name="Обычный 2 2 2 26 3 4" xfId="12972"/>
    <cellStyle name="Обычный 2 2 2 26 3 5" xfId="12973"/>
    <cellStyle name="Обычный 2 2 2 27" xfId="12974"/>
    <cellStyle name="Обычный 2 2 2 28" xfId="12975"/>
    <cellStyle name="Обычный 2 2 2 28 2" xfId="12976"/>
    <cellStyle name="Обычный 2 2 2 28 3" xfId="12977"/>
    <cellStyle name="Обычный 2 2 2 28 4" xfId="12978"/>
    <cellStyle name="Обычный 2 2 2 28 5" xfId="12979"/>
    <cellStyle name="Обычный 2 2 2 29" xfId="12980"/>
    <cellStyle name="Обычный 2 2 2 29 2" xfId="12981"/>
    <cellStyle name="Обычный 2 2 2 29 3" xfId="12982"/>
    <cellStyle name="Обычный 2 2 2 29 4" xfId="12983"/>
    <cellStyle name="Обычный 2 2 2 29 5" xfId="12984"/>
    <cellStyle name="Обычный 2 2 2 3" xfId="12985"/>
    <cellStyle name="Обычный 2 2 2 3 2" xfId="12986"/>
    <cellStyle name="Обычный 2 2 2 3 2 2" xfId="12987"/>
    <cellStyle name="Обычный 2 2 2 3 2 3" xfId="12988"/>
    <cellStyle name="Обычный 2 2 2 3 3" xfId="12989"/>
    <cellStyle name="Обычный 2 2 2 3 4" xfId="12990"/>
    <cellStyle name="Обычный 2 2 2 30" xfId="12991"/>
    <cellStyle name="Обычный 2 2 2 30 2" xfId="12992"/>
    <cellStyle name="Обычный 2 2 2 30 2 2" xfId="12993"/>
    <cellStyle name="Обычный 2 2 2 30 2 2 2" xfId="12994"/>
    <cellStyle name="Обычный 2 2 2 30 2 2 2 2" xfId="12995"/>
    <cellStyle name="Обычный 2 2 2 30 2 3" xfId="12996"/>
    <cellStyle name="Обычный 2 2 2 30 3" xfId="12997"/>
    <cellStyle name="Обычный 2 2 2 30 3 2" xfId="12998"/>
    <cellStyle name="Обычный 2 2 2 31" xfId="12999"/>
    <cellStyle name="Обычный 2 2 2 31 2" xfId="13000"/>
    <cellStyle name="Обычный 2 2 2 31 2 2" xfId="13001"/>
    <cellStyle name="Обычный 2 2 2 32" xfId="13002"/>
    <cellStyle name="Обычный 2 2 2 33" xfId="13003"/>
    <cellStyle name="Обычный 2 2 2 34" xfId="13004"/>
    <cellStyle name="Обычный 2 2 2 35" xfId="13005"/>
    <cellStyle name="Обычный 2 2 2 4" xfId="13006"/>
    <cellStyle name="Обычный 2 2 2 4 2" xfId="13007"/>
    <cellStyle name="Обычный 2 2 2 4 2 2" xfId="13008"/>
    <cellStyle name="Обычный 2 2 2 4 2 3" xfId="13009"/>
    <cellStyle name="Обычный 2 2 2 4 3" xfId="13010"/>
    <cellStyle name="Обычный 2 2 2 4 4" xfId="13011"/>
    <cellStyle name="Обычный 2 2 2 5" xfId="13012"/>
    <cellStyle name="Обычный 2 2 2 5 2" xfId="13013"/>
    <cellStyle name="Обычный 2 2 2 5 2 2" xfId="13014"/>
    <cellStyle name="Обычный 2 2 2 5 2 3" xfId="13015"/>
    <cellStyle name="Обычный 2 2 2 5 3" xfId="13016"/>
    <cellStyle name="Обычный 2 2 2 5 4" xfId="13017"/>
    <cellStyle name="Обычный 2 2 2 6" xfId="13018"/>
    <cellStyle name="Обычный 2 2 2 6 2" xfId="13019"/>
    <cellStyle name="Обычный 2 2 2 6 2 2" xfId="13020"/>
    <cellStyle name="Обычный 2 2 2 6 2 3" xfId="13021"/>
    <cellStyle name="Обычный 2 2 2 6 3" xfId="13022"/>
    <cellStyle name="Обычный 2 2 2 6 4" xfId="13023"/>
    <cellStyle name="Обычный 2 2 2 7" xfId="13024"/>
    <cellStyle name="Обычный 2 2 2 7 2" xfId="13025"/>
    <cellStyle name="Обычный 2 2 2 7 2 2" xfId="13026"/>
    <cellStyle name="Обычный 2 2 2 7 2 3" xfId="13027"/>
    <cellStyle name="Обычный 2 2 2 7 3" xfId="13028"/>
    <cellStyle name="Обычный 2 2 2 7 4" xfId="13029"/>
    <cellStyle name="Обычный 2 2 2 8" xfId="13030"/>
    <cellStyle name="Обычный 2 2 2 8 2" xfId="13031"/>
    <cellStyle name="Обычный 2 2 2 8 2 2" xfId="13032"/>
    <cellStyle name="Обычный 2 2 2 8 2 3" xfId="13033"/>
    <cellStyle name="Обычный 2 2 2 8 3" xfId="13034"/>
    <cellStyle name="Обычный 2 2 2 8 4" xfId="13035"/>
    <cellStyle name="Обычный 2 2 2 9" xfId="13036"/>
    <cellStyle name="Обычный 2 2 2 9 2" xfId="13037"/>
    <cellStyle name="Обычный 2 2 2 9 2 2" xfId="13038"/>
    <cellStyle name="Обычный 2 2 2 9 2 3" xfId="13039"/>
    <cellStyle name="Обычный 2 2 2 9 3" xfId="13040"/>
    <cellStyle name="Обычный 2 2 2 9 4" xfId="13041"/>
    <cellStyle name="Обычный 2 2 20" xfId="13042"/>
    <cellStyle name="Обычный 2 2 20 2" xfId="13043"/>
    <cellStyle name="Обычный 2 2 20 2 2" xfId="13044"/>
    <cellStyle name="Обычный 2 2 20 2 3" xfId="13045"/>
    <cellStyle name="Обычный 2 2 20 3" xfId="13046"/>
    <cellStyle name="Обычный 2 2 20 4" xfId="13047"/>
    <cellStyle name="Обычный 2 2 21" xfId="13048"/>
    <cellStyle name="Обычный 2 2 21 2" xfId="13049"/>
    <cellStyle name="Обычный 2 2 21 2 2" xfId="13050"/>
    <cellStyle name="Обычный 2 2 21 2 3" xfId="13051"/>
    <cellStyle name="Обычный 2 2 21 3" xfId="13052"/>
    <cellStyle name="Обычный 2 2 21 4" xfId="13053"/>
    <cellStyle name="Обычный 2 2 22" xfId="13054"/>
    <cellStyle name="Обычный 2 2 22 10" xfId="13055"/>
    <cellStyle name="Обычный 2 2 22 2" xfId="13056"/>
    <cellStyle name="Обычный 2 2 22 2 2" xfId="13057"/>
    <cellStyle name="Обычный 2 2 22 2 2 2" xfId="13058"/>
    <cellStyle name="Обычный 2 2 22 2 2 3" xfId="13059"/>
    <cellStyle name="Обычный 2 2 22 2 3" xfId="13060"/>
    <cellStyle name="Обычный 2 2 22 2 4" xfId="13061"/>
    <cellStyle name="Обычный 2 2 22 2 4 2" xfId="13062"/>
    <cellStyle name="Обычный 2 2 22 2 4 3" xfId="13063"/>
    <cellStyle name="Обычный 2 2 22 2 4 4" xfId="13064"/>
    <cellStyle name="Обычный 2 2 22 2 4 5" xfId="13065"/>
    <cellStyle name="Обычный 2 2 22 2 5" xfId="13066"/>
    <cellStyle name="Обычный 2 2 22 2 6" xfId="13067"/>
    <cellStyle name="Обычный 2 2 22 2 7" xfId="13068"/>
    <cellStyle name="Обычный 2 2 22 2 8" xfId="13069"/>
    <cellStyle name="Обычный 2 2 22 3" xfId="13070"/>
    <cellStyle name="Обычный 2 2 22 3 2" xfId="13071"/>
    <cellStyle name="Обычный 2 2 22 3 2 2" xfId="13072"/>
    <cellStyle name="Обычный 2 2 22 3 2 3" xfId="13073"/>
    <cellStyle name="Обычный 2 2 22 3 3" xfId="13074"/>
    <cellStyle name="Обычный 2 2 22 3 4" xfId="13075"/>
    <cellStyle name="Обычный 2 2 22 3 4 2" xfId="13076"/>
    <cellStyle name="Обычный 2 2 22 3 4 3" xfId="13077"/>
    <cellStyle name="Обычный 2 2 22 3 4 4" xfId="13078"/>
    <cellStyle name="Обычный 2 2 22 3 4 5" xfId="13079"/>
    <cellStyle name="Обычный 2 2 22 3 5" xfId="13080"/>
    <cellStyle name="Обычный 2 2 22 3 6" xfId="13081"/>
    <cellStyle name="Обычный 2 2 22 3 7" xfId="13082"/>
    <cellStyle name="Обычный 2 2 22 3 8" xfId="13083"/>
    <cellStyle name="Обычный 2 2 22 4" xfId="13084"/>
    <cellStyle name="Обычный 2 2 22 4 2" xfId="13085"/>
    <cellStyle name="Обычный 2 2 22 4 2 2" xfId="13086"/>
    <cellStyle name="Обычный 2 2 22 4 2 3" xfId="13087"/>
    <cellStyle name="Обычный 2 2 22 4 2 4" xfId="13088"/>
    <cellStyle name="Обычный 2 2 22 4 2 5" xfId="13089"/>
    <cellStyle name="Обычный 2 2 22 4 2 6" xfId="13090"/>
    <cellStyle name="Обычный 2 2 22 4 3" xfId="13091"/>
    <cellStyle name="Обычный 2 2 22 4 3 2" xfId="13092"/>
    <cellStyle name="Обычный 2 2 22 4 3 3" xfId="13093"/>
    <cellStyle name="Обычный 2 2 22 4 3 4" xfId="13094"/>
    <cellStyle name="Обычный 2 2 22 4 3 5" xfId="13095"/>
    <cellStyle name="Обычный 2 2 22 4 3 6" xfId="13096"/>
    <cellStyle name="Обычный 2 2 22 4 4" xfId="13097"/>
    <cellStyle name="Обычный 2 2 22 4 5" xfId="13098"/>
    <cellStyle name="Обычный 2 2 22 4 6" xfId="13099"/>
    <cellStyle name="Обычный 2 2 22 4 7" xfId="13100"/>
    <cellStyle name="Обычный 2 2 22 4 8" xfId="13101"/>
    <cellStyle name="Обычный 2 2 22 5" xfId="13102"/>
    <cellStyle name="Обычный 2 2 22 5 2" xfId="13103"/>
    <cellStyle name="Обычный 2 2 22 5 3" xfId="13104"/>
    <cellStyle name="Обычный 2 2 22 5 4" xfId="13105"/>
    <cellStyle name="Обычный 2 2 22 5 5" xfId="13106"/>
    <cellStyle name="Обычный 2 2 22 5 6" xfId="13107"/>
    <cellStyle name="Обычный 2 2 22 6" xfId="13108"/>
    <cellStyle name="Обычный 2 2 22 6 2" xfId="13109"/>
    <cellStyle name="Обычный 2 2 22 6 3" xfId="13110"/>
    <cellStyle name="Обычный 2 2 22 6 4" xfId="13111"/>
    <cellStyle name="Обычный 2 2 22 6 5" xfId="13112"/>
    <cellStyle name="Обычный 2 2 22 7" xfId="13113"/>
    <cellStyle name="Обычный 2 2 22 8" xfId="13114"/>
    <cellStyle name="Обычный 2 2 22 9" xfId="13115"/>
    <cellStyle name="Обычный 2 2 23" xfId="13116"/>
    <cellStyle name="Обычный 2 2 23 2" xfId="13117"/>
    <cellStyle name="Обычный 2 2 23 2 2" xfId="13118"/>
    <cellStyle name="Обычный 2 2 23 2 2 2" xfId="13119"/>
    <cellStyle name="Обычный 2 2 23 2 2 3" xfId="13120"/>
    <cellStyle name="Обычный 2 2 23 2 2 4" xfId="13121"/>
    <cellStyle name="Обычный 2 2 23 2 2 5" xfId="13122"/>
    <cellStyle name="Обычный 2 2 23 2 2 6" xfId="13123"/>
    <cellStyle name="Обычный 2 2 23 2 3" xfId="13124"/>
    <cellStyle name="Обычный 2 2 23 2 3 2" xfId="13125"/>
    <cellStyle name="Обычный 2 2 23 2 3 3" xfId="13126"/>
    <cellStyle name="Обычный 2 2 23 2 3 4" xfId="13127"/>
    <cellStyle name="Обычный 2 2 23 2 3 5" xfId="13128"/>
    <cellStyle name="Обычный 2 2 23 2 3 6" xfId="13129"/>
    <cellStyle name="Обычный 2 2 23 2 4" xfId="13130"/>
    <cellStyle name="Обычный 2 2 23 2 5" xfId="13131"/>
    <cellStyle name="Обычный 2 2 23 2 6" xfId="13132"/>
    <cellStyle name="Обычный 2 2 23 2 7" xfId="13133"/>
    <cellStyle name="Обычный 2 2 23 2 8" xfId="13134"/>
    <cellStyle name="Обычный 2 2 23 3" xfId="13135"/>
    <cellStyle name="Обычный 2 2 23 3 2" xfId="13136"/>
    <cellStyle name="Обычный 2 2 23 3 3" xfId="13137"/>
    <cellStyle name="Обычный 2 2 23 3 4" xfId="13138"/>
    <cellStyle name="Обычный 2 2 23 3 5" xfId="13139"/>
    <cellStyle name="Обычный 2 2 23 3 6" xfId="13140"/>
    <cellStyle name="Обычный 2 2 23 4" xfId="13141"/>
    <cellStyle name="Обычный 2 2 23 4 2" xfId="13142"/>
    <cellStyle name="Обычный 2 2 23 4 3" xfId="13143"/>
    <cellStyle name="Обычный 2 2 23 4 4" xfId="13144"/>
    <cellStyle name="Обычный 2 2 23 4 5" xfId="13145"/>
    <cellStyle name="Обычный 2 2 23 5" xfId="13146"/>
    <cellStyle name="Обычный 2 2 23 6" xfId="13147"/>
    <cellStyle name="Обычный 2 2 23 7" xfId="13148"/>
    <cellStyle name="Обычный 2 2 23 8" xfId="13149"/>
    <cellStyle name="Обычный 2 2 24" xfId="13150"/>
    <cellStyle name="Обычный 2 2 24 2" xfId="13151"/>
    <cellStyle name="Обычный 2 2 24 2 2" xfId="13152"/>
    <cellStyle name="Обычный 2 2 24 2 3" xfId="13153"/>
    <cellStyle name="Обычный 2 2 24 2 4" xfId="13154"/>
    <cellStyle name="Обычный 2 2 24 2 5" xfId="13155"/>
    <cellStyle name="Обычный 2 2 24 3" xfId="13156"/>
    <cellStyle name="Обычный 2 2 24 3 2" xfId="13157"/>
    <cellStyle name="Обычный 2 2 24 3 3" xfId="13158"/>
    <cellStyle name="Обычный 2 2 24 3 4" xfId="13159"/>
    <cellStyle name="Обычный 2 2 24 3 5" xfId="13160"/>
    <cellStyle name="Обычный 2 2 24 4" xfId="13161"/>
    <cellStyle name="Обычный 2 2 24 5" xfId="13162"/>
    <cellStyle name="Обычный 2 2 24 6" xfId="13163"/>
    <cellStyle name="Обычный 2 2 24 7" xfId="13164"/>
    <cellStyle name="Обычный 2 2 25" xfId="13165"/>
    <cellStyle name="Обычный 2 2 25 2" xfId="13166"/>
    <cellStyle name="Обычный 2 2 25 3" xfId="13167"/>
    <cellStyle name="Обычный 2 2 25 4" xfId="13168"/>
    <cellStyle name="Обычный 2 2 25 5" xfId="13169"/>
    <cellStyle name="Обычный 2 2 26" xfId="13170"/>
    <cellStyle name="Обычный 2 2 26 2" xfId="13171"/>
    <cellStyle name="Обычный 2 2 26 3" xfId="13172"/>
    <cellStyle name="Обычный 2 2 26 4" xfId="13173"/>
    <cellStyle name="Обычный 2 2 26 5" xfId="13174"/>
    <cellStyle name="Обычный 2 2 27" xfId="13175"/>
    <cellStyle name="Обычный 2 2 27 2" xfId="13176"/>
    <cellStyle name="Обычный 2 2 27 3" xfId="13177"/>
    <cellStyle name="Обычный 2 2 27 4" xfId="13178"/>
    <cellStyle name="Обычный 2 2 27 5" xfId="13179"/>
    <cellStyle name="Обычный 2 2 28" xfId="13180"/>
    <cellStyle name="Обычный 2 2 29" xfId="13181"/>
    <cellStyle name="Обычный 2 2 3" xfId="13182"/>
    <cellStyle name="Обычный 2 2 3 10" xfId="13183"/>
    <cellStyle name="Обычный 2 2 3 11" xfId="13184"/>
    <cellStyle name="Обычный 2 2 3 12" xfId="13185"/>
    <cellStyle name="Обычный 2 2 3 13" xfId="13186"/>
    <cellStyle name="Обычный 2 2 3 2" xfId="13187"/>
    <cellStyle name="Обычный 2 2 3 2 10" xfId="13188"/>
    <cellStyle name="Обычный 2 2 3 2 11" xfId="13189"/>
    <cellStyle name="Обычный 2 2 3 2 12" xfId="13190"/>
    <cellStyle name="Обычный 2 2 3 2 2" xfId="13191"/>
    <cellStyle name="Обычный 2 2 3 2 2 10" xfId="13192"/>
    <cellStyle name="Обычный 2 2 3 2 2 11" xfId="13193"/>
    <cellStyle name="Обычный 2 2 3 2 2 12" xfId="13194"/>
    <cellStyle name="Обычный 2 2 3 2 2 2" xfId="13195"/>
    <cellStyle name="Обычный 2 2 3 2 2 2 2" xfId="13196"/>
    <cellStyle name="Обычный 2 2 3 2 2 2 3" xfId="13197"/>
    <cellStyle name="Обычный 2 2 3 2 2 2 4" xfId="13198"/>
    <cellStyle name="Обычный 2 2 3 2 2 2 5" xfId="13199"/>
    <cellStyle name="Обычный 2 2 3 2 2 2 6" xfId="13200"/>
    <cellStyle name="Обычный 2 2 3 2 2 2 7" xfId="13201"/>
    <cellStyle name="Обычный 2 2 3 2 2 2 8" xfId="13202"/>
    <cellStyle name="Обычный 2 2 3 2 2 2 9" xfId="13203"/>
    <cellStyle name="Обычный 2 2 3 2 2 3" xfId="13204"/>
    <cellStyle name="Обычный 2 2 3 2 2 3 2" xfId="13205"/>
    <cellStyle name="Обычный 2 2 3 2 2 3 3" xfId="13206"/>
    <cellStyle name="Обычный 2 2 3 2 2 3 4" xfId="13207"/>
    <cellStyle name="Обычный 2 2 3 2 2 3 5" xfId="13208"/>
    <cellStyle name="Обычный 2 2 3 2 2 3 6" xfId="13209"/>
    <cellStyle name="Обычный 2 2 3 2 2 3 7" xfId="13210"/>
    <cellStyle name="Обычный 2 2 3 2 2 3 8" xfId="13211"/>
    <cellStyle name="Обычный 2 2 3 2 2 3 9" xfId="13212"/>
    <cellStyle name="Обычный 2 2 3 2 2 4" xfId="13213"/>
    <cellStyle name="Обычный 2 2 3 2 2 4 2" xfId="13214"/>
    <cellStyle name="Обычный 2 2 3 2 2 4 3" xfId="13215"/>
    <cellStyle name="Обычный 2 2 3 2 2 4 4" xfId="13216"/>
    <cellStyle name="Обычный 2 2 3 2 2 4 5" xfId="13217"/>
    <cellStyle name="Обычный 2 2 3 2 2 4 6" xfId="13218"/>
    <cellStyle name="Обычный 2 2 3 2 2 4 7" xfId="13219"/>
    <cellStyle name="Обычный 2 2 3 2 2 4 8" xfId="13220"/>
    <cellStyle name="Обычный 2 2 3 2 2 4 9" xfId="13221"/>
    <cellStyle name="Обычный 2 2 3 2 2 5" xfId="13222"/>
    <cellStyle name="Обычный 2 2 3 2 2 6" xfId="13223"/>
    <cellStyle name="Обычный 2 2 3 2 2 7" xfId="13224"/>
    <cellStyle name="Обычный 2 2 3 2 2 8" xfId="13225"/>
    <cellStyle name="Обычный 2 2 3 2 2 9" xfId="13226"/>
    <cellStyle name="Обычный 2 2 3 2 3" xfId="13227"/>
    <cellStyle name="Обычный 2 2 3 2 3 10" xfId="13228"/>
    <cellStyle name="Обычный 2 2 3 2 3 11" xfId="13229"/>
    <cellStyle name="Обычный 2 2 3 2 3 2" xfId="13230"/>
    <cellStyle name="Обычный 2 2 3 2 3 2 2" xfId="13231"/>
    <cellStyle name="Обычный 2 2 3 2 3 2 3" xfId="13232"/>
    <cellStyle name="Обычный 2 2 3 2 3 2 4" xfId="13233"/>
    <cellStyle name="Обычный 2 2 3 2 3 2 5" xfId="13234"/>
    <cellStyle name="Обычный 2 2 3 2 3 2 6" xfId="13235"/>
    <cellStyle name="Обычный 2 2 3 2 3 2 7" xfId="13236"/>
    <cellStyle name="Обычный 2 2 3 2 3 2 8" xfId="13237"/>
    <cellStyle name="Обычный 2 2 3 2 3 2 9" xfId="13238"/>
    <cellStyle name="Обычный 2 2 3 2 3 3" xfId="13239"/>
    <cellStyle name="Обычный 2 2 3 2 3 3 2" xfId="13240"/>
    <cellStyle name="Обычный 2 2 3 2 3 3 3" xfId="13241"/>
    <cellStyle name="Обычный 2 2 3 2 3 3 4" xfId="13242"/>
    <cellStyle name="Обычный 2 2 3 2 3 3 5" xfId="13243"/>
    <cellStyle name="Обычный 2 2 3 2 3 3 6" xfId="13244"/>
    <cellStyle name="Обычный 2 2 3 2 3 3 7" xfId="13245"/>
    <cellStyle name="Обычный 2 2 3 2 3 3 8" xfId="13246"/>
    <cellStyle name="Обычный 2 2 3 2 3 3 9" xfId="13247"/>
    <cellStyle name="Обычный 2 2 3 2 3 4" xfId="13248"/>
    <cellStyle name="Обычный 2 2 3 2 3 5" xfId="13249"/>
    <cellStyle name="Обычный 2 2 3 2 3 6" xfId="13250"/>
    <cellStyle name="Обычный 2 2 3 2 3 7" xfId="13251"/>
    <cellStyle name="Обычный 2 2 3 2 3 8" xfId="13252"/>
    <cellStyle name="Обычный 2 2 3 2 3 9" xfId="13253"/>
    <cellStyle name="Обычный 2 2 3 2 4" xfId="13254"/>
    <cellStyle name="Обычный 2 2 3 2 4 2" xfId="13255"/>
    <cellStyle name="Обычный 2 2 3 2 4 3" xfId="13256"/>
    <cellStyle name="Обычный 2 2 3 2 4 4" xfId="13257"/>
    <cellStyle name="Обычный 2 2 3 2 4 5" xfId="13258"/>
    <cellStyle name="Обычный 2 2 3 2 4 6" xfId="13259"/>
    <cellStyle name="Обычный 2 2 3 2 4 7" xfId="13260"/>
    <cellStyle name="Обычный 2 2 3 2 4 8" xfId="13261"/>
    <cellStyle name="Обычный 2 2 3 2 4 9" xfId="13262"/>
    <cellStyle name="Обычный 2 2 3 2 5" xfId="13263"/>
    <cellStyle name="Обычный 2 2 3 2 6" xfId="13264"/>
    <cellStyle name="Обычный 2 2 3 2 7" xfId="13265"/>
    <cellStyle name="Обычный 2 2 3 2 8" xfId="13266"/>
    <cellStyle name="Обычный 2 2 3 2 9" xfId="13267"/>
    <cellStyle name="Обычный 2 2 3 3" xfId="13268"/>
    <cellStyle name="Обычный 2 2 3 3 10" xfId="13269"/>
    <cellStyle name="Обычный 2 2 3 3 11" xfId="13270"/>
    <cellStyle name="Обычный 2 2 3 3 12" xfId="13271"/>
    <cellStyle name="Обычный 2 2 3 3 2" xfId="13272"/>
    <cellStyle name="Обычный 2 2 3 3 2 2" xfId="13273"/>
    <cellStyle name="Обычный 2 2 3 3 2 3" xfId="13274"/>
    <cellStyle name="Обычный 2 2 3 3 2 4" xfId="13275"/>
    <cellStyle name="Обычный 2 2 3 3 2 5" xfId="13276"/>
    <cellStyle name="Обычный 2 2 3 3 2 6" xfId="13277"/>
    <cellStyle name="Обычный 2 2 3 3 2 7" xfId="13278"/>
    <cellStyle name="Обычный 2 2 3 3 2 8" xfId="13279"/>
    <cellStyle name="Обычный 2 2 3 3 2 9" xfId="13280"/>
    <cellStyle name="Обычный 2 2 3 3 3" xfId="13281"/>
    <cellStyle name="Обычный 2 2 3 3 3 2" xfId="13282"/>
    <cellStyle name="Обычный 2 2 3 3 3 3" xfId="13283"/>
    <cellStyle name="Обычный 2 2 3 3 3 4" xfId="13284"/>
    <cellStyle name="Обычный 2 2 3 3 3 5" xfId="13285"/>
    <cellStyle name="Обычный 2 2 3 3 3 6" xfId="13286"/>
    <cellStyle name="Обычный 2 2 3 3 3 7" xfId="13287"/>
    <cellStyle name="Обычный 2 2 3 3 3 8" xfId="13288"/>
    <cellStyle name="Обычный 2 2 3 3 3 9" xfId="13289"/>
    <cellStyle name="Обычный 2 2 3 3 4" xfId="13290"/>
    <cellStyle name="Обычный 2 2 3 3 4 2" xfId="13291"/>
    <cellStyle name="Обычный 2 2 3 3 4 3" xfId="13292"/>
    <cellStyle name="Обычный 2 2 3 3 4 4" xfId="13293"/>
    <cellStyle name="Обычный 2 2 3 3 4 5" xfId="13294"/>
    <cellStyle name="Обычный 2 2 3 3 4 6" xfId="13295"/>
    <cellStyle name="Обычный 2 2 3 3 4 7" xfId="13296"/>
    <cellStyle name="Обычный 2 2 3 3 4 8" xfId="13297"/>
    <cellStyle name="Обычный 2 2 3 3 4 9" xfId="13298"/>
    <cellStyle name="Обычный 2 2 3 3 5" xfId="13299"/>
    <cellStyle name="Обычный 2 2 3 3 6" xfId="13300"/>
    <cellStyle name="Обычный 2 2 3 3 7" xfId="13301"/>
    <cellStyle name="Обычный 2 2 3 3 8" xfId="13302"/>
    <cellStyle name="Обычный 2 2 3 3 9" xfId="13303"/>
    <cellStyle name="Обычный 2 2 3 4" xfId="13304"/>
    <cellStyle name="Обычный 2 2 3 4 10" xfId="13305"/>
    <cellStyle name="Обычный 2 2 3 4 11" xfId="13306"/>
    <cellStyle name="Обычный 2 2 3 4 2" xfId="13307"/>
    <cellStyle name="Обычный 2 2 3 4 2 2" xfId="13308"/>
    <cellStyle name="Обычный 2 2 3 4 2 3" xfId="13309"/>
    <cellStyle name="Обычный 2 2 3 4 2 4" xfId="13310"/>
    <cellStyle name="Обычный 2 2 3 4 2 5" xfId="13311"/>
    <cellStyle name="Обычный 2 2 3 4 2 6" xfId="13312"/>
    <cellStyle name="Обычный 2 2 3 4 2 7" xfId="13313"/>
    <cellStyle name="Обычный 2 2 3 4 2 8" xfId="13314"/>
    <cellStyle name="Обычный 2 2 3 4 2 9" xfId="13315"/>
    <cellStyle name="Обычный 2 2 3 4 3" xfId="13316"/>
    <cellStyle name="Обычный 2 2 3 4 3 2" xfId="13317"/>
    <cellStyle name="Обычный 2 2 3 4 3 3" xfId="13318"/>
    <cellStyle name="Обычный 2 2 3 4 3 4" xfId="13319"/>
    <cellStyle name="Обычный 2 2 3 4 3 5" xfId="13320"/>
    <cellStyle name="Обычный 2 2 3 4 3 6" xfId="13321"/>
    <cellStyle name="Обычный 2 2 3 4 3 7" xfId="13322"/>
    <cellStyle name="Обычный 2 2 3 4 3 8" xfId="13323"/>
    <cellStyle name="Обычный 2 2 3 4 3 9" xfId="13324"/>
    <cellStyle name="Обычный 2 2 3 4 4" xfId="13325"/>
    <cellStyle name="Обычный 2 2 3 4 5" xfId="13326"/>
    <cellStyle name="Обычный 2 2 3 4 6" xfId="13327"/>
    <cellStyle name="Обычный 2 2 3 4 7" xfId="13328"/>
    <cellStyle name="Обычный 2 2 3 4 8" xfId="13329"/>
    <cellStyle name="Обычный 2 2 3 4 9" xfId="13330"/>
    <cellStyle name="Обычный 2 2 3 5" xfId="13331"/>
    <cellStyle name="Обычный 2 2 3 5 2" xfId="13332"/>
    <cellStyle name="Обычный 2 2 3 5 3" xfId="13333"/>
    <cellStyle name="Обычный 2 2 3 5 4" xfId="13334"/>
    <cellStyle name="Обычный 2 2 3 5 5" xfId="13335"/>
    <cellStyle name="Обычный 2 2 3 5 6" xfId="13336"/>
    <cellStyle name="Обычный 2 2 3 5 7" xfId="13337"/>
    <cellStyle name="Обычный 2 2 3 5 8" xfId="13338"/>
    <cellStyle name="Обычный 2 2 3 5 9" xfId="13339"/>
    <cellStyle name="Обычный 2 2 3 6" xfId="13340"/>
    <cellStyle name="Обычный 2 2 3 7" xfId="13341"/>
    <cellStyle name="Обычный 2 2 3 8" xfId="13342"/>
    <cellStyle name="Обычный 2 2 3 9" xfId="13343"/>
    <cellStyle name="Обычный 2 2 30" xfId="13344"/>
    <cellStyle name="Обычный 2 2 30 2" xfId="13345"/>
    <cellStyle name="Обычный 2 2 30 3" xfId="13346"/>
    <cellStyle name="Обычный 2 2 30 4" xfId="13347"/>
    <cellStyle name="Обычный 2 2 30 5" xfId="13348"/>
    <cellStyle name="Обычный 2 2 30 6" xfId="13349"/>
    <cellStyle name="Обычный 2 2 30 7" xfId="13350"/>
    <cellStyle name="Обычный 2 2 31" xfId="13351"/>
    <cellStyle name="Обычный 2 2 31 2" xfId="13352"/>
    <cellStyle name="Обычный 2 2 31 3" xfId="13353"/>
    <cellStyle name="Обычный 2 2 31 4" xfId="13354"/>
    <cellStyle name="Обычный 2 2 31 5" xfId="13355"/>
    <cellStyle name="Обычный 2 2 32" xfId="13356"/>
    <cellStyle name="Обычный 2 2 33" xfId="13357"/>
    <cellStyle name="Обычный 2 2 34" xfId="13358"/>
    <cellStyle name="Обычный 2 2 34 2" xfId="13359"/>
    <cellStyle name="Обычный 2 2 34 2 2" xfId="13360"/>
    <cellStyle name="Обычный 2 2 34 2 2 2" xfId="13361"/>
    <cellStyle name="Обычный 2 2 34 2 2 2 2" xfId="13362"/>
    <cellStyle name="Обычный 2 2 34 2 3" xfId="13363"/>
    <cellStyle name="Обычный 2 2 34 3" xfId="13364"/>
    <cellStyle name="Обычный 2 2 34 3 2" xfId="13365"/>
    <cellStyle name="Обычный 2 2 35" xfId="13366"/>
    <cellStyle name="Обычный 2 2 35 2" xfId="13367"/>
    <cellStyle name="Обычный 2 2 35 2 2" xfId="13368"/>
    <cellStyle name="Обычный 2 2 36" xfId="13369"/>
    <cellStyle name="Обычный 2 2 4" xfId="13370"/>
    <cellStyle name="Обычный 2 2 4 10" xfId="13371"/>
    <cellStyle name="Обычный 2 2 4 11" xfId="13372"/>
    <cellStyle name="Обычный 2 2 4 12" xfId="13373"/>
    <cellStyle name="Обычный 2 2 4 2" xfId="13374"/>
    <cellStyle name="Обычный 2 2 4 2 10" xfId="13375"/>
    <cellStyle name="Обычный 2 2 4 2 11" xfId="13376"/>
    <cellStyle name="Обычный 2 2 4 2 12" xfId="13377"/>
    <cellStyle name="Обычный 2 2 4 2 2" xfId="13378"/>
    <cellStyle name="Обычный 2 2 4 2 2 2" xfId="13379"/>
    <cellStyle name="Обычный 2 2 4 2 2 3" xfId="13380"/>
    <cellStyle name="Обычный 2 2 4 2 2 4" xfId="13381"/>
    <cellStyle name="Обычный 2 2 4 2 2 5" xfId="13382"/>
    <cellStyle name="Обычный 2 2 4 2 2 6" xfId="13383"/>
    <cellStyle name="Обычный 2 2 4 2 2 7" xfId="13384"/>
    <cellStyle name="Обычный 2 2 4 2 2 8" xfId="13385"/>
    <cellStyle name="Обычный 2 2 4 2 2 9" xfId="13386"/>
    <cellStyle name="Обычный 2 2 4 2 3" xfId="13387"/>
    <cellStyle name="Обычный 2 2 4 2 3 2" xfId="13388"/>
    <cellStyle name="Обычный 2 2 4 2 3 3" xfId="13389"/>
    <cellStyle name="Обычный 2 2 4 2 3 4" xfId="13390"/>
    <cellStyle name="Обычный 2 2 4 2 3 5" xfId="13391"/>
    <cellStyle name="Обычный 2 2 4 2 3 6" xfId="13392"/>
    <cellStyle name="Обычный 2 2 4 2 3 7" xfId="13393"/>
    <cellStyle name="Обычный 2 2 4 2 3 8" xfId="13394"/>
    <cellStyle name="Обычный 2 2 4 2 3 9" xfId="13395"/>
    <cellStyle name="Обычный 2 2 4 2 4" xfId="13396"/>
    <cellStyle name="Обычный 2 2 4 2 4 2" xfId="13397"/>
    <cellStyle name="Обычный 2 2 4 2 4 3" xfId="13398"/>
    <cellStyle name="Обычный 2 2 4 2 4 4" xfId="13399"/>
    <cellStyle name="Обычный 2 2 4 2 4 5" xfId="13400"/>
    <cellStyle name="Обычный 2 2 4 2 4 6" xfId="13401"/>
    <cellStyle name="Обычный 2 2 4 2 4 7" xfId="13402"/>
    <cellStyle name="Обычный 2 2 4 2 4 8" xfId="13403"/>
    <cellStyle name="Обычный 2 2 4 2 4 9" xfId="13404"/>
    <cellStyle name="Обычный 2 2 4 2 5" xfId="13405"/>
    <cellStyle name="Обычный 2 2 4 2 6" xfId="13406"/>
    <cellStyle name="Обычный 2 2 4 2 7" xfId="13407"/>
    <cellStyle name="Обычный 2 2 4 2 8" xfId="13408"/>
    <cellStyle name="Обычный 2 2 4 2 9" xfId="13409"/>
    <cellStyle name="Обычный 2 2 4 3" xfId="13410"/>
    <cellStyle name="Обычный 2 2 4 3 10" xfId="13411"/>
    <cellStyle name="Обычный 2 2 4 3 11" xfId="13412"/>
    <cellStyle name="Обычный 2 2 4 3 2" xfId="13413"/>
    <cellStyle name="Обычный 2 2 4 3 2 2" xfId="13414"/>
    <cellStyle name="Обычный 2 2 4 3 2 3" xfId="13415"/>
    <cellStyle name="Обычный 2 2 4 3 2 4" xfId="13416"/>
    <cellStyle name="Обычный 2 2 4 3 2 5" xfId="13417"/>
    <cellStyle name="Обычный 2 2 4 3 2 6" xfId="13418"/>
    <cellStyle name="Обычный 2 2 4 3 2 7" xfId="13419"/>
    <cellStyle name="Обычный 2 2 4 3 2 8" xfId="13420"/>
    <cellStyle name="Обычный 2 2 4 3 2 9" xfId="13421"/>
    <cellStyle name="Обычный 2 2 4 3 3" xfId="13422"/>
    <cellStyle name="Обычный 2 2 4 3 3 2" xfId="13423"/>
    <cellStyle name="Обычный 2 2 4 3 3 3" xfId="13424"/>
    <cellStyle name="Обычный 2 2 4 3 3 4" xfId="13425"/>
    <cellStyle name="Обычный 2 2 4 3 3 5" xfId="13426"/>
    <cellStyle name="Обычный 2 2 4 3 3 6" xfId="13427"/>
    <cellStyle name="Обычный 2 2 4 3 3 7" xfId="13428"/>
    <cellStyle name="Обычный 2 2 4 3 3 8" xfId="13429"/>
    <cellStyle name="Обычный 2 2 4 3 3 9" xfId="13430"/>
    <cellStyle name="Обычный 2 2 4 3 4" xfId="13431"/>
    <cellStyle name="Обычный 2 2 4 3 5" xfId="13432"/>
    <cellStyle name="Обычный 2 2 4 3 6" xfId="13433"/>
    <cellStyle name="Обычный 2 2 4 3 7" xfId="13434"/>
    <cellStyle name="Обычный 2 2 4 3 8" xfId="13435"/>
    <cellStyle name="Обычный 2 2 4 3 9" xfId="13436"/>
    <cellStyle name="Обычный 2 2 4 4" xfId="13437"/>
    <cellStyle name="Обычный 2 2 4 4 2" xfId="13438"/>
    <cellStyle name="Обычный 2 2 4 4 3" xfId="13439"/>
    <cellStyle name="Обычный 2 2 4 4 4" xfId="13440"/>
    <cellStyle name="Обычный 2 2 4 4 5" xfId="13441"/>
    <cellStyle name="Обычный 2 2 4 4 6" xfId="13442"/>
    <cellStyle name="Обычный 2 2 4 4 7" xfId="13443"/>
    <cellStyle name="Обычный 2 2 4 4 8" xfId="13444"/>
    <cellStyle name="Обычный 2 2 4 4 9" xfId="13445"/>
    <cellStyle name="Обычный 2 2 4 5" xfId="13446"/>
    <cellStyle name="Обычный 2 2 4 6" xfId="13447"/>
    <cellStyle name="Обычный 2 2 4 7" xfId="13448"/>
    <cellStyle name="Обычный 2 2 4 8" xfId="13449"/>
    <cellStyle name="Обычный 2 2 4 9" xfId="13450"/>
    <cellStyle name="Обычный 2 2 5" xfId="13451"/>
    <cellStyle name="Обычный 2 2 5 10" xfId="13452"/>
    <cellStyle name="Обычный 2 2 5 11" xfId="13453"/>
    <cellStyle name="Обычный 2 2 5 12" xfId="13454"/>
    <cellStyle name="Обычный 2 2 5 2" xfId="13455"/>
    <cellStyle name="Обычный 2 2 5 2 10" xfId="13456"/>
    <cellStyle name="Обычный 2 2 5 2 11" xfId="13457"/>
    <cellStyle name="Обычный 2 2 5 2 12" xfId="13458"/>
    <cellStyle name="Обычный 2 2 5 2 2" xfId="13459"/>
    <cellStyle name="Обычный 2 2 5 2 2 2" xfId="13460"/>
    <cellStyle name="Обычный 2 2 5 2 2 3" xfId="13461"/>
    <cellStyle name="Обычный 2 2 5 2 2 4" xfId="13462"/>
    <cellStyle name="Обычный 2 2 5 2 2 5" xfId="13463"/>
    <cellStyle name="Обычный 2 2 5 2 2 6" xfId="13464"/>
    <cellStyle name="Обычный 2 2 5 2 2 7" xfId="13465"/>
    <cellStyle name="Обычный 2 2 5 2 2 8" xfId="13466"/>
    <cellStyle name="Обычный 2 2 5 2 2 9" xfId="13467"/>
    <cellStyle name="Обычный 2 2 5 2 3" xfId="13468"/>
    <cellStyle name="Обычный 2 2 5 2 3 2" xfId="13469"/>
    <cellStyle name="Обычный 2 2 5 2 3 3" xfId="13470"/>
    <cellStyle name="Обычный 2 2 5 2 3 4" xfId="13471"/>
    <cellStyle name="Обычный 2 2 5 2 3 5" xfId="13472"/>
    <cellStyle name="Обычный 2 2 5 2 3 6" xfId="13473"/>
    <cellStyle name="Обычный 2 2 5 2 3 7" xfId="13474"/>
    <cellStyle name="Обычный 2 2 5 2 3 8" xfId="13475"/>
    <cellStyle name="Обычный 2 2 5 2 3 9" xfId="13476"/>
    <cellStyle name="Обычный 2 2 5 2 4" xfId="13477"/>
    <cellStyle name="Обычный 2 2 5 2 4 2" xfId="13478"/>
    <cellStyle name="Обычный 2 2 5 2 4 3" xfId="13479"/>
    <cellStyle name="Обычный 2 2 5 2 4 4" xfId="13480"/>
    <cellStyle name="Обычный 2 2 5 2 4 5" xfId="13481"/>
    <cellStyle name="Обычный 2 2 5 2 4 6" xfId="13482"/>
    <cellStyle name="Обычный 2 2 5 2 4 7" xfId="13483"/>
    <cellStyle name="Обычный 2 2 5 2 4 8" xfId="13484"/>
    <cellStyle name="Обычный 2 2 5 2 4 9" xfId="13485"/>
    <cellStyle name="Обычный 2 2 5 2 5" xfId="13486"/>
    <cellStyle name="Обычный 2 2 5 2 6" xfId="13487"/>
    <cellStyle name="Обычный 2 2 5 2 7" xfId="13488"/>
    <cellStyle name="Обычный 2 2 5 2 8" xfId="13489"/>
    <cellStyle name="Обычный 2 2 5 2 9" xfId="13490"/>
    <cellStyle name="Обычный 2 2 5 3" xfId="13491"/>
    <cellStyle name="Обычный 2 2 5 3 10" xfId="13492"/>
    <cellStyle name="Обычный 2 2 5 3 11" xfId="13493"/>
    <cellStyle name="Обычный 2 2 5 3 2" xfId="13494"/>
    <cellStyle name="Обычный 2 2 5 3 2 2" xfId="13495"/>
    <cellStyle name="Обычный 2 2 5 3 2 3" xfId="13496"/>
    <cellStyle name="Обычный 2 2 5 3 2 4" xfId="13497"/>
    <cellStyle name="Обычный 2 2 5 3 2 5" xfId="13498"/>
    <cellStyle name="Обычный 2 2 5 3 2 6" xfId="13499"/>
    <cellStyle name="Обычный 2 2 5 3 2 7" xfId="13500"/>
    <cellStyle name="Обычный 2 2 5 3 2 8" xfId="13501"/>
    <cellStyle name="Обычный 2 2 5 3 2 9" xfId="13502"/>
    <cellStyle name="Обычный 2 2 5 3 3" xfId="13503"/>
    <cellStyle name="Обычный 2 2 5 3 3 2" xfId="13504"/>
    <cellStyle name="Обычный 2 2 5 3 3 3" xfId="13505"/>
    <cellStyle name="Обычный 2 2 5 3 3 4" xfId="13506"/>
    <cellStyle name="Обычный 2 2 5 3 3 5" xfId="13507"/>
    <cellStyle name="Обычный 2 2 5 3 3 6" xfId="13508"/>
    <cellStyle name="Обычный 2 2 5 3 3 7" xfId="13509"/>
    <cellStyle name="Обычный 2 2 5 3 3 8" xfId="13510"/>
    <cellStyle name="Обычный 2 2 5 3 3 9" xfId="13511"/>
    <cellStyle name="Обычный 2 2 5 3 4" xfId="13512"/>
    <cellStyle name="Обычный 2 2 5 3 5" xfId="13513"/>
    <cellStyle name="Обычный 2 2 5 3 6" xfId="13514"/>
    <cellStyle name="Обычный 2 2 5 3 7" xfId="13515"/>
    <cellStyle name="Обычный 2 2 5 3 8" xfId="13516"/>
    <cellStyle name="Обычный 2 2 5 3 9" xfId="13517"/>
    <cellStyle name="Обычный 2 2 5 4" xfId="13518"/>
    <cellStyle name="Обычный 2 2 5 4 2" xfId="13519"/>
    <cellStyle name="Обычный 2 2 5 4 3" xfId="13520"/>
    <cellStyle name="Обычный 2 2 5 4 4" xfId="13521"/>
    <cellStyle name="Обычный 2 2 5 4 5" xfId="13522"/>
    <cellStyle name="Обычный 2 2 5 4 6" xfId="13523"/>
    <cellStyle name="Обычный 2 2 5 4 7" xfId="13524"/>
    <cellStyle name="Обычный 2 2 5 4 8" xfId="13525"/>
    <cellStyle name="Обычный 2 2 5 4 9" xfId="13526"/>
    <cellStyle name="Обычный 2 2 5 5" xfId="13527"/>
    <cellStyle name="Обычный 2 2 5 6" xfId="13528"/>
    <cellStyle name="Обычный 2 2 5 7" xfId="13529"/>
    <cellStyle name="Обычный 2 2 5 8" xfId="13530"/>
    <cellStyle name="Обычный 2 2 5 9" xfId="13531"/>
    <cellStyle name="Обычный 2 2 6" xfId="13532"/>
    <cellStyle name="Обычный 2 2 6 10" xfId="13533"/>
    <cellStyle name="Обычный 2 2 6 11" xfId="13534"/>
    <cellStyle name="Обычный 2 2 6 12" xfId="13535"/>
    <cellStyle name="Обычный 2 2 6 2" xfId="13536"/>
    <cellStyle name="Обычный 2 2 6 2 10" xfId="13537"/>
    <cellStyle name="Обычный 2 2 6 2 11" xfId="13538"/>
    <cellStyle name="Обычный 2 2 6 2 12" xfId="13539"/>
    <cellStyle name="Обычный 2 2 6 2 2" xfId="13540"/>
    <cellStyle name="Обычный 2 2 6 2 2 2" xfId="13541"/>
    <cellStyle name="Обычный 2 2 6 2 2 3" xfId="13542"/>
    <cellStyle name="Обычный 2 2 6 2 2 4" xfId="13543"/>
    <cellStyle name="Обычный 2 2 6 2 2 5" xfId="13544"/>
    <cellStyle name="Обычный 2 2 6 2 2 6" xfId="13545"/>
    <cellStyle name="Обычный 2 2 6 2 2 7" xfId="13546"/>
    <cellStyle name="Обычный 2 2 6 2 2 8" xfId="13547"/>
    <cellStyle name="Обычный 2 2 6 2 2 9" xfId="13548"/>
    <cellStyle name="Обычный 2 2 6 2 3" xfId="13549"/>
    <cellStyle name="Обычный 2 2 6 2 3 2" xfId="13550"/>
    <cellStyle name="Обычный 2 2 6 2 3 3" xfId="13551"/>
    <cellStyle name="Обычный 2 2 6 2 3 4" xfId="13552"/>
    <cellStyle name="Обычный 2 2 6 2 3 5" xfId="13553"/>
    <cellStyle name="Обычный 2 2 6 2 3 6" xfId="13554"/>
    <cellStyle name="Обычный 2 2 6 2 3 7" xfId="13555"/>
    <cellStyle name="Обычный 2 2 6 2 3 8" xfId="13556"/>
    <cellStyle name="Обычный 2 2 6 2 3 9" xfId="13557"/>
    <cellStyle name="Обычный 2 2 6 2 4" xfId="13558"/>
    <cellStyle name="Обычный 2 2 6 2 4 2" xfId="13559"/>
    <cellStyle name="Обычный 2 2 6 2 4 3" xfId="13560"/>
    <cellStyle name="Обычный 2 2 6 2 4 4" xfId="13561"/>
    <cellStyle name="Обычный 2 2 6 2 4 5" xfId="13562"/>
    <cellStyle name="Обычный 2 2 6 2 4 6" xfId="13563"/>
    <cellStyle name="Обычный 2 2 6 2 4 7" xfId="13564"/>
    <cellStyle name="Обычный 2 2 6 2 4 8" xfId="13565"/>
    <cellStyle name="Обычный 2 2 6 2 4 9" xfId="13566"/>
    <cellStyle name="Обычный 2 2 6 2 5" xfId="13567"/>
    <cellStyle name="Обычный 2 2 6 2 6" xfId="13568"/>
    <cellStyle name="Обычный 2 2 6 2 7" xfId="13569"/>
    <cellStyle name="Обычный 2 2 6 2 8" xfId="13570"/>
    <cellStyle name="Обычный 2 2 6 2 9" xfId="13571"/>
    <cellStyle name="Обычный 2 2 6 3" xfId="13572"/>
    <cellStyle name="Обычный 2 2 6 3 10" xfId="13573"/>
    <cellStyle name="Обычный 2 2 6 3 11" xfId="13574"/>
    <cellStyle name="Обычный 2 2 6 3 2" xfId="13575"/>
    <cellStyle name="Обычный 2 2 6 3 2 2" xfId="13576"/>
    <cellStyle name="Обычный 2 2 6 3 2 3" xfId="13577"/>
    <cellStyle name="Обычный 2 2 6 3 2 4" xfId="13578"/>
    <cellStyle name="Обычный 2 2 6 3 2 5" xfId="13579"/>
    <cellStyle name="Обычный 2 2 6 3 2 6" xfId="13580"/>
    <cellStyle name="Обычный 2 2 6 3 2 7" xfId="13581"/>
    <cellStyle name="Обычный 2 2 6 3 2 8" xfId="13582"/>
    <cellStyle name="Обычный 2 2 6 3 2 9" xfId="13583"/>
    <cellStyle name="Обычный 2 2 6 3 3" xfId="13584"/>
    <cellStyle name="Обычный 2 2 6 3 3 2" xfId="13585"/>
    <cellStyle name="Обычный 2 2 6 3 3 3" xfId="13586"/>
    <cellStyle name="Обычный 2 2 6 3 3 4" xfId="13587"/>
    <cellStyle name="Обычный 2 2 6 3 3 5" xfId="13588"/>
    <cellStyle name="Обычный 2 2 6 3 3 6" xfId="13589"/>
    <cellStyle name="Обычный 2 2 6 3 3 7" xfId="13590"/>
    <cellStyle name="Обычный 2 2 6 3 3 8" xfId="13591"/>
    <cellStyle name="Обычный 2 2 6 3 3 9" xfId="13592"/>
    <cellStyle name="Обычный 2 2 6 3 4" xfId="13593"/>
    <cellStyle name="Обычный 2 2 6 3 5" xfId="13594"/>
    <cellStyle name="Обычный 2 2 6 3 6" xfId="13595"/>
    <cellStyle name="Обычный 2 2 6 3 7" xfId="13596"/>
    <cellStyle name="Обычный 2 2 6 3 8" xfId="13597"/>
    <cellStyle name="Обычный 2 2 6 3 9" xfId="13598"/>
    <cellStyle name="Обычный 2 2 6 4" xfId="13599"/>
    <cellStyle name="Обычный 2 2 6 4 2" xfId="13600"/>
    <cellStyle name="Обычный 2 2 6 4 3" xfId="13601"/>
    <cellStyle name="Обычный 2 2 6 4 4" xfId="13602"/>
    <cellStyle name="Обычный 2 2 6 4 5" xfId="13603"/>
    <cellStyle name="Обычный 2 2 6 4 6" xfId="13604"/>
    <cellStyle name="Обычный 2 2 6 4 7" xfId="13605"/>
    <cellStyle name="Обычный 2 2 6 4 8" xfId="13606"/>
    <cellStyle name="Обычный 2 2 6 4 9" xfId="13607"/>
    <cellStyle name="Обычный 2 2 6 5" xfId="13608"/>
    <cellStyle name="Обычный 2 2 6 6" xfId="13609"/>
    <cellStyle name="Обычный 2 2 6 7" xfId="13610"/>
    <cellStyle name="Обычный 2 2 6 8" xfId="13611"/>
    <cellStyle name="Обычный 2 2 6 9" xfId="13612"/>
    <cellStyle name="Обычный 2 2 7" xfId="13613"/>
    <cellStyle name="Обычный 2 2 7 10" xfId="13614"/>
    <cellStyle name="Обычный 2 2 7 11" xfId="13615"/>
    <cellStyle name="Обычный 2 2 7 12" xfId="13616"/>
    <cellStyle name="Обычный 2 2 7 2" xfId="13617"/>
    <cellStyle name="Обычный 2 2 7 2 10" xfId="13618"/>
    <cellStyle name="Обычный 2 2 7 2 11" xfId="13619"/>
    <cellStyle name="Обычный 2 2 7 2 12" xfId="13620"/>
    <cellStyle name="Обычный 2 2 7 2 2" xfId="13621"/>
    <cellStyle name="Обычный 2 2 7 2 2 2" xfId="13622"/>
    <cellStyle name="Обычный 2 2 7 2 2 3" xfId="13623"/>
    <cellStyle name="Обычный 2 2 7 2 2 4" xfId="13624"/>
    <cellStyle name="Обычный 2 2 7 2 2 5" xfId="13625"/>
    <cellStyle name="Обычный 2 2 7 2 2 6" xfId="13626"/>
    <cellStyle name="Обычный 2 2 7 2 2 7" xfId="13627"/>
    <cellStyle name="Обычный 2 2 7 2 2 8" xfId="13628"/>
    <cellStyle name="Обычный 2 2 7 2 2 9" xfId="13629"/>
    <cellStyle name="Обычный 2 2 7 2 3" xfId="13630"/>
    <cellStyle name="Обычный 2 2 7 2 3 2" xfId="13631"/>
    <cellStyle name="Обычный 2 2 7 2 3 3" xfId="13632"/>
    <cellStyle name="Обычный 2 2 7 2 3 4" xfId="13633"/>
    <cellStyle name="Обычный 2 2 7 2 3 5" xfId="13634"/>
    <cellStyle name="Обычный 2 2 7 2 3 6" xfId="13635"/>
    <cellStyle name="Обычный 2 2 7 2 3 7" xfId="13636"/>
    <cellStyle name="Обычный 2 2 7 2 3 8" xfId="13637"/>
    <cellStyle name="Обычный 2 2 7 2 3 9" xfId="13638"/>
    <cellStyle name="Обычный 2 2 7 2 4" xfId="13639"/>
    <cellStyle name="Обычный 2 2 7 2 4 2" xfId="13640"/>
    <cellStyle name="Обычный 2 2 7 2 4 3" xfId="13641"/>
    <cellStyle name="Обычный 2 2 7 2 4 4" xfId="13642"/>
    <cellStyle name="Обычный 2 2 7 2 4 5" xfId="13643"/>
    <cellStyle name="Обычный 2 2 7 2 4 6" xfId="13644"/>
    <cellStyle name="Обычный 2 2 7 2 4 7" xfId="13645"/>
    <cellStyle name="Обычный 2 2 7 2 4 8" xfId="13646"/>
    <cellStyle name="Обычный 2 2 7 2 4 9" xfId="13647"/>
    <cellStyle name="Обычный 2 2 7 2 5" xfId="13648"/>
    <cellStyle name="Обычный 2 2 7 2 6" xfId="13649"/>
    <cellStyle name="Обычный 2 2 7 2 7" xfId="13650"/>
    <cellStyle name="Обычный 2 2 7 2 8" xfId="13651"/>
    <cellStyle name="Обычный 2 2 7 2 9" xfId="13652"/>
    <cellStyle name="Обычный 2 2 7 3" xfId="13653"/>
    <cellStyle name="Обычный 2 2 7 3 10" xfId="13654"/>
    <cellStyle name="Обычный 2 2 7 3 11" xfId="13655"/>
    <cellStyle name="Обычный 2 2 7 3 2" xfId="13656"/>
    <cellStyle name="Обычный 2 2 7 3 2 2" xfId="13657"/>
    <cellStyle name="Обычный 2 2 7 3 2 3" xfId="13658"/>
    <cellStyle name="Обычный 2 2 7 3 2 4" xfId="13659"/>
    <cellStyle name="Обычный 2 2 7 3 2 5" xfId="13660"/>
    <cellStyle name="Обычный 2 2 7 3 2 6" xfId="13661"/>
    <cellStyle name="Обычный 2 2 7 3 2 7" xfId="13662"/>
    <cellStyle name="Обычный 2 2 7 3 2 8" xfId="13663"/>
    <cellStyle name="Обычный 2 2 7 3 2 9" xfId="13664"/>
    <cellStyle name="Обычный 2 2 7 3 3" xfId="13665"/>
    <cellStyle name="Обычный 2 2 7 3 3 2" xfId="13666"/>
    <cellStyle name="Обычный 2 2 7 3 3 3" xfId="13667"/>
    <cellStyle name="Обычный 2 2 7 3 3 4" xfId="13668"/>
    <cellStyle name="Обычный 2 2 7 3 3 5" xfId="13669"/>
    <cellStyle name="Обычный 2 2 7 3 3 6" xfId="13670"/>
    <cellStyle name="Обычный 2 2 7 3 3 7" xfId="13671"/>
    <cellStyle name="Обычный 2 2 7 3 3 8" xfId="13672"/>
    <cellStyle name="Обычный 2 2 7 3 3 9" xfId="13673"/>
    <cellStyle name="Обычный 2 2 7 3 4" xfId="13674"/>
    <cellStyle name="Обычный 2 2 7 3 5" xfId="13675"/>
    <cellStyle name="Обычный 2 2 7 3 6" xfId="13676"/>
    <cellStyle name="Обычный 2 2 7 3 7" xfId="13677"/>
    <cellStyle name="Обычный 2 2 7 3 8" xfId="13678"/>
    <cellStyle name="Обычный 2 2 7 3 9" xfId="13679"/>
    <cellStyle name="Обычный 2 2 7 4" xfId="13680"/>
    <cellStyle name="Обычный 2 2 7 4 2" xfId="13681"/>
    <cellStyle name="Обычный 2 2 7 4 3" xfId="13682"/>
    <cellStyle name="Обычный 2 2 7 4 4" xfId="13683"/>
    <cellStyle name="Обычный 2 2 7 4 5" xfId="13684"/>
    <cellStyle name="Обычный 2 2 7 4 6" xfId="13685"/>
    <cellStyle name="Обычный 2 2 7 4 7" xfId="13686"/>
    <cellStyle name="Обычный 2 2 7 4 8" xfId="13687"/>
    <cellStyle name="Обычный 2 2 7 4 9" xfId="13688"/>
    <cellStyle name="Обычный 2 2 7 5" xfId="13689"/>
    <cellStyle name="Обычный 2 2 7 6" xfId="13690"/>
    <cellStyle name="Обычный 2 2 7 7" xfId="13691"/>
    <cellStyle name="Обычный 2 2 7 8" xfId="13692"/>
    <cellStyle name="Обычный 2 2 7 9" xfId="13693"/>
    <cellStyle name="Обычный 2 2 8" xfId="13694"/>
    <cellStyle name="Обычный 2 2 8 10" xfId="13695"/>
    <cellStyle name="Обычный 2 2 8 11" xfId="13696"/>
    <cellStyle name="Обычный 2 2 8 12" xfId="13697"/>
    <cellStyle name="Обычный 2 2 8 2" xfId="13698"/>
    <cellStyle name="Обычный 2 2 8 2 10" xfId="13699"/>
    <cellStyle name="Обычный 2 2 8 2 11" xfId="13700"/>
    <cellStyle name="Обычный 2 2 8 2 12" xfId="13701"/>
    <cellStyle name="Обычный 2 2 8 2 2" xfId="13702"/>
    <cellStyle name="Обычный 2 2 8 2 2 2" xfId="13703"/>
    <cellStyle name="Обычный 2 2 8 2 2 3" xfId="13704"/>
    <cellStyle name="Обычный 2 2 8 2 2 4" xfId="13705"/>
    <cellStyle name="Обычный 2 2 8 2 2 5" xfId="13706"/>
    <cellStyle name="Обычный 2 2 8 2 2 6" xfId="13707"/>
    <cellStyle name="Обычный 2 2 8 2 2 7" xfId="13708"/>
    <cellStyle name="Обычный 2 2 8 2 2 8" xfId="13709"/>
    <cellStyle name="Обычный 2 2 8 2 2 9" xfId="13710"/>
    <cellStyle name="Обычный 2 2 8 2 3" xfId="13711"/>
    <cellStyle name="Обычный 2 2 8 2 3 2" xfId="13712"/>
    <cellStyle name="Обычный 2 2 8 2 3 3" xfId="13713"/>
    <cellStyle name="Обычный 2 2 8 2 3 4" xfId="13714"/>
    <cellStyle name="Обычный 2 2 8 2 3 5" xfId="13715"/>
    <cellStyle name="Обычный 2 2 8 2 3 6" xfId="13716"/>
    <cellStyle name="Обычный 2 2 8 2 3 7" xfId="13717"/>
    <cellStyle name="Обычный 2 2 8 2 3 8" xfId="13718"/>
    <cellStyle name="Обычный 2 2 8 2 3 9" xfId="13719"/>
    <cellStyle name="Обычный 2 2 8 2 4" xfId="13720"/>
    <cellStyle name="Обычный 2 2 8 2 4 2" xfId="13721"/>
    <cellStyle name="Обычный 2 2 8 2 4 3" xfId="13722"/>
    <cellStyle name="Обычный 2 2 8 2 4 4" xfId="13723"/>
    <cellStyle name="Обычный 2 2 8 2 4 5" xfId="13724"/>
    <cellStyle name="Обычный 2 2 8 2 4 6" xfId="13725"/>
    <cellStyle name="Обычный 2 2 8 2 4 7" xfId="13726"/>
    <cellStyle name="Обычный 2 2 8 2 4 8" xfId="13727"/>
    <cellStyle name="Обычный 2 2 8 2 4 9" xfId="13728"/>
    <cellStyle name="Обычный 2 2 8 2 5" xfId="13729"/>
    <cellStyle name="Обычный 2 2 8 2 6" xfId="13730"/>
    <cellStyle name="Обычный 2 2 8 2 7" xfId="13731"/>
    <cellStyle name="Обычный 2 2 8 2 8" xfId="13732"/>
    <cellStyle name="Обычный 2 2 8 2 9" xfId="13733"/>
    <cellStyle name="Обычный 2 2 8 3" xfId="13734"/>
    <cellStyle name="Обычный 2 2 8 3 10" xfId="13735"/>
    <cellStyle name="Обычный 2 2 8 3 11" xfId="13736"/>
    <cellStyle name="Обычный 2 2 8 3 2" xfId="13737"/>
    <cellStyle name="Обычный 2 2 8 3 2 2" xfId="13738"/>
    <cellStyle name="Обычный 2 2 8 3 2 3" xfId="13739"/>
    <cellStyle name="Обычный 2 2 8 3 2 4" xfId="13740"/>
    <cellStyle name="Обычный 2 2 8 3 2 5" xfId="13741"/>
    <cellStyle name="Обычный 2 2 8 3 2 6" xfId="13742"/>
    <cellStyle name="Обычный 2 2 8 3 2 7" xfId="13743"/>
    <cellStyle name="Обычный 2 2 8 3 2 8" xfId="13744"/>
    <cellStyle name="Обычный 2 2 8 3 2 9" xfId="13745"/>
    <cellStyle name="Обычный 2 2 8 3 3" xfId="13746"/>
    <cellStyle name="Обычный 2 2 8 3 3 2" xfId="13747"/>
    <cellStyle name="Обычный 2 2 8 3 3 3" xfId="13748"/>
    <cellStyle name="Обычный 2 2 8 3 3 4" xfId="13749"/>
    <cellStyle name="Обычный 2 2 8 3 3 5" xfId="13750"/>
    <cellStyle name="Обычный 2 2 8 3 3 6" xfId="13751"/>
    <cellStyle name="Обычный 2 2 8 3 3 7" xfId="13752"/>
    <cellStyle name="Обычный 2 2 8 3 3 8" xfId="13753"/>
    <cellStyle name="Обычный 2 2 8 3 3 9" xfId="13754"/>
    <cellStyle name="Обычный 2 2 8 3 4" xfId="13755"/>
    <cellStyle name="Обычный 2 2 8 3 5" xfId="13756"/>
    <cellStyle name="Обычный 2 2 8 3 6" xfId="13757"/>
    <cellStyle name="Обычный 2 2 8 3 7" xfId="13758"/>
    <cellStyle name="Обычный 2 2 8 3 8" xfId="13759"/>
    <cellStyle name="Обычный 2 2 8 3 9" xfId="13760"/>
    <cellStyle name="Обычный 2 2 8 4" xfId="13761"/>
    <cellStyle name="Обычный 2 2 8 4 2" xfId="13762"/>
    <cellStyle name="Обычный 2 2 8 4 3" xfId="13763"/>
    <cellStyle name="Обычный 2 2 8 4 4" xfId="13764"/>
    <cellStyle name="Обычный 2 2 8 4 5" xfId="13765"/>
    <cellStyle name="Обычный 2 2 8 4 6" xfId="13766"/>
    <cellStyle name="Обычный 2 2 8 4 7" xfId="13767"/>
    <cellStyle name="Обычный 2 2 8 4 8" xfId="13768"/>
    <cellStyle name="Обычный 2 2 8 4 9" xfId="13769"/>
    <cellStyle name="Обычный 2 2 8 5" xfId="13770"/>
    <cellStyle name="Обычный 2 2 8 6" xfId="13771"/>
    <cellStyle name="Обычный 2 2 8 7" xfId="13772"/>
    <cellStyle name="Обычный 2 2 8 8" xfId="13773"/>
    <cellStyle name="Обычный 2 2 8 9" xfId="13774"/>
    <cellStyle name="Обычный 2 2 9" xfId="13775"/>
    <cellStyle name="Обычный 2 2 9 10" xfId="13776"/>
    <cellStyle name="Обычный 2 2 9 11" xfId="13777"/>
    <cellStyle name="Обычный 2 2 9 12" xfId="13778"/>
    <cellStyle name="Обычный 2 2 9 2" xfId="13779"/>
    <cellStyle name="Обычный 2 2 9 2 10" xfId="13780"/>
    <cellStyle name="Обычный 2 2 9 2 11" xfId="13781"/>
    <cellStyle name="Обычный 2 2 9 2 12" xfId="13782"/>
    <cellStyle name="Обычный 2 2 9 2 2" xfId="13783"/>
    <cellStyle name="Обычный 2 2 9 2 2 2" xfId="13784"/>
    <cellStyle name="Обычный 2 2 9 2 2 3" xfId="13785"/>
    <cellStyle name="Обычный 2 2 9 2 2 4" xfId="13786"/>
    <cellStyle name="Обычный 2 2 9 2 2 5" xfId="13787"/>
    <cellStyle name="Обычный 2 2 9 2 2 6" xfId="13788"/>
    <cellStyle name="Обычный 2 2 9 2 2 7" xfId="13789"/>
    <cellStyle name="Обычный 2 2 9 2 2 8" xfId="13790"/>
    <cellStyle name="Обычный 2 2 9 2 2 9" xfId="13791"/>
    <cellStyle name="Обычный 2 2 9 2 3" xfId="13792"/>
    <cellStyle name="Обычный 2 2 9 2 3 2" xfId="13793"/>
    <cellStyle name="Обычный 2 2 9 2 3 3" xfId="13794"/>
    <cellStyle name="Обычный 2 2 9 2 3 4" xfId="13795"/>
    <cellStyle name="Обычный 2 2 9 2 3 5" xfId="13796"/>
    <cellStyle name="Обычный 2 2 9 2 3 6" xfId="13797"/>
    <cellStyle name="Обычный 2 2 9 2 3 7" xfId="13798"/>
    <cellStyle name="Обычный 2 2 9 2 3 8" xfId="13799"/>
    <cellStyle name="Обычный 2 2 9 2 3 9" xfId="13800"/>
    <cellStyle name="Обычный 2 2 9 2 4" xfId="13801"/>
    <cellStyle name="Обычный 2 2 9 2 4 2" xfId="13802"/>
    <cellStyle name="Обычный 2 2 9 2 4 3" xfId="13803"/>
    <cellStyle name="Обычный 2 2 9 2 4 4" xfId="13804"/>
    <cellStyle name="Обычный 2 2 9 2 4 5" xfId="13805"/>
    <cellStyle name="Обычный 2 2 9 2 4 6" xfId="13806"/>
    <cellStyle name="Обычный 2 2 9 2 4 7" xfId="13807"/>
    <cellStyle name="Обычный 2 2 9 2 4 8" xfId="13808"/>
    <cellStyle name="Обычный 2 2 9 2 4 9" xfId="13809"/>
    <cellStyle name="Обычный 2 2 9 2 5" xfId="13810"/>
    <cellStyle name="Обычный 2 2 9 2 6" xfId="13811"/>
    <cellStyle name="Обычный 2 2 9 2 7" xfId="13812"/>
    <cellStyle name="Обычный 2 2 9 2 8" xfId="13813"/>
    <cellStyle name="Обычный 2 2 9 2 9" xfId="13814"/>
    <cellStyle name="Обычный 2 2 9 3" xfId="13815"/>
    <cellStyle name="Обычный 2 2 9 3 10" xfId="13816"/>
    <cellStyle name="Обычный 2 2 9 3 11" xfId="13817"/>
    <cellStyle name="Обычный 2 2 9 3 2" xfId="13818"/>
    <cellStyle name="Обычный 2 2 9 3 2 2" xfId="13819"/>
    <cellStyle name="Обычный 2 2 9 3 2 3" xfId="13820"/>
    <cellStyle name="Обычный 2 2 9 3 2 4" xfId="13821"/>
    <cellStyle name="Обычный 2 2 9 3 2 5" xfId="13822"/>
    <cellStyle name="Обычный 2 2 9 3 2 6" xfId="13823"/>
    <cellStyle name="Обычный 2 2 9 3 2 7" xfId="13824"/>
    <cellStyle name="Обычный 2 2 9 3 2 8" xfId="13825"/>
    <cellStyle name="Обычный 2 2 9 3 2 9" xfId="13826"/>
    <cellStyle name="Обычный 2 2 9 3 3" xfId="13827"/>
    <cellStyle name="Обычный 2 2 9 3 3 2" xfId="13828"/>
    <cellStyle name="Обычный 2 2 9 3 3 3" xfId="13829"/>
    <cellStyle name="Обычный 2 2 9 3 3 4" xfId="13830"/>
    <cellStyle name="Обычный 2 2 9 3 3 5" xfId="13831"/>
    <cellStyle name="Обычный 2 2 9 3 3 6" xfId="13832"/>
    <cellStyle name="Обычный 2 2 9 3 3 7" xfId="13833"/>
    <cellStyle name="Обычный 2 2 9 3 3 8" xfId="13834"/>
    <cellStyle name="Обычный 2 2 9 3 3 9" xfId="13835"/>
    <cellStyle name="Обычный 2 2 9 3 4" xfId="13836"/>
    <cellStyle name="Обычный 2 2 9 3 5" xfId="13837"/>
    <cellStyle name="Обычный 2 2 9 3 6" xfId="13838"/>
    <cellStyle name="Обычный 2 2 9 3 7" xfId="13839"/>
    <cellStyle name="Обычный 2 2 9 3 8" xfId="13840"/>
    <cellStyle name="Обычный 2 2 9 3 9" xfId="13841"/>
    <cellStyle name="Обычный 2 2 9 4" xfId="13842"/>
    <cellStyle name="Обычный 2 2 9 4 2" xfId="13843"/>
    <cellStyle name="Обычный 2 2 9 4 3" xfId="13844"/>
    <cellStyle name="Обычный 2 2 9 4 4" xfId="13845"/>
    <cellStyle name="Обычный 2 2 9 4 5" xfId="13846"/>
    <cellStyle name="Обычный 2 2 9 4 6" xfId="13847"/>
    <cellStyle name="Обычный 2 2 9 4 7" xfId="13848"/>
    <cellStyle name="Обычный 2 2 9 4 8" xfId="13849"/>
    <cellStyle name="Обычный 2 2 9 4 9" xfId="13850"/>
    <cellStyle name="Обычный 2 2 9 5" xfId="13851"/>
    <cellStyle name="Обычный 2 2 9 6" xfId="13852"/>
    <cellStyle name="Обычный 2 2 9 7" xfId="13853"/>
    <cellStyle name="Обычный 2 2 9 8" xfId="13854"/>
    <cellStyle name="Обычный 2 2 9 9" xfId="13855"/>
    <cellStyle name="Обычный 2 20" xfId="13856"/>
    <cellStyle name="Обычный 2 20 2" xfId="13857"/>
    <cellStyle name="Обычный 2 20 2 2" xfId="13858"/>
    <cellStyle name="Обычный 2 20 2 3" xfId="13859"/>
    <cellStyle name="Обычный 2 20 3" xfId="13860"/>
    <cellStyle name="Обычный 2 20 4" xfId="13861"/>
    <cellStyle name="Обычный 2 20 4 2" xfId="13862"/>
    <cellStyle name="Обычный 2 20 4 3" xfId="13863"/>
    <cellStyle name="Обычный 2 20 4 4" xfId="13864"/>
    <cellStyle name="Обычный 2 20 4 5" xfId="13865"/>
    <cellStyle name="Обычный 2 20 5" xfId="13866"/>
    <cellStyle name="Обычный 2 20 6" xfId="13867"/>
    <cellStyle name="Обычный 2 20 7" xfId="13868"/>
    <cellStyle name="Обычный 2 20 8" xfId="13869"/>
    <cellStyle name="Обычный 2 21" xfId="13870"/>
    <cellStyle name="Обычный 2 21 2" xfId="13871"/>
    <cellStyle name="Обычный 2 21 2 2" xfId="13872"/>
    <cellStyle name="Обычный 2 21 2 3" xfId="13873"/>
    <cellStyle name="Обычный 2 21 3" xfId="13874"/>
    <cellStyle name="Обычный 2 21 4" xfId="13875"/>
    <cellStyle name="Обычный 2 21 4 2" xfId="13876"/>
    <cellStyle name="Обычный 2 21 4 3" xfId="13877"/>
    <cellStyle name="Обычный 2 21 4 4" xfId="13878"/>
    <cellStyle name="Обычный 2 21 4 5" xfId="13879"/>
    <cellStyle name="Обычный 2 21 5" xfId="13880"/>
    <cellStyle name="Обычный 2 21 6" xfId="13881"/>
    <cellStyle name="Обычный 2 21 7" xfId="13882"/>
    <cellStyle name="Обычный 2 21 8" xfId="13883"/>
    <cellStyle name="Обычный 2 22" xfId="13884"/>
    <cellStyle name="Обычный 2 22 2" xfId="13885"/>
    <cellStyle name="Обычный 2 22 2 2" xfId="13886"/>
    <cellStyle name="Обычный 2 22 2 3" xfId="13887"/>
    <cellStyle name="Обычный 2 22 3" xfId="13888"/>
    <cellStyle name="Обычный 2 22 4" xfId="13889"/>
    <cellStyle name="Обычный 2 22 4 2" xfId="13890"/>
    <cellStyle name="Обычный 2 22 4 3" xfId="13891"/>
    <cellStyle name="Обычный 2 22 4 4" xfId="13892"/>
    <cellStyle name="Обычный 2 22 4 5" xfId="13893"/>
    <cellStyle name="Обычный 2 22 5" xfId="13894"/>
    <cellStyle name="Обычный 2 22 6" xfId="13895"/>
    <cellStyle name="Обычный 2 22 7" xfId="13896"/>
    <cellStyle name="Обычный 2 22 8" xfId="13897"/>
    <cellStyle name="Обычный 2 23" xfId="13898"/>
    <cellStyle name="Обычный 2 23 2" xfId="13899"/>
    <cellStyle name="Обычный 2 23 2 2" xfId="13900"/>
    <cellStyle name="Обычный 2 23 2 3" xfId="13901"/>
    <cellStyle name="Обычный 2 23 3" xfId="13902"/>
    <cellStyle name="Обычный 2 23 4" xfId="13903"/>
    <cellStyle name="Обычный 2 23 4 2" xfId="13904"/>
    <cellStyle name="Обычный 2 23 4 3" xfId="13905"/>
    <cellStyle name="Обычный 2 23 4 4" xfId="13906"/>
    <cellStyle name="Обычный 2 23 4 5" xfId="13907"/>
    <cellStyle name="Обычный 2 23 5" xfId="13908"/>
    <cellStyle name="Обычный 2 23 6" xfId="13909"/>
    <cellStyle name="Обычный 2 23 7" xfId="13910"/>
    <cellStyle name="Обычный 2 23 8" xfId="13911"/>
    <cellStyle name="Обычный 2 24" xfId="13912"/>
    <cellStyle name="Обычный 2 24 2" xfId="13913"/>
    <cellStyle name="Обычный 2 24 2 2" xfId="13914"/>
    <cellStyle name="Обычный 2 24 2 3" xfId="13915"/>
    <cellStyle name="Обычный 2 24 3" xfId="13916"/>
    <cellStyle name="Обычный 2 24 4" xfId="13917"/>
    <cellStyle name="Обычный 2 24 4 2" xfId="13918"/>
    <cellStyle name="Обычный 2 24 4 3" xfId="13919"/>
    <cellStyle name="Обычный 2 24 4 4" xfId="13920"/>
    <cellStyle name="Обычный 2 24 4 5" xfId="13921"/>
    <cellStyle name="Обычный 2 24 5" xfId="13922"/>
    <cellStyle name="Обычный 2 24 6" xfId="13923"/>
    <cellStyle name="Обычный 2 24 7" xfId="13924"/>
    <cellStyle name="Обычный 2 24 8" xfId="13925"/>
    <cellStyle name="Обычный 2 25" xfId="13926"/>
    <cellStyle name="Обычный 2 25 2" xfId="13927"/>
    <cellStyle name="Обычный 2 25 2 2" xfId="13928"/>
    <cellStyle name="Обычный 2 25 2 3" xfId="13929"/>
    <cellStyle name="Обычный 2 25 3" xfId="13930"/>
    <cellStyle name="Обычный 2 25 4" xfId="13931"/>
    <cellStyle name="Обычный 2 25 4 2" xfId="13932"/>
    <cellStyle name="Обычный 2 25 4 3" xfId="13933"/>
    <cellStyle name="Обычный 2 25 4 4" xfId="13934"/>
    <cellStyle name="Обычный 2 25 4 5" xfId="13935"/>
    <cellStyle name="Обычный 2 25 5" xfId="13936"/>
    <cellStyle name="Обычный 2 25 6" xfId="13937"/>
    <cellStyle name="Обычный 2 25 7" xfId="13938"/>
    <cellStyle name="Обычный 2 25 8" xfId="13939"/>
    <cellStyle name="Обычный 2 26" xfId="13940"/>
    <cellStyle name="Обычный 2 26 2" xfId="13941"/>
    <cellStyle name="Обычный 2 26 2 2" xfId="13942"/>
    <cellStyle name="Обычный 2 26 2 3" xfId="13943"/>
    <cellStyle name="Обычный 2 26 3" xfId="13944"/>
    <cellStyle name="Обычный 2 26 4" xfId="13945"/>
    <cellStyle name="Обычный 2 26 4 2" xfId="13946"/>
    <cellStyle name="Обычный 2 26 4 3" xfId="13947"/>
    <cellStyle name="Обычный 2 26 4 4" xfId="13948"/>
    <cellStyle name="Обычный 2 26 4 5" xfId="13949"/>
    <cellStyle name="Обычный 2 26 5" xfId="13950"/>
    <cellStyle name="Обычный 2 26 6" xfId="13951"/>
    <cellStyle name="Обычный 2 26 7" xfId="13952"/>
    <cellStyle name="Обычный 2 26 8" xfId="13953"/>
    <cellStyle name="Обычный 2 27" xfId="13954"/>
    <cellStyle name="Обычный 2 27 10" xfId="13955"/>
    <cellStyle name="Обычный 2 27 2" xfId="13956"/>
    <cellStyle name="Обычный 2 27 2 2" xfId="13957"/>
    <cellStyle name="Обычный 2 27 2 2 2" xfId="13958"/>
    <cellStyle name="Обычный 2 27 2 2 3" xfId="13959"/>
    <cellStyle name="Обычный 2 27 2 3" xfId="13960"/>
    <cellStyle name="Обычный 2 27 2 4" xfId="13961"/>
    <cellStyle name="Обычный 2 27 3" xfId="13962"/>
    <cellStyle name="Обычный 2 27 3 2" xfId="13963"/>
    <cellStyle name="Обычный 2 27 3 2 2" xfId="13964"/>
    <cellStyle name="Обычный 2 27 3 2 3" xfId="13965"/>
    <cellStyle name="Обычный 2 27 3 3" xfId="13966"/>
    <cellStyle name="Обычный 2 27 3 4" xfId="13967"/>
    <cellStyle name="Обычный 2 27 4" xfId="13968"/>
    <cellStyle name="Обычный 2 27 4 2" xfId="13969"/>
    <cellStyle name="Обычный 2 27 4 3" xfId="13970"/>
    <cellStyle name="Обычный 2 27 5" xfId="13971"/>
    <cellStyle name="Обычный 2 27 6" xfId="13972"/>
    <cellStyle name="Обычный 2 27 6 2" xfId="13973"/>
    <cellStyle name="Обычный 2 27 6 3" xfId="13974"/>
    <cellStyle name="Обычный 2 27 6 4" xfId="13975"/>
    <cellStyle name="Обычный 2 27 6 5" xfId="13976"/>
    <cellStyle name="Обычный 2 27 7" xfId="13977"/>
    <cellStyle name="Обычный 2 27 8" xfId="13978"/>
    <cellStyle name="Обычный 2 27 9" xfId="13979"/>
    <cellStyle name="Обычный 2 28" xfId="13980"/>
    <cellStyle name="Обычный 2 28 2" xfId="13981"/>
    <cellStyle name="Обычный 2 28 2 2" xfId="13982"/>
    <cellStyle name="Обычный 2 28 2 3" xfId="13983"/>
    <cellStyle name="Обычный 2 28 3" xfId="13984"/>
    <cellStyle name="Обычный 2 28 4" xfId="13985"/>
    <cellStyle name="Обычный 2 28 4 2" xfId="13986"/>
    <cellStyle name="Обычный 2 28 4 3" xfId="13987"/>
    <cellStyle name="Обычный 2 28 4 4" xfId="13988"/>
    <cellStyle name="Обычный 2 28 4 5" xfId="13989"/>
    <cellStyle name="Обычный 2 28 5" xfId="13990"/>
    <cellStyle name="Обычный 2 28 6" xfId="13991"/>
    <cellStyle name="Обычный 2 28 7" xfId="13992"/>
    <cellStyle name="Обычный 2 28 8" xfId="13993"/>
    <cellStyle name="Обычный 2 29" xfId="13994"/>
    <cellStyle name="Обычный 2 29 2" xfId="13995"/>
    <cellStyle name="Обычный 2 29 2 2" xfId="13996"/>
    <cellStyle name="Обычный 2 29 2 3" xfId="13997"/>
    <cellStyle name="Обычный 2 29 2 4" xfId="13998"/>
    <cellStyle name="Обычный 2 29 2 5" xfId="13999"/>
    <cellStyle name="Обычный 2 29 3" xfId="14000"/>
    <cellStyle name="Обычный 2 29 3 2" xfId="14001"/>
    <cellStyle name="Обычный 2 29 3 3" xfId="14002"/>
    <cellStyle name="Обычный 2 29 3 4" xfId="14003"/>
    <cellStyle name="Обычный 2 29 3 5" xfId="14004"/>
    <cellStyle name="Обычный 2 29 4" xfId="14005"/>
    <cellStyle name="Обычный 2 29 5" xfId="14006"/>
    <cellStyle name="Обычный 2 29 6" xfId="14007"/>
    <cellStyle name="Обычный 2 29 7" xfId="14008"/>
    <cellStyle name="Обычный 2 3" xfId="14009"/>
    <cellStyle name="Обычный 2 3 10" xfId="14010"/>
    <cellStyle name="Обычный 2 3 10 2" xfId="14011"/>
    <cellStyle name="Обычный 2 3 10 3" xfId="14012"/>
    <cellStyle name="Обычный 2 3 10 4" xfId="14013"/>
    <cellStyle name="Обычный 2 3 10 5" xfId="14014"/>
    <cellStyle name="Обычный 2 3 11" xfId="14015"/>
    <cellStyle name="Обычный 2 3 12" xfId="14016"/>
    <cellStyle name="Обычный 2 3 13" xfId="14017"/>
    <cellStyle name="Обычный 2 3 14" xfId="14018"/>
    <cellStyle name="Обычный 2 3 2" xfId="14019"/>
    <cellStyle name="Обычный 2 3 2 2" xfId="14020"/>
    <cellStyle name="Обычный 2 3 2 2 2" xfId="14021"/>
    <cellStyle name="Обычный 2 3 2 2 3" xfId="14022"/>
    <cellStyle name="Обычный 2 3 2 3" xfId="14023"/>
    <cellStyle name="Обычный 2 3 2 4" xfId="14024"/>
    <cellStyle name="Обычный 2 3 2 4 2" xfId="14025"/>
    <cellStyle name="Обычный 2 3 2 4 3" xfId="14026"/>
    <cellStyle name="Обычный 2 3 2 4 4" xfId="14027"/>
    <cellStyle name="Обычный 2 3 2 4 5" xfId="14028"/>
    <cellStyle name="Обычный 2 3 2 5" xfId="14029"/>
    <cellStyle name="Обычный 2 3 2 6" xfId="14030"/>
    <cellStyle name="Обычный 2 3 2 7" xfId="14031"/>
    <cellStyle name="Обычный 2 3 2 8" xfId="14032"/>
    <cellStyle name="Обычный 2 3 3" xfId="14033"/>
    <cellStyle name="Обычный 2 3 3 2" xfId="14034"/>
    <cellStyle name="Обычный 2 3 3 2 2" xfId="14035"/>
    <cellStyle name="Обычный 2 3 3 2 3" xfId="14036"/>
    <cellStyle name="Обычный 2 3 3 3" xfId="14037"/>
    <cellStyle name="Обычный 2 3 3 4" xfId="14038"/>
    <cellStyle name="Обычный 2 3 3 4 2" xfId="14039"/>
    <cellStyle name="Обычный 2 3 3 4 3" xfId="14040"/>
    <cellStyle name="Обычный 2 3 3 4 4" xfId="14041"/>
    <cellStyle name="Обычный 2 3 3 4 5" xfId="14042"/>
    <cellStyle name="Обычный 2 3 3 5" xfId="14043"/>
    <cellStyle name="Обычный 2 3 3 6" xfId="14044"/>
    <cellStyle name="Обычный 2 3 3 7" xfId="14045"/>
    <cellStyle name="Обычный 2 3 3 8" xfId="14046"/>
    <cellStyle name="Обычный 2 3 4" xfId="14047"/>
    <cellStyle name="Обычный 2 3 4 2" xfId="14048"/>
    <cellStyle name="Обычный 2 3 4 2 2" xfId="14049"/>
    <cellStyle name="Обычный 2 3 4 2 3" xfId="14050"/>
    <cellStyle name="Обычный 2 3 4 3" xfId="14051"/>
    <cellStyle name="Обычный 2 3 4 4" xfId="14052"/>
    <cellStyle name="Обычный 2 3 4 4 2" xfId="14053"/>
    <cellStyle name="Обычный 2 3 4 4 3" xfId="14054"/>
    <cellStyle name="Обычный 2 3 4 4 4" xfId="14055"/>
    <cellStyle name="Обычный 2 3 4 4 5" xfId="14056"/>
    <cellStyle name="Обычный 2 3 4 5" xfId="14057"/>
    <cellStyle name="Обычный 2 3 4 6" xfId="14058"/>
    <cellStyle name="Обычный 2 3 4 7" xfId="14059"/>
    <cellStyle name="Обычный 2 3 4 8" xfId="14060"/>
    <cellStyle name="Обычный 2 3 5" xfId="14061"/>
    <cellStyle name="Обычный 2 3 5 2" xfId="14062"/>
    <cellStyle name="Обычный 2 3 5 2 2" xfId="14063"/>
    <cellStyle name="Обычный 2 3 5 2 3" xfId="14064"/>
    <cellStyle name="Обычный 2 3 5 3" xfId="14065"/>
    <cellStyle name="Обычный 2 3 5 4" xfId="14066"/>
    <cellStyle name="Обычный 2 3 5 4 2" xfId="14067"/>
    <cellStyle name="Обычный 2 3 5 4 3" xfId="14068"/>
    <cellStyle name="Обычный 2 3 5 4 4" xfId="14069"/>
    <cellStyle name="Обычный 2 3 5 4 5" xfId="14070"/>
    <cellStyle name="Обычный 2 3 5 5" xfId="14071"/>
    <cellStyle name="Обычный 2 3 5 6" xfId="14072"/>
    <cellStyle name="Обычный 2 3 5 7" xfId="14073"/>
    <cellStyle name="Обычный 2 3 5 8" xfId="14074"/>
    <cellStyle name="Обычный 2 3 6" xfId="14075"/>
    <cellStyle name="Обычный 2 3 6 2" xfId="14076"/>
    <cellStyle name="Обычный 2 3 6 2 2" xfId="14077"/>
    <cellStyle name="Обычный 2 3 6 2 3" xfId="14078"/>
    <cellStyle name="Обычный 2 3 6 3" xfId="14079"/>
    <cellStyle name="Обычный 2 3 6 4" xfId="14080"/>
    <cellStyle name="Обычный 2 3 6 4 2" xfId="14081"/>
    <cellStyle name="Обычный 2 3 6 4 3" xfId="14082"/>
    <cellStyle name="Обычный 2 3 6 4 4" xfId="14083"/>
    <cellStyle name="Обычный 2 3 6 4 5" xfId="14084"/>
    <cellStyle name="Обычный 2 3 6 5" xfId="14085"/>
    <cellStyle name="Обычный 2 3 6 6" xfId="14086"/>
    <cellStyle name="Обычный 2 3 6 7" xfId="14087"/>
    <cellStyle name="Обычный 2 3 6 8" xfId="14088"/>
    <cellStyle name="Обычный 2 3 7" xfId="14089"/>
    <cellStyle name="Обычный 2 3 7 2" xfId="14090"/>
    <cellStyle name="Обычный 2 3 7 2 2" xfId="14091"/>
    <cellStyle name="Обычный 2 3 7 2 3" xfId="14092"/>
    <cellStyle name="Обычный 2 3 7 3" xfId="14093"/>
    <cellStyle name="Обычный 2 3 7 4" xfId="14094"/>
    <cellStyle name="Обычный 2 3 7 4 2" xfId="14095"/>
    <cellStyle name="Обычный 2 3 7 4 3" xfId="14096"/>
    <cellStyle name="Обычный 2 3 7 4 4" xfId="14097"/>
    <cellStyle name="Обычный 2 3 7 4 5" xfId="14098"/>
    <cellStyle name="Обычный 2 3 7 5" xfId="14099"/>
    <cellStyle name="Обычный 2 3 7 6" xfId="14100"/>
    <cellStyle name="Обычный 2 3 7 7" xfId="14101"/>
    <cellStyle name="Обычный 2 3 7 8" xfId="14102"/>
    <cellStyle name="Обычный 2 3 8" xfId="14103"/>
    <cellStyle name="Обычный 2 3 8 2" xfId="14104"/>
    <cellStyle name="Обычный 2 3 8 3" xfId="14105"/>
    <cellStyle name="Обычный 2 3 9" xfId="14106"/>
    <cellStyle name="Обычный 2 30" xfId="14107"/>
    <cellStyle name="Обычный 2 30 2" xfId="14108"/>
    <cellStyle name="Обычный 2 30 3" xfId="14109"/>
    <cellStyle name="Обычный 2 30 4" xfId="14110"/>
    <cellStyle name="Обычный 2 30 5" xfId="14111"/>
    <cellStyle name="Обычный 2 31" xfId="14112"/>
    <cellStyle name="Обычный 2 31 2" xfId="14113"/>
    <cellStyle name="Обычный 2 31 3" xfId="14114"/>
    <cellStyle name="Обычный 2 31 4" xfId="14115"/>
    <cellStyle name="Обычный 2 31 5" xfId="14116"/>
    <cellStyle name="Обычный 2 32" xfId="14117"/>
    <cellStyle name="Обычный 2 32 2" xfId="14118"/>
    <cellStyle name="Обычный 2 32 3" xfId="14119"/>
    <cellStyle name="Обычный 2 32 4" xfId="14120"/>
    <cellStyle name="Обычный 2 32 5" xfId="14121"/>
    <cellStyle name="Обычный 2 33" xfId="14122"/>
    <cellStyle name="Обычный 2 33 2" xfId="14123"/>
    <cellStyle name="Обычный 2 33 3" xfId="14124"/>
    <cellStyle name="Обычный 2 33 4" xfId="14125"/>
    <cellStyle name="Обычный 2 33 5" xfId="14126"/>
    <cellStyle name="Обычный 2 33 6" xfId="14127"/>
    <cellStyle name="Обычный 2 33 7" xfId="14128"/>
    <cellStyle name="Обычный 2 33 8" xfId="14129"/>
    <cellStyle name="Обычный 2 33 9" xfId="14130"/>
    <cellStyle name="Обычный 2 34" xfId="14131"/>
    <cellStyle name="Обычный 2 34 2" xfId="14132"/>
    <cellStyle name="Обычный 2 34 3" xfId="14133"/>
    <cellStyle name="Обычный 2 34 4" xfId="14134"/>
    <cellStyle name="Обычный 2 34 5" xfId="14135"/>
    <cellStyle name="Обычный 2 34 6" xfId="14136"/>
    <cellStyle name="Обычный 2 34 7" xfId="14137"/>
    <cellStyle name="Обычный 2 34 8" xfId="14138"/>
    <cellStyle name="Обычный 2 34 9" xfId="14139"/>
    <cellStyle name="Обычный 2 35" xfId="14140"/>
    <cellStyle name="Обычный 2 36" xfId="14141"/>
    <cellStyle name="Обычный 2 37" xfId="14142"/>
    <cellStyle name="Обычный 2 37 2" xfId="14143"/>
    <cellStyle name="Обычный 2 37 3" xfId="14144"/>
    <cellStyle name="Обычный 2 37 4" xfId="14145"/>
    <cellStyle name="Обычный 2 37 5" xfId="14146"/>
    <cellStyle name="Обычный 2 38" xfId="14147"/>
    <cellStyle name="Обычный 2 38 2" xfId="14148"/>
    <cellStyle name="Обычный 2 38 3" xfId="14149"/>
    <cellStyle name="Обычный 2 38 4" xfId="14150"/>
    <cellStyle name="Обычный 2 38 5" xfId="14151"/>
    <cellStyle name="Обычный 2 39" xfId="14152"/>
    <cellStyle name="Обычный 2 39 2" xfId="14153"/>
    <cellStyle name="Обычный 2 39 3" xfId="14154"/>
    <cellStyle name="Обычный 2 39 4" xfId="14155"/>
    <cellStyle name="Обычный 2 39 5" xfId="14156"/>
    <cellStyle name="Обычный 2 4" xfId="14157"/>
    <cellStyle name="Обычный 2 4 10" xfId="14158"/>
    <cellStyle name="Обычный 2 4 11" xfId="14159"/>
    <cellStyle name="Обычный 2 4 12" xfId="14160"/>
    <cellStyle name="Обычный 2 4 13" xfId="14161"/>
    <cellStyle name="Обычный 2 4 2" xfId="14162"/>
    <cellStyle name="Обычный 2 4 2 10" xfId="14163"/>
    <cellStyle name="Обычный 2 4 2 11" xfId="14164"/>
    <cellStyle name="Обычный 2 4 2 12" xfId="14165"/>
    <cellStyle name="Обычный 2 4 2 13" xfId="14166"/>
    <cellStyle name="Обычный 2 4 2 2" xfId="14167"/>
    <cellStyle name="Обычный 2 4 2 2 10" xfId="14168"/>
    <cellStyle name="Обычный 2 4 2 2 11" xfId="14169"/>
    <cellStyle name="Обычный 2 4 2 2 12" xfId="14170"/>
    <cellStyle name="Обычный 2 4 2 2 2" xfId="14171"/>
    <cellStyle name="Обычный 2 4 2 2 2 10" xfId="14172"/>
    <cellStyle name="Обычный 2 4 2 2 2 11" xfId="14173"/>
    <cellStyle name="Обычный 2 4 2 2 2 12" xfId="14174"/>
    <cellStyle name="Обычный 2 4 2 2 2 2" xfId="14175"/>
    <cellStyle name="Обычный 2 4 2 2 2 2 2" xfId="14176"/>
    <cellStyle name="Обычный 2 4 2 2 2 2 3" xfId="14177"/>
    <cellStyle name="Обычный 2 4 2 2 2 2 4" xfId="14178"/>
    <cellStyle name="Обычный 2 4 2 2 2 2 5" xfId="14179"/>
    <cellStyle name="Обычный 2 4 2 2 2 2 6" xfId="14180"/>
    <cellStyle name="Обычный 2 4 2 2 2 2 7" xfId="14181"/>
    <cellStyle name="Обычный 2 4 2 2 2 2 8" xfId="14182"/>
    <cellStyle name="Обычный 2 4 2 2 2 2 9" xfId="14183"/>
    <cellStyle name="Обычный 2 4 2 2 2 3" xfId="14184"/>
    <cellStyle name="Обычный 2 4 2 2 2 3 2" xfId="14185"/>
    <cellStyle name="Обычный 2 4 2 2 2 3 3" xfId="14186"/>
    <cellStyle name="Обычный 2 4 2 2 2 3 4" xfId="14187"/>
    <cellStyle name="Обычный 2 4 2 2 2 3 5" xfId="14188"/>
    <cellStyle name="Обычный 2 4 2 2 2 3 6" xfId="14189"/>
    <cellStyle name="Обычный 2 4 2 2 2 3 7" xfId="14190"/>
    <cellStyle name="Обычный 2 4 2 2 2 3 8" xfId="14191"/>
    <cellStyle name="Обычный 2 4 2 2 2 3 9" xfId="14192"/>
    <cellStyle name="Обычный 2 4 2 2 2 4" xfId="14193"/>
    <cellStyle name="Обычный 2 4 2 2 2 4 2" xfId="14194"/>
    <cellStyle name="Обычный 2 4 2 2 2 4 3" xfId="14195"/>
    <cellStyle name="Обычный 2 4 2 2 2 4 4" xfId="14196"/>
    <cellStyle name="Обычный 2 4 2 2 2 4 5" xfId="14197"/>
    <cellStyle name="Обычный 2 4 2 2 2 4 6" xfId="14198"/>
    <cellStyle name="Обычный 2 4 2 2 2 4 7" xfId="14199"/>
    <cellStyle name="Обычный 2 4 2 2 2 4 8" xfId="14200"/>
    <cellStyle name="Обычный 2 4 2 2 2 4 9" xfId="14201"/>
    <cellStyle name="Обычный 2 4 2 2 2 5" xfId="14202"/>
    <cellStyle name="Обычный 2 4 2 2 2 6" xfId="14203"/>
    <cellStyle name="Обычный 2 4 2 2 2 7" xfId="14204"/>
    <cellStyle name="Обычный 2 4 2 2 2 8" xfId="14205"/>
    <cellStyle name="Обычный 2 4 2 2 2 9" xfId="14206"/>
    <cellStyle name="Обычный 2 4 2 2 3" xfId="14207"/>
    <cellStyle name="Обычный 2 4 2 2 3 10" xfId="14208"/>
    <cellStyle name="Обычный 2 4 2 2 3 11" xfId="14209"/>
    <cellStyle name="Обычный 2 4 2 2 3 2" xfId="14210"/>
    <cellStyle name="Обычный 2 4 2 2 3 2 2" xfId="14211"/>
    <cellStyle name="Обычный 2 4 2 2 3 2 3" xfId="14212"/>
    <cellStyle name="Обычный 2 4 2 2 3 2 4" xfId="14213"/>
    <cellStyle name="Обычный 2 4 2 2 3 2 5" xfId="14214"/>
    <cellStyle name="Обычный 2 4 2 2 3 2 6" xfId="14215"/>
    <cellStyle name="Обычный 2 4 2 2 3 2 7" xfId="14216"/>
    <cellStyle name="Обычный 2 4 2 2 3 2 8" xfId="14217"/>
    <cellStyle name="Обычный 2 4 2 2 3 2 9" xfId="14218"/>
    <cellStyle name="Обычный 2 4 2 2 3 3" xfId="14219"/>
    <cellStyle name="Обычный 2 4 2 2 3 3 2" xfId="14220"/>
    <cellStyle name="Обычный 2 4 2 2 3 3 3" xfId="14221"/>
    <cellStyle name="Обычный 2 4 2 2 3 3 4" xfId="14222"/>
    <cellStyle name="Обычный 2 4 2 2 3 3 5" xfId="14223"/>
    <cellStyle name="Обычный 2 4 2 2 3 3 6" xfId="14224"/>
    <cellStyle name="Обычный 2 4 2 2 3 3 7" xfId="14225"/>
    <cellStyle name="Обычный 2 4 2 2 3 3 8" xfId="14226"/>
    <cellStyle name="Обычный 2 4 2 2 3 3 9" xfId="14227"/>
    <cellStyle name="Обычный 2 4 2 2 3 4" xfId="14228"/>
    <cellStyle name="Обычный 2 4 2 2 3 5" xfId="14229"/>
    <cellStyle name="Обычный 2 4 2 2 3 6" xfId="14230"/>
    <cellStyle name="Обычный 2 4 2 2 3 7" xfId="14231"/>
    <cellStyle name="Обычный 2 4 2 2 3 8" xfId="14232"/>
    <cellStyle name="Обычный 2 4 2 2 3 9" xfId="14233"/>
    <cellStyle name="Обычный 2 4 2 2 4" xfId="14234"/>
    <cellStyle name="Обычный 2 4 2 2 4 2" xfId="14235"/>
    <cellStyle name="Обычный 2 4 2 2 4 3" xfId="14236"/>
    <cellStyle name="Обычный 2 4 2 2 4 4" xfId="14237"/>
    <cellStyle name="Обычный 2 4 2 2 4 5" xfId="14238"/>
    <cellStyle name="Обычный 2 4 2 2 4 6" xfId="14239"/>
    <cellStyle name="Обычный 2 4 2 2 4 7" xfId="14240"/>
    <cellStyle name="Обычный 2 4 2 2 4 8" xfId="14241"/>
    <cellStyle name="Обычный 2 4 2 2 4 9" xfId="14242"/>
    <cellStyle name="Обычный 2 4 2 2 5" xfId="14243"/>
    <cellStyle name="Обычный 2 4 2 2 6" xfId="14244"/>
    <cellStyle name="Обычный 2 4 2 2 7" xfId="14245"/>
    <cellStyle name="Обычный 2 4 2 2 8" xfId="14246"/>
    <cellStyle name="Обычный 2 4 2 2 9" xfId="14247"/>
    <cellStyle name="Обычный 2 4 2 3" xfId="14248"/>
    <cellStyle name="Обычный 2 4 2 3 10" xfId="14249"/>
    <cellStyle name="Обычный 2 4 2 3 11" xfId="14250"/>
    <cellStyle name="Обычный 2 4 2 3 12" xfId="14251"/>
    <cellStyle name="Обычный 2 4 2 3 2" xfId="14252"/>
    <cellStyle name="Обычный 2 4 2 3 2 2" xfId="14253"/>
    <cellStyle name="Обычный 2 4 2 3 2 3" xfId="14254"/>
    <cellStyle name="Обычный 2 4 2 3 2 4" xfId="14255"/>
    <cellStyle name="Обычный 2 4 2 3 2 5" xfId="14256"/>
    <cellStyle name="Обычный 2 4 2 3 2 6" xfId="14257"/>
    <cellStyle name="Обычный 2 4 2 3 2 7" xfId="14258"/>
    <cellStyle name="Обычный 2 4 2 3 2 8" xfId="14259"/>
    <cellStyle name="Обычный 2 4 2 3 2 9" xfId="14260"/>
    <cellStyle name="Обычный 2 4 2 3 3" xfId="14261"/>
    <cellStyle name="Обычный 2 4 2 3 3 2" xfId="14262"/>
    <cellStyle name="Обычный 2 4 2 3 3 3" xfId="14263"/>
    <cellStyle name="Обычный 2 4 2 3 3 4" xfId="14264"/>
    <cellStyle name="Обычный 2 4 2 3 3 5" xfId="14265"/>
    <cellStyle name="Обычный 2 4 2 3 3 6" xfId="14266"/>
    <cellStyle name="Обычный 2 4 2 3 3 7" xfId="14267"/>
    <cellStyle name="Обычный 2 4 2 3 3 8" xfId="14268"/>
    <cellStyle name="Обычный 2 4 2 3 3 9" xfId="14269"/>
    <cellStyle name="Обычный 2 4 2 3 4" xfId="14270"/>
    <cellStyle name="Обычный 2 4 2 3 4 2" xfId="14271"/>
    <cellStyle name="Обычный 2 4 2 3 4 3" xfId="14272"/>
    <cellStyle name="Обычный 2 4 2 3 4 4" xfId="14273"/>
    <cellStyle name="Обычный 2 4 2 3 4 5" xfId="14274"/>
    <cellStyle name="Обычный 2 4 2 3 4 6" xfId="14275"/>
    <cellStyle name="Обычный 2 4 2 3 4 7" xfId="14276"/>
    <cellStyle name="Обычный 2 4 2 3 4 8" xfId="14277"/>
    <cellStyle name="Обычный 2 4 2 3 4 9" xfId="14278"/>
    <cellStyle name="Обычный 2 4 2 3 5" xfId="14279"/>
    <cellStyle name="Обычный 2 4 2 3 6" xfId="14280"/>
    <cellStyle name="Обычный 2 4 2 3 7" xfId="14281"/>
    <cellStyle name="Обычный 2 4 2 3 8" xfId="14282"/>
    <cellStyle name="Обычный 2 4 2 3 9" xfId="14283"/>
    <cellStyle name="Обычный 2 4 2 4" xfId="14284"/>
    <cellStyle name="Обычный 2 4 2 4 10" xfId="14285"/>
    <cellStyle name="Обычный 2 4 2 4 11" xfId="14286"/>
    <cellStyle name="Обычный 2 4 2 4 2" xfId="14287"/>
    <cellStyle name="Обычный 2 4 2 4 2 2" xfId="14288"/>
    <cellStyle name="Обычный 2 4 2 4 2 3" xfId="14289"/>
    <cellStyle name="Обычный 2 4 2 4 2 4" xfId="14290"/>
    <cellStyle name="Обычный 2 4 2 4 2 5" xfId="14291"/>
    <cellStyle name="Обычный 2 4 2 4 2 6" xfId="14292"/>
    <cellStyle name="Обычный 2 4 2 4 2 7" xfId="14293"/>
    <cellStyle name="Обычный 2 4 2 4 2 8" xfId="14294"/>
    <cellStyle name="Обычный 2 4 2 4 2 9" xfId="14295"/>
    <cellStyle name="Обычный 2 4 2 4 3" xfId="14296"/>
    <cellStyle name="Обычный 2 4 2 4 3 2" xfId="14297"/>
    <cellStyle name="Обычный 2 4 2 4 3 3" xfId="14298"/>
    <cellStyle name="Обычный 2 4 2 4 3 4" xfId="14299"/>
    <cellStyle name="Обычный 2 4 2 4 3 5" xfId="14300"/>
    <cellStyle name="Обычный 2 4 2 4 3 6" xfId="14301"/>
    <cellStyle name="Обычный 2 4 2 4 3 7" xfId="14302"/>
    <cellStyle name="Обычный 2 4 2 4 3 8" xfId="14303"/>
    <cellStyle name="Обычный 2 4 2 4 3 9" xfId="14304"/>
    <cellStyle name="Обычный 2 4 2 4 4" xfId="14305"/>
    <cellStyle name="Обычный 2 4 2 4 5" xfId="14306"/>
    <cellStyle name="Обычный 2 4 2 4 6" xfId="14307"/>
    <cellStyle name="Обычный 2 4 2 4 7" xfId="14308"/>
    <cellStyle name="Обычный 2 4 2 4 8" xfId="14309"/>
    <cellStyle name="Обычный 2 4 2 4 9" xfId="14310"/>
    <cellStyle name="Обычный 2 4 2 5" xfId="14311"/>
    <cellStyle name="Обычный 2 4 2 5 2" xfId="14312"/>
    <cellStyle name="Обычный 2 4 2 5 3" xfId="14313"/>
    <cellStyle name="Обычный 2 4 2 5 4" xfId="14314"/>
    <cellStyle name="Обычный 2 4 2 5 5" xfId="14315"/>
    <cellStyle name="Обычный 2 4 2 5 6" xfId="14316"/>
    <cellStyle name="Обычный 2 4 2 5 7" xfId="14317"/>
    <cellStyle name="Обычный 2 4 2 5 8" xfId="14318"/>
    <cellStyle name="Обычный 2 4 2 5 9" xfId="14319"/>
    <cellStyle name="Обычный 2 4 2 6" xfId="14320"/>
    <cellStyle name="Обычный 2 4 2 7" xfId="14321"/>
    <cellStyle name="Обычный 2 4 2 8" xfId="14322"/>
    <cellStyle name="Обычный 2 4 2 9" xfId="14323"/>
    <cellStyle name="Обычный 2 4 3" xfId="14324"/>
    <cellStyle name="Обычный 2 4 3 10" xfId="14325"/>
    <cellStyle name="Обычный 2 4 3 11" xfId="14326"/>
    <cellStyle name="Обычный 2 4 3 12" xfId="14327"/>
    <cellStyle name="Обычный 2 4 3 2" xfId="14328"/>
    <cellStyle name="Обычный 2 4 3 2 10" xfId="14329"/>
    <cellStyle name="Обычный 2 4 3 2 11" xfId="14330"/>
    <cellStyle name="Обычный 2 4 3 2 12" xfId="14331"/>
    <cellStyle name="Обычный 2 4 3 2 2" xfId="14332"/>
    <cellStyle name="Обычный 2 4 3 2 2 2" xfId="14333"/>
    <cellStyle name="Обычный 2 4 3 2 2 3" xfId="14334"/>
    <cellStyle name="Обычный 2 4 3 2 2 4" xfId="14335"/>
    <cellStyle name="Обычный 2 4 3 2 2 5" xfId="14336"/>
    <cellStyle name="Обычный 2 4 3 2 2 6" xfId="14337"/>
    <cellStyle name="Обычный 2 4 3 2 2 7" xfId="14338"/>
    <cellStyle name="Обычный 2 4 3 2 2 8" xfId="14339"/>
    <cellStyle name="Обычный 2 4 3 2 2 9" xfId="14340"/>
    <cellStyle name="Обычный 2 4 3 2 3" xfId="14341"/>
    <cellStyle name="Обычный 2 4 3 2 3 2" xfId="14342"/>
    <cellStyle name="Обычный 2 4 3 2 3 3" xfId="14343"/>
    <cellStyle name="Обычный 2 4 3 2 3 4" xfId="14344"/>
    <cellStyle name="Обычный 2 4 3 2 3 5" xfId="14345"/>
    <cellStyle name="Обычный 2 4 3 2 3 6" xfId="14346"/>
    <cellStyle name="Обычный 2 4 3 2 3 7" xfId="14347"/>
    <cellStyle name="Обычный 2 4 3 2 3 8" xfId="14348"/>
    <cellStyle name="Обычный 2 4 3 2 3 9" xfId="14349"/>
    <cellStyle name="Обычный 2 4 3 2 4" xfId="14350"/>
    <cellStyle name="Обычный 2 4 3 2 4 2" xfId="14351"/>
    <cellStyle name="Обычный 2 4 3 2 4 3" xfId="14352"/>
    <cellStyle name="Обычный 2 4 3 2 4 4" xfId="14353"/>
    <cellStyle name="Обычный 2 4 3 2 4 5" xfId="14354"/>
    <cellStyle name="Обычный 2 4 3 2 4 6" xfId="14355"/>
    <cellStyle name="Обычный 2 4 3 2 4 7" xfId="14356"/>
    <cellStyle name="Обычный 2 4 3 2 4 8" xfId="14357"/>
    <cellStyle name="Обычный 2 4 3 2 4 9" xfId="14358"/>
    <cellStyle name="Обычный 2 4 3 2 5" xfId="14359"/>
    <cellStyle name="Обычный 2 4 3 2 6" xfId="14360"/>
    <cellStyle name="Обычный 2 4 3 2 7" xfId="14361"/>
    <cellStyle name="Обычный 2 4 3 2 8" xfId="14362"/>
    <cellStyle name="Обычный 2 4 3 2 9" xfId="14363"/>
    <cellStyle name="Обычный 2 4 3 3" xfId="14364"/>
    <cellStyle name="Обычный 2 4 3 3 10" xfId="14365"/>
    <cellStyle name="Обычный 2 4 3 3 11" xfId="14366"/>
    <cellStyle name="Обычный 2 4 3 3 2" xfId="14367"/>
    <cellStyle name="Обычный 2 4 3 3 2 2" xfId="14368"/>
    <cellStyle name="Обычный 2 4 3 3 2 3" xfId="14369"/>
    <cellStyle name="Обычный 2 4 3 3 2 4" xfId="14370"/>
    <cellStyle name="Обычный 2 4 3 3 2 5" xfId="14371"/>
    <cellStyle name="Обычный 2 4 3 3 2 6" xfId="14372"/>
    <cellStyle name="Обычный 2 4 3 3 2 7" xfId="14373"/>
    <cellStyle name="Обычный 2 4 3 3 2 8" xfId="14374"/>
    <cellStyle name="Обычный 2 4 3 3 2 9" xfId="14375"/>
    <cellStyle name="Обычный 2 4 3 3 3" xfId="14376"/>
    <cellStyle name="Обычный 2 4 3 3 3 2" xfId="14377"/>
    <cellStyle name="Обычный 2 4 3 3 3 3" xfId="14378"/>
    <cellStyle name="Обычный 2 4 3 3 3 4" xfId="14379"/>
    <cellStyle name="Обычный 2 4 3 3 3 5" xfId="14380"/>
    <cellStyle name="Обычный 2 4 3 3 3 6" xfId="14381"/>
    <cellStyle name="Обычный 2 4 3 3 3 7" xfId="14382"/>
    <cellStyle name="Обычный 2 4 3 3 3 8" xfId="14383"/>
    <cellStyle name="Обычный 2 4 3 3 3 9" xfId="14384"/>
    <cellStyle name="Обычный 2 4 3 3 4" xfId="14385"/>
    <cellStyle name="Обычный 2 4 3 3 5" xfId="14386"/>
    <cellStyle name="Обычный 2 4 3 3 6" xfId="14387"/>
    <cellStyle name="Обычный 2 4 3 3 7" xfId="14388"/>
    <cellStyle name="Обычный 2 4 3 3 8" xfId="14389"/>
    <cellStyle name="Обычный 2 4 3 3 9" xfId="14390"/>
    <cellStyle name="Обычный 2 4 3 4" xfId="14391"/>
    <cellStyle name="Обычный 2 4 3 4 2" xfId="14392"/>
    <cellStyle name="Обычный 2 4 3 4 3" xfId="14393"/>
    <cellStyle name="Обычный 2 4 3 4 4" xfId="14394"/>
    <cellStyle name="Обычный 2 4 3 4 5" xfId="14395"/>
    <cellStyle name="Обычный 2 4 3 4 6" xfId="14396"/>
    <cellStyle name="Обычный 2 4 3 4 7" xfId="14397"/>
    <cellStyle name="Обычный 2 4 3 4 8" xfId="14398"/>
    <cellStyle name="Обычный 2 4 3 4 9" xfId="14399"/>
    <cellStyle name="Обычный 2 4 3 5" xfId="14400"/>
    <cellStyle name="Обычный 2 4 3 6" xfId="14401"/>
    <cellStyle name="Обычный 2 4 3 7" xfId="14402"/>
    <cellStyle name="Обычный 2 4 3 8" xfId="14403"/>
    <cellStyle name="Обычный 2 4 3 9" xfId="14404"/>
    <cellStyle name="Обычный 2 4 4" xfId="14405"/>
    <cellStyle name="Обычный 2 4 4 10" xfId="14406"/>
    <cellStyle name="Обычный 2 4 4 11" xfId="14407"/>
    <cellStyle name="Обычный 2 4 4 12" xfId="14408"/>
    <cellStyle name="Обычный 2 4 4 2" xfId="14409"/>
    <cellStyle name="Обычный 2 4 4 2 10" xfId="14410"/>
    <cellStyle name="Обычный 2 4 4 2 11" xfId="14411"/>
    <cellStyle name="Обычный 2 4 4 2 12" xfId="14412"/>
    <cellStyle name="Обычный 2 4 4 2 2" xfId="14413"/>
    <cellStyle name="Обычный 2 4 4 2 2 2" xfId="14414"/>
    <cellStyle name="Обычный 2 4 4 2 2 3" xfId="14415"/>
    <cellStyle name="Обычный 2 4 4 2 2 4" xfId="14416"/>
    <cellStyle name="Обычный 2 4 4 2 2 5" xfId="14417"/>
    <cellStyle name="Обычный 2 4 4 2 2 6" xfId="14418"/>
    <cellStyle name="Обычный 2 4 4 2 2 7" xfId="14419"/>
    <cellStyle name="Обычный 2 4 4 2 2 8" xfId="14420"/>
    <cellStyle name="Обычный 2 4 4 2 2 9" xfId="14421"/>
    <cellStyle name="Обычный 2 4 4 2 3" xfId="14422"/>
    <cellStyle name="Обычный 2 4 4 2 3 2" xfId="14423"/>
    <cellStyle name="Обычный 2 4 4 2 3 3" xfId="14424"/>
    <cellStyle name="Обычный 2 4 4 2 3 4" xfId="14425"/>
    <cellStyle name="Обычный 2 4 4 2 3 5" xfId="14426"/>
    <cellStyle name="Обычный 2 4 4 2 3 6" xfId="14427"/>
    <cellStyle name="Обычный 2 4 4 2 3 7" xfId="14428"/>
    <cellStyle name="Обычный 2 4 4 2 3 8" xfId="14429"/>
    <cellStyle name="Обычный 2 4 4 2 3 9" xfId="14430"/>
    <cellStyle name="Обычный 2 4 4 2 4" xfId="14431"/>
    <cellStyle name="Обычный 2 4 4 2 4 2" xfId="14432"/>
    <cellStyle name="Обычный 2 4 4 2 4 3" xfId="14433"/>
    <cellStyle name="Обычный 2 4 4 2 4 4" xfId="14434"/>
    <cellStyle name="Обычный 2 4 4 2 4 5" xfId="14435"/>
    <cellStyle name="Обычный 2 4 4 2 4 6" xfId="14436"/>
    <cellStyle name="Обычный 2 4 4 2 4 7" xfId="14437"/>
    <cellStyle name="Обычный 2 4 4 2 4 8" xfId="14438"/>
    <cellStyle name="Обычный 2 4 4 2 4 9" xfId="14439"/>
    <cellStyle name="Обычный 2 4 4 2 5" xfId="14440"/>
    <cellStyle name="Обычный 2 4 4 2 6" xfId="14441"/>
    <cellStyle name="Обычный 2 4 4 2 7" xfId="14442"/>
    <cellStyle name="Обычный 2 4 4 2 8" xfId="14443"/>
    <cellStyle name="Обычный 2 4 4 2 9" xfId="14444"/>
    <cellStyle name="Обычный 2 4 4 3" xfId="14445"/>
    <cellStyle name="Обычный 2 4 4 3 10" xfId="14446"/>
    <cellStyle name="Обычный 2 4 4 3 11" xfId="14447"/>
    <cellStyle name="Обычный 2 4 4 3 2" xfId="14448"/>
    <cellStyle name="Обычный 2 4 4 3 2 2" xfId="14449"/>
    <cellStyle name="Обычный 2 4 4 3 2 3" xfId="14450"/>
    <cellStyle name="Обычный 2 4 4 3 2 4" xfId="14451"/>
    <cellStyle name="Обычный 2 4 4 3 2 5" xfId="14452"/>
    <cellStyle name="Обычный 2 4 4 3 2 6" xfId="14453"/>
    <cellStyle name="Обычный 2 4 4 3 2 7" xfId="14454"/>
    <cellStyle name="Обычный 2 4 4 3 2 8" xfId="14455"/>
    <cellStyle name="Обычный 2 4 4 3 2 9" xfId="14456"/>
    <cellStyle name="Обычный 2 4 4 3 3" xfId="14457"/>
    <cellStyle name="Обычный 2 4 4 3 3 2" xfId="14458"/>
    <cellStyle name="Обычный 2 4 4 3 3 3" xfId="14459"/>
    <cellStyle name="Обычный 2 4 4 3 3 4" xfId="14460"/>
    <cellStyle name="Обычный 2 4 4 3 3 5" xfId="14461"/>
    <cellStyle name="Обычный 2 4 4 3 3 6" xfId="14462"/>
    <cellStyle name="Обычный 2 4 4 3 3 7" xfId="14463"/>
    <cellStyle name="Обычный 2 4 4 3 3 8" xfId="14464"/>
    <cellStyle name="Обычный 2 4 4 3 3 9" xfId="14465"/>
    <cellStyle name="Обычный 2 4 4 3 4" xfId="14466"/>
    <cellStyle name="Обычный 2 4 4 3 5" xfId="14467"/>
    <cellStyle name="Обычный 2 4 4 3 6" xfId="14468"/>
    <cellStyle name="Обычный 2 4 4 3 7" xfId="14469"/>
    <cellStyle name="Обычный 2 4 4 3 8" xfId="14470"/>
    <cellStyle name="Обычный 2 4 4 3 9" xfId="14471"/>
    <cellStyle name="Обычный 2 4 4 4" xfId="14472"/>
    <cellStyle name="Обычный 2 4 4 4 2" xfId="14473"/>
    <cellStyle name="Обычный 2 4 4 4 3" xfId="14474"/>
    <cellStyle name="Обычный 2 4 4 4 4" xfId="14475"/>
    <cellStyle name="Обычный 2 4 4 4 5" xfId="14476"/>
    <cellStyle name="Обычный 2 4 4 4 6" xfId="14477"/>
    <cellStyle name="Обычный 2 4 4 4 7" xfId="14478"/>
    <cellStyle name="Обычный 2 4 4 4 8" xfId="14479"/>
    <cellStyle name="Обычный 2 4 4 4 9" xfId="14480"/>
    <cellStyle name="Обычный 2 4 4 5" xfId="14481"/>
    <cellStyle name="Обычный 2 4 4 6" xfId="14482"/>
    <cellStyle name="Обычный 2 4 4 7" xfId="14483"/>
    <cellStyle name="Обычный 2 4 4 8" xfId="14484"/>
    <cellStyle name="Обычный 2 4 4 9" xfId="14485"/>
    <cellStyle name="Обычный 2 4 5" xfId="14486"/>
    <cellStyle name="Обычный 2 4 5 10" xfId="14487"/>
    <cellStyle name="Обычный 2 4 5 11" xfId="14488"/>
    <cellStyle name="Обычный 2 4 5 12" xfId="14489"/>
    <cellStyle name="Обычный 2 4 5 2" xfId="14490"/>
    <cellStyle name="Обычный 2 4 5 2 10" xfId="14491"/>
    <cellStyle name="Обычный 2 4 5 2 11" xfId="14492"/>
    <cellStyle name="Обычный 2 4 5 2 12" xfId="14493"/>
    <cellStyle name="Обычный 2 4 5 2 2" xfId="14494"/>
    <cellStyle name="Обычный 2 4 5 2 2 2" xfId="14495"/>
    <cellStyle name="Обычный 2 4 5 2 2 3" xfId="14496"/>
    <cellStyle name="Обычный 2 4 5 2 2 4" xfId="14497"/>
    <cellStyle name="Обычный 2 4 5 2 2 5" xfId="14498"/>
    <cellStyle name="Обычный 2 4 5 2 2 6" xfId="14499"/>
    <cellStyle name="Обычный 2 4 5 2 2 7" xfId="14500"/>
    <cellStyle name="Обычный 2 4 5 2 2 8" xfId="14501"/>
    <cellStyle name="Обычный 2 4 5 2 2 9" xfId="14502"/>
    <cellStyle name="Обычный 2 4 5 2 3" xfId="14503"/>
    <cellStyle name="Обычный 2 4 5 2 3 2" xfId="14504"/>
    <cellStyle name="Обычный 2 4 5 2 3 3" xfId="14505"/>
    <cellStyle name="Обычный 2 4 5 2 3 4" xfId="14506"/>
    <cellStyle name="Обычный 2 4 5 2 3 5" xfId="14507"/>
    <cellStyle name="Обычный 2 4 5 2 3 6" xfId="14508"/>
    <cellStyle name="Обычный 2 4 5 2 3 7" xfId="14509"/>
    <cellStyle name="Обычный 2 4 5 2 3 8" xfId="14510"/>
    <cellStyle name="Обычный 2 4 5 2 3 9" xfId="14511"/>
    <cellStyle name="Обычный 2 4 5 2 4" xfId="14512"/>
    <cellStyle name="Обычный 2 4 5 2 4 2" xfId="14513"/>
    <cellStyle name="Обычный 2 4 5 2 4 3" xfId="14514"/>
    <cellStyle name="Обычный 2 4 5 2 4 4" xfId="14515"/>
    <cellStyle name="Обычный 2 4 5 2 4 5" xfId="14516"/>
    <cellStyle name="Обычный 2 4 5 2 4 6" xfId="14517"/>
    <cellStyle name="Обычный 2 4 5 2 4 7" xfId="14518"/>
    <cellStyle name="Обычный 2 4 5 2 4 8" xfId="14519"/>
    <cellStyle name="Обычный 2 4 5 2 4 9" xfId="14520"/>
    <cellStyle name="Обычный 2 4 5 2 5" xfId="14521"/>
    <cellStyle name="Обычный 2 4 5 2 6" xfId="14522"/>
    <cellStyle name="Обычный 2 4 5 2 7" xfId="14523"/>
    <cellStyle name="Обычный 2 4 5 2 8" xfId="14524"/>
    <cellStyle name="Обычный 2 4 5 2 9" xfId="14525"/>
    <cellStyle name="Обычный 2 4 5 3" xfId="14526"/>
    <cellStyle name="Обычный 2 4 5 3 10" xfId="14527"/>
    <cellStyle name="Обычный 2 4 5 3 11" xfId="14528"/>
    <cellStyle name="Обычный 2 4 5 3 2" xfId="14529"/>
    <cellStyle name="Обычный 2 4 5 3 2 2" xfId="14530"/>
    <cellStyle name="Обычный 2 4 5 3 2 3" xfId="14531"/>
    <cellStyle name="Обычный 2 4 5 3 2 4" xfId="14532"/>
    <cellStyle name="Обычный 2 4 5 3 2 5" xfId="14533"/>
    <cellStyle name="Обычный 2 4 5 3 2 6" xfId="14534"/>
    <cellStyle name="Обычный 2 4 5 3 2 7" xfId="14535"/>
    <cellStyle name="Обычный 2 4 5 3 2 8" xfId="14536"/>
    <cellStyle name="Обычный 2 4 5 3 2 9" xfId="14537"/>
    <cellStyle name="Обычный 2 4 5 3 3" xfId="14538"/>
    <cellStyle name="Обычный 2 4 5 3 3 2" xfId="14539"/>
    <cellStyle name="Обычный 2 4 5 3 3 3" xfId="14540"/>
    <cellStyle name="Обычный 2 4 5 3 3 4" xfId="14541"/>
    <cellStyle name="Обычный 2 4 5 3 3 5" xfId="14542"/>
    <cellStyle name="Обычный 2 4 5 3 3 6" xfId="14543"/>
    <cellStyle name="Обычный 2 4 5 3 3 7" xfId="14544"/>
    <cellStyle name="Обычный 2 4 5 3 3 8" xfId="14545"/>
    <cellStyle name="Обычный 2 4 5 3 3 9" xfId="14546"/>
    <cellStyle name="Обычный 2 4 5 3 4" xfId="14547"/>
    <cellStyle name="Обычный 2 4 5 3 5" xfId="14548"/>
    <cellStyle name="Обычный 2 4 5 3 6" xfId="14549"/>
    <cellStyle name="Обычный 2 4 5 3 7" xfId="14550"/>
    <cellStyle name="Обычный 2 4 5 3 8" xfId="14551"/>
    <cellStyle name="Обычный 2 4 5 3 9" xfId="14552"/>
    <cellStyle name="Обычный 2 4 5 4" xfId="14553"/>
    <cellStyle name="Обычный 2 4 5 4 2" xfId="14554"/>
    <cellStyle name="Обычный 2 4 5 4 3" xfId="14555"/>
    <cellStyle name="Обычный 2 4 5 4 4" xfId="14556"/>
    <cellStyle name="Обычный 2 4 5 4 5" xfId="14557"/>
    <cellStyle name="Обычный 2 4 5 4 6" xfId="14558"/>
    <cellStyle name="Обычный 2 4 5 4 7" xfId="14559"/>
    <cellStyle name="Обычный 2 4 5 4 8" xfId="14560"/>
    <cellStyle name="Обычный 2 4 5 4 9" xfId="14561"/>
    <cellStyle name="Обычный 2 4 5 5" xfId="14562"/>
    <cellStyle name="Обычный 2 4 5 6" xfId="14563"/>
    <cellStyle name="Обычный 2 4 5 7" xfId="14564"/>
    <cellStyle name="Обычный 2 4 5 8" xfId="14565"/>
    <cellStyle name="Обычный 2 4 5 9" xfId="14566"/>
    <cellStyle name="Обычный 2 4 6" xfId="14567"/>
    <cellStyle name="Обычный 2 4 6 10" xfId="14568"/>
    <cellStyle name="Обычный 2 4 6 11" xfId="14569"/>
    <cellStyle name="Обычный 2 4 6 12" xfId="14570"/>
    <cellStyle name="Обычный 2 4 6 2" xfId="14571"/>
    <cellStyle name="Обычный 2 4 6 2 10" xfId="14572"/>
    <cellStyle name="Обычный 2 4 6 2 11" xfId="14573"/>
    <cellStyle name="Обычный 2 4 6 2 12" xfId="14574"/>
    <cellStyle name="Обычный 2 4 6 2 2" xfId="14575"/>
    <cellStyle name="Обычный 2 4 6 2 2 2" xfId="14576"/>
    <cellStyle name="Обычный 2 4 6 2 2 3" xfId="14577"/>
    <cellStyle name="Обычный 2 4 6 2 2 4" xfId="14578"/>
    <cellStyle name="Обычный 2 4 6 2 2 5" xfId="14579"/>
    <cellStyle name="Обычный 2 4 6 2 2 6" xfId="14580"/>
    <cellStyle name="Обычный 2 4 6 2 2 7" xfId="14581"/>
    <cellStyle name="Обычный 2 4 6 2 2 8" xfId="14582"/>
    <cellStyle name="Обычный 2 4 6 2 2 9" xfId="14583"/>
    <cellStyle name="Обычный 2 4 6 2 3" xfId="14584"/>
    <cellStyle name="Обычный 2 4 6 2 3 2" xfId="14585"/>
    <cellStyle name="Обычный 2 4 6 2 3 3" xfId="14586"/>
    <cellStyle name="Обычный 2 4 6 2 3 4" xfId="14587"/>
    <cellStyle name="Обычный 2 4 6 2 3 5" xfId="14588"/>
    <cellStyle name="Обычный 2 4 6 2 3 6" xfId="14589"/>
    <cellStyle name="Обычный 2 4 6 2 3 7" xfId="14590"/>
    <cellStyle name="Обычный 2 4 6 2 3 8" xfId="14591"/>
    <cellStyle name="Обычный 2 4 6 2 3 9" xfId="14592"/>
    <cellStyle name="Обычный 2 4 6 2 4" xfId="14593"/>
    <cellStyle name="Обычный 2 4 6 2 4 2" xfId="14594"/>
    <cellStyle name="Обычный 2 4 6 2 4 3" xfId="14595"/>
    <cellStyle name="Обычный 2 4 6 2 4 4" xfId="14596"/>
    <cellStyle name="Обычный 2 4 6 2 4 5" xfId="14597"/>
    <cellStyle name="Обычный 2 4 6 2 4 6" xfId="14598"/>
    <cellStyle name="Обычный 2 4 6 2 4 7" xfId="14599"/>
    <cellStyle name="Обычный 2 4 6 2 4 8" xfId="14600"/>
    <cellStyle name="Обычный 2 4 6 2 4 9" xfId="14601"/>
    <cellStyle name="Обычный 2 4 6 2 5" xfId="14602"/>
    <cellStyle name="Обычный 2 4 6 2 6" xfId="14603"/>
    <cellStyle name="Обычный 2 4 6 2 7" xfId="14604"/>
    <cellStyle name="Обычный 2 4 6 2 8" xfId="14605"/>
    <cellStyle name="Обычный 2 4 6 2 9" xfId="14606"/>
    <cellStyle name="Обычный 2 4 6 3" xfId="14607"/>
    <cellStyle name="Обычный 2 4 6 3 10" xfId="14608"/>
    <cellStyle name="Обычный 2 4 6 3 11" xfId="14609"/>
    <cellStyle name="Обычный 2 4 6 3 2" xfId="14610"/>
    <cellStyle name="Обычный 2 4 6 3 2 2" xfId="14611"/>
    <cellStyle name="Обычный 2 4 6 3 2 3" xfId="14612"/>
    <cellStyle name="Обычный 2 4 6 3 2 4" xfId="14613"/>
    <cellStyle name="Обычный 2 4 6 3 2 5" xfId="14614"/>
    <cellStyle name="Обычный 2 4 6 3 2 6" xfId="14615"/>
    <cellStyle name="Обычный 2 4 6 3 2 7" xfId="14616"/>
    <cellStyle name="Обычный 2 4 6 3 2 8" xfId="14617"/>
    <cellStyle name="Обычный 2 4 6 3 2 9" xfId="14618"/>
    <cellStyle name="Обычный 2 4 6 3 3" xfId="14619"/>
    <cellStyle name="Обычный 2 4 6 3 3 2" xfId="14620"/>
    <cellStyle name="Обычный 2 4 6 3 3 3" xfId="14621"/>
    <cellStyle name="Обычный 2 4 6 3 3 4" xfId="14622"/>
    <cellStyle name="Обычный 2 4 6 3 3 5" xfId="14623"/>
    <cellStyle name="Обычный 2 4 6 3 3 6" xfId="14624"/>
    <cellStyle name="Обычный 2 4 6 3 3 7" xfId="14625"/>
    <cellStyle name="Обычный 2 4 6 3 3 8" xfId="14626"/>
    <cellStyle name="Обычный 2 4 6 3 3 9" xfId="14627"/>
    <cellStyle name="Обычный 2 4 6 3 4" xfId="14628"/>
    <cellStyle name="Обычный 2 4 6 3 5" xfId="14629"/>
    <cellStyle name="Обычный 2 4 6 3 6" xfId="14630"/>
    <cellStyle name="Обычный 2 4 6 3 7" xfId="14631"/>
    <cellStyle name="Обычный 2 4 6 3 8" xfId="14632"/>
    <cellStyle name="Обычный 2 4 6 3 9" xfId="14633"/>
    <cellStyle name="Обычный 2 4 6 4" xfId="14634"/>
    <cellStyle name="Обычный 2 4 6 4 2" xfId="14635"/>
    <cellStyle name="Обычный 2 4 6 4 3" xfId="14636"/>
    <cellStyle name="Обычный 2 4 6 4 4" xfId="14637"/>
    <cellStyle name="Обычный 2 4 6 4 5" xfId="14638"/>
    <cellStyle name="Обычный 2 4 6 4 6" xfId="14639"/>
    <cellStyle name="Обычный 2 4 6 4 7" xfId="14640"/>
    <cellStyle name="Обычный 2 4 6 4 8" xfId="14641"/>
    <cellStyle name="Обычный 2 4 6 4 9" xfId="14642"/>
    <cellStyle name="Обычный 2 4 6 5" xfId="14643"/>
    <cellStyle name="Обычный 2 4 6 6" xfId="14644"/>
    <cellStyle name="Обычный 2 4 6 7" xfId="14645"/>
    <cellStyle name="Обычный 2 4 6 8" xfId="14646"/>
    <cellStyle name="Обычный 2 4 6 9" xfId="14647"/>
    <cellStyle name="Обычный 2 4 7" xfId="14648"/>
    <cellStyle name="Обычный 2 4 7 2" xfId="14649"/>
    <cellStyle name="Обычный 2 4 7 3" xfId="14650"/>
    <cellStyle name="Обычный 2 4 8" xfId="14651"/>
    <cellStyle name="Обычный 2 4 9" xfId="14652"/>
    <cellStyle name="Обычный 2 4 9 2" xfId="14653"/>
    <cellStyle name="Обычный 2 4 9 3" xfId="14654"/>
    <cellStyle name="Обычный 2 4 9 4" xfId="14655"/>
    <cellStyle name="Обычный 2 4 9 5" xfId="14656"/>
    <cellStyle name="Обычный 2 40" xfId="14657"/>
    <cellStyle name="Обычный 2 40 2" xfId="14658"/>
    <cellStyle name="Обычный 2 40 2 2" xfId="14659"/>
    <cellStyle name="Обычный 2 40 2 2 2" xfId="14660"/>
    <cellStyle name="Обычный 2 40 2 2 2 2" xfId="14661"/>
    <cellStyle name="Обычный 2 40 2 3" xfId="14662"/>
    <cellStyle name="Обычный 2 40 3" xfId="14663"/>
    <cellStyle name="Обычный 2 40 3 2" xfId="14664"/>
    <cellStyle name="Обычный 2 41" xfId="14665"/>
    <cellStyle name="Обычный 2 41 2" xfId="14666"/>
    <cellStyle name="Обычный 2 41 2 2" xfId="14667"/>
    <cellStyle name="Обычный 2 42" xfId="14668"/>
    <cellStyle name="Обычный 2 43" xfId="14669"/>
    <cellStyle name="Обычный 2 44" xfId="14670"/>
    <cellStyle name="Обычный 2 5" xfId="14671"/>
    <cellStyle name="Обычный 2 5 2" xfId="14672"/>
    <cellStyle name="Обычный 2 5 2 2" xfId="14673"/>
    <cellStyle name="Обычный 2 5 2 2 2" xfId="14674"/>
    <cellStyle name="Обычный 2 5 2 2 3" xfId="14675"/>
    <cellStyle name="Обычный 2 5 2 2 4" xfId="14676"/>
    <cellStyle name="Обычный 2 5 2 2 5" xfId="14677"/>
    <cellStyle name="Обычный 2 5 2 2 6" xfId="14678"/>
    <cellStyle name="Обычный 2 5 2 3" xfId="14679"/>
    <cellStyle name="Обычный 2 5 2 3 2" xfId="14680"/>
    <cellStyle name="Обычный 2 5 2 3 3" xfId="14681"/>
    <cellStyle name="Обычный 2 5 2 3 4" xfId="14682"/>
    <cellStyle name="Обычный 2 5 2 3 5" xfId="14683"/>
    <cellStyle name="Обычный 2 5 2 3 6" xfId="14684"/>
    <cellStyle name="Обычный 2 5 2 4" xfId="14685"/>
    <cellStyle name="Обычный 2 5 2 5" xfId="14686"/>
    <cellStyle name="Обычный 2 5 2 6" xfId="14687"/>
    <cellStyle name="Обычный 2 5 2 7" xfId="14688"/>
    <cellStyle name="Обычный 2 5 2 8" xfId="14689"/>
    <cellStyle name="Обычный 2 5 3" xfId="14690"/>
    <cellStyle name="Обычный 2 5 3 2" xfId="14691"/>
    <cellStyle name="Обычный 2 5 3 3" xfId="14692"/>
    <cellStyle name="Обычный 2 5 3 4" xfId="14693"/>
    <cellStyle name="Обычный 2 5 3 5" xfId="14694"/>
    <cellStyle name="Обычный 2 5 3 6" xfId="14695"/>
    <cellStyle name="Обычный 2 5 4" xfId="14696"/>
    <cellStyle name="Обычный 2 5 4 2" xfId="14697"/>
    <cellStyle name="Обычный 2 5 4 3" xfId="14698"/>
    <cellStyle name="Обычный 2 5 4 4" xfId="14699"/>
    <cellStyle name="Обычный 2 5 4 5" xfId="14700"/>
    <cellStyle name="Обычный 2 5 5" xfId="14701"/>
    <cellStyle name="Обычный 2 5 6" xfId="14702"/>
    <cellStyle name="Обычный 2 5 7" xfId="14703"/>
    <cellStyle name="Обычный 2 5 8" xfId="14704"/>
    <cellStyle name="Обычный 2 6" xfId="14705"/>
    <cellStyle name="Обычный 2 6 2" xfId="14706"/>
    <cellStyle name="Обычный 2 6 2 2" xfId="14707"/>
    <cellStyle name="Обычный 2 6 2 3" xfId="14708"/>
    <cellStyle name="Обычный 2 6 3" xfId="14709"/>
    <cellStyle name="Обычный 2 6 4" xfId="14710"/>
    <cellStyle name="Обычный 2 6 4 2" xfId="14711"/>
    <cellStyle name="Обычный 2 6 4 3" xfId="14712"/>
    <cellStyle name="Обычный 2 6 4 4" xfId="14713"/>
    <cellStyle name="Обычный 2 6 4 5" xfId="14714"/>
    <cellStyle name="Обычный 2 6 5" xfId="14715"/>
    <cellStyle name="Обычный 2 6 6" xfId="14716"/>
    <cellStyle name="Обычный 2 6 7" xfId="14717"/>
    <cellStyle name="Обычный 2 6 8" xfId="14718"/>
    <cellStyle name="Обычный 2 7" xfId="14719"/>
    <cellStyle name="Обычный 2 7 2" xfId="14720"/>
    <cellStyle name="Обычный 2 7 2 2" xfId="14721"/>
    <cellStyle name="Обычный 2 7 2 3" xfId="14722"/>
    <cellStyle name="Обычный 2 7 3" xfId="14723"/>
    <cellStyle name="Обычный 2 7 4" xfId="14724"/>
    <cellStyle name="Обычный 2 7 4 2" xfId="14725"/>
    <cellStyle name="Обычный 2 7 4 3" xfId="14726"/>
    <cellStyle name="Обычный 2 7 4 4" xfId="14727"/>
    <cellStyle name="Обычный 2 7 4 5" xfId="14728"/>
    <cellStyle name="Обычный 2 7 5" xfId="14729"/>
    <cellStyle name="Обычный 2 7 6" xfId="14730"/>
    <cellStyle name="Обычный 2 7 7" xfId="14731"/>
    <cellStyle name="Обычный 2 7 8" xfId="14732"/>
    <cellStyle name="Обычный 2 8" xfId="14733"/>
    <cellStyle name="Обычный 2 8 2" xfId="14734"/>
    <cellStyle name="Обычный 2 8 2 2" xfId="14735"/>
    <cellStyle name="Обычный 2 8 2 3" xfId="14736"/>
    <cellStyle name="Обычный 2 8 3" xfId="14737"/>
    <cellStyle name="Обычный 2 8 4" xfId="14738"/>
    <cellStyle name="Обычный 2 8 4 2" xfId="14739"/>
    <cellStyle name="Обычный 2 8 4 3" xfId="14740"/>
    <cellStyle name="Обычный 2 8 4 4" xfId="14741"/>
    <cellStyle name="Обычный 2 8 4 5" xfId="14742"/>
    <cellStyle name="Обычный 2 8 5" xfId="14743"/>
    <cellStyle name="Обычный 2 8 6" xfId="14744"/>
    <cellStyle name="Обычный 2 8 7" xfId="14745"/>
    <cellStyle name="Обычный 2 8 8" xfId="14746"/>
    <cellStyle name="Обычный 2 9" xfId="14747"/>
    <cellStyle name="Обычный 2 9 2" xfId="14748"/>
    <cellStyle name="Обычный 2 9 2 2" xfId="14749"/>
    <cellStyle name="Обычный 2 9 2 3" xfId="14750"/>
    <cellStyle name="Обычный 2 9 3" xfId="14751"/>
    <cellStyle name="Обычный 2 9 4" xfId="14752"/>
    <cellStyle name="Обычный 2 9 4 2" xfId="14753"/>
    <cellStyle name="Обычный 2 9 4 3" xfId="14754"/>
    <cellStyle name="Обычный 2 9 4 4" xfId="14755"/>
    <cellStyle name="Обычный 2 9 4 5" xfId="14756"/>
    <cellStyle name="Обычный 2 9 5" xfId="14757"/>
    <cellStyle name="Обычный 2 9 6" xfId="14758"/>
    <cellStyle name="Обычный 2 9 7" xfId="14759"/>
    <cellStyle name="Обычный 2 9 8" xfId="14760"/>
    <cellStyle name="Обычный 20 2" xfId="14761"/>
    <cellStyle name="Обычный 23" xfId="14762"/>
    <cellStyle name="Обычный 3" xfId="14763"/>
    <cellStyle name="Обычный 3 10" xfId="14764"/>
    <cellStyle name="Обычный 3 10 2" xfId="14765"/>
    <cellStyle name="Обычный 3 10 2 2" xfId="14766"/>
    <cellStyle name="Обычный 3 10 2 3" xfId="14767"/>
    <cellStyle name="Обычный 3 10 3" xfId="14768"/>
    <cellStyle name="Обычный 3 10 4" xfId="14769"/>
    <cellStyle name="Обычный 3 10 4 2" xfId="14770"/>
    <cellStyle name="Обычный 3 10 4 3" xfId="14771"/>
    <cellStyle name="Обычный 3 10 4 4" xfId="14772"/>
    <cellStyle name="Обычный 3 10 4 5" xfId="14773"/>
    <cellStyle name="Обычный 3 10 5" xfId="14774"/>
    <cellStyle name="Обычный 3 10 6" xfId="14775"/>
    <cellStyle name="Обычный 3 10 7" xfId="14776"/>
    <cellStyle name="Обычный 3 10 8" xfId="14777"/>
    <cellStyle name="Обычный 3 11" xfId="14778"/>
    <cellStyle name="Обычный 3 11 2" xfId="14779"/>
    <cellStyle name="Обычный 3 11 2 2" xfId="14780"/>
    <cellStyle name="Обычный 3 11 2 3" xfId="14781"/>
    <cellStyle name="Обычный 3 11 3" xfId="14782"/>
    <cellStyle name="Обычный 3 11 4" xfId="14783"/>
    <cellStyle name="Обычный 3 11 4 2" xfId="14784"/>
    <cellStyle name="Обычный 3 11 4 3" xfId="14785"/>
    <cellStyle name="Обычный 3 11 4 4" xfId="14786"/>
    <cellStyle name="Обычный 3 11 4 5" xfId="14787"/>
    <cellStyle name="Обычный 3 11 5" xfId="14788"/>
    <cellStyle name="Обычный 3 11 6" xfId="14789"/>
    <cellStyle name="Обычный 3 11 7" xfId="14790"/>
    <cellStyle name="Обычный 3 11 8" xfId="14791"/>
    <cellStyle name="Обычный 3 12" xfId="14792"/>
    <cellStyle name="Обычный 3 12 2" xfId="14793"/>
    <cellStyle name="Обычный 3 12 2 2" xfId="14794"/>
    <cellStyle name="Обычный 3 12 2 3" xfId="14795"/>
    <cellStyle name="Обычный 3 12 3" xfId="14796"/>
    <cellStyle name="Обычный 3 12 4" xfId="14797"/>
    <cellStyle name="Обычный 3 12 4 2" xfId="14798"/>
    <cellStyle name="Обычный 3 12 4 3" xfId="14799"/>
    <cellStyle name="Обычный 3 12 4 4" xfId="14800"/>
    <cellStyle name="Обычный 3 12 4 5" xfId="14801"/>
    <cellStyle name="Обычный 3 12 5" xfId="14802"/>
    <cellStyle name="Обычный 3 12 6" xfId="14803"/>
    <cellStyle name="Обычный 3 12 7" xfId="14804"/>
    <cellStyle name="Обычный 3 12 8" xfId="14805"/>
    <cellStyle name="Обычный 3 13" xfId="14806"/>
    <cellStyle name="Обычный 3 13 2" xfId="14807"/>
    <cellStyle name="Обычный 3 13 2 2" xfId="14808"/>
    <cellStyle name="Обычный 3 13 2 3" xfId="14809"/>
    <cellStyle name="Обычный 3 13 3" xfId="14810"/>
    <cellStyle name="Обычный 3 13 4" xfId="14811"/>
    <cellStyle name="Обычный 3 13 4 2" xfId="14812"/>
    <cellStyle name="Обычный 3 13 4 3" xfId="14813"/>
    <cellStyle name="Обычный 3 13 4 4" xfId="14814"/>
    <cellStyle name="Обычный 3 13 4 5" xfId="14815"/>
    <cellStyle name="Обычный 3 13 5" xfId="14816"/>
    <cellStyle name="Обычный 3 13 6" xfId="14817"/>
    <cellStyle name="Обычный 3 13 7" xfId="14818"/>
    <cellStyle name="Обычный 3 13 8" xfId="14819"/>
    <cellStyle name="Обычный 3 14" xfId="14820"/>
    <cellStyle name="Обычный 3 14 2" xfId="14821"/>
    <cellStyle name="Обычный 3 14 2 2" xfId="14822"/>
    <cellStyle name="Обычный 3 14 2 3" xfId="14823"/>
    <cellStyle name="Обычный 3 14 3" xfId="14824"/>
    <cellStyle name="Обычный 3 14 4" xfId="14825"/>
    <cellStyle name="Обычный 3 14 4 2" xfId="14826"/>
    <cellStyle name="Обычный 3 14 4 3" xfId="14827"/>
    <cellStyle name="Обычный 3 14 4 4" xfId="14828"/>
    <cellStyle name="Обычный 3 14 4 5" xfId="14829"/>
    <cellStyle name="Обычный 3 14 5" xfId="14830"/>
    <cellStyle name="Обычный 3 14 6" xfId="14831"/>
    <cellStyle name="Обычный 3 14 7" xfId="14832"/>
    <cellStyle name="Обычный 3 14 8" xfId="14833"/>
    <cellStyle name="Обычный 3 15" xfId="14834"/>
    <cellStyle name="Обычный 3 15 2" xfId="14835"/>
    <cellStyle name="Обычный 3 15 2 2" xfId="14836"/>
    <cellStyle name="Обычный 3 15 2 3" xfId="14837"/>
    <cellStyle name="Обычный 3 15 3" xfId="14838"/>
    <cellStyle name="Обычный 3 15 4" xfId="14839"/>
    <cellStyle name="Обычный 3 15 4 2" xfId="14840"/>
    <cellStyle name="Обычный 3 15 4 3" xfId="14841"/>
    <cellStyle name="Обычный 3 15 4 4" xfId="14842"/>
    <cellStyle name="Обычный 3 15 4 5" xfId="14843"/>
    <cellStyle name="Обычный 3 15 5" xfId="14844"/>
    <cellStyle name="Обычный 3 15 6" xfId="14845"/>
    <cellStyle name="Обычный 3 15 7" xfId="14846"/>
    <cellStyle name="Обычный 3 15 8" xfId="14847"/>
    <cellStyle name="Обычный 3 16" xfId="14848"/>
    <cellStyle name="Обычный 3 16 2" xfId="14849"/>
    <cellStyle name="Обычный 3 16 2 2" xfId="14850"/>
    <cellStyle name="Обычный 3 16 2 3" xfId="14851"/>
    <cellStyle name="Обычный 3 16 3" xfId="14852"/>
    <cellStyle name="Обычный 3 16 4" xfId="14853"/>
    <cellStyle name="Обычный 3 16 4 2" xfId="14854"/>
    <cellStyle name="Обычный 3 16 4 3" xfId="14855"/>
    <cellStyle name="Обычный 3 16 4 4" xfId="14856"/>
    <cellStyle name="Обычный 3 16 4 5" xfId="14857"/>
    <cellStyle name="Обычный 3 16 5" xfId="14858"/>
    <cellStyle name="Обычный 3 16 6" xfId="14859"/>
    <cellStyle name="Обычный 3 16 7" xfId="14860"/>
    <cellStyle name="Обычный 3 16 8" xfId="14861"/>
    <cellStyle name="Обычный 3 17" xfId="14862"/>
    <cellStyle name="Обычный 3 17 2" xfId="14863"/>
    <cellStyle name="Обычный 3 17 2 2" xfId="14864"/>
    <cellStyle name="Обычный 3 17 2 3" xfId="14865"/>
    <cellStyle name="Обычный 3 17 3" xfId="14866"/>
    <cellStyle name="Обычный 3 17 4" xfId="14867"/>
    <cellStyle name="Обычный 3 17 4 2" xfId="14868"/>
    <cellStyle name="Обычный 3 17 4 3" xfId="14869"/>
    <cellStyle name="Обычный 3 17 4 4" xfId="14870"/>
    <cellStyle name="Обычный 3 17 4 5" xfId="14871"/>
    <cellStyle name="Обычный 3 17 5" xfId="14872"/>
    <cellStyle name="Обычный 3 17 6" xfId="14873"/>
    <cellStyle name="Обычный 3 17 7" xfId="14874"/>
    <cellStyle name="Обычный 3 17 8" xfId="14875"/>
    <cellStyle name="Обычный 3 18" xfId="14876"/>
    <cellStyle name="Обычный 3 18 2" xfId="14877"/>
    <cellStyle name="Обычный 3 18 2 2" xfId="14878"/>
    <cellStyle name="Обычный 3 18 2 3" xfId="14879"/>
    <cellStyle name="Обычный 3 18 3" xfId="14880"/>
    <cellStyle name="Обычный 3 18 4" xfId="14881"/>
    <cellStyle name="Обычный 3 18 4 2" xfId="14882"/>
    <cellStyle name="Обычный 3 18 4 3" xfId="14883"/>
    <cellStyle name="Обычный 3 18 4 4" xfId="14884"/>
    <cellStyle name="Обычный 3 18 4 5" xfId="14885"/>
    <cellStyle name="Обычный 3 18 5" xfId="14886"/>
    <cellStyle name="Обычный 3 18 6" xfId="14887"/>
    <cellStyle name="Обычный 3 18 7" xfId="14888"/>
    <cellStyle name="Обычный 3 18 8" xfId="14889"/>
    <cellStyle name="Обычный 3 19" xfId="14890"/>
    <cellStyle name="Обычный 3 19 2" xfId="14891"/>
    <cellStyle name="Обычный 3 19 2 2" xfId="14892"/>
    <cellStyle name="Обычный 3 19 2 3" xfId="14893"/>
    <cellStyle name="Обычный 3 19 3" xfId="14894"/>
    <cellStyle name="Обычный 3 19 4" xfId="14895"/>
    <cellStyle name="Обычный 3 19 4 2" xfId="14896"/>
    <cellStyle name="Обычный 3 19 4 3" xfId="14897"/>
    <cellStyle name="Обычный 3 19 4 4" xfId="14898"/>
    <cellStyle name="Обычный 3 19 4 5" xfId="14899"/>
    <cellStyle name="Обычный 3 19 5" xfId="14900"/>
    <cellStyle name="Обычный 3 19 6" xfId="14901"/>
    <cellStyle name="Обычный 3 19 7" xfId="14902"/>
    <cellStyle name="Обычный 3 19 8" xfId="14903"/>
    <cellStyle name="Обычный 3 2" xfId="14904"/>
    <cellStyle name="Обычный 3 2 10" xfId="14905"/>
    <cellStyle name="Обычный 3 2 10 2" xfId="14906"/>
    <cellStyle name="Обычный 3 2 10 3" xfId="14907"/>
    <cellStyle name="Обычный 3 2 11" xfId="14908"/>
    <cellStyle name="Обычный 3 2 12" xfId="14909"/>
    <cellStyle name="Обычный 3 2 12 2" xfId="14910"/>
    <cellStyle name="Обычный 3 2 12 3" xfId="14911"/>
    <cellStyle name="Обычный 3 2 12 4" xfId="14912"/>
    <cellStyle name="Обычный 3 2 12 5" xfId="14913"/>
    <cellStyle name="Обычный 3 2 13" xfId="14914"/>
    <cellStyle name="Обычный 3 2 14" xfId="14915"/>
    <cellStyle name="Обычный 3 2 15" xfId="14916"/>
    <cellStyle name="Обычный 3 2 16" xfId="14917"/>
    <cellStyle name="Обычный 3 2 2" xfId="14918"/>
    <cellStyle name="Обычный 3 2 2 2" xfId="14919"/>
    <cellStyle name="Обычный 3 2 2 2 2" xfId="14920"/>
    <cellStyle name="Обычный 3 2 2 2 2 2" xfId="14921"/>
    <cellStyle name="Обычный 3 2 2 2 2 3" xfId="14922"/>
    <cellStyle name="Обычный 3 2 2 2 3" xfId="14923"/>
    <cellStyle name="Обычный 3 2 2 2 4" xfId="14924"/>
    <cellStyle name="Обычный 3 2 2 2 4 2" xfId="14925"/>
    <cellStyle name="Обычный 3 2 2 2 4 3" xfId="14926"/>
    <cellStyle name="Обычный 3 2 2 2 4 4" xfId="14927"/>
    <cellStyle name="Обычный 3 2 2 2 4 5" xfId="14928"/>
    <cellStyle name="Обычный 3 2 2 2 5" xfId="14929"/>
    <cellStyle name="Обычный 3 2 2 2 6" xfId="14930"/>
    <cellStyle name="Обычный 3 2 2 2 7" xfId="14931"/>
    <cellStyle name="Обычный 3 2 2 2 8" xfId="14932"/>
    <cellStyle name="Обычный 3 2 2 3" xfId="14933"/>
    <cellStyle name="Обычный 3 2 2 3 2" xfId="14934"/>
    <cellStyle name="Обычный 3 2 2 3 2 2" xfId="14935"/>
    <cellStyle name="Обычный 3 2 2 3 2 3" xfId="14936"/>
    <cellStyle name="Обычный 3 2 2 3 3" xfId="14937"/>
    <cellStyle name="Обычный 3 2 2 3 4" xfId="14938"/>
    <cellStyle name="Обычный 3 2 2 3 4 2" xfId="14939"/>
    <cellStyle name="Обычный 3 2 2 3 4 3" xfId="14940"/>
    <cellStyle name="Обычный 3 2 2 3 4 4" xfId="14941"/>
    <cellStyle name="Обычный 3 2 2 3 4 5" xfId="14942"/>
    <cellStyle name="Обычный 3 2 2 3 5" xfId="14943"/>
    <cellStyle name="Обычный 3 2 2 3 6" xfId="14944"/>
    <cellStyle name="Обычный 3 2 2 3 7" xfId="14945"/>
    <cellStyle name="Обычный 3 2 2 3 8" xfId="14946"/>
    <cellStyle name="Обычный 3 2 2 4" xfId="14947"/>
    <cellStyle name="Обычный 3 2 2 4 2" xfId="14948"/>
    <cellStyle name="Обычный 3 2 2 4 2 2" xfId="14949"/>
    <cellStyle name="Обычный 3 2 2 4 2 3" xfId="14950"/>
    <cellStyle name="Обычный 3 2 2 4 3" xfId="14951"/>
    <cellStyle name="Обычный 3 2 2 4 4" xfId="14952"/>
    <cellStyle name="Обычный 3 2 2 4 4 2" xfId="14953"/>
    <cellStyle name="Обычный 3 2 2 4 4 3" xfId="14954"/>
    <cellStyle name="Обычный 3 2 2 4 4 4" xfId="14955"/>
    <cellStyle name="Обычный 3 2 2 4 4 5" xfId="14956"/>
    <cellStyle name="Обычный 3 2 2 4 5" xfId="14957"/>
    <cellStyle name="Обычный 3 2 2 4 6" xfId="14958"/>
    <cellStyle name="Обычный 3 2 2 4 7" xfId="14959"/>
    <cellStyle name="Обычный 3 2 2 4 8" xfId="14960"/>
    <cellStyle name="Обычный 3 2 2 5" xfId="14961"/>
    <cellStyle name="Обычный 3 2 2 5 2" xfId="14962"/>
    <cellStyle name="Обычный 3 2 2 5 2 2" xfId="14963"/>
    <cellStyle name="Обычный 3 2 2 5 2 3" xfId="14964"/>
    <cellStyle name="Обычный 3 2 2 5 3" xfId="14965"/>
    <cellStyle name="Обычный 3 2 2 5 4" xfId="14966"/>
    <cellStyle name="Обычный 3 2 2 5 4 2" xfId="14967"/>
    <cellStyle name="Обычный 3 2 2 5 4 3" xfId="14968"/>
    <cellStyle name="Обычный 3 2 2 5 4 4" xfId="14969"/>
    <cellStyle name="Обычный 3 2 2 5 4 5" xfId="14970"/>
    <cellStyle name="Обычный 3 2 2 5 5" xfId="14971"/>
    <cellStyle name="Обычный 3 2 2 5 6" xfId="14972"/>
    <cellStyle name="Обычный 3 2 2 5 7" xfId="14973"/>
    <cellStyle name="Обычный 3 2 2 5 8" xfId="14974"/>
    <cellStyle name="Обычный 3 2 2 6" xfId="14975"/>
    <cellStyle name="Обычный 3 2 2 6 2" xfId="14976"/>
    <cellStyle name="Обычный 3 2 2 6 2 2" xfId="14977"/>
    <cellStyle name="Обычный 3 2 2 6 2 3" xfId="14978"/>
    <cellStyle name="Обычный 3 2 2 6 3" xfId="14979"/>
    <cellStyle name="Обычный 3 2 2 6 4" xfId="14980"/>
    <cellStyle name="Обычный 3 2 2 6 4 2" xfId="14981"/>
    <cellStyle name="Обычный 3 2 2 6 4 3" xfId="14982"/>
    <cellStyle name="Обычный 3 2 2 6 4 4" xfId="14983"/>
    <cellStyle name="Обычный 3 2 2 6 4 5" xfId="14984"/>
    <cellStyle name="Обычный 3 2 2 6 5" xfId="14985"/>
    <cellStyle name="Обычный 3 2 2 6 6" xfId="14986"/>
    <cellStyle name="Обычный 3 2 2 6 7" xfId="14987"/>
    <cellStyle name="Обычный 3 2 2 6 8" xfId="14988"/>
    <cellStyle name="Обычный 3 2 2 7" xfId="14989"/>
    <cellStyle name="Обычный 3 2 2 7 2" xfId="14990"/>
    <cellStyle name="Обычный 3 2 2 7 3" xfId="14991"/>
    <cellStyle name="Обычный 3 2 2 8" xfId="14992"/>
    <cellStyle name="Обычный 3 2 2 9" xfId="14993"/>
    <cellStyle name="Обычный 3 2 3" xfId="14994"/>
    <cellStyle name="Обычный 3 2 3 2" xfId="14995"/>
    <cellStyle name="Обычный 3 2 3 2 2" xfId="14996"/>
    <cellStyle name="Обычный 3 2 3 2 3" xfId="14997"/>
    <cellStyle name="Обычный 3 2 3 3" xfId="14998"/>
    <cellStyle name="Обычный 3 2 3 4" xfId="14999"/>
    <cellStyle name="Обычный 3 2 3 4 2" xfId="15000"/>
    <cellStyle name="Обычный 3 2 3 4 3" xfId="15001"/>
    <cellStyle name="Обычный 3 2 3 4 4" xfId="15002"/>
    <cellStyle name="Обычный 3 2 3 4 5" xfId="15003"/>
    <cellStyle name="Обычный 3 2 3 5" xfId="15004"/>
    <cellStyle name="Обычный 3 2 3 6" xfId="15005"/>
    <cellStyle name="Обычный 3 2 3 7" xfId="15006"/>
    <cellStyle name="Обычный 3 2 3 8" xfId="15007"/>
    <cellStyle name="Обычный 3 2 4" xfId="15008"/>
    <cellStyle name="Обычный 3 2 4 2" xfId="15009"/>
    <cellStyle name="Обычный 3 2 4 2 2" xfId="15010"/>
    <cellStyle name="Обычный 3 2 4 2 3" xfId="15011"/>
    <cellStyle name="Обычный 3 2 4 3" xfId="15012"/>
    <cellStyle name="Обычный 3 2 4 4" xfId="15013"/>
    <cellStyle name="Обычный 3 2 5" xfId="15014"/>
    <cellStyle name="Обычный 3 2 5 2" xfId="15015"/>
    <cellStyle name="Обычный 3 2 5 2 2" xfId="15016"/>
    <cellStyle name="Обычный 3 2 5 2 3" xfId="15017"/>
    <cellStyle name="Обычный 3 2 5 3" xfId="15018"/>
    <cellStyle name="Обычный 3 2 5 4" xfId="15019"/>
    <cellStyle name="Обычный 3 2 6" xfId="15020"/>
    <cellStyle name="Обычный 3 2 6 2" xfId="15021"/>
    <cellStyle name="Обычный 3 2 6 2 2" xfId="15022"/>
    <cellStyle name="Обычный 3 2 6 2 3" xfId="15023"/>
    <cellStyle name="Обычный 3 2 6 3" xfId="15024"/>
    <cellStyle name="Обычный 3 2 6 4" xfId="15025"/>
    <cellStyle name="Обычный 3 2 7" xfId="15026"/>
    <cellStyle name="Обычный 3 2 7 2" xfId="15027"/>
    <cellStyle name="Обычный 3 2 7 2 2" xfId="15028"/>
    <cellStyle name="Обычный 3 2 7 2 3" xfId="15029"/>
    <cellStyle name="Обычный 3 2 7 3" xfId="15030"/>
    <cellStyle name="Обычный 3 2 7 4" xfId="15031"/>
    <cellStyle name="Обычный 3 2 8" xfId="15032"/>
    <cellStyle name="Обычный 3 2 8 2" xfId="15033"/>
    <cellStyle name="Обычный 3 2 8 2 2" xfId="15034"/>
    <cellStyle name="Обычный 3 2 8 2 3" xfId="15035"/>
    <cellStyle name="Обычный 3 2 8 3" xfId="15036"/>
    <cellStyle name="Обычный 3 2 8 4" xfId="15037"/>
    <cellStyle name="Обычный 3 2 9" xfId="15038"/>
    <cellStyle name="Обычный 3 2 9 10" xfId="15039"/>
    <cellStyle name="Обычный 3 2 9 11" xfId="15040"/>
    <cellStyle name="Обычный 3 2 9 12" xfId="15041"/>
    <cellStyle name="Обычный 3 2 9 2" xfId="15042"/>
    <cellStyle name="Обычный 3 2 9 2 10" xfId="15043"/>
    <cellStyle name="Обычный 3 2 9 2 11" xfId="15044"/>
    <cellStyle name="Обычный 3 2 9 2 12" xfId="15045"/>
    <cellStyle name="Обычный 3 2 9 2 2" xfId="15046"/>
    <cellStyle name="Обычный 3 2 9 2 2 2" xfId="15047"/>
    <cellStyle name="Обычный 3 2 9 2 2 3" xfId="15048"/>
    <cellStyle name="Обычный 3 2 9 2 2 4" xfId="15049"/>
    <cellStyle name="Обычный 3 2 9 2 2 5" xfId="15050"/>
    <cellStyle name="Обычный 3 2 9 2 2 6" xfId="15051"/>
    <cellStyle name="Обычный 3 2 9 2 2 7" xfId="15052"/>
    <cellStyle name="Обычный 3 2 9 2 2 8" xfId="15053"/>
    <cellStyle name="Обычный 3 2 9 2 2 9" xfId="15054"/>
    <cellStyle name="Обычный 3 2 9 2 3" xfId="15055"/>
    <cellStyle name="Обычный 3 2 9 2 3 2" xfId="15056"/>
    <cellStyle name="Обычный 3 2 9 2 3 3" xfId="15057"/>
    <cellStyle name="Обычный 3 2 9 2 3 4" xfId="15058"/>
    <cellStyle name="Обычный 3 2 9 2 3 5" xfId="15059"/>
    <cellStyle name="Обычный 3 2 9 2 3 6" xfId="15060"/>
    <cellStyle name="Обычный 3 2 9 2 3 7" xfId="15061"/>
    <cellStyle name="Обычный 3 2 9 2 3 8" xfId="15062"/>
    <cellStyle name="Обычный 3 2 9 2 3 9" xfId="15063"/>
    <cellStyle name="Обычный 3 2 9 2 4" xfId="15064"/>
    <cellStyle name="Обычный 3 2 9 2 4 2" xfId="15065"/>
    <cellStyle name="Обычный 3 2 9 2 4 3" xfId="15066"/>
    <cellStyle name="Обычный 3 2 9 2 4 4" xfId="15067"/>
    <cellStyle name="Обычный 3 2 9 2 4 5" xfId="15068"/>
    <cellStyle name="Обычный 3 2 9 2 4 6" xfId="15069"/>
    <cellStyle name="Обычный 3 2 9 2 4 7" xfId="15070"/>
    <cellStyle name="Обычный 3 2 9 2 4 8" xfId="15071"/>
    <cellStyle name="Обычный 3 2 9 2 4 9" xfId="15072"/>
    <cellStyle name="Обычный 3 2 9 2 5" xfId="15073"/>
    <cellStyle name="Обычный 3 2 9 2 6" xfId="15074"/>
    <cellStyle name="Обычный 3 2 9 2 7" xfId="15075"/>
    <cellStyle name="Обычный 3 2 9 2 8" xfId="15076"/>
    <cellStyle name="Обычный 3 2 9 2 9" xfId="15077"/>
    <cellStyle name="Обычный 3 2 9 3" xfId="15078"/>
    <cellStyle name="Обычный 3 2 9 3 10" xfId="15079"/>
    <cellStyle name="Обычный 3 2 9 3 11" xfId="15080"/>
    <cellStyle name="Обычный 3 2 9 3 2" xfId="15081"/>
    <cellStyle name="Обычный 3 2 9 3 2 2" xfId="15082"/>
    <cellStyle name="Обычный 3 2 9 3 2 3" xfId="15083"/>
    <cellStyle name="Обычный 3 2 9 3 2 4" xfId="15084"/>
    <cellStyle name="Обычный 3 2 9 3 2 5" xfId="15085"/>
    <cellStyle name="Обычный 3 2 9 3 2 6" xfId="15086"/>
    <cellStyle name="Обычный 3 2 9 3 2 7" xfId="15087"/>
    <cellStyle name="Обычный 3 2 9 3 2 8" xfId="15088"/>
    <cellStyle name="Обычный 3 2 9 3 2 9" xfId="15089"/>
    <cellStyle name="Обычный 3 2 9 3 3" xfId="15090"/>
    <cellStyle name="Обычный 3 2 9 3 3 2" xfId="15091"/>
    <cellStyle name="Обычный 3 2 9 3 3 3" xfId="15092"/>
    <cellStyle name="Обычный 3 2 9 3 3 4" xfId="15093"/>
    <cellStyle name="Обычный 3 2 9 3 3 5" xfId="15094"/>
    <cellStyle name="Обычный 3 2 9 3 3 6" xfId="15095"/>
    <cellStyle name="Обычный 3 2 9 3 3 7" xfId="15096"/>
    <cellStyle name="Обычный 3 2 9 3 3 8" xfId="15097"/>
    <cellStyle name="Обычный 3 2 9 3 3 9" xfId="15098"/>
    <cellStyle name="Обычный 3 2 9 3 4" xfId="15099"/>
    <cellStyle name="Обычный 3 2 9 3 5" xfId="15100"/>
    <cellStyle name="Обычный 3 2 9 3 6" xfId="15101"/>
    <cellStyle name="Обычный 3 2 9 3 7" xfId="15102"/>
    <cellStyle name="Обычный 3 2 9 3 8" xfId="15103"/>
    <cellStyle name="Обычный 3 2 9 3 9" xfId="15104"/>
    <cellStyle name="Обычный 3 2 9 4" xfId="15105"/>
    <cellStyle name="Обычный 3 2 9 4 2" xfId="15106"/>
    <cellStyle name="Обычный 3 2 9 4 3" xfId="15107"/>
    <cellStyle name="Обычный 3 2 9 4 4" xfId="15108"/>
    <cellStyle name="Обычный 3 2 9 4 5" xfId="15109"/>
    <cellStyle name="Обычный 3 2 9 4 6" xfId="15110"/>
    <cellStyle name="Обычный 3 2 9 4 7" xfId="15111"/>
    <cellStyle name="Обычный 3 2 9 4 8" xfId="15112"/>
    <cellStyle name="Обычный 3 2 9 4 9" xfId="15113"/>
    <cellStyle name="Обычный 3 2 9 5" xfId="15114"/>
    <cellStyle name="Обычный 3 2 9 6" xfId="15115"/>
    <cellStyle name="Обычный 3 2 9 7" xfId="15116"/>
    <cellStyle name="Обычный 3 2 9 8" xfId="15117"/>
    <cellStyle name="Обычный 3 2 9 9" xfId="15118"/>
    <cellStyle name="Обычный 3 2_Расчет программы" xfId="15119"/>
    <cellStyle name="Обычный 3 20" xfId="15120"/>
    <cellStyle name="Обычный 3 20 2" xfId="15121"/>
    <cellStyle name="Обычный 3 20 2 2" xfId="15122"/>
    <cellStyle name="Обычный 3 20 2 3" xfId="15123"/>
    <cellStyle name="Обычный 3 20 3" xfId="15124"/>
    <cellStyle name="Обычный 3 20 4" xfId="15125"/>
    <cellStyle name="Обычный 3 20 4 2" xfId="15126"/>
    <cellStyle name="Обычный 3 20 4 3" xfId="15127"/>
    <cellStyle name="Обычный 3 20 4 4" xfId="15128"/>
    <cellStyle name="Обычный 3 20 4 5" xfId="15129"/>
    <cellStyle name="Обычный 3 20 5" xfId="15130"/>
    <cellStyle name="Обычный 3 20 6" xfId="15131"/>
    <cellStyle name="Обычный 3 20 7" xfId="15132"/>
    <cellStyle name="Обычный 3 20 8" xfId="15133"/>
    <cellStyle name="Обычный 3 21" xfId="15134"/>
    <cellStyle name="Обычный 3 21 2" xfId="15135"/>
    <cellStyle name="Обычный 3 21 2 2" xfId="15136"/>
    <cellStyle name="Обычный 3 21 2 3" xfId="15137"/>
    <cellStyle name="Обычный 3 21 3" xfId="15138"/>
    <cellStyle name="Обычный 3 21 4" xfId="15139"/>
    <cellStyle name="Обычный 3 21 4 2" xfId="15140"/>
    <cellStyle name="Обычный 3 21 4 3" xfId="15141"/>
    <cellStyle name="Обычный 3 21 4 4" xfId="15142"/>
    <cellStyle name="Обычный 3 21 4 5" xfId="15143"/>
    <cellStyle name="Обычный 3 21 5" xfId="15144"/>
    <cellStyle name="Обычный 3 21 6" xfId="15145"/>
    <cellStyle name="Обычный 3 21 7" xfId="15146"/>
    <cellStyle name="Обычный 3 21 8" xfId="15147"/>
    <cellStyle name="Обычный 3 22" xfId="15148"/>
    <cellStyle name="Обычный 3 22 2" xfId="15149"/>
    <cellStyle name="Обычный 3 22 2 2" xfId="15150"/>
    <cellStyle name="Обычный 3 22 2 3" xfId="15151"/>
    <cellStyle name="Обычный 3 22 3" xfId="15152"/>
    <cellStyle name="Обычный 3 22 4" xfId="15153"/>
    <cellStyle name="Обычный 3 22 4 2" xfId="15154"/>
    <cellStyle name="Обычный 3 22 4 3" xfId="15155"/>
    <cellStyle name="Обычный 3 22 4 4" xfId="15156"/>
    <cellStyle name="Обычный 3 22 4 5" xfId="15157"/>
    <cellStyle name="Обычный 3 22 5" xfId="15158"/>
    <cellStyle name="Обычный 3 22 6" xfId="15159"/>
    <cellStyle name="Обычный 3 22 7" xfId="15160"/>
    <cellStyle name="Обычный 3 22 8" xfId="15161"/>
    <cellStyle name="Обычный 3 23" xfId="15162"/>
    <cellStyle name="Обычный 3 23 2" xfId="15163"/>
    <cellStyle name="Обычный 3 23 2 2" xfId="15164"/>
    <cellStyle name="Обычный 3 23 2 3" xfId="15165"/>
    <cellStyle name="Обычный 3 23 3" xfId="15166"/>
    <cellStyle name="Обычный 3 23 4" xfId="15167"/>
    <cellStyle name="Обычный 3 24" xfId="15168"/>
    <cellStyle name="Обычный 3 24 2" xfId="15169"/>
    <cellStyle name="Обычный 3 24 2 2" xfId="15170"/>
    <cellStyle name="Обычный 3 24 2 3" xfId="15171"/>
    <cellStyle name="Обычный 3 24 3" xfId="15172"/>
    <cellStyle name="Обычный 3 24 4" xfId="15173"/>
    <cellStyle name="Обычный 3 25" xfId="15174"/>
    <cellStyle name="Обычный 3 25 2" xfId="15175"/>
    <cellStyle name="Обычный 3 25 2 2" xfId="15176"/>
    <cellStyle name="Обычный 3 25 2 3" xfId="15177"/>
    <cellStyle name="Обычный 3 25 3" xfId="15178"/>
    <cellStyle name="Обычный 3 25 4" xfId="15179"/>
    <cellStyle name="Обычный 3 26" xfId="15180"/>
    <cellStyle name="Обычный 3 26 2" xfId="15181"/>
    <cellStyle name="Обычный 3 26 2 2" xfId="15182"/>
    <cellStyle name="Обычный 3 26 2 3" xfId="15183"/>
    <cellStyle name="Обычный 3 26 3" xfId="15184"/>
    <cellStyle name="Обычный 3 26 4" xfId="15185"/>
    <cellStyle name="Обычный 3 27" xfId="15186"/>
    <cellStyle name="Обычный 3 27 2" xfId="15187"/>
    <cellStyle name="Обычный 3 27 2 2" xfId="15188"/>
    <cellStyle name="Обычный 3 27 2 3" xfId="15189"/>
    <cellStyle name="Обычный 3 27 3" xfId="15190"/>
    <cellStyle name="Обычный 3 27 4" xfId="15191"/>
    <cellStyle name="Обычный 3 28" xfId="15192"/>
    <cellStyle name="Обычный 3 28 2" xfId="15193"/>
    <cellStyle name="Обычный 3 28 2 2" xfId="15194"/>
    <cellStyle name="Обычный 3 28 2 3" xfId="15195"/>
    <cellStyle name="Обычный 3 28 3" xfId="15196"/>
    <cellStyle name="Обычный 3 28 4" xfId="15197"/>
    <cellStyle name="Обычный 3 29" xfId="15198"/>
    <cellStyle name="Обычный 3 29 2" xfId="15199"/>
    <cellStyle name="Обычный 3 29 2 2" xfId="15200"/>
    <cellStyle name="Обычный 3 29 2 3" xfId="15201"/>
    <cellStyle name="Обычный 3 29 3" xfId="15202"/>
    <cellStyle name="Обычный 3 29 4" xfId="15203"/>
    <cellStyle name="Обычный 3 3" xfId="15204"/>
    <cellStyle name="Обычный 3 3 10" xfId="15205"/>
    <cellStyle name="Обычный 3 3 11" xfId="15206"/>
    <cellStyle name="Обычный 3 3 12" xfId="15207"/>
    <cellStyle name="Обычный 3 3 13" xfId="15208"/>
    <cellStyle name="Обычный 3 3 2" xfId="15209"/>
    <cellStyle name="Обычный 3 3 2 2" xfId="15210"/>
    <cellStyle name="Обычный 3 3 2 2 2" xfId="15211"/>
    <cellStyle name="Обычный 3 3 2 2 3" xfId="15212"/>
    <cellStyle name="Обычный 3 3 2 3" xfId="15213"/>
    <cellStyle name="Обычный 3 3 2 4" xfId="15214"/>
    <cellStyle name="Обычный 3 3 2 4 2" xfId="15215"/>
    <cellStyle name="Обычный 3 3 2 4 3" xfId="15216"/>
    <cellStyle name="Обычный 3 3 2 4 4" xfId="15217"/>
    <cellStyle name="Обычный 3 3 2 4 5" xfId="15218"/>
    <cellStyle name="Обычный 3 3 2 5" xfId="15219"/>
    <cellStyle name="Обычный 3 3 2 6" xfId="15220"/>
    <cellStyle name="Обычный 3 3 2 7" xfId="15221"/>
    <cellStyle name="Обычный 3 3 2 8" xfId="15222"/>
    <cellStyle name="Обычный 3 3 3" xfId="15223"/>
    <cellStyle name="Обычный 3 3 3 2" xfId="15224"/>
    <cellStyle name="Обычный 3 3 3 2 2" xfId="15225"/>
    <cellStyle name="Обычный 3 3 3 2 3" xfId="15226"/>
    <cellStyle name="Обычный 3 3 3 3" xfId="15227"/>
    <cellStyle name="Обычный 3 3 3 4" xfId="15228"/>
    <cellStyle name="Обычный 3 3 3 4 2" xfId="15229"/>
    <cellStyle name="Обычный 3 3 3 4 3" xfId="15230"/>
    <cellStyle name="Обычный 3 3 3 4 4" xfId="15231"/>
    <cellStyle name="Обычный 3 3 3 4 5" xfId="15232"/>
    <cellStyle name="Обычный 3 3 3 5" xfId="15233"/>
    <cellStyle name="Обычный 3 3 3 6" xfId="15234"/>
    <cellStyle name="Обычный 3 3 3 7" xfId="15235"/>
    <cellStyle name="Обычный 3 3 3 8" xfId="15236"/>
    <cellStyle name="Обычный 3 3 4" xfId="15237"/>
    <cellStyle name="Обычный 3 3 4 2" xfId="15238"/>
    <cellStyle name="Обычный 3 3 4 2 2" xfId="15239"/>
    <cellStyle name="Обычный 3 3 4 2 3" xfId="15240"/>
    <cellStyle name="Обычный 3 3 4 3" xfId="15241"/>
    <cellStyle name="Обычный 3 3 4 4" xfId="15242"/>
    <cellStyle name="Обычный 3 3 4 4 2" xfId="15243"/>
    <cellStyle name="Обычный 3 3 4 4 3" xfId="15244"/>
    <cellStyle name="Обычный 3 3 4 4 4" xfId="15245"/>
    <cellStyle name="Обычный 3 3 4 4 5" xfId="15246"/>
    <cellStyle name="Обычный 3 3 4 5" xfId="15247"/>
    <cellStyle name="Обычный 3 3 4 6" xfId="15248"/>
    <cellStyle name="Обычный 3 3 4 7" xfId="15249"/>
    <cellStyle name="Обычный 3 3 4 8" xfId="15250"/>
    <cellStyle name="Обычный 3 3 5" xfId="15251"/>
    <cellStyle name="Обычный 3 3 5 2" xfId="15252"/>
    <cellStyle name="Обычный 3 3 5 2 2" xfId="15253"/>
    <cellStyle name="Обычный 3 3 5 2 3" xfId="15254"/>
    <cellStyle name="Обычный 3 3 5 3" xfId="15255"/>
    <cellStyle name="Обычный 3 3 5 4" xfId="15256"/>
    <cellStyle name="Обычный 3 3 5 4 2" xfId="15257"/>
    <cellStyle name="Обычный 3 3 5 4 3" xfId="15258"/>
    <cellStyle name="Обычный 3 3 5 4 4" xfId="15259"/>
    <cellStyle name="Обычный 3 3 5 4 5" xfId="15260"/>
    <cellStyle name="Обычный 3 3 5 5" xfId="15261"/>
    <cellStyle name="Обычный 3 3 5 6" xfId="15262"/>
    <cellStyle name="Обычный 3 3 5 7" xfId="15263"/>
    <cellStyle name="Обычный 3 3 5 8" xfId="15264"/>
    <cellStyle name="Обычный 3 3 6" xfId="15265"/>
    <cellStyle name="Обычный 3 3 6 2" xfId="15266"/>
    <cellStyle name="Обычный 3 3 6 2 2" xfId="15267"/>
    <cellStyle name="Обычный 3 3 6 2 3" xfId="15268"/>
    <cellStyle name="Обычный 3 3 6 3" xfId="15269"/>
    <cellStyle name="Обычный 3 3 6 4" xfId="15270"/>
    <cellStyle name="Обычный 3 3 6 4 2" xfId="15271"/>
    <cellStyle name="Обычный 3 3 6 4 3" xfId="15272"/>
    <cellStyle name="Обычный 3 3 6 4 4" xfId="15273"/>
    <cellStyle name="Обычный 3 3 6 4 5" xfId="15274"/>
    <cellStyle name="Обычный 3 3 6 5" xfId="15275"/>
    <cellStyle name="Обычный 3 3 6 6" xfId="15276"/>
    <cellStyle name="Обычный 3 3 6 7" xfId="15277"/>
    <cellStyle name="Обычный 3 3 6 8" xfId="15278"/>
    <cellStyle name="Обычный 3 3 7" xfId="15279"/>
    <cellStyle name="Обычный 3 3 7 2" xfId="15280"/>
    <cellStyle name="Обычный 3 3 7 3" xfId="15281"/>
    <cellStyle name="Обычный 3 3 8" xfId="15282"/>
    <cellStyle name="Обычный 3 3 9" xfId="15283"/>
    <cellStyle name="Обычный 3 3 9 2" xfId="15284"/>
    <cellStyle name="Обычный 3 3 9 3" xfId="15285"/>
    <cellStyle name="Обычный 3 3 9 4" xfId="15286"/>
    <cellStyle name="Обычный 3 3 9 5" xfId="15287"/>
    <cellStyle name="Обычный 3 30" xfId="15288"/>
    <cellStyle name="Обычный 3 30 10" xfId="15289"/>
    <cellStyle name="Обычный 3 30 11" xfId="15290"/>
    <cellStyle name="Обычный 3 30 2" xfId="15291"/>
    <cellStyle name="Обычный 3 30 2 2" xfId="15292"/>
    <cellStyle name="Обычный 3 30 2 3" xfId="15293"/>
    <cellStyle name="Обычный 3 30 2 4" xfId="15294"/>
    <cellStyle name="Обычный 3 30 2 5" xfId="15295"/>
    <cellStyle name="Обычный 3 30 2 6" xfId="15296"/>
    <cellStyle name="Обычный 3 30 2 7" xfId="15297"/>
    <cellStyle name="Обычный 3 30 2 8" xfId="15298"/>
    <cellStyle name="Обычный 3 30 2 9" xfId="15299"/>
    <cellStyle name="Обычный 3 30 3" xfId="15300"/>
    <cellStyle name="Обычный 3 30 3 2" xfId="15301"/>
    <cellStyle name="Обычный 3 30 3 3" xfId="15302"/>
    <cellStyle name="Обычный 3 30 3 4" xfId="15303"/>
    <cellStyle name="Обычный 3 30 3 5" xfId="15304"/>
    <cellStyle name="Обычный 3 30 3 6" xfId="15305"/>
    <cellStyle name="Обычный 3 30 3 7" xfId="15306"/>
    <cellStyle name="Обычный 3 30 3 8" xfId="15307"/>
    <cellStyle name="Обычный 3 30 3 9" xfId="15308"/>
    <cellStyle name="Обычный 3 30 4" xfId="15309"/>
    <cellStyle name="Обычный 3 30 5" xfId="15310"/>
    <cellStyle name="Обычный 3 30 6" xfId="15311"/>
    <cellStyle name="Обычный 3 30 7" xfId="15312"/>
    <cellStyle name="Обычный 3 30 8" xfId="15313"/>
    <cellStyle name="Обычный 3 30 9" xfId="15314"/>
    <cellStyle name="Обычный 3 31" xfId="15315"/>
    <cellStyle name="Обычный 3 31 2" xfId="15316"/>
    <cellStyle name="Обычный 3 31 3" xfId="15317"/>
    <cellStyle name="Обычный 3 31 4" xfId="15318"/>
    <cellStyle name="Обычный 3 31 5" xfId="15319"/>
    <cellStyle name="Обычный 3 31 6" xfId="15320"/>
    <cellStyle name="Обычный 3 31 7" xfId="15321"/>
    <cellStyle name="Обычный 3 31 8" xfId="15322"/>
    <cellStyle name="Обычный 3 31 9" xfId="15323"/>
    <cellStyle name="Обычный 3 32" xfId="15324"/>
    <cellStyle name="Обычный 3 33" xfId="15325"/>
    <cellStyle name="Обычный 3 34" xfId="15326"/>
    <cellStyle name="Обычный 3 4" xfId="15327"/>
    <cellStyle name="Обычный 3 4 2" xfId="15328"/>
    <cellStyle name="Обычный 3 4 2 2" xfId="15329"/>
    <cellStyle name="Обычный 3 4 2 3" xfId="15330"/>
    <cellStyle name="Обычный 3 4 3" xfId="15331"/>
    <cellStyle name="Обычный 3 4 4" xfId="15332"/>
    <cellStyle name="Обычный 3 4 4 2" xfId="15333"/>
    <cellStyle name="Обычный 3 4 4 3" xfId="15334"/>
    <cellStyle name="Обычный 3 4 4 4" xfId="15335"/>
    <cellStyle name="Обычный 3 4 4 5" xfId="15336"/>
    <cellStyle name="Обычный 3 4 5" xfId="15337"/>
    <cellStyle name="Обычный 3 4 6" xfId="15338"/>
    <cellStyle name="Обычный 3 4 7" xfId="15339"/>
    <cellStyle name="Обычный 3 4 8" xfId="15340"/>
    <cellStyle name="Обычный 3 5" xfId="15341"/>
    <cellStyle name="Обычный 3 5 2" xfId="15342"/>
    <cellStyle name="Обычный 3 5 2 2" xfId="15343"/>
    <cellStyle name="Обычный 3 5 2 3" xfId="15344"/>
    <cellStyle name="Обычный 3 5 3" xfId="15345"/>
    <cellStyle name="Обычный 3 5 4" xfId="15346"/>
    <cellStyle name="Обычный 3 5 4 2" xfId="15347"/>
    <cellStyle name="Обычный 3 5 4 3" xfId="15348"/>
    <cellStyle name="Обычный 3 5 4 4" xfId="15349"/>
    <cellStyle name="Обычный 3 5 4 5" xfId="15350"/>
    <cellStyle name="Обычный 3 5 5" xfId="15351"/>
    <cellStyle name="Обычный 3 5 6" xfId="15352"/>
    <cellStyle name="Обычный 3 5 7" xfId="15353"/>
    <cellStyle name="Обычный 3 5 8" xfId="15354"/>
    <cellStyle name="Обычный 3 6" xfId="15355"/>
    <cellStyle name="Обычный 3 6 2" xfId="15356"/>
    <cellStyle name="Обычный 3 6 2 2" xfId="15357"/>
    <cellStyle name="Обычный 3 6 2 3" xfId="15358"/>
    <cellStyle name="Обычный 3 6 3" xfId="15359"/>
    <cellStyle name="Обычный 3 6 4" xfId="15360"/>
    <cellStyle name="Обычный 3 6 4 2" xfId="15361"/>
    <cellStyle name="Обычный 3 6 4 3" xfId="15362"/>
    <cellStyle name="Обычный 3 6 4 4" xfId="15363"/>
    <cellStyle name="Обычный 3 6 4 5" xfId="15364"/>
    <cellStyle name="Обычный 3 6 5" xfId="15365"/>
    <cellStyle name="Обычный 3 6 6" xfId="15366"/>
    <cellStyle name="Обычный 3 6 7" xfId="15367"/>
    <cellStyle name="Обычный 3 6 8" xfId="15368"/>
    <cellStyle name="Обычный 3 7" xfId="15369"/>
    <cellStyle name="Обычный 3 7 2" xfId="15370"/>
    <cellStyle name="Обычный 3 7 2 2" xfId="15371"/>
    <cellStyle name="Обычный 3 7 2 3" xfId="15372"/>
    <cellStyle name="Обычный 3 7 3" xfId="15373"/>
    <cellStyle name="Обычный 3 7 4" xfId="15374"/>
    <cellStyle name="Обычный 3 7 4 2" xfId="15375"/>
    <cellStyle name="Обычный 3 7 4 3" xfId="15376"/>
    <cellStyle name="Обычный 3 7 4 4" xfId="15377"/>
    <cellStyle name="Обычный 3 7 4 5" xfId="15378"/>
    <cellStyle name="Обычный 3 7 5" xfId="15379"/>
    <cellStyle name="Обычный 3 7 6" xfId="15380"/>
    <cellStyle name="Обычный 3 7 7" xfId="15381"/>
    <cellStyle name="Обычный 3 7 8" xfId="15382"/>
    <cellStyle name="Обычный 3 8" xfId="15383"/>
    <cellStyle name="Обычный 3 8 2" xfId="15384"/>
    <cellStyle name="Обычный 3 8 2 2" xfId="15385"/>
    <cellStyle name="Обычный 3 8 2 3" xfId="15386"/>
    <cellStyle name="Обычный 3 8 3" xfId="15387"/>
    <cellStyle name="Обычный 3 8 4" xfId="15388"/>
    <cellStyle name="Обычный 3 8 4 2" xfId="15389"/>
    <cellStyle name="Обычный 3 8 4 3" xfId="15390"/>
    <cellStyle name="Обычный 3 8 4 4" xfId="15391"/>
    <cellStyle name="Обычный 3 8 4 5" xfId="15392"/>
    <cellStyle name="Обычный 3 8 5" xfId="15393"/>
    <cellStyle name="Обычный 3 8 6" xfId="15394"/>
    <cellStyle name="Обычный 3 8 7" xfId="15395"/>
    <cellStyle name="Обычный 3 8 8" xfId="15396"/>
    <cellStyle name="Обычный 3 9" xfId="15397"/>
    <cellStyle name="Обычный 3 9 2" xfId="15398"/>
    <cellStyle name="Обычный 3 9 2 2" xfId="15399"/>
    <cellStyle name="Обычный 3 9 2 3" xfId="15400"/>
    <cellStyle name="Обычный 3 9 3" xfId="15401"/>
    <cellStyle name="Обычный 3 9 4" xfId="15402"/>
    <cellStyle name="Обычный 3 9 4 2" xfId="15403"/>
    <cellStyle name="Обычный 3 9 4 3" xfId="15404"/>
    <cellStyle name="Обычный 3 9 4 4" xfId="15405"/>
    <cellStyle name="Обычный 3 9 4 5" xfId="15406"/>
    <cellStyle name="Обычный 3 9 5" xfId="15407"/>
    <cellStyle name="Обычный 3 9 6" xfId="15408"/>
    <cellStyle name="Обычный 3 9 7" xfId="15409"/>
    <cellStyle name="Обычный 3 9 8" xfId="15410"/>
    <cellStyle name="Обычный 4" xfId="15411"/>
    <cellStyle name="Обычный 4 10" xfId="15412"/>
    <cellStyle name="Обычный 4 10 2" xfId="15413"/>
    <cellStyle name="Обычный 4 10 2 10" xfId="15414"/>
    <cellStyle name="Обычный 4 10 2 11" xfId="15415"/>
    <cellStyle name="Обычный 4 10 2 12" xfId="15416"/>
    <cellStyle name="Обычный 4 10 2 2" xfId="15417"/>
    <cellStyle name="Обычный 4 10 2 2 10" xfId="15418"/>
    <cellStyle name="Обычный 4 10 2 2 11" xfId="15419"/>
    <cellStyle name="Обычный 4 10 2 2 12" xfId="15420"/>
    <cellStyle name="Обычный 4 10 2 2 2" xfId="15421"/>
    <cellStyle name="Обычный 4 10 2 2 2 2" xfId="15422"/>
    <cellStyle name="Обычный 4 10 2 2 2 3" xfId="15423"/>
    <cellStyle name="Обычный 4 10 2 2 2 4" xfId="15424"/>
    <cellStyle name="Обычный 4 10 2 2 2 5" xfId="15425"/>
    <cellStyle name="Обычный 4 10 2 2 2 6" xfId="15426"/>
    <cellStyle name="Обычный 4 10 2 2 2 7" xfId="15427"/>
    <cellStyle name="Обычный 4 10 2 2 2 8" xfId="15428"/>
    <cellStyle name="Обычный 4 10 2 2 2 9" xfId="15429"/>
    <cellStyle name="Обычный 4 10 2 2 3" xfId="15430"/>
    <cellStyle name="Обычный 4 10 2 2 3 2" xfId="15431"/>
    <cellStyle name="Обычный 4 10 2 2 3 3" xfId="15432"/>
    <cellStyle name="Обычный 4 10 2 2 3 4" xfId="15433"/>
    <cellStyle name="Обычный 4 10 2 2 3 5" xfId="15434"/>
    <cellStyle name="Обычный 4 10 2 2 3 6" xfId="15435"/>
    <cellStyle name="Обычный 4 10 2 2 3 7" xfId="15436"/>
    <cellStyle name="Обычный 4 10 2 2 3 8" xfId="15437"/>
    <cellStyle name="Обычный 4 10 2 2 3 9" xfId="15438"/>
    <cellStyle name="Обычный 4 10 2 2 4" xfId="15439"/>
    <cellStyle name="Обычный 4 10 2 2 4 2" xfId="15440"/>
    <cellStyle name="Обычный 4 10 2 2 4 3" xfId="15441"/>
    <cellStyle name="Обычный 4 10 2 2 4 4" xfId="15442"/>
    <cellStyle name="Обычный 4 10 2 2 4 5" xfId="15443"/>
    <cellStyle name="Обычный 4 10 2 2 4 6" xfId="15444"/>
    <cellStyle name="Обычный 4 10 2 2 4 7" xfId="15445"/>
    <cellStyle name="Обычный 4 10 2 2 4 8" xfId="15446"/>
    <cellStyle name="Обычный 4 10 2 2 4 9" xfId="15447"/>
    <cellStyle name="Обычный 4 10 2 2 5" xfId="15448"/>
    <cellStyle name="Обычный 4 10 2 2 6" xfId="15449"/>
    <cellStyle name="Обычный 4 10 2 2 7" xfId="15450"/>
    <cellStyle name="Обычный 4 10 2 2 8" xfId="15451"/>
    <cellStyle name="Обычный 4 10 2 2 9" xfId="15452"/>
    <cellStyle name="Обычный 4 10 2 3" xfId="15453"/>
    <cellStyle name="Обычный 4 10 2 3 10" xfId="15454"/>
    <cellStyle name="Обычный 4 10 2 3 11" xfId="15455"/>
    <cellStyle name="Обычный 4 10 2 3 2" xfId="15456"/>
    <cellStyle name="Обычный 4 10 2 3 2 2" xfId="15457"/>
    <cellStyle name="Обычный 4 10 2 3 2 3" xfId="15458"/>
    <cellStyle name="Обычный 4 10 2 3 2 4" xfId="15459"/>
    <cellStyle name="Обычный 4 10 2 3 2 5" xfId="15460"/>
    <cellStyle name="Обычный 4 10 2 3 2 6" xfId="15461"/>
    <cellStyle name="Обычный 4 10 2 3 2 7" xfId="15462"/>
    <cellStyle name="Обычный 4 10 2 3 2 8" xfId="15463"/>
    <cellStyle name="Обычный 4 10 2 3 2 9" xfId="15464"/>
    <cellStyle name="Обычный 4 10 2 3 3" xfId="15465"/>
    <cellStyle name="Обычный 4 10 2 3 3 2" xfId="15466"/>
    <cellStyle name="Обычный 4 10 2 3 3 3" xfId="15467"/>
    <cellStyle name="Обычный 4 10 2 3 3 4" xfId="15468"/>
    <cellStyle name="Обычный 4 10 2 3 3 5" xfId="15469"/>
    <cellStyle name="Обычный 4 10 2 3 3 6" xfId="15470"/>
    <cellStyle name="Обычный 4 10 2 3 3 7" xfId="15471"/>
    <cellStyle name="Обычный 4 10 2 3 3 8" xfId="15472"/>
    <cellStyle name="Обычный 4 10 2 3 3 9" xfId="15473"/>
    <cellStyle name="Обычный 4 10 2 3 4" xfId="15474"/>
    <cellStyle name="Обычный 4 10 2 3 5" xfId="15475"/>
    <cellStyle name="Обычный 4 10 2 3 6" xfId="15476"/>
    <cellStyle name="Обычный 4 10 2 3 7" xfId="15477"/>
    <cellStyle name="Обычный 4 10 2 3 8" xfId="15478"/>
    <cellStyle name="Обычный 4 10 2 3 9" xfId="15479"/>
    <cellStyle name="Обычный 4 10 2 4" xfId="15480"/>
    <cellStyle name="Обычный 4 10 2 4 2" xfId="15481"/>
    <cellStyle name="Обычный 4 10 2 4 3" xfId="15482"/>
    <cellStyle name="Обычный 4 10 2 4 4" xfId="15483"/>
    <cellStyle name="Обычный 4 10 2 4 5" xfId="15484"/>
    <cellStyle name="Обычный 4 10 2 4 6" xfId="15485"/>
    <cellStyle name="Обычный 4 10 2 4 7" xfId="15486"/>
    <cellStyle name="Обычный 4 10 2 4 8" xfId="15487"/>
    <cellStyle name="Обычный 4 10 2 4 9" xfId="15488"/>
    <cellStyle name="Обычный 4 10 2 5" xfId="15489"/>
    <cellStyle name="Обычный 4 10 2 6" xfId="15490"/>
    <cellStyle name="Обычный 4 10 2 7" xfId="15491"/>
    <cellStyle name="Обычный 4 10 2 8" xfId="15492"/>
    <cellStyle name="Обычный 4 10 2 9" xfId="15493"/>
    <cellStyle name="Обычный 4 10 3" xfId="15494"/>
    <cellStyle name="Обычный 4 10 3 2" xfId="15495"/>
    <cellStyle name="Обычный 4 10 3 3" xfId="15496"/>
    <cellStyle name="Обычный 4 10 4" xfId="15497"/>
    <cellStyle name="Обычный 4 10 5" xfId="15498"/>
    <cellStyle name="Обычный 4 10 5 2" xfId="15499"/>
    <cellStyle name="Обычный 4 10 5 3" xfId="15500"/>
    <cellStyle name="Обычный 4 10 5 4" xfId="15501"/>
    <cellStyle name="Обычный 4 10 5 5" xfId="15502"/>
    <cellStyle name="Обычный 4 10 6" xfId="15503"/>
    <cellStyle name="Обычный 4 10 7" xfId="15504"/>
    <cellStyle name="Обычный 4 10 8" xfId="15505"/>
    <cellStyle name="Обычный 4 10 9" xfId="15506"/>
    <cellStyle name="Обычный 4 11" xfId="15507"/>
    <cellStyle name="Обычный 4 11 2" xfId="15508"/>
    <cellStyle name="Обычный 4 11 2 2" xfId="15509"/>
    <cellStyle name="Обычный 4 11 2 3" xfId="15510"/>
    <cellStyle name="Обычный 4 11 3" xfId="15511"/>
    <cellStyle name="Обычный 4 11 4" xfId="15512"/>
    <cellStyle name="Обычный 4 11 4 2" xfId="15513"/>
    <cellStyle name="Обычный 4 11 4 3" xfId="15514"/>
    <cellStyle name="Обычный 4 11 4 4" xfId="15515"/>
    <cellStyle name="Обычный 4 11 4 5" xfId="15516"/>
    <cellStyle name="Обычный 4 11 5" xfId="15517"/>
    <cellStyle name="Обычный 4 11 6" xfId="15518"/>
    <cellStyle name="Обычный 4 11 7" xfId="15519"/>
    <cellStyle name="Обычный 4 11 8" xfId="15520"/>
    <cellStyle name="Обычный 4 12" xfId="15521"/>
    <cellStyle name="Обычный 4 12 2" xfId="15522"/>
    <cellStyle name="Обычный 4 12 2 2" xfId="15523"/>
    <cellStyle name="Обычный 4 12 2 3" xfId="15524"/>
    <cellStyle name="Обычный 4 12 3" xfId="15525"/>
    <cellStyle name="Обычный 4 12 4" xfId="15526"/>
    <cellStyle name="Обычный 4 12 4 2" xfId="15527"/>
    <cellStyle name="Обычный 4 12 4 3" xfId="15528"/>
    <cellStyle name="Обычный 4 12 4 4" xfId="15529"/>
    <cellStyle name="Обычный 4 12 4 5" xfId="15530"/>
    <cellStyle name="Обычный 4 12 5" xfId="15531"/>
    <cellStyle name="Обычный 4 12 6" xfId="15532"/>
    <cellStyle name="Обычный 4 12 7" xfId="15533"/>
    <cellStyle name="Обычный 4 12 8" xfId="15534"/>
    <cellStyle name="Обычный 4 13" xfId="15535"/>
    <cellStyle name="Обычный 4 13 2" xfId="15536"/>
    <cellStyle name="Обычный 4 13 2 2" xfId="15537"/>
    <cellStyle name="Обычный 4 13 2 3" xfId="15538"/>
    <cellStyle name="Обычный 4 13 3" xfId="15539"/>
    <cellStyle name="Обычный 4 13 4" xfId="15540"/>
    <cellStyle name="Обычный 4 13 4 2" xfId="15541"/>
    <cellStyle name="Обычный 4 13 4 3" xfId="15542"/>
    <cellStyle name="Обычный 4 13 4 4" xfId="15543"/>
    <cellStyle name="Обычный 4 13 4 5" xfId="15544"/>
    <cellStyle name="Обычный 4 13 5" xfId="15545"/>
    <cellStyle name="Обычный 4 13 6" xfId="15546"/>
    <cellStyle name="Обычный 4 13 7" xfId="15547"/>
    <cellStyle name="Обычный 4 13 8" xfId="15548"/>
    <cellStyle name="Обычный 4 14" xfId="15549"/>
    <cellStyle name="Обычный 4 14 10" xfId="15550"/>
    <cellStyle name="Обычный 4 14 11" xfId="15551"/>
    <cellStyle name="Обычный 4 14 12" xfId="15552"/>
    <cellStyle name="Обычный 4 14 13" xfId="15553"/>
    <cellStyle name="Обычный 4 14 14" xfId="15554"/>
    <cellStyle name="Обычный 4 14 2" xfId="15555"/>
    <cellStyle name="Обычный 4 14 2 2" xfId="15556"/>
    <cellStyle name="Обычный 4 14 2 2 2" xfId="15557"/>
    <cellStyle name="Обычный 4 14 2 2 3" xfId="15558"/>
    <cellStyle name="Обычный 4 14 2 3" xfId="15559"/>
    <cellStyle name="Обычный 4 14 2 4" xfId="15560"/>
    <cellStyle name="Обычный 4 14 2 4 2" xfId="15561"/>
    <cellStyle name="Обычный 4 14 2 4 3" xfId="15562"/>
    <cellStyle name="Обычный 4 14 2 4 4" xfId="15563"/>
    <cellStyle name="Обычный 4 14 2 4 5" xfId="15564"/>
    <cellStyle name="Обычный 4 14 2 5" xfId="15565"/>
    <cellStyle name="Обычный 4 14 2 6" xfId="15566"/>
    <cellStyle name="Обычный 4 14 2 7" xfId="15567"/>
    <cellStyle name="Обычный 4 14 2 8" xfId="15568"/>
    <cellStyle name="Обычный 4 14 3" xfId="15569"/>
    <cellStyle name="Обычный 4 14 3 2" xfId="15570"/>
    <cellStyle name="Обычный 4 14 3 2 2" xfId="15571"/>
    <cellStyle name="Обычный 4 14 3 2 3" xfId="15572"/>
    <cellStyle name="Обычный 4 14 3 3" xfId="15573"/>
    <cellStyle name="Обычный 4 14 3 4" xfId="15574"/>
    <cellStyle name="Обычный 4 14 3 4 2" xfId="15575"/>
    <cellStyle name="Обычный 4 14 3 4 3" xfId="15576"/>
    <cellStyle name="Обычный 4 14 3 4 4" xfId="15577"/>
    <cellStyle name="Обычный 4 14 3 4 5" xfId="15578"/>
    <cellStyle name="Обычный 4 14 3 5" xfId="15579"/>
    <cellStyle name="Обычный 4 14 3 6" xfId="15580"/>
    <cellStyle name="Обычный 4 14 3 7" xfId="15581"/>
    <cellStyle name="Обычный 4 14 3 8" xfId="15582"/>
    <cellStyle name="Обычный 4 14 4" xfId="15583"/>
    <cellStyle name="Обычный 4 14 4 10" xfId="15584"/>
    <cellStyle name="Обычный 4 14 4 11" xfId="15585"/>
    <cellStyle name="Обычный 4 14 4 12" xfId="15586"/>
    <cellStyle name="Обычный 4 14 4 2" xfId="15587"/>
    <cellStyle name="Обычный 4 14 4 2 2" xfId="15588"/>
    <cellStyle name="Обычный 4 14 4 2 3" xfId="15589"/>
    <cellStyle name="Обычный 4 14 4 2 4" xfId="15590"/>
    <cellStyle name="Обычный 4 14 4 2 5" xfId="15591"/>
    <cellStyle name="Обычный 4 14 4 2 6" xfId="15592"/>
    <cellStyle name="Обычный 4 14 4 2 7" xfId="15593"/>
    <cellStyle name="Обычный 4 14 4 2 8" xfId="15594"/>
    <cellStyle name="Обычный 4 14 4 2 9" xfId="15595"/>
    <cellStyle name="Обычный 4 14 4 3" xfId="15596"/>
    <cellStyle name="Обычный 4 14 4 3 2" xfId="15597"/>
    <cellStyle name="Обычный 4 14 4 3 3" xfId="15598"/>
    <cellStyle name="Обычный 4 14 4 3 4" xfId="15599"/>
    <cellStyle name="Обычный 4 14 4 3 5" xfId="15600"/>
    <cellStyle name="Обычный 4 14 4 3 6" xfId="15601"/>
    <cellStyle name="Обычный 4 14 4 3 7" xfId="15602"/>
    <cellStyle name="Обычный 4 14 4 3 8" xfId="15603"/>
    <cellStyle name="Обычный 4 14 4 3 9" xfId="15604"/>
    <cellStyle name="Обычный 4 14 4 4" xfId="15605"/>
    <cellStyle name="Обычный 4 14 4 4 2" xfId="15606"/>
    <cellStyle name="Обычный 4 14 4 4 3" xfId="15607"/>
    <cellStyle name="Обычный 4 14 4 4 4" xfId="15608"/>
    <cellStyle name="Обычный 4 14 4 4 5" xfId="15609"/>
    <cellStyle name="Обычный 4 14 4 4 6" xfId="15610"/>
    <cellStyle name="Обычный 4 14 4 4 7" xfId="15611"/>
    <cellStyle name="Обычный 4 14 4 4 8" xfId="15612"/>
    <cellStyle name="Обычный 4 14 4 4 9" xfId="15613"/>
    <cellStyle name="Обычный 4 14 4 5" xfId="15614"/>
    <cellStyle name="Обычный 4 14 4 6" xfId="15615"/>
    <cellStyle name="Обычный 4 14 4 7" xfId="15616"/>
    <cellStyle name="Обычный 4 14 4 8" xfId="15617"/>
    <cellStyle name="Обычный 4 14 4 9" xfId="15618"/>
    <cellStyle name="Обычный 4 14 5" xfId="15619"/>
    <cellStyle name="Обычный 4 14 5 10" xfId="15620"/>
    <cellStyle name="Обычный 4 14 5 11" xfId="15621"/>
    <cellStyle name="Обычный 4 14 5 2" xfId="15622"/>
    <cellStyle name="Обычный 4 14 5 2 2" xfId="15623"/>
    <cellStyle name="Обычный 4 14 5 2 3" xfId="15624"/>
    <cellStyle name="Обычный 4 14 5 2 4" xfId="15625"/>
    <cellStyle name="Обычный 4 14 5 2 5" xfId="15626"/>
    <cellStyle name="Обычный 4 14 5 2 6" xfId="15627"/>
    <cellStyle name="Обычный 4 14 5 2 7" xfId="15628"/>
    <cellStyle name="Обычный 4 14 5 2 8" xfId="15629"/>
    <cellStyle name="Обычный 4 14 5 2 9" xfId="15630"/>
    <cellStyle name="Обычный 4 14 5 3" xfId="15631"/>
    <cellStyle name="Обычный 4 14 5 3 2" xfId="15632"/>
    <cellStyle name="Обычный 4 14 5 3 3" xfId="15633"/>
    <cellStyle name="Обычный 4 14 5 3 4" xfId="15634"/>
    <cellStyle name="Обычный 4 14 5 3 5" xfId="15635"/>
    <cellStyle name="Обычный 4 14 5 3 6" xfId="15636"/>
    <cellStyle name="Обычный 4 14 5 3 7" xfId="15637"/>
    <cellStyle name="Обычный 4 14 5 3 8" xfId="15638"/>
    <cellStyle name="Обычный 4 14 5 3 9" xfId="15639"/>
    <cellStyle name="Обычный 4 14 5 4" xfId="15640"/>
    <cellStyle name="Обычный 4 14 5 5" xfId="15641"/>
    <cellStyle name="Обычный 4 14 5 6" xfId="15642"/>
    <cellStyle name="Обычный 4 14 5 7" xfId="15643"/>
    <cellStyle name="Обычный 4 14 5 8" xfId="15644"/>
    <cellStyle name="Обычный 4 14 5 9" xfId="15645"/>
    <cellStyle name="Обычный 4 14 6" xfId="15646"/>
    <cellStyle name="Обычный 4 14 6 2" xfId="15647"/>
    <cellStyle name="Обычный 4 14 6 3" xfId="15648"/>
    <cellStyle name="Обычный 4 14 6 4" xfId="15649"/>
    <cellStyle name="Обычный 4 14 6 5" xfId="15650"/>
    <cellStyle name="Обычный 4 14 6 6" xfId="15651"/>
    <cellStyle name="Обычный 4 14 6 7" xfId="15652"/>
    <cellStyle name="Обычный 4 14 6 8" xfId="15653"/>
    <cellStyle name="Обычный 4 14 6 9" xfId="15654"/>
    <cellStyle name="Обычный 4 14 7" xfId="15655"/>
    <cellStyle name="Обычный 4 14 8" xfId="15656"/>
    <cellStyle name="Обычный 4 14 9" xfId="15657"/>
    <cellStyle name="Обычный 4 15" xfId="15658"/>
    <cellStyle name="Обычный 4 15 10" xfId="15659"/>
    <cellStyle name="Обычный 4 15 11" xfId="15660"/>
    <cellStyle name="Обычный 4 15 12" xfId="15661"/>
    <cellStyle name="Обычный 4 15 2" xfId="15662"/>
    <cellStyle name="Обычный 4 15 2 10" xfId="15663"/>
    <cellStyle name="Обычный 4 15 2 11" xfId="15664"/>
    <cellStyle name="Обычный 4 15 2 12" xfId="15665"/>
    <cellStyle name="Обычный 4 15 2 2" xfId="15666"/>
    <cellStyle name="Обычный 4 15 2 2 2" xfId="15667"/>
    <cellStyle name="Обычный 4 15 2 2 3" xfId="15668"/>
    <cellStyle name="Обычный 4 15 2 2 4" xfId="15669"/>
    <cellStyle name="Обычный 4 15 2 2 5" xfId="15670"/>
    <cellStyle name="Обычный 4 15 2 2 6" xfId="15671"/>
    <cellStyle name="Обычный 4 15 2 2 7" xfId="15672"/>
    <cellStyle name="Обычный 4 15 2 2 8" xfId="15673"/>
    <cellStyle name="Обычный 4 15 2 2 9" xfId="15674"/>
    <cellStyle name="Обычный 4 15 2 3" xfId="15675"/>
    <cellStyle name="Обычный 4 15 2 3 2" xfId="15676"/>
    <cellStyle name="Обычный 4 15 2 3 3" xfId="15677"/>
    <cellStyle name="Обычный 4 15 2 3 4" xfId="15678"/>
    <cellStyle name="Обычный 4 15 2 3 5" xfId="15679"/>
    <cellStyle name="Обычный 4 15 2 3 6" xfId="15680"/>
    <cellStyle name="Обычный 4 15 2 3 7" xfId="15681"/>
    <cellStyle name="Обычный 4 15 2 3 8" xfId="15682"/>
    <cellStyle name="Обычный 4 15 2 3 9" xfId="15683"/>
    <cellStyle name="Обычный 4 15 2 4" xfId="15684"/>
    <cellStyle name="Обычный 4 15 2 4 2" xfId="15685"/>
    <cellStyle name="Обычный 4 15 2 4 3" xfId="15686"/>
    <cellStyle name="Обычный 4 15 2 4 4" xfId="15687"/>
    <cellStyle name="Обычный 4 15 2 4 5" xfId="15688"/>
    <cellStyle name="Обычный 4 15 2 4 6" xfId="15689"/>
    <cellStyle name="Обычный 4 15 2 4 7" xfId="15690"/>
    <cellStyle name="Обычный 4 15 2 4 8" xfId="15691"/>
    <cellStyle name="Обычный 4 15 2 4 9" xfId="15692"/>
    <cellStyle name="Обычный 4 15 2 5" xfId="15693"/>
    <cellStyle name="Обычный 4 15 2 6" xfId="15694"/>
    <cellStyle name="Обычный 4 15 2 7" xfId="15695"/>
    <cellStyle name="Обычный 4 15 2 8" xfId="15696"/>
    <cellStyle name="Обычный 4 15 2 9" xfId="15697"/>
    <cellStyle name="Обычный 4 15 3" xfId="15698"/>
    <cellStyle name="Обычный 4 15 3 10" xfId="15699"/>
    <cellStyle name="Обычный 4 15 3 11" xfId="15700"/>
    <cellStyle name="Обычный 4 15 3 2" xfId="15701"/>
    <cellStyle name="Обычный 4 15 3 2 2" xfId="15702"/>
    <cellStyle name="Обычный 4 15 3 2 3" xfId="15703"/>
    <cellStyle name="Обычный 4 15 3 2 4" xfId="15704"/>
    <cellStyle name="Обычный 4 15 3 2 5" xfId="15705"/>
    <cellStyle name="Обычный 4 15 3 2 6" xfId="15706"/>
    <cellStyle name="Обычный 4 15 3 2 7" xfId="15707"/>
    <cellStyle name="Обычный 4 15 3 2 8" xfId="15708"/>
    <cellStyle name="Обычный 4 15 3 2 9" xfId="15709"/>
    <cellStyle name="Обычный 4 15 3 3" xfId="15710"/>
    <cellStyle name="Обычный 4 15 3 3 2" xfId="15711"/>
    <cellStyle name="Обычный 4 15 3 3 3" xfId="15712"/>
    <cellStyle name="Обычный 4 15 3 3 4" xfId="15713"/>
    <cellStyle name="Обычный 4 15 3 3 5" xfId="15714"/>
    <cellStyle name="Обычный 4 15 3 3 6" xfId="15715"/>
    <cellStyle name="Обычный 4 15 3 3 7" xfId="15716"/>
    <cellStyle name="Обычный 4 15 3 3 8" xfId="15717"/>
    <cellStyle name="Обычный 4 15 3 3 9" xfId="15718"/>
    <cellStyle name="Обычный 4 15 3 4" xfId="15719"/>
    <cellStyle name="Обычный 4 15 3 5" xfId="15720"/>
    <cellStyle name="Обычный 4 15 3 6" xfId="15721"/>
    <cellStyle name="Обычный 4 15 3 7" xfId="15722"/>
    <cellStyle name="Обычный 4 15 3 8" xfId="15723"/>
    <cellStyle name="Обычный 4 15 3 9" xfId="15724"/>
    <cellStyle name="Обычный 4 15 4" xfId="15725"/>
    <cellStyle name="Обычный 4 15 4 2" xfId="15726"/>
    <cellStyle name="Обычный 4 15 4 3" xfId="15727"/>
    <cellStyle name="Обычный 4 15 4 4" xfId="15728"/>
    <cellStyle name="Обычный 4 15 4 5" xfId="15729"/>
    <cellStyle name="Обычный 4 15 4 6" xfId="15730"/>
    <cellStyle name="Обычный 4 15 4 7" xfId="15731"/>
    <cellStyle name="Обычный 4 15 4 8" xfId="15732"/>
    <cellStyle name="Обычный 4 15 4 9" xfId="15733"/>
    <cellStyle name="Обычный 4 15 5" xfId="15734"/>
    <cellStyle name="Обычный 4 15 6" xfId="15735"/>
    <cellStyle name="Обычный 4 15 7" xfId="15736"/>
    <cellStyle name="Обычный 4 15 8" xfId="15737"/>
    <cellStyle name="Обычный 4 15 9" xfId="15738"/>
    <cellStyle name="Обычный 4 16" xfId="15739"/>
    <cellStyle name="Обычный 4 16 2" xfId="15740"/>
    <cellStyle name="Обычный 4 16 3" xfId="15741"/>
    <cellStyle name="Обычный 4 17" xfId="15742"/>
    <cellStyle name="Обычный 4 18" xfId="15743"/>
    <cellStyle name="Обычный 4 18 2" xfId="15744"/>
    <cellStyle name="Обычный 4 18 3" xfId="15745"/>
    <cellStyle name="Обычный 4 18 4" xfId="15746"/>
    <cellStyle name="Обычный 4 18 5" xfId="15747"/>
    <cellStyle name="Обычный 4 19" xfId="15748"/>
    <cellStyle name="Обычный 4 2" xfId="15749"/>
    <cellStyle name="Обычный 4 2 10" xfId="15750"/>
    <cellStyle name="Обычный 4 2 10 2" xfId="15751"/>
    <cellStyle name="Обычный 4 2 10 2 2" xfId="15752"/>
    <cellStyle name="Обычный 4 2 10 2 2 2" xfId="15753"/>
    <cellStyle name="Обычный 4 2 10 2 2 3" xfId="15754"/>
    <cellStyle name="Обычный 4 2 10 2 2 4" xfId="15755"/>
    <cellStyle name="Обычный 4 2 10 2 2 5" xfId="15756"/>
    <cellStyle name="Обычный 4 2 10 2 2 6" xfId="15757"/>
    <cellStyle name="Обычный 4 2 10 2 3" xfId="15758"/>
    <cellStyle name="Обычный 4 2 10 2 3 2" xfId="15759"/>
    <cellStyle name="Обычный 4 2 10 2 3 3" xfId="15760"/>
    <cellStyle name="Обычный 4 2 10 2 3 4" xfId="15761"/>
    <cellStyle name="Обычный 4 2 10 2 3 5" xfId="15762"/>
    <cellStyle name="Обычный 4 2 10 2 3 6" xfId="15763"/>
    <cellStyle name="Обычный 4 2 10 2 4" xfId="15764"/>
    <cellStyle name="Обычный 4 2 10 2 5" xfId="15765"/>
    <cellStyle name="Обычный 4 2 10 2 6" xfId="15766"/>
    <cellStyle name="Обычный 4 2 10 2 7" xfId="15767"/>
    <cellStyle name="Обычный 4 2 10 2 8" xfId="15768"/>
    <cellStyle name="Обычный 4 2 10 3" xfId="15769"/>
    <cellStyle name="Обычный 4 2 10 3 2" xfId="15770"/>
    <cellStyle name="Обычный 4 2 10 3 3" xfId="15771"/>
    <cellStyle name="Обычный 4 2 10 3 4" xfId="15772"/>
    <cellStyle name="Обычный 4 2 10 3 5" xfId="15773"/>
    <cellStyle name="Обычный 4 2 10 3 6" xfId="15774"/>
    <cellStyle name="Обычный 4 2 10 4" xfId="15775"/>
    <cellStyle name="Обычный 4 2 10 4 2" xfId="15776"/>
    <cellStyle name="Обычный 4 2 10 4 3" xfId="15777"/>
    <cellStyle name="Обычный 4 2 10 4 4" xfId="15778"/>
    <cellStyle name="Обычный 4 2 10 4 5" xfId="15779"/>
    <cellStyle name="Обычный 4 2 10 5" xfId="15780"/>
    <cellStyle name="Обычный 4 2 10 6" xfId="15781"/>
    <cellStyle name="Обычный 4 2 10 7" xfId="15782"/>
    <cellStyle name="Обычный 4 2 10 8" xfId="15783"/>
    <cellStyle name="Обычный 4 2 11" xfId="15784"/>
    <cellStyle name="Обычный 4 2 11 2" xfId="15785"/>
    <cellStyle name="Обычный 4 2 11 2 2" xfId="15786"/>
    <cellStyle name="Обычный 4 2 11 2 2 2" xfId="15787"/>
    <cellStyle name="Обычный 4 2 11 2 2 3" xfId="15788"/>
    <cellStyle name="Обычный 4 2 11 2 2 4" xfId="15789"/>
    <cellStyle name="Обычный 4 2 11 2 2 5" xfId="15790"/>
    <cellStyle name="Обычный 4 2 11 2 2 6" xfId="15791"/>
    <cellStyle name="Обычный 4 2 11 2 3" xfId="15792"/>
    <cellStyle name="Обычный 4 2 11 2 3 2" xfId="15793"/>
    <cellStyle name="Обычный 4 2 11 2 3 3" xfId="15794"/>
    <cellStyle name="Обычный 4 2 11 2 3 4" xfId="15795"/>
    <cellStyle name="Обычный 4 2 11 2 3 5" xfId="15796"/>
    <cellStyle name="Обычный 4 2 11 2 3 6" xfId="15797"/>
    <cellStyle name="Обычный 4 2 11 2 4" xfId="15798"/>
    <cellStyle name="Обычный 4 2 11 2 5" xfId="15799"/>
    <cellStyle name="Обычный 4 2 11 2 6" xfId="15800"/>
    <cellStyle name="Обычный 4 2 11 2 7" xfId="15801"/>
    <cellStyle name="Обычный 4 2 11 2 8" xfId="15802"/>
    <cellStyle name="Обычный 4 2 11 3" xfId="15803"/>
    <cellStyle name="Обычный 4 2 11 3 2" xfId="15804"/>
    <cellStyle name="Обычный 4 2 11 3 3" xfId="15805"/>
    <cellStyle name="Обычный 4 2 11 3 4" xfId="15806"/>
    <cellStyle name="Обычный 4 2 11 3 5" xfId="15807"/>
    <cellStyle name="Обычный 4 2 11 3 6" xfId="15808"/>
    <cellStyle name="Обычный 4 2 11 4" xfId="15809"/>
    <cellStyle name="Обычный 4 2 11 4 2" xfId="15810"/>
    <cellStyle name="Обычный 4 2 11 4 3" xfId="15811"/>
    <cellStyle name="Обычный 4 2 11 4 4" xfId="15812"/>
    <cellStyle name="Обычный 4 2 11 4 5" xfId="15813"/>
    <cellStyle name="Обычный 4 2 11 5" xfId="15814"/>
    <cellStyle name="Обычный 4 2 11 6" xfId="15815"/>
    <cellStyle name="Обычный 4 2 11 7" xfId="15816"/>
    <cellStyle name="Обычный 4 2 11 8" xfId="15817"/>
    <cellStyle name="Обычный 4 2 12" xfId="15818"/>
    <cellStyle name="Обычный 4 2 12 2" xfId="15819"/>
    <cellStyle name="Обычный 4 2 12 3" xfId="15820"/>
    <cellStyle name="Обычный 4 2 13" xfId="15821"/>
    <cellStyle name="Обычный 4 2 14" xfId="15822"/>
    <cellStyle name="Обычный 4 2 14 2" xfId="15823"/>
    <cellStyle name="Обычный 4 2 14 3" xfId="15824"/>
    <cellStyle name="Обычный 4 2 14 4" xfId="15825"/>
    <cellStyle name="Обычный 4 2 14 5" xfId="15826"/>
    <cellStyle name="Обычный 4 2 15" xfId="15827"/>
    <cellStyle name="Обычный 4 2 16" xfId="15828"/>
    <cellStyle name="Обычный 4 2 17" xfId="15829"/>
    <cellStyle name="Обычный 4 2 18" xfId="15830"/>
    <cellStyle name="Обычный 4 2 2" xfId="15831"/>
    <cellStyle name="Обычный 4 2 2 2" xfId="15832"/>
    <cellStyle name="Обычный 4 2 2 2 2" xfId="15833"/>
    <cellStyle name="Обычный 4 2 2 2 3" xfId="15834"/>
    <cellStyle name="Обычный 4 2 2 3" xfId="15835"/>
    <cellStyle name="Обычный 4 2 2 4" xfId="15836"/>
    <cellStyle name="Обычный 4 2 3" xfId="15837"/>
    <cellStyle name="Обычный 4 2 3 2" xfId="15838"/>
    <cellStyle name="Обычный 4 2 3 2 2" xfId="15839"/>
    <cellStyle name="Обычный 4 2 3 2 3" xfId="15840"/>
    <cellStyle name="Обычный 4 2 3 3" xfId="15841"/>
    <cellStyle name="Обычный 4 2 3 4" xfId="15842"/>
    <cellStyle name="Обычный 4 2 4" xfId="15843"/>
    <cellStyle name="Обычный 4 2 4 2" xfId="15844"/>
    <cellStyle name="Обычный 4 2 4 2 2" xfId="15845"/>
    <cellStyle name="Обычный 4 2 4 2 3" xfId="15846"/>
    <cellStyle name="Обычный 4 2 4 3" xfId="15847"/>
    <cellStyle name="Обычный 4 2 4 4" xfId="15848"/>
    <cellStyle name="Обычный 4 2 5" xfId="15849"/>
    <cellStyle name="Обычный 4 2 5 2" xfId="15850"/>
    <cellStyle name="Обычный 4 2 5 2 2" xfId="15851"/>
    <cellStyle name="Обычный 4 2 5 2 3" xfId="15852"/>
    <cellStyle name="Обычный 4 2 5 3" xfId="15853"/>
    <cellStyle name="Обычный 4 2 5 4" xfId="15854"/>
    <cellStyle name="Обычный 4 2 6" xfId="15855"/>
    <cellStyle name="Обычный 4 2 6 2" xfId="15856"/>
    <cellStyle name="Обычный 4 2 6 2 2" xfId="15857"/>
    <cellStyle name="Обычный 4 2 6 2 3" xfId="15858"/>
    <cellStyle name="Обычный 4 2 6 3" xfId="15859"/>
    <cellStyle name="Обычный 4 2 6 4" xfId="15860"/>
    <cellStyle name="Обычный 4 2 7" xfId="15861"/>
    <cellStyle name="Обычный 4 2 7 10" xfId="15862"/>
    <cellStyle name="Обычный 4 2 7 11" xfId="15863"/>
    <cellStyle name="Обычный 4 2 7 12" xfId="15864"/>
    <cellStyle name="Обычный 4 2 7 2" xfId="15865"/>
    <cellStyle name="Обычный 4 2 7 2 10" xfId="15866"/>
    <cellStyle name="Обычный 4 2 7 2 11" xfId="15867"/>
    <cellStyle name="Обычный 4 2 7 2 12" xfId="15868"/>
    <cellStyle name="Обычный 4 2 7 2 2" xfId="15869"/>
    <cellStyle name="Обычный 4 2 7 2 2 2" xfId="15870"/>
    <cellStyle name="Обычный 4 2 7 2 2 3" xfId="15871"/>
    <cellStyle name="Обычный 4 2 7 2 2 4" xfId="15872"/>
    <cellStyle name="Обычный 4 2 7 2 2 5" xfId="15873"/>
    <cellStyle name="Обычный 4 2 7 2 2 6" xfId="15874"/>
    <cellStyle name="Обычный 4 2 7 2 2 7" xfId="15875"/>
    <cellStyle name="Обычный 4 2 7 2 2 8" xfId="15876"/>
    <cellStyle name="Обычный 4 2 7 2 2 9" xfId="15877"/>
    <cellStyle name="Обычный 4 2 7 2 3" xfId="15878"/>
    <cellStyle name="Обычный 4 2 7 2 3 2" xfId="15879"/>
    <cellStyle name="Обычный 4 2 7 2 3 3" xfId="15880"/>
    <cellStyle name="Обычный 4 2 7 2 3 4" xfId="15881"/>
    <cellStyle name="Обычный 4 2 7 2 3 5" xfId="15882"/>
    <cellStyle name="Обычный 4 2 7 2 3 6" xfId="15883"/>
    <cellStyle name="Обычный 4 2 7 2 3 7" xfId="15884"/>
    <cellStyle name="Обычный 4 2 7 2 3 8" xfId="15885"/>
    <cellStyle name="Обычный 4 2 7 2 3 9" xfId="15886"/>
    <cellStyle name="Обычный 4 2 7 2 4" xfId="15887"/>
    <cellStyle name="Обычный 4 2 7 2 4 2" xfId="15888"/>
    <cellStyle name="Обычный 4 2 7 2 4 3" xfId="15889"/>
    <cellStyle name="Обычный 4 2 7 2 4 4" xfId="15890"/>
    <cellStyle name="Обычный 4 2 7 2 4 5" xfId="15891"/>
    <cellStyle name="Обычный 4 2 7 2 4 6" xfId="15892"/>
    <cellStyle name="Обычный 4 2 7 2 4 7" xfId="15893"/>
    <cellStyle name="Обычный 4 2 7 2 4 8" xfId="15894"/>
    <cellStyle name="Обычный 4 2 7 2 4 9" xfId="15895"/>
    <cellStyle name="Обычный 4 2 7 2 5" xfId="15896"/>
    <cellStyle name="Обычный 4 2 7 2 6" xfId="15897"/>
    <cellStyle name="Обычный 4 2 7 2 7" xfId="15898"/>
    <cellStyle name="Обычный 4 2 7 2 8" xfId="15899"/>
    <cellStyle name="Обычный 4 2 7 2 9" xfId="15900"/>
    <cellStyle name="Обычный 4 2 7 3" xfId="15901"/>
    <cellStyle name="Обычный 4 2 7 3 10" xfId="15902"/>
    <cellStyle name="Обычный 4 2 7 3 11" xfId="15903"/>
    <cellStyle name="Обычный 4 2 7 3 2" xfId="15904"/>
    <cellStyle name="Обычный 4 2 7 3 2 2" xfId="15905"/>
    <cellStyle name="Обычный 4 2 7 3 2 3" xfId="15906"/>
    <cellStyle name="Обычный 4 2 7 3 2 4" xfId="15907"/>
    <cellStyle name="Обычный 4 2 7 3 2 5" xfId="15908"/>
    <cellStyle name="Обычный 4 2 7 3 2 6" xfId="15909"/>
    <cellStyle name="Обычный 4 2 7 3 2 7" xfId="15910"/>
    <cellStyle name="Обычный 4 2 7 3 2 8" xfId="15911"/>
    <cellStyle name="Обычный 4 2 7 3 2 9" xfId="15912"/>
    <cellStyle name="Обычный 4 2 7 3 3" xfId="15913"/>
    <cellStyle name="Обычный 4 2 7 3 3 2" xfId="15914"/>
    <cellStyle name="Обычный 4 2 7 3 3 3" xfId="15915"/>
    <cellStyle name="Обычный 4 2 7 3 3 4" xfId="15916"/>
    <cellStyle name="Обычный 4 2 7 3 3 5" xfId="15917"/>
    <cellStyle name="Обычный 4 2 7 3 3 6" xfId="15918"/>
    <cellStyle name="Обычный 4 2 7 3 3 7" xfId="15919"/>
    <cellStyle name="Обычный 4 2 7 3 3 8" xfId="15920"/>
    <cellStyle name="Обычный 4 2 7 3 3 9" xfId="15921"/>
    <cellStyle name="Обычный 4 2 7 3 4" xfId="15922"/>
    <cellStyle name="Обычный 4 2 7 3 5" xfId="15923"/>
    <cellStyle name="Обычный 4 2 7 3 6" xfId="15924"/>
    <cellStyle name="Обычный 4 2 7 3 7" xfId="15925"/>
    <cellStyle name="Обычный 4 2 7 3 8" xfId="15926"/>
    <cellStyle name="Обычный 4 2 7 3 9" xfId="15927"/>
    <cellStyle name="Обычный 4 2 7 4" xfId="15928"/>
    <cellStyle name="Обычный 4 2 7 4 2" xfId="15929"/>
    <cellStyle name="Обычный 4 2 7 4 3" xfId="15930"/>
    <cellStyle name="Обычный 4 2 7 4 4" xfId="15931"/>
    <cellStyle name="Обычный 4 2 7 4 5" xfId="15932"/>
    <cellStyle name="Обычный 4 2 7 4 6" xfId="15933"/>
    <cellStyle name="Обычный 4 2 7 4 7" xfId="15934"/>
    <cellStyle name="Обычный 4 2 7 4 8" xfId="15935"/>
    <cellStyle name="Обычный 4 2 7 4 9" xfId="15936"/>
    <cellStyle name="Обычный 4 2 7 5" xfId="15937"/>
    <cellStyle name="Обычный 4 2 7 6" xfId="15938"/>
    <cellStyle name="Обычный 4 2 7 7" xfId="15939"/>
    <cellStyle name="Обычный 4 2 7 8" xfId="15940"/>
    <cellStyle name="Обычный 4 2 7 9" xfId="15941"/>
    <cellStyle name="Обычный 4 2 8" xfId="15942"/>
    <cellStyle name="Обычный 4 2 8 2" xfId="15943"/>
    <cellStyle name="Обычный 4 2 8 2 2" xfId="15944"/>
    <cellStyle name="Обычный 4 2 8 2 2 2" xfId="15945"/>
    <cellStyle name="Обычный 4 2 8 2 2 3" xfId="15946"/>
    <cellStyle name="Обычный 4 2 8 2 2 4" xfId="15947"/>
    <cellStyle name="Обычный 4 2 8 2 2 5" xfId="15948"/>
    <cellStyle name="Обычный 4 2 8 2 2 6" xfId="15949"/>
    <cellStyle name="Обычный 4 2 8 2 3" xfId="15950"/>
    <cellStyle name="Обычный 4 2 8 2 3 2" xfId="15951"/>
    <cellStyle name="Обычный 4 2 8 2 3 3" xfId="15952"/>
    <cellStyle name="Обычный 4 2 8 2 3 4" xfId="15953"/>
    <cellStyle name="Обычный 4 2 8 2 3 5" xfId="15954"/>
    <cellStyle name="Обычный 4 2 8 2 3 6" xfId="15955"/>
    <cellStyle name="Обычный 4 2 8 2 4" xfId="15956"/>
    <cellStyle name="Обычный 4 2 8 2 5" xfId="15957"/>
    <cellStyle name="Обычный 4 2 8 2 6" xfId="15958"/>
    <cellStyle name="Обычный 4 2 8 2 7" xfId="15959"/>
    <cellStyle name="Обычный 4 2 8 2 8" xfId="15960"/>
    <cellStyle name="Обычный 4 2 8 3" xfId="15961"/>
    <cellStyle name="Обычный 4 2 8 3 2" xfId="15962"/>
    <cellStyle name="Обычный 4 2 8 3 3" xfId="15963"/>
    <cellStyle name="Обычный 4 2 8 3 4" xfId="15964"/>
    <cellStyle name="Обычный 4 2 8 3 5" xfId="15965"/>
    <cellStyle name="Обычный 4 2 8 3 6" xfId="15966"/>
    <cellStyle name="Обычный 4 2 8 4" xfId="15967"/>
    <cellStyle name="Обычный 4 2 8 4 2" xfId="15968"/>
    <cellStyle name="Обычный 4 2 8 4 3" xfId="15969"/>
    <cellStyle name="Обычный 4 2 8 4 4" xfId="15970"/>
    <cellStyle name="Обычный 4 2 8 4 5" xfId="15971"/>
    <cellStyle name="Обычный 4 2 8 5" xfId="15972"/>
    <cellStyle name="Обычный 4 2 8 6" xfId="15973"/>
    <cellStyle name="Обычный 4 2 8 7" xfId="15974"/>
    <cellStyle name="Обычный 4 2 8 8" xfId="15975"/>
    <cellStyle name="Обычный 4 2 9" xfId="15976"/>
    <cellStyle name="Обычный 4 2 9 2" xfId="15977"/>
    <cellStyle name="Обычный 4 2 9 2 2" xfId="15978"/>
    <cellStyle name="Обычный 4 2 9 2 2 2" xfId="15979"/>
    <cellStyle name="Обычный 4 2 9 2 2 3" xfId="15980"/>
    <cellStyle name="Обычный 4 2 9 2 2 4" xfId="15981"/>
    <cellStyle name="Обычный 4 2 9 2 2 5" xfId="15982"/>
    <cellStyle name="Обычный 4 2 9 2 2 6" xfId="15983"/>
    <cellStyle name="Обычный 4 2 9 2 3" xfId="15984"/>
    <cellStyle name="Обычный 4 2 9 2 3 2" xfId="15985"/>
    <cellStyle name="Обычный 4 2 9 2 3 3" xfId="15986"/>
    <cellStyle name="Обычный 4 2 9 2 3 4" xfId="15987"/>
    <cellStyle name="Обычный 4 2 9 2 3 5" xfId="15988"/>
    <cellStyle name="Обычный 4 2 9 2 3 6" xfId="15989"/>
    <cellStyle name="Обычный 4 2 9 2 4" xfId="15990"/>
    <cellStyle name="Обычный 4 2 9 2 5" xfId="15991"/>
    <cellStyle name="Обычный 4 2 9 2 6" xfId="15992"/>
    <cellStyle name="Обычный 4 2 9 2 7" xfId="15993"/>
    <cellStyle name="Обычный 4 2 9 2 8" xfId="15994"/>
    <cellStyle name="Обычный 4 2 9 3" xfId="15995"/>
    <cellStyle name="Обычный 4 2 9 3 2" xfId="15996"/>
    <cellStyle name="Обычный 4 2 9 3 3" xfId="15997"/>
    <cellStyle name="Обычный 4 2 9 3 4" xfId="15998"/>
    <cellStyle name="Обычный 4 2 9 3 5" xfId="15999"/>
    <cellStyle name="Обычный 4 2 9 3 6" xfId="16000"/>
    <cellStyle name="Обычный 4 2 9 4" xfId="16001"/>
    <cellStyle name="Обычный 4 2 9 4 2" xfId="16002"/>
    <cellStyle name="Обычный 4 2 9 4 3" xfId="16003"/>
    <cellStyle name="Обычный 4 2 9 4 4" xfId="16004"/>
    <cellStyle name="Обычный 4 2 9 4 5" xfId="16005"/>
    <cellStyle name="Обычный 4 2 9 5" xfId="16006"/>
    <cellStyle name="Обычный 4 2 9 6" xfId="16007"/>
    <cellStyle name="Обычный 4 2 9 7" xfId="16008"/>
    <cellStyle name="Обычный 4 2 9 8" xfId="16009"/>
    <cellStyle name="Обычный 4 20" xfId="16010"/>
    <cellStyle name="Обычный 4 21" xfId="16011"/>
    <cellStyle name="Обычный 4 22" xfId="16012"/>
    <cellStyle name="Обычный 4 3" xfId="16013"/>
    <cellStyle name="Обычный 4 3 10" xfId="16014"/>
    <cellStyle name="Обычный 4 3 10 2" xfId="16015"/>
    <cellStyle name="Обычный 4 3 10 2 2" xfId="16016"/>
    <cellStyle name="Обычный 4 3 10 2 3" xfId="16017"/>
    <cellStyle name="Обычный 4 3 10 3" xfId="16018"/>
    <cellStyle name="Обычный 4 3 10 4" xfId="16019"/>
    <cellStyle name="Обычный 4 3 10 4 2" xfId="16020"/>
    <cellStyle name="Обычный 4 3 10 4 3" xfId="16021"/>
    <cellStyle name="Обычный 4 3 10 4 4" xfId="16022"/>
    <cellStyle name="Обычный 4 3 10 4 5" xfId="16023"/>
    <cellStyle name="Обычный 4 3 10 5" xfId="16024"/>
    <cellStyle name="Обычный 4 3 10 6" xfId="16025"/>
    <cellStyle name="Обычный 4 3 10 7" xfId="16026"/>
    <cellStyle name="Обычный 4 3 10 8" xfId="16027"/>
    <cellStyle name="Обычный 4 3 11" xfId="16028"/>
    <cellStyle name="Обычный 4 3 11 2" xfId="16029"/>
    <cellStyle name="Обычный 4 3 11 3" xfId="16030"/>
    <cellStyle name="Обычный 4 3 12" xfId="16031"/>
    <cellStyle name="Обычный 4 3 13" xfId="16032"/>
    <cellStyle name="Обычный 4 3 13 2" xfId="16033"/>
    <cellStyle name="Обычный 4 3 13 3" xfId="16034"/>
    <cellStyle name="Обычный 4 3 13 4" xfId="16035"/>
    <cellStyle name="Обычный 4 3 13 5" xfId="16036"/>
    <cellStyle name="Обычный 4 3 14" xfId="16037"/>
    <cellStyle name="Обычный 4 3 15" xfId="16038"/>
    <cellStyle name="Обычный 4 3 16" xfId="16039"/>
    <cellStyle name="Обычный 4 3 17" xfId="16040"/>
    <cellStyle name="Обычный 4 3 2" xfId="16041"/>
    <cellStyle name="Обычный 4 3 2 2" xfId="16042"/>
    <cellStyle name="Обычный 4 3 2 2 2" xfId="16043"/>
    <cellStyle name="Обычный 4 3 2 2 3" xfId="16044"/>
    <cellStyle name="Обычный 4 3 2 3" xfId="16045"/>
    <cellStyle name="Обычный 4 3 2 4" xfId="16046"/>
    <cellStyle name="Обычный 4 3 2 4 2" xfId="16047"/>
    <cellStyle name="Обычный 4 3 2 4 3" xfId="16048"/>
    <cellStyle name="Обычный 4 3 2 4 4" xfId="16049"/>
    <cellStyle name="Обычный 4 3 2 4 5" xfId="16050"/>
    <cellStyle name="Обычный 4 3 2 5" xfId="16051"/>
    <cellStyle name="Обычный 4 3 2 6" xfId="16052"/>
    <cellStyle name="Обычный 4 3 2 7" xfId="16053"/>
    <cellStyle name="Обычный 4 3 2 8" xfId="16054"/>
    <cellStyle name="Обычный 4 3 3" xfId="16055"/>
    <cellStyle name="Обычный 4 3 3 2" xfId="16056"/>
    <cellStyle name="Обычный 4 3 3 2 2" xfId="16057"/>
    <cellStyle name="Обычный 4 3 3 2 3" xfId="16058"/>
    <cellStyle name="Обычный 4 3 3 3" xfId="16059"/>
    <cellStyle name="Обычный 4 3 3 4" xfId="16060"/>
    <cellStyle name="Обычный 4 3 3 4 2" xfId="16061"/>
    <cellStyle name="Обычный 4 3 3 4 3" xfId="16062"/>
    <cellStyle name="Обычный 4 3 3 4 4" xfId="16063"/>
    <cellStyle name="Обычный 4 3 3 4 5" xfId="16064"/>
    <cellStyle name="Обычный 4 3 3 5" xfId="16065"/>
    <cellStyle name="Обычный 4 3 3 6" xfId="16066"/>
    <cellStyle name="Обычный 4 3 3 7" xfId="16067"/>
    <cellStyle name="Обычный 4 3 3 8" xfId="16068"/>
    <cellStyle name="Обычный 4 3 4" xfId="16069"/>
    <cellStyle name="Обычный 4 3 4 2" xfId="16070"/>
    <cellStyle name="Обычный 4 3 4 2 2" xfId="16071"/>
    <cellStyle name="Обычный 4 3 4 2 3" xfId="16072"/>
    <cellStyle name="Обычный 4 3 4 3" xfId="16073"/>
    <cellStyle name="Обычный 4 3 4 4" xfId="16074"/>
    <cellStyle name="Обычный 4 3 4 4 2" xfId="16075"/>
    <cellStyle name="Обычный 4 3 4 4 3" xfId="16076"/>
    <cellStyle name="Обычный 4 3 4 4 4" xfId="16077"/>
    <cellStyle name="Обычный 4 3 4 4 5" xfId="16078"/>
    <cellStyle name="Обычный 4 3 4 5" xfId="16079"/>
    <cellStyle name="Обычный 4 3 4 6" xfId="16080"/>
    <cellStyle name="Обычный 4 3 4 7" xfId="16081"/>
    <cellStyle name="Обычный 4 3 4 8" xfId="16082"/>
    <cellStyle name="Обычный 4 3 5" xfId="16083"/>
    <cellStyle name="Обычный 4 3 5 2" xfId="16084"/>
    <cellStyle name="Обычный 4 3 5 2 2" xfId="16085"/>
    <cellStyle name="Обычный 4 3 5 2 3" xfId="16086"/>
    <cellStyle name="Обычный 4 3 5 3" xfId="16087"/>
    <cellStyle name="Обычный 4 3 5 4" xfId="16088"/>
    <cellStyle name="Обычный 4 3 5 4 2" xfId="16089"/>
    <cellStyle name="Обычный 4 3 5 4 3" xfId="16090"/>
    <cellStyle name="Обычный 4 3 5 4 4" xfId="16091"/>
    <cellStyle name="Обычный 4 3 5 4 5" xfId="16092"/>
    <cellStyle name="Обычный 4 3 5 5" xfId="16093"/>
    <cellStyle name="Обычный 4 3 5 6" xfId="16094"/>
    <cellStyle name="Обычный 4 3 5 7" xfId="16095"/>
    <cellStyle name="Обычный 4 3 5 8" xfId="16096"/>
    <cellStyle name="Обычный 4 3 6" xfId="16097"/>
    <cellStyle name="Обычный 4 3 6 2" xfId="16098"/>
    <cellStyle name="Обычный 4 3 6 2 2" xfId="16099"/>
    <cellStyle name="Обычный 4 3 6 2 3" xfId="16100"/>
    <cellStyle name="Обычный 4 3 6 3" xfId="16101"/>
    <cellStyle name="Обычный 4 3 6 4" xfId="16102"/>
    <cellStyle name="Обычный 4 3 6 4 2" xfId="16103"/>
    <cellStyle name="Обычный 4 3 6 4 3" xfId="16104"/>
    <cellStyle name="Обычный 4 3 6 4 4" xfId="16105"/>
    <cellStyle name="Обычный 4 3 6 4 5" xfId="16106"/>
    <cellStyle name="Обычный 4 3 6 5" xfId="16107"/>
    <cellStyle name="Обычный 4 3 6 6" xfId="16108"/>
    <cellStyle name="Обычный 4 3 6 7" xfId="16109"/>
    <cellStyle name="Обычный 4 3 6 8" xfId="16110"/>
    <cellStyle name="Обычный 4 3 7" xfId="16111"/>
    <cellStyle name="Обычный 4 3 7 2" xfId="16112"/>
    <cellStyle name="Обычный 4 3 7 2 2" xfId="16113"/>
    <cellStyle name="Обычный 4 3 7 2 3" xfId="16114"/>
    <cellStyle name="Обычный 4 3 7 3" xfId="16115"/>
    <cellStyle name="Обычный 4 3 7 4" xfId="16116"/>
    <cellStyle name="Обычный 4 3 7 4 2" xfId="16117"/>
    <cellStyle name="Обычный 4 3 7 4 3" xfId="16118"/>
    <cellStyle name="Обычный 4 3 7 4 4" xfId="16119"/>
    <cellStyle name="Обычный 4 3 7 4 5" xfId="16120"/>
    <cellStyle name="Обычный 4 3 7 5" xfId="16121"/>
    <cellStyle name="Обычный 4 3 7 6" xfId="16122"/>
    <cellStyle name="Обычный 4 3 7 7" xfId="16123"/>
    <cellStyle name="Обычный 4 3 7 8" xfId="16124"/>
    <cellStyle name="Обычный 4 3 8" xfId="16125"/>
    <cellStyle name="Обычный 4 3 8 2" xfId="16126"/>
    <cellStyle name="Обычный 4 3 8 2 2" xfId="16127"/>
    <cellStyle name="Обычный 4 3 8 2 3" xfId="16128"/>
    <cellStyle name="Обычный 4 3 8 3" xfId="16129"/>
    <cellStyle name="Обычный 4 3 8 4" xfId="16130"/>
    <cellStyle name="Обычный 4 3 8 4 2" xfId="16131"/>
    <cellStyle name="Обычный 4 3 8 4 3" xfId="16132"/>
    <cellStyle name="Обычный 4 3 8 4 4" xfId="16133"/>
    <cellStyle name="Обычный 4 3 8 4 5" xfId="16134"/>
    <cellStyle name="Обычный 4 3 8 5" xfId="16135"/>
    <cellStyle name="Обычный 4 3 8 6" xfId="16136"/>
    <cellStyle name="Обычный 4 3 8 7" xfId="16137"/>
    <cellStyle name="Обычный 4 3 8 8" xfId="16138"/>
    <cellStyle name="Обычный 4 3 9" xfId="16139"/>
    <cellStyle name="Обычный 4 3 9 2" xfId="16140"/>
    <cellStyle name="Обычный 4 3 9 2 2" xfId="16141"/>
    <cellStyle name="Обычный 4 3 9 2 3" xfId="16142"/>
    <cellStyle name="Обычный 4 3 9 3" xfId="16143"/>
    <cellStyle name="Обычный 4 3 9 4" xfId="16144"/>
    <cellStyle name="Обычный 4 3 9 4 2" xfId="16145"/>
    <cellStyle name="Обычный 4 3 9 4 3" xfId="16146"/>
    <cellStyle name="Обычный 4 3 9 4 4" xfId="16147"/>
    <cellStyle name="Обычный 4 3 9 4 5" xfId="16148"/>
    <cellStyle name="Обычный 4 3 9 5" xfId="16149"/>
    <cellStyle name="Обычный 4 3 9 6" xfId="16150"/>
    <cellStyle name="Обычный 4 3 9 7" xfId="16151"/>
    <cellStyle name="Обычный 4 3 9 8" xfId="16152"/>
    <cellStyle name="Обычный 4 4" xfId="16153"/>
    <cellStyle name="Обычный 4 4 2" xfId="16154"/>
    <cellStyle name="Обычный 4 4 2 2" xfId="16155"/>
    <cellStyle name="Обычный 4 4 2 3" xfId="16156"/>
    <cellStyle name="Обычный 4 4 3" xfId="16157"/>
    <cellStyle name="Обычный 4 4 4" xfId="16158"/>
    <cellStyle name="Обычный 4 4 4 2" xfId="16159"/>
    <cellStyle name="Обычный 4 4 4 3" xfId="16160"/>
    <cellStyle name="Обычный 4 4 4 4" xfId="16161"/>
    <cellStyle name="Обычный 4 4 4 5" xfId="16162"/>
    <cellStyle name="Обычный 4 4 5" xfId="16163"/>
    <cellStyle name="Обычный 4 4 6" xfId="16164"/>
    <cellStyle name="Обычный 4 4 7" xfId="16165"/>
    <cellStyle name="Обычный 4 4 8" xfId="16166"/>
    <cellStyle name="Обычный 4 5" xfId="16167"/>
    <cellStyle name="Обычный 4 5 2" xfId="16168"/>
    <cellStyle name="Обычный 4 5 2 2" xfId="16169"/>
    <cellStyle name="Обычный 4 5 2 3" xfId="16170"/>
    <cellStyle name="Обычный 4 5 3" xfId="16171"/>
    <cellStyle name="Обычный 4 5 4" xfId="16172"/>
    <cellStyle name="Обычный 4 5 4 2" xfId="16173"/>
    <cellStyle name="Обычный 4 5 4 3" xfId="16174"/>
    <cellStyle name="Обычный 4 5 4 4" xfId="16175"/>
    <cellStyle name="Обычный 4 5 4 5" xfId="16176"/>
    <cellStyle name="Обычный 4 5 5" xfId="16177"/>
    <cellStyle name="Обычный 4 5 6" xfId="16178"/>
    <cellStyle name="Обычный 4 5 7" xfId="16179"/>
    <cellStyle name="Обычный 4 5 8" xfId="16180"/>
    <cellStyle name="Обычный 4 6" xfId="16181"/>
    <cellStyle name="Обычный 4 6 2" xfId="16182"/>
    <cellStyle name="Обычный 4 6 2 2" xfId="16183"/>
    <cellStyle name="Обычный 4 6 2 3" xfId="16184"/>
    <cellStyle name="Обычный 4 6 3" xfId="16185"/>
    <cellStyle name="Обычный 4 6 4" xfId="16186"/>
    <cellStyle name="Обычный 4 6 4 2" xfId="16187"/>
    <cellStyle name="Обычный 4 6 4 3" xfId="16188"/>
    <cellStyle name="Обычный 4 6 4 4" xfId="16189"/>
    <cellStyle name="Обычный 4 6 4 5" xfId="16190"/>
    <cellStyle name="Обычный 4 6 5" xfId="16191"/>
    <cellStyle name="Обычный 4 6 6" xfId="16192"/>
    <cellStyle name="Обычный 4 6 7" xfId="16193"/>
    <cellStyle name="Обычный 4 6 8" xfId="16194"/>
    <cellStyle name="Обычный 4 7" xfId="16195"/>
    <cellStyle name="Обычный 4 7 2" xfId="16196"/>
    <cellStyle name="Обычный 4 7 2 2" xfId="16197"/>
    <cellStyle name="Обычный 4 7 2 3" xfId="16198"/>
    <cellStyle name="Обычный 4 7 3" xfId="16199"/>
    <cellStyle name="Обычный 4 7 4" xfId="16200"/>
    <cellStyle name="Обычный 4 7 4 2" xfId="16201"/>
    <cellStyle name="Обычный 4 7 4 3" xfId="16202"/>
    <cellStyle name="Обычный 4 7 4 4" xfId="16203"/>
    <cellStyle name="Обычный 4 7 4 5" xfId="16204"/>
    <cellStyle name="Обычный 4 7 5" xfId="16205"/>
    <cellStyle name="Обычный 4 7 6" xfId="16206"/>
    <cellStyle name="Обычный 4 7 7" xfId="16207"/>
    <cellStyle name="Обычный 4 7 8" xfId="16208"/>
    <cellStyle name="Обычный 4 8" xfId="16209"/>
    <cellStyle name="Обычный 4 8 2" xfId="16210"/>
    <cellStyle name="Обычный 4 8 2 2" xfId="16211"/>
    <cellStyle name="Обычный 4 8 2 3" xfId="16212"/>
    <cellStyle name="Обычный 4 8 3" xfId="16213"/>
    <cellStyle name="Обычный 4 8 4" xfId="16214"/>
    <cellStyle name="Обычный 4 8 4 2" xfId="16215"/>
    <cellStyle name="Обычный 4 8 4 3" xfId="16216"/>
    <cellStyle name="Обычный 4 8 4 4" xfId="16217"/>
    <cellStyle name="Обычный 4 8 4 5" xfId="16218"/>
    <cellStyle name="Обычный 4 8 5" xfId="16219"/>
    <cellStyle name="Обычный 4 8 6" xfId="16220"/>
    <cellStyle name="Обычный 4 8 7" xfId="16221"/>
    <cellStyle name="Обычный 4 8 8" xfId="16222"/>
    <cellStyle name="Обычный 4 9" xfId="16223"/>
    <cellStyle name="Обычный 4 9 2" xfId="16224"/>
    <cellStyle name="Обычный 4 9 2 2" xfId="16225"/>
    <cellStyle name="Обычный 4 9 2 3" xfId="16226"/>
    <cellStyle name="Обычный 4 9 3" xfId="16227"/>
    <cellStyle name="Обычный 4 9 4" xfId="16228"/>
    <cellStyle name="Обычный 4 9 4 2" xfId="16229"/>
    <cellStyle name="Обычный 4 9 4 3" xfId="16230"/>
    <cellStyle name="Обычный 4 9 4 4" xfId="16231"/>
    <cellStyle name="Обычный 4 9 4 5" xfId="16232"/>
    <cellStyle name="Обычный 4 9 5" xfId="16233"/>
    <cellStyle name="Обычный 4 9 6" xfId="16234"/>
    <cellStyle name="Обычный 4 9 7" xfId="16235"/>
    <cellStyle name="Обычный 4 9 8" xfId="16236"/>
    <cellStyle name="Обычный 5" xfId="16237"/>
    <cellStyle name="Обычный 5 10" xfId="16238"/>
    <cellStyle name="Обычный 5 10 2" xfId="16239"/>
    <cellStyle name="Обычный 5 10 2 2" xfId="16240"/>
    <cellStyle name="Обычный 5 10 2 3" xfId="16241"/>
    <cellStyle name="Обычный 5 10 3" xfId="16242"/>
    <cellStyle name="Обычный 5 10 4" xfId="16243"/>
    <cellStyle name="Обычный 5 10 4 2" xfId="16244"/>
    <cellStyle name="Обычный 5 10 4 3" xfId="16245"/>
    <cellStyle name="Обычный 5 10 4 4" xfId="16246"/>
    <cellStyle name="Обычный 5 10 4 5" xfId="16247"/>
    <cellStyle name="Обычный 5 10 5" xfId="16248"/>
    <cellStyle name="Обычный 5 10 6" xfId="16249"/>
    <cellStyle name="Обычный 5 10 7" xfId="16250"/>
    <cellStyle name="Обычный 5 10 8" xfId="16251"/>
    <cellStyle name="Обычный 5 11" xfId="16252"/>
    <cellStyle name="Обычный 5 11 2" xfId="16253"/>
    <cellStyle name="Обычный 5 11 2 2" xfId="16254"/>
    <cellStyle name="Обычный 5 11 2 3" xfId="16255"/>
    <cellStyle name="Обычный 5 11 3" xfId="16256"/>
    <cellStyle name="Обычный 5 11 4" xfId="16257"/>
    <cellStyle name="Обычный 5 11 4 2" xfId="16258"/>
    <cellStyle name="Обычный 5 11 4 3" xfId="16259"/>
    <cellStyle name="Обычный 5 11 4 4" xfId="16260"/>
    <cellStyle name="Обычный 5 11 4 5" xfId="16261"/>
    <cellStyle name="Обычный 5 11 5" xfId="16262"/>
    <cellStyle name="Обычный 5 11 6" xfId="16263"/>
    <cellStyle name="Обычный 5 11 7" xfId="16264"/>
    <cellStyle name="Обычный 5 11 8" xfId="16265"/>
    <cellStyle name="Обычный 5 12" xfId="16266"/>
    <cellStyle name="Обычный 5 12 2" xfId="16267"/>
    <cellStyle name="Обычный 5 12 2 2" xfId="16268"/>
    <cellStyle name="Обычный 5 12 2 3" xfId="16269"/>
    <cellStyle name="Обычный 5 12 3" xfId="16270"/>
    <cellStyle name="Обычный 5 12 4" xfId="16271"/>
    <cellStyle name="Обычный 5 12 4 2" xfId="16272"/>
    <cellStyle name="Обычный 5 12 4 3" xfId="16273"/>
    <cellStyle name="Обычный 5 12 4 4" xfId="16274"/>
    <cellStyle name="Обычный 5 12 4 5" xfId="16275"/>
    <cellStyle name="Обычный 5 12 5" xfId="16276"/>
    <cellStyle name="Обычный 5 12 6" xfId="16277"/>
    <cellStyle name="Обычный 5 12 7" xfId="16278"/>
    <cellStyle name="Обычный 5 12 8" xfId="16279"/>
    <cellStyle name="Обычный 5 13" xfId="16280"/>
    <cellStyle name="Обычный 5 13 2" xfId="16281"/>
    <cellStyle name="Обычный 5 13 2 2" xfId="16282"/>
    <cellStyle name="Обычный 5 13 2 3" xfId="16283"/>
    <cellStyle name="Обычный 5 13 3" xfId="16284"/>
    <cellStyle name="Обычный 5 13 4" xfId="16285"/>
    <cellStyle name="Обычный 5 13 4 2" xfId="16286"/>
    <cellStyle name="Обычный 5 13 4 3" xfId="16287"/>
    <cellStyle name="Обычный 5 13 4 4" xfId="16288"/>
    <cellStyle name="Обычный 5 13 4 5" xfId="16289"/>
    <cellStyle name="Обычный 5 13 5" xfId="16290"/>
    <cellStyle name="Обычный 5 13 6" xfId="16291"/>
    <cellStyle name="Обычный 5 13 7" xfId="16292"/>
    <cellStyle name="Обычный 5 13 8" xfId="16293"/>
    <cellStyle name="Обычный 5 14" xfId="16294"/>
    <cellStyle name="Обычный 5 14 2" xfId="16295"/>
    <cellStyle name="Обычный 5 14 2 2" xfId="16296"/>
    <cellStyle name="Обычный 5 14 2 3" xfId="16297"/>
    <cellStyle name="Обычный 5 14 3" xfId="16298"/>
    <cellStyle name="Обычный 5 14 4" xfId="16299"/>
    <cellStyle name="Обычный 5 14 4 2" xfId="16300"/>
    <cellStyle name="Обычный 5 14 4 3" xfId="16301"/>
    <cellStyle name="Обычный 5 14 4 4" xfId="16302"/>
    <cellStyle name="Обычный 5 14 4 5" xfId="16303"/>
    <cellStyle name="Обычный 5 14 5" xfId="16304"/>
    <cellStyle name="Обычный 5 14 6" xfId="16305"/>
    <cellStyle name="Обычный 5 14 7" xfId="16306"/>
    <cellStyle name="Обычный 5 14 8" xfId="16307"/>
    <cellStyle name="Обычный 5 15" xfId="16308"/>
    <cellStyle name="Обычный 5 15 2" xfId="16309"/>
    <cellStyle name="Обычный 5 15 2 2" xfId="16310"/>
    <cellStyle name="Обычный 5 15 2 3" xfId="16311"/>
    <cellStyle name="Обычный 5 15 2 4" xfId="16312"/>
    <cellStyle name="Обычный 5 15 2 5" xfId="16313"/>
    <cellStyle name="Обычный 5 15 2 6" xfId="16314"/>
    <cellStyle name="Обычный 5 15 3" xfId="16315"/>
    <cellStyle name="Обычный 5 15 3 2" xfId="16316"/>
    <cellStyle name="Обычный 5 15 3 3" xfId="16317"/>
    <cellStyle name="Обычный 5 15 3 4" xfId="16318"/>
    <cellStyle name="Обычный 5 15 3 5" xfId="16319"/>
    <cellStyle name="Обычный 5 15 3 6" xfId="16320"/>
    <cellStyle name="Обычный 5 15 4" xfId="16321"/>
    <cellStyle name="Обычный 5 15 5" xfId="16322"/>
    <cellStyle name="Обычный 5 15 6" xfId="16323"/>
    <cellStyle name="Обычный 5 15 7" xfId="16324"/>
    <cellStyle name="Обычный 5 15 8" xfId="16325"/>
    <cellStyle name="Обычный 5 16" xfId="16326"/>
    <cellStyle name="Обычный 5 16 2" xfId="16327"/>
    <cellStyle name="Обычный 5 16 3" xfId="16328"/>
    <cellStyle name="Обычный 5 16 4" xfId="16329"/>
    <cellStyle name="Обычный 5 16 5" xfId="16330"/>
    <cellStyle name="Обычный 5 16 6" xfId="16331"/>
    <cellStyle name="Обычный 5 17" xfId="16332"/>
    <cellStyle name="Обычный 5 17 2" xfId="16333"/>
    <cellStyle name="Обычный 5 17 3" xfId="16334"/>
    <cellStyle name="Обычный 5 17 4" xfId="16335"/>
    <cellStyle name="Обычный 5 17 5" xfId="16336"/>
    <cellStyle name="Обычный 5 18" xfId="16337"/>
    <cellStyle name="Обычный 5 19" xfId="16338"/>
    <cellStyle name="Обычный 5 2" xfId="16339"/>
    <cellStyle name="Обычный 5 2 10" xfId="16340"/>
    <cellStyle name="Обычный 5 2 11" xfId="16341"/>
    <cellStyle name="Обычный 5 2 12" xfId="16342"/>
    <cellStyle name="Обычный 5 2 13" xfId="16343"/>
    <cellStyle name="Обычный 5 2 2" xfId="16344"/>
    <cellStyle name="Обычный 5 2 2 2" xfId="16345"/>
    <cellStyle name="Обычный 5 2 2 2 2" xfId="16346"/>
    <cellStyle name="Обычный 5 2 2 2 3" xfId="16347"/>
    <cellStyle name="Обычный 5 2 2 3" xfId="16348"/>
    <cellStyle name="Обычный 5 2 2 4" xfId="16349"/>
    <cellStyle name="Обычный 5 2 2 4 2" xfId="16350"/>
    <cellStyle name="Обычный 5 2 2 4 3" xfId="16351"/>
    <cellStyle name="Обычный 5 2 2 4 4" xfId="16352"/>
    <cellStyle name="Обычный 5 2 2 4 5" xfId="16353"/>
    <cellStyle name="Обычный 5 2 2 5" xfId="16354"/>
    <cellStyle name="Обычный 5 2 2 6" xfId="16355"/>
    <cellStyle name="Обычный 5 2 2 7" xfId="16356"/>
    <cellStyle name="Обычный 5 2 2 8" xfId="16357"/>
    <cellStyle name="Обычный 5 2 3" xfId="16358"/>
    <cellStyle name="Обычный 5 2 3 2" xfId="16359"/>
    <cellStyle name="Обычный 5 2 3 2 2" xfId="16360"/>
    <cellStyle name="Обычный 5 2 3 2 3" xfId="16361"/>
    <cellStyle name="Обычный 5 2 3 3" xfId="16362"/>
    <cellStyle name="Обычный 5 2 3 4" xfId="16363"/>
    <cellStyle name="Обычный 5 2 3 4 2" xfId="16364"/>
    <cellStyle name="Обычный 5 2 3 4 3" xfId="16365"/>
    <cellStyle name="Обычный 5 2 3 4 4" xfId="16366"/>
    <cellStyle name="Обычный 5 2 3 4 5" xfId="16367"/>
    <cellStyle name="Обычный 5 2 3 5" xfId="16368"/>
    <cellStyle name="Обычный 5 2 3 6" xfId="16369"/>
    <cellStyle name="Обычный 5 2 3 7" xfId="16370"/>
    <cellStyle name="Обычный 5 2 3 8" xfId="16371"/>
    <cellStyle name="Обычный 5 2 4" xfId="16372"/>
    <cellStyle name="Обычный 5 2 4 2" xfId="16373"/>
    <cellStyle name="Обычный 5 2 4 2 2" xfId="16374"/>
    <cellStyle name="Обычный 5 2 4 2 3" xfId="16375"/>
    <cellStyle name="Обычный 5 2 4 3" xfId="16376"/>
    <cellStyle name="Обычный 5 2 4 4" xfId="16377"/>
    <cellStyle name="Обычный 5 2 4 4 2" xfId="16378"/>
    <cellStyle name="Обычный 5 2 4 4 3" xfId="16379"/>
    <cellStyle name="Обычный 5 2 4 4 4" xfId="16380"/>
    <cellStyle name="Обычный 5 2 4 4 5" xfId="16381"/>
    <cellStyle name="Обычный 5 2 4 5" xfId="16382"/>
    <cellStyle name="Обычный 5 2 4 6" xfId="16383"/>
    <cellStyle name="Обычный 5 2 4 7" xfId="16384"/>
    <cellStyle name="Обычный 5 2 4 8" xfId="16385"/>
    <cellStyle name="Обычный 5 2 5" xfId="16386"/>
    <cellStyle name="Обычный 5 2 5 2" xfId="16387"/>
    <cellStyle name="Обычный 5 2 5 2 2" xfId="16388"/>
    <cellStyle name="Обычный 5 2 5 2 3" xfId="16389"/>
    <cellStyle name="Обычный 5 2 5 3" xfId="16390"/>
    <cellStyle name="Обычный 5 2 5 4" xfId="16391"/>
    <cellStyle name="Обычный 5 2 5 4 2" xfId="16392"/>
    <cellStyle name="Обычный 5 2 5 4 3" xfId="16393"/>
    <cellStyle name="Обычный 5 2 5 4 4" xfId="16394"/>
    <cellStyle name="Обычный 5 2 5 4 5" xfId="16395"/>
    <cellStyle name="Обычный 5 2 5 5" xfId="16396"/>
    <cellStyle name="Обычный 5 2 5 6" xfId="16397"/>
    <cellStyle name="Обычный 5 2 5 7" xfId="16398"/>
    <cellStyle name="Обычный 5 2 5 8" xfId="16399"/>
    <cellStyle name="Обычный 5 2 6" xfId="16400"/>
    <cellStyle name="Обычный 5 2 6 2" xfId="16401"/>
    <cellStyle name="Обычный 5 2 6 2 2" xfId="16402"/>
    <cellStyle name="Обычный 5 2 6 2 3" xfId="16403"/>
    <cellStyle name="Обычный 5 2 6 3" xfId="16404"/>
    <cellStyle name="Обычный 5 2 6 4" xfId="16405"/>
    <cellStyle name="Обычный 5 2 6 4 2" xfId="16406"/>
    <cellStyle name="Обычный 5 2 6 4 3" xfId="16407"/>
    <cellStyle name="Обычный 5 2 6 4 4" xfId="16408"/>
    <cellStyle name="Обычный 5 2 6 4 5" xfId="16409"/>
    <cellStyle name="Обычный 5 2 6 5" xfId="16410"/>
    <cellStyle name="Обычный 5 2 6 6" xfId="16411"/>
    <cellStyle name="Обычный 5 2 6 7" xfId="16412"/>
    <cellStyle name="Обычный 5 2 6 8" xfId="16413"/>
    <cellStyle name="Обычный 5 2 7" xfId="16414"/>
    <cellStyle name="Обычный 5 2 7 2" xfId="16415"/>
    <cellStyle name="Обычный 5 2 7 3" xfId="16416"/>
    <cellStyle name="Обычный 5 2 8" xfId="16417"/>
    <cellStyle name="Обычный 5 2 9" xfId="16418"/>
    <cellStyle name="Обычный 5 2 9 2" xfId="16419"/>
    <cellStyle name="Обычный 5 2 9 3" xfId="16420"/>
    <cellStyle name="Обычный 5 2 9 4" xfId="16421"/>
    <cellStyle name="Обычный 5 2 9 5" xfId="16422"/>
    <cellStyle name="Обычный 5 20" xfId="16423"/>
    <cellStyle name="Обычный 5 21" xfId="16424"/>
    <cellStyle name="Обычный 5 3" xfId="16425"/>
    <cellStyle name="Обычный 5 3 2" xfId="16426"/>
    <cellStyle name="Обычный 5 3 2 2" xfId="16427"/>
    <cellStyle name="Обычный 5 3 2 3" xfId="16428"/>
    <cellStyle name="Обычный 5 3 3" xfId="16429"/>
    <cellStyle name="Обычный 5 3 4" xfId="16430"/>
    <cellStyle name="Обычный 5 3 4 2" xfId="16431"/>
    <cellStyle name="Обычный 5 3 4 3" xfId="16432"/>
    <cellStyle name="Обычный 5 3 4 4" xfId="16433"/>
    <cellStyle name="Обычный 5 3 4 5" xfId="16434"/>
    <cellStyle name="Обычный 5 3 5" xfId="16435"/>
    <cellStyle name="Обычный 5 3 6" xfId="16436"/>
    <cellStyle name="Обычный 5 3 7" xfId="16437"/>
    <cellStyle name="Обычный 5 3 8" xfId="16438"/>
    <cellStyle name="Обычный 5 4" xfId="16439"/>
    <cellStyle name="Обычный 5 4 2" xfId="16440"/>
    <cellStyle name="Обычный 5 4 2 2" xfId="16441"/>
    <cellStyle name="Обычный 5 4 2 3" xfId="16442"/>
    <cellStyle name="Обычный 5 4 3" xfId="16443"/>
    <cellStyle name="Обычный 5 4 4" xfId="16444"/>
    <cellStyle name="Обычный 5 4 4 2" xfId="16445"/>
    <cellStyle name="Обычный 5 4 4 3" xfId="16446"/>
    <cellStyle name="Обычный 5 4 4 4" xfId="16447"/>
    <cellStyle name="Обычный 5 4 4 5" xfId="16448"/>
    <cellStyle name="Обычный 5 4 5" xfId="16449"/>
    <cellStyle name="Обычный 5 4 6" xfId="16450"/>
    <cellStyle name="Обычный 5 4 7" xfId="16451"/>
    <cellStyle name="Обычный 5 4 8" xfId="16452"/>
    <cellStyle name="Обычный 5 5" xfId="16453"/>
    <cellStyle name="Обычный 5 5 10" xfId="16454"/>
    <cellStyle name="Обычный 5 5 11" xfId="16455"/>
    <cellStyle name="Обычный 5 5 12" xfId="16456"/>
    <cellStyle name="Обычный 5 5 2" xfId="16457"/>
    <cellStyle name="Обычный 5 5 2 2" xfId="16458"/>
    <cellStyle name="Обычный 5 5 2 3" xfId="16459"/>
    <cellStyle name="Обычный 5 5 3" xfId="16460"/>
    <cellStyle name="Обычный 5 5 4" xfId="16461"/>
    <cellStyle name="Обычный 5 5 4 2" xfId="16462"/>
    <cellStyle name="Обычный 5 5 4 3" xfId="16463"/>
    <cellStyle name="Обычный 5 5 4 4" xfId="16464"/>
    <cellStyle name="Обычный 5 5 4 5" xfId="16465"/>
    <cellStyle name="Обычный 5 5 4 6" xfId="16466"/>
    <cellStyle name="Обычный 5 5 4 7" xfId="16467"/>
    <cellStyle name="Обычный 5 5 4 8" xfId="16468"/>
    <cellStyle name="Обычный 5 5 4 9" xfId="16469"/>
    <cellStyle name="Обычный 5 5 5" xfId="16470"/>
    <cellStyle name="Обычный 5 5 6" xfId="16471"/>
    <cellStyle name="Обычный 5 5 7" xfId="16472"/>
    <cellStyle name="Обычный 5 5 8" xfId="16473"/>
    <cellStyle name="Обычный 5 5 9" xfId="16474"/>
    <cellStyle name="Обычный 5 6" xfId="16475"/>
    <cellStyle name="Обычный 5 6 2" xfId="16476"/>
    <cellStyle name="Обычный 5 6 2 2" xfId="16477"/>
    <cellStyle name="Обычный 5 6 2 3" xfId="16478"/>
    <cellStyle name="Обычный 5 6 3" xfId="16479"/>
    <cellStyle name="Обычный 5 6 4" xfId="16480"/>
    <cellStyle name="Обычный 5 6 4 2" xfId="16481"/>
    <cellStyle name="Обычный 5 6 4 3" xfId="16482"/>
    <cellStyle name="Обычный 5 6 4 4" xfId="16483"/>
    <cellStyle name="Обычный 5 6 4 5" xfId="16484"/>
    <cellStyle name="Обычный 5 6 5" xfId="16485"/>
    <cellStyle name="Обычный 5 6 6" xfId="16486"/>
    <cellStyle name="Обычный 5 6 7" xfId="16487"/>
    <cellStyle name="Обычный 5 6 8" xfId="16488"/>
    <cellStyle name="Обычный 5 7" xfId="16489"/>
    <cellStyle name="Обычный 5 7 2" xfId="16490"/>
    <cellStyle name="Обычный 5 7 2 2" xfId="16491"/>
    <cellStyle name="Обычный 5 7 2 3" xfId="16492"/>
    <cellStyle name="Обычный 5 7 3" xfId="16493"/>
    <cellStyle name="Обычный 5 7 4" xfId="16494"/>
    <cellStyle name="Обычный 5 7 4 2" xfId="16495"/>
    <cellStyle name="Обычный 5 7 4 3" xfId="16496"/>
    <cellStyle name="Обычный 5 7 4 4" xfId="16497"/>
    <cellStyle name="Обычный 5 7 4 5" xfId="16498"/>
    <cellStyle name="Обычный 5 7 5" xfId="16499"/>
    <cellStyle name="Обычный 5 7 6" xfId="16500"/>
    <cellStyle name="Обычный 5 7 7" xfId="16501"/>
    <cellStyle name="Обычный 5 7 8" xfId="16502"/>
    <cellStyle name="Обычный 5 8" xfId="16503"/>
    <cellStyle name="Обычный 5 8 2" xfId="16504"/>
    <cellStyle name="Обычный 5 8 2 2" xfId="16505"/>
    <cellStyle name="Обычный 5 8 2 3" xfId="16506"/>
    <cellStyle name="Обычный 5 8 3" xfId="16507"/>
    <cellStyle name="Обычный 5 8 4" xfId="16508"/>
    <cellStyle name="Обычный 5 8 4 2" xfId="16509"/>
    <cellStyle name="Обычный 5 8 4 3" xfId="16510"/>
    <cellStyle name="Обычный 5 8 4 4" xfId="16511"/>
    <cellStyle name="Обычный 5 8 4 5" xfId="16512"/>
    <cellStyle name="Обычный 5 8 5" xfId="16513"/>
    <cellStyle name="Обычный 5 8 6" xfId="16514"/>
    <cellStyle name="Обычный 5 8 7" xfId="16515"/>
    <cellStyle name="Обычный 5 8 8" xfId="16516"/>
    <cellStyle name="Обычный 5 9" xfId="16517"/>
    <cellStyle name="Обычный 5 9 2" xfId="16518"/>
    <cellStyle name="Обычный 5 9 2 2" xfId="16519"/>
    <cellStyle name="Обычный 5 9 2 3" xfId="16520"/>
    <cellStyle name="Обычный 5 9 3" xfId="16521"/>
    <cellStyle name="Обычный 5 9 4" xfId="16522"/>
    <cellStyle name="Обычный 5 9 4 2" xfId="16523"/>
    <cellStyle name="Обычный 5 9 4 3" xfId="16524"/>
    <cellStyle name="Обычный 5 9 4 4" xfId="16525"/>
    <cellStyle name="Обычный 5 9 4 5" xfId="16526"/>
    <cellStyle name="Обычный 5 9 5" xfId="16527"/>
    <cellStyle name="Обычный 5 9 6" xfId="16528"/>
    <cellStyle name="Обычный 5 9 7" xfId="16529"/>
    <cellStyle name="Обычный 5 9 8" xfId="16530"/>
    <cellStyle name="Обычный 6" xfId="16531"/>
    <cellStyle name="Обычный 6 10" xfId="16532"/>
    <cellStyle name="Обычный 6 10 2" xfId="16533"/>
    <cellStyle name="Обычный 6 10 2 2" xfId="16534"/>
    <cellStyle name="Обычный 6 10 2 3" xfId="16535"/>
    <cellStyle name="Обычный 6 10 3" xfId="16536"/>
    <cellStyle name="Обычный 6 10 4" xfId="16537"/>
    <cellStyle name="Обычный 6 10 4 2" xfId="16538"/>
    <cellStyle name="Обычный 6 10 4 3" xfId="16539"/>
    <cellStyle name="Обычный 6 10 4 4" xfId="16540"/>
    <cellStyle name="Обычный 6 10 4 5" xfId="16541"/>
    <cellStyle name="Обычный 6 10 5" xfId="16542"/>
    <cellStyle name="Обычный 6 10 6" xfId="16543"/>
    <cellStyle name="Обычный 6 10 7" xfId="16544"/>
    <cellStyle name="Обычный 6 10 8" xfId="16545"/>
    <cellStyle name="Обычный 6 11" xfId="16546"/>
    <cellStyle name="Обычный 6 11 2" xfId="16547"/>
    <cellStyle name="Обычный 6 11 2 2" xfId="16548"/>
    <cellStyle name="Обычный 6 11 2 3" xfId="16549"/>
    <cellStyle name="Обычный 6 11 3" xfId="16550"/>
    <cellStyle name="Обычный 6 11 4" xfId="16551"/>
    <cellStyle name="Обычный 6 11 4 2" xfId="16552"/>
    <cellStyle name="Обычный 6 11 4 3" xfId="16553"/>
    <cellStyle name="Обычный 6 11 4 4" xfId="16554"/>
    <cellStyle name="Обычный 6 11 4 5" xfId="16555"/>
    <cellStyle name="Обычный 6 11 5" xfId="16556"/>
    <cellStyle name="Обычный 6 11 6" xfId="16557"/>
    <cellStyle name="Обычный 6 11 7" xfId="16558"/>
    <cellStyle name="Обычный 6 11 8" xfId="16559"/>
    <cellStyle name="Обычный 6 12" xfId="16560"/>
    <cellStyle name="Обычный 6 12 2" xfId="16561"/>
    <cellStyle name="Обычный 6 12 3" xfId="16562"/>
    <cellStyle name="Обычный 6 13" xfId="16563"/>
    <cellStyle name="Обычный 6 14" xfId="16564"/>
    <cellStyle name="Обычный 6 14 2" xfId="16565"/>
    <cellStyle name="Обычный 6 14 3" xfId="16566"/>
    <cellStyle name="Обычный 6 14 4" xfId="16567"/>
    <cellStyle name="Обычный 6 14 5" xfId="16568"/>
    <cellStyle name="Обычный 6 15" xfId="16569"/>
    <cellStyle name="Обычный 6 16" xfId="16570"/>
    <cellStyle name="Обычный 6 17" xfId="16571"/>
    <cellStyle name="Обычный 6 18" xfId="16572"/>
    <cellStyle name="Обычный 6 2" xfId="16573"/>
    <cellStyle name="Обычный 6 2 10" xfId="16574"/>
    <cellStyle name="Обычный 6 2 10 2" xfId="16575"/>
    <cellStyle name="Обычный 6 2 10 2 2" xfId="16576"/>
    <cellStyle name="Обычный 6 2 10 2 3" xfId="16577"/>
    <cellStyle name="Обычный 6 2 10 3" xfId="16578"/>
    <cellStyle name="Обычный 6 2 10 4" xfId="16579"/>
    <cellStyle name="Обычный 6 2 10 4 2" xfId="16580"/>
    <cellStyle name="Обычный 6 2 10 4 3" xfId="16581"/>
    <cellStyle name="Обычный 6 2 10 4 4" xfId="16582"/>
    <cellStyle name="Обычный 6 2 10 4 5" xfId="16583"/>
    <cellStyle name="Обычный 6 2 10 5" xfId="16584"/>
    <cellStyle name="Обычный 6 2 10 6" xfId="16585"/>
    <cellStyle name="Обычный 6 2 10 7" xfId="16586"/>
    <cellStyle name="Обычный 6 2 10 8" xfId="16587"/>
    <cellStyle name="Обычный 6 2 11" xfId="16588"/>
    <cellStyle name="Обычный 6 2 11 2" xfId="16589"/>
    <cellStyle name="Обычный 6 2 11 2 2" xfId="16590"/>
    <cellStyle name="Обычный 6 2 11 2 3" xfId="16591"/>
    <cellStyle name="Обычный 6 2 11 3" xfId="16592"/>
    <cellStyle name="Обычный 6 2 11 4" xfId="16593"/>
    <cellStyle name="Обычный 6 2 11 4 2" xfId="16594"/>
    <cellStyle name="Обычный 6 2 11 4 3" xfId="16595"/>
    <cellStyle name="Обычный 6 2 11 4 4" xfId="16596"/>
    <cellStyle name="Обычный 6 2 11 4 5" xfId="16597"/>
    <cellStyle name="Обычный 6 2 11 5" xfId="16598"/>
    <cellStyle name="Обычный 6 2 11 6" xfId="16599"/>
    <cellStyle name="Обычный 6 2 11 7" xfId="16600"/>
    <cellStyle name="Обычный 6 2 11 8" xfId="16601"/>
    <cellStyle name="Обычный 6 2 12" xfId="16602"/>
    <cellStyle name="Обычный 6 2 12 2" xfId="16603"/>
    <cellStyle name="Обычный 6 2 12 2 2" xfId="16604"/>
    <cellStyle name="Обычный 6 2 12 2 3" xfId="16605"/>
    <cellStyle name="Обычный 6 2 12 3" xfId="16606"/>
    <cellStyle name="Обычный 6 2 12 4" xfId="16607"/>
    <cellStyle name="Обычный 6 2 12 4 2" xfId="16608"/>
    <cellStyle name="Обычный 6 2 12 4 3" xfId="16609"/>
    <cellStyle name="Обычный 6 2 12 4 4" xfId="16610"/>
    <cellStyle name="Обычный 6 2 12 4 5" xfId="16611"/>
    <cellStyle name="Обычный 6 2 12 5" xfId="16612"/>
    <cellStyle name="Обычный 6 2 12 6" xfId="16613"/>
    <cellStyle name="Обычный 6 2 12 7" xfId="16614"/>
    <cellStyle name="Обычный 6 2 12 8" xfId="16615"/>
    <cellStyle name="Обычный 6 2 13" xfId="16616"/>
    <cellStyle name="Обычный 6 2 13 10" xfId="16617"/>
    <cellStyle name="Обычный 6 2 13 11" xfId="16618"/>
    <cellStyle name="Обычный 6 2 13 12" xfId="16619"/>
    <cellStyle name="Обычный 6 2 13 2" xfId="16620"/>
    <cellStyle name="Обычный 6 2 13 2 2" xfId="16621"/>
    <cellStyle name="Обычный 6 2 13 2 3" xfId="16622"/>
    <cellStyle name="Обычный 6 2 13 2 4" xfId="16623"/>
    <cellStyle name="Обычный 6 2 13 2 5" xfId="16624"/>
    <cellStyle name="Обычный 6 2 13 2 6" xfId="16625"/>
    <cellStyle name="Обычный 6 2 13 2 7" xfId="16626"/>
    <cellStyle name="Обычный 6 2 13 2 8" xfId="16627"/>
    <cellStyle name="Обычный 6 2 13 2 9" xfId="16628"/>
    <cellStyle name="Обычный 6 2 13 3" xfId="16629"/>
    <cellStyle name="Обычный 6 2 13 3 2" xfId="16630"/>
    <cellStyle name="Обычный 6 2 13 3 3" xfId="16631"/>
    <cellStyle name="Обычный 6 2 13 3 4" xfId="16632"/>
    <cellStyle name="Обычный 6 2 13 3 5" xfId="16633"/>
    <cellStyle name="Обычный 6 2 13 3 6" xfId="16634"/>
    <cellStyle name="Обычный 6 2 13 3 7" xfId="16635"/>
    <cellStyle name="Обычный 6 2 13 3 8" xfId="16636"/>
    <cellStyle name="Обычный 6 2 13 3 9" xfId="16637"/>
    <cellStyle name="Обычный 6 2 13 4" xfId="16638"/>
    <cellStyle name="Обычный 6 2 13 4 2" xfId="16639"/>
    <cellStyle name="Обычный 6 2 13 4 3" xfId="16640"/>
    <cellStyle name="Обычный 6 2 13 4 4" xfId="16641"/>
    <cellStyle name="Обычный 6 2 13 4 5" xfId="16642"/>
    <cellStyle name="Обычный 6 2 13 4 6" xfId="16643"/>
    <cellStyle name="Обычный 6 2 13 4 7" xfId="16644"/>
    <cellStyle name="Обычный 6 2 13 4 8" xfId="16645"/>
    <cellStyle name="Обычный 6 2 13 4 9" xfId="16646"/>
    <cellStyle name="Обычный 6 2 13 5" xfId="16647"/>
    <cellStyle name="Обычный 6 2 13 6" xfId="16648"/>
    <cellStyle name="Обычный 6 2 13 7" xfId="16649"/>
    <cellStyle name="Обычный 6 2 13 8" xfId="16650"/>
    <cellStyle name="Обычный 6 2 13 9" xfId="16651"/>
    <cellStyle name="Обычный 6 2 14" xfId="16652"/>
    <cellStyle name="Обычный 6 2 14 10" xfId="16653"/>
    <cellStyle name="Обычный 6 2 14 11" xfId="16654"/>
    <cellStyle name="Обычный 6 2 14 2" xfId="16655"/>
    <cellStyle name="Обычный 6 2 14 2 2" xfId="16656"/>
    <cellStyle name="Обычный 6 2 14 2 3" xfId="16657"/>
    <cellStyle name="Обычный 6 2 14 2 4" xfId="16658"/>
    <cellStyle name="Обычный 6 2 14 2 5" xfId="16659"/>
    <cellStyle name="Обычный 6 2 14 2 6" xfId="16660"/>
    <cellStyle name="Обычный 6 2 14 2 7" xfId="16661"/>
    <cellStyle name="Обычный 6 2 14 2 8" xfId="16662"/>
    <cellStyle name="Обычный 6 2 14 2 9" xfId="16663"/>
    <cellStyle name="Обычный 6 2 14 3" xfId="16664"/>
    <cellStyle name="Обычный 6 2 14 3 2" xfId="16665"/>
    <cellStyle name="Обычный 6 2 14 3 3" xfId="16666"/>
    <cellStyle name="Обычный 6 2 14 3 4" xfId="16667"/>
    <cellStyle name="Обычный 6 2 14 3 5" xfId="16668"/>
    <cellStyle name="Обычный 6 2 14 3 6" xfId="16669"/>
    <cellStyle name="Обычный 6 2 14 3 7" xfId="16670"/>
    <cellStyle name="Обычный 6 2 14 3 8" xfId="16671"/>
    <cellStyle name="Обычный 6 2 14 3 9" xfId="16672"/>
    <cellStyle name="Обычный 6 2 14 4" xfId="16673"/>
    <cellStyle name="Обычный 6 2 14 5" xfId="16674"/>
    <cellStyle name="Обычный 6 2 14 6" xfId="16675"/>
    <cellStyle name="Обычный 6 2 14 7" xfId="16676"/>
    <cellStyle name="Обычный 6 2 14 8" xfId="16677"/>
    <cellStyle name="Обычный 6 2 14 9" xfId="16678"/>
    <cellStyle name="Обычный 6 2 15" xfId="16679"/>
    <cellStyle name="Обычный 6 2 15 2" xfId="16680"/>
    <cellStyle name="Обычный 6 2 15 3" xfId="16681"/>
    <cellStyle name="Обычный 6 2 15 4" xfId="16682"/>
    <cellStyle name="Обычный 6 2 15 5" xfId="16683"/>
    <cellStyle name="Обычный 6 2 15 6" xfId="16684"/>
    <cellStyle name="Обычный 6 2 15 7" xfId="16685"/>
    <cellStyle name="Обычный 6 2 15 8" xfId="16686"/>
    <cellStyle name="Обычный 6 2 15 9" xfId="16687"/>
    <cellStyle name="Обычный 6 2 16" xfId="16688"/>
    <cellStyle name="Обычный 6 2 17" xfId="16689"/>
    <cellStyle name="Обычный 6 2 18" xfId="16690"/>
    <cellStyle name="Обычный 6 2 19" xfId="16691"/>
    <cellStyle name="Обычный 6 2 2" xfId="16692"/>
    <cellStyle name="Обычный 6 2 2 2" xfId="16693"/>
    <cellStyle name="Обычный 6 2 2 2 2" xfId="16694"/>
    <cellStyle name="Обычный 6 2 2 2 3" xfId="16695"/>
    <cellStyle name="Обычный 6 2 2 3" xfId="16696"/>
    <cellStyle name="Обычный 6 2 2 4" xfId="16697"/>
    <cellStyle name="Обычный 6 2 2 4 2" xfId="16698"/>
    <cellStyle name="Обычный 6 2 2 4 3" xfId="16699"/>
    <cellStyle name="Обычный 6 2 2 4 4" xfId="16700"/>
    <cellStyle name="Обычный 6 2 2 4 5" xfId="16701"/>
    <cellStyle name="Обычный 6 2 2 5" xfId="16702"/>
    <cellStyle name="Обычный 6 2 2 6" xfId="16703"/>
    <cellStyle name="Обычный 6 2 2 7" xfId="16704"/>
    <cellStyle name="Обычный 6 2 2 8" xfId="16705"/>
    <cellStyle name="Обычный 6 2 20" xfId="16706"/>
    <cellStyle name="Обычный 6 2 21" xfId="16707"/>
    <cellStyle name="Обычный 6 2 22" xfId="16708"/>
    <cellStyle name="Обычный 6 2 23" xfId="16709"/>
    <cellStyle name="Обычный 6 2 3" xfId="16710"/>
    <cellStyle name="Обычный 6 2 3 2" xfId="16711"/>
    <cellStyle name="Обычный 6 2 3 2 2" xfId="16712"/>
    <cellStyle name="Обычный 6 2 3 2 3" xfId="16713"/>
    <cellStyle name="Обычный 6 2 3 3" xfId="16714"/>
    <cellStyle name="Обычный 6 2 3 4" xfId="16715"/>
    <cellStyle name="Обычный 6 2 3 4 2" xfId="16716"/>
    <cellStyle name="Обычный 6 2 3 4 3" xfId="16717"/>
    <cellStyle name="Обычный 6 2 3 4 4" xfId="16718"/>
    <cellStyle name="Обычный 6 2 3 4 5" xfId="16719"/>
    <cellStyle name="Обычный 6 2 3 5" xfId="16720"/>
    <cellStyle name="Обычный 6 2 3 6" xfId="16721"/>
    <cellStyle name="Обычный 6 2 3 7" xfId="16722"/>
    <cellStyle name="Обычный 6 2 3 8" xfId="16723"/>
    <cellStyle name="Обычный 6 2 4" xfId="16724"/>
    <cellStyle name="Обычный 6 2 4 10" xfId="16725"/>
    <cellStyle name="Обычный 6 2 4 11" xfId="16726"/>
    <cellStyle name="Обычный 6 2 4 12" xfId="16727"/>
    <cellStyle name="Обычный 6 2 4 2" xfId="16728"/>
    <cellStyle name="Обычный 6 2 4 2 10" xfId="16729"/>
    <cellStyle name="Обычный 6 2 4 2 11" xfId="16730"/>
    <cellStyle name="Обычный 6 2 4 2 12" xfId="16731"/>
    <cellStyle name="Обычный 6 2 4 2 2" xfId="16732"/>
    <cellStyle name="Обычный 6 2 4 2 2 2" xfId="16733"/>
    <cellStyle name="Обычный 6 2 4 2 2 3" xfId="16734"/>
    <cellStyle name="Обычный 6 2 4 2 2 4" xfId="16735"/>
    <cellStyle name="Обычный 6 2 4 2 2 5" xfId="16736"/>
    <cellStyle name="Обычный 6 2 4 2 2 6" xfId="16737"/>
    <cellStyle name="Обычный 6 2 4 2 2 7" xfId="16738"/>
    <cellStyle name="Обычный 6 2 4 2 2 8" xfId="16739"/>
    <cellStyle name="Обычный 6 2 4 2 2 9" xfId="16740"/>
    <cellStyle name="Обычный 6 2 4 2 3" xfId="16741"/>
    <cellStyle name="Обычный 6 2 4 2 3 2" xfId="16742"/>
    <cellStyle name="Обычный 6 2 4 2 3 3" xfId="16743"/>
    <cellStyle name="Обычный 6 2 4 2 3 4" xfId="16744"/>
    <cellStyle name="Обычный 6 2 4 2 3 5" xfId="16745"/>
    <cellStyle name="Обычный 6 2 4 2 3 6" xfId="16746"/>
    <cellStyle name="Обычный 6 2 4 2 3 7" xfId="16747"/>
    <cellStyle name="Обычный 6 2 4 2 3 8" xfId="16748"/>
    <cellStyle name="Обычный 6 2 4 2 3 9" xfId="16749"/>
    <cellStyle name="Обычный 6 2 4 2 4" xfId="16750"/>
    <cellStyle name="Обычный 6 2 4 2 4 2" xfId="16751"/>
    <cellStyle name="Обычный 6 2 4 2 4 3" xfId="16752"/>
    <cellStyle name="Обычный 6 2 4 2 4 4" xfId="16753"/>
    <cellStyle name="Обычный 6 2 4 2 4 5" xfId="16754"/>
    <cellStyle name="Обычный 6 2 4 2 4 6" xfId="16755"/>
    <cellStyle name="Обычный 6 2 4 2 4 7" xfId="16756"/>
    <cellStyle name="Обычный 6 2 4 2 4 8" xfId="16757"/>
    <cellStyle name="Обычный 6 2 4 2 4 9" xfId="16758"/>
    <cellStyle name="Обычный 6 2 4 2 5" xfId="16759"/>
    <cellStyle name="Обычный 6 2 4 2 6" xfId="16760"/>
    <cellStyle name="Обычный 6 2 4 2 7" xfId="16761"/>
    <cellStyle name="Обычный 6 2 4 2 8" xfId="16762"/>
    <cellStyle name="Обычный 6 2 4 2 9" xfId="16763"/>
    <cellStyle name="Обычный 6 2 4 3" xfId="16764"/>
    <cellStyle name="Обычный 6 2 4 3 10" xfId="16765"/>
    <cellStyle name="Обычный 6 2 4 3 11" xfId="16766"/>
    <cellStyle name="Обычный 6 2 4 3 2" xfId="16767"/>
    <cellStyle name="Обычный 6 2 4 3 2 2" xfId="16768"/>
    <cellStyle name="Обычный 6 2 4 3 2 3" xfId="16769"/>
    <cellStyle name="Обычный 6 2 4 3 2 4" xfId="16770"/>
    <cellStyle name="Обычный 6 2 4 3 2 5" xfId="16771"/>
    <cellStyle name="Обычный 6 2 4 3 2 6" xfId="16772"/>
    <cellStyle name="Обычный 6 2 4 3 2 7" xfId="16773"/>
    <cellStyle name="Обычный 6 2 4 3 2 8" xfId="16774"/>
    <cellStyle name="Обычный 6 2 4 3 2 9" xfId="16775"/>
    <cellStyle name="Обычный 6 2 4 3 3" xfId="16776"/>
    <cellStyle name="Обычный 6 2 4 3 3 2" xfId="16777"/>
    <cellStyle name="Обычный 6 2 4 3 3 3" xfId="16778"/>
    <cellStyle name="Обычный 6 2 4 3 3 4" xfId="16779"/>
    <cellStyle name="Обычный 6 2 4 3 3 5" xfId="16780"/>
    <cellStyle name="Обычный 6 2 4 3 3 6" xfId="16781"/>
    <cellStyle name="Обычный 6 2 4 3 3 7" xfId="16782"/>
    <cellStyle name="Обычный 6 2 4 3 3 8" xfId="16783"/>
    <cellStyle name="Обычный 6 2 4 3 3 9" xfId="16784"/>
    <cellStyle name="Обычный 6 2 4 3 4" xfId="16785"/>
    <cellStyle name="Обычный 6 2 4 3 5" xfId="16786"/>
    <cellStyle name="Обычный 6 2 4 3 6" xfId="16787"/>
    <cellStyle name="Обычный 6 2 4 3 7" xfId="16788"/>
    <cellStyle name="Обычный 6 2 4 3 8" xfId="16789"/>
    <cellStyle name="Обычный 6 2 4 3 9" xfId="16790"/>
    <cellStyle name="Обычный 6 2 4 4" xfId="16791"/>
    <cellStyle name="Обычный 6 2 4 4 2" xfId="16792"/>
    <cellStyle name="Обычный 6 2 4 4 3" xfId="16793"/>
    <cellStyle name="Обычный 6 2 4 4 4" xfId="16794"/>
    <cellStyle name="Обычный 6 2 4 4 5" xfId="16795"/>
    <cellStyle name="Обычный 6 2 4 4 6" xfId="16796"/>
    <cellStyle name="Обычный 6 2 4 4 7" xfId="16797"/>
    <cellStyle name="Обычный 6 2 4 4 8" xfId="16798"/>
    <cellStyle name="Обычный 6 2 4 4 9" xfId="16799"/>
    <cellStyle name="Обычный 6 2 4 5" xfId="16800"/>
    <cellStyle name="Обычный 6 2 4 6" xfId="16801"/>
    <cellStyle name="Обычный 6 2 4 7" xfId="16802"/>
    <cellStyle name="Обычный 6 2 4 8" xfId="16803"/>
    <cellStyle name="Обычный 6 2 4 9" xfId="16804"/>
    <cellStyle name="Обычный 6 2 5" xfId="16805"/>
    <cellStyle name="Обычный 6 2 5 2" xfId="16806"/>
    <cellStyle name="Обычный 6 2 5 2 2" xfId="16807"/>
    <cellStyle name="Обычный 6 2 5 2 3" xfId="16808"/>
    <cellStyle name="Обычный 6 2 5 3" xfId="16809"/>
    <cellStyle name="Обычный 6 2 5 4" xfId="16810"/>
    <cellStyle name="Обычный 6 2 5 4 2" xfId="16811"/>
    <cellStyle name="Обычный 6 2 5 4 3" xfId="16812"/>
    <cellStyle name="Обычный 6 2 5 4 4" xfId="16813"/>
    <cellStyle name="Обычный 6 2 5 4 5" xfId="16814"/>
    <cellStyle name="Обычный 6 2 5 5" xfId="16815"/>
    <cellStyle name="Обычный 6 2 5 6" xfId="16816"/>
    <cellStyle name="Обычный 6 2 5 7" xfId="16817"/>
    <cellStyle name="Обычный 6 2 5 8" xfId="16818"/>
    <cellStyle name="Обычный 6 2 6" xfId="16819"/>
    <cellStyle name="Обычный 6 2 6 2" xfId="16820"/>
    <cellStyle name="Обычный 6 2 6 2 2" xfId="16821"/>
    <cellStyle name="Обычный 6 2 6 2 3" xfId="16822"/>
    <cellStyle name="Обычный 6 2 6 3" xfId="16823"/>
    <cellStyle name="Обычный 6 2 6 4" xfId="16824"/>
    <cellStyle name="Обычный 6 2 6 4 2" xfId="16825"/>
    <cellStyle name="Обычный 6 2 6 4 3" xfId="16826"/>
    <cellStyle name="Обычный 6 2 6 4 4" xfId="16827"/>
    <cellStyle name="Обычный 6 2 6 4 5" xfId="16828"/>
    <cellStyle name="Обычный 6 2 6 5" xfId="16829"/>
    <cellStyle name="Обычный 6 2 6 6" xfId="16830"/>
    <cellStyle name="Обычный 6 2 6 7" xfId="16831"/>
    <cellStyle name="Обычный 6 2 6 8" xfId="16832"/>
    <cellStyle name="Обычный 6 2 7" xfId="16833"/>
    <cellStyle name="Обычный 6 2 7 2" xfId="16834"/>
    <cellStyle name="Обычный 6 2 7 2 2" xfId="16835"/>
    <cellStyle name="Обычный 6 2 7 2 3" xfId="16836"/>
    <cellStyle name="Обычный 6 2 7 3" xfId="16837"/>
    <cellStyle name="Обычный 6 2 7 4" xfId="16838"/>
    <cellStyle name="Обычный 6 2 7 4 2" xfId="16839"/>
    <cellStyle name="Обычный 6 2 7 4 3" xfId="16840"/>
    <cellStyle name="Обычный 6 2 7 4 4" xfId="16841"/>
    <cellStyle name="Обычный 6 2 7 4 5" xfId="16842"/>
    <cellStyle name="Обычный 6 2 7 5" xfId="16843"/>
    <cellStyle name="Обычный 6 2 7 6" xfId="16844"/>
    <cellStyle name="Обычный 6 2 7 7" xfId="16845"/>
    <cellStyle name="Обычный 6 2 7 8" xfId="16846"/>
    <cellStyle name="Обычный 6 2 8" xfId="16847"/>
    <cellStyle name="Обычный 6 2 8 2" xfId="16848"/>
    <cellStyle name="Обычный 6 2 8 2 2" xfId="16849"/>
    <cellStyle name="Обычный 6 2 8 2 3" xfId="16850"/>
    <cellStyle name="Обычный 6 2 8 3" xfId="16851"/>
    <cellStyle name="Обычный 6 2 8 4" xfId="16852"/>
    <cellStyle name="Обычный 6 2 8 4 2" xfId="16853"/>
    <cellStyle name="Обычный 6 2 8 4 3" xfId="16854"/>
    <cellStyle name="Обычный 6 2 8 4 4" xfId="16855"/>
    <cellStyle name="Обычный 6 2 8 4 5" xfId="16856"/>
    <cellStyle name="Обычный 6 2 8 5" xfId="16857"/>
    <cellStyle name="Обычный 6 2 8 6" xfId="16858"/>
    <cellStyle name="Обычный 6 2 8 7" xfId="16859"/>
    <cellStyle name="Обычный 6 2 8 8" xfId="16860"/>
    <cellStyle name="Обычный 6 2 9" xfId="16861"/>
    <cellStyle name="Обычный 6 2 9 2" xfId="16862"/>
    <cellStyle name="Обычный 6 2 9 2 2" xfId="16863"/>
    <cellStyle name="Обычный 6 2 9 2 3" xfId="16864"/>
    <cellStyle name="Обычный 6 2 9 3" xfId="16865"/>
    <cellStyle name="Обычный 6 2 9 4" xfId="16866"/>
    <cellStyle name="Обычный 6 2 9 4 2" xfId="16867"/>
    <cellStyle name="Обычный 6 2 9 4 3" xfId="16868"/>
    <cellStyle name="Обычный 6 2 9 4 4" xfId="16869"/>
    <cellStyle name="Обычный 6 2 9 4 5" xfId="16870"/>
    <cellStyle name="Обычный 6 2 9 5" xfId="16871"/>
    <cellStyle name="Обычный 6 2 9 6" xfId="16872"/>
    <cellStyle name="Обычный 6 2 9 7" xfId="16873"/>
    <cellStyle name="Обычный 6 2 9 8" xfId="16874"/>
    <cellStyle name="Обычный 6 2_Расчет программы" xfId="16875"/>
    <cellStyle name="Обычный 6 3" xfId="16876"/>
    <cellStyle name="Обычный 6 3 10" xfId="16877"/>
    <cellStyle name="Обычный 6 3 11" xfId="16878"/>
    <cellStyle name="Обычный 6 3 12" xfId="16879"/>
    <cellStyle name="Обычный 6 3 2" xfId="16880"/>
    <cellStyle name="Обычный 6 3 2 10" xfId="16881"/>
    <cellStyle name="Обычный 6 3 2 11" xfId="16882"/>
    <cellStyle name="Обычный 6 3 2 12" xfId="16883"/>
    <cellStyle name="Обычный 6 3 2 2" xfId="16884"/>
    <cellStyle name="Обычный 6 3 2 2 2" xfId="16885"/>
    <cellStyle name="Обычный 6 3 2 2 3" xfId="16886"/>
    <cellStyle name="Обычный 6 3 2 2 4" xfId="16887"/>
    <cellStyle name="Обычный 6 3 2 2 5" xfId="16888"/>
    <cellStyle name="Обычный 6 3 2 2 6" xfId="16889"/>
    <cellStyle name="Обычный 6 3 2 2 7" xfId="16890"/>
    <cellStyle name="Обычный 6 3 2 2 8" xfId="16891"/>
    <cellStyle name="Обычный 6 3 2 2 9" xfId="16892"/>
    <cellStyle name="Обычный 6 3 2 3" xfId="16893"/>
    <cellStyle name="Обычный 6 3 2 3 2" xfId="16894"/>
    <cellStyle name="Обычный 6 3 2 3 3" xfId="16895"/>
    <cellStyle name="Обычный 6 3 2 3 4" xfId="16896"/>
    <cellStyle name="Обычный 6 3 2 3 5" xfId="16897"/>
    <cellStyle name="Обычный 6 3 2 3 6" xfId="16898"/>
    <cellStyle name="Обычный 6 3 2 3 7" xfId="16899"/>
    <cellStyle name="Обычный 6 3 2 3 8" xfId="16900"/>
    <cellStyle name="Обычный 6 3 2 3 9" xfId="16901"/>
    <cellStyle name="Обычный 6 3 2 4" xfId="16902"/>
    <cellStyle name="Обычный 6 3 2 4 2" xfId="16903"/>
    <cellStyle name="Обычный 6 3 2 4 3" xfId="16904"/>
    <cellStyle name="Обычный 6 3 2 4 4" xfId="16905"/>
    <cellStyle name="Обычный 6 3 2 4 5" xfId="16906"/>
    <cellStyle name="Обычный 6 3 2 4 6" xfId="16907"/>
    <cellStyle name="Обычный 6 3 2 4 7" xfId="16908"/>
    <cellStyle name="Обычный 6 3 2 4 8" xfId="16909"/>
    <cellStyle name="Обычный 6 3 2 4 9" xfId="16910"/>
    <cellStyle name="Обычный 6 3 2 5" xfId="16911"/>
    <cellStyle name="Обычный 6 3 2 6" xfId="16912"/>
    <cellStyle name="Обычный 6 3 2 7" xfId="16913"/>
    <cellStyle name="Обычный 6 3 2 8" xfId="16914"/>
    <cellStyle name="Обычный 6 3 2 9" xfId="16915"/>
    <cellStyle name="Обычный 6 3 3" xfId="16916"/>
    <cellStyle name="Обычный 6 3 3 10" xfId="16917"/>
    <cellStyle name="Обычный 6 3 3 11" xfId="16918"/>
    <cellStyle name="Обычный 6 3 3 2" xfId="16919"/>
    <cellStyle name="Обычный 6 3 3 2 2" xfId="16920"/>
    <cellStyle name="Обычный 6 3 3 2 3" xfId="16921"/>
    <cellStyle name="Обычный 6 3 3 2 4" xfId="16922"/>
    <cellStyle name="Обычный 6 3 3 2 5" xfId="16923"/>
    <cellStyle name="Обычный 6 3 3 2 6" xfId="16924"/>
    <cellStyle name="Обычный 6 3 3 2 7" xfId="16925"/>
    <cellStyle name="Обычный 6 3 3 2 8" xfId="16926"/>
    <cellStyle name="Обычный 6 3 3 2 9" xfId="16927"/>
    <cellStyle name="Обычный 6 3 3 3" xfId="16928"/>
    <cellStyle name="Обычный 6 3 3 3 2" xfId="16929"/>
    <cellStyle name="Обычный 6 3 3 3 3" xfId="16930"/>
    <cellStyle name="Обычный 6 3 3 3 4" xfId="16931"/>
    <cellStyle name="Обычный 6 3 3 3 5" xfId="16932"/>
    <cellStyle name="Обычный 6 3 3 3 6" xfId="16933"/>
    <cellStyle name="Обычный 6 3 3 3 7" xfId="16934"/>
    <cellStyle name="Обычный 6 3 3 3 8" xfId="16935"/>
    <cellStyle name="Обычный 6 3 3 3 9" xfId="16936"/>
    <cellStyle name="Обычный 6 3 3 4" xfId="16937"/>
    <cellStyle name="Обычный 6 3 3 5" xfId="16938"/>
    <cellStyle name="Обычный 6 3 3 6" xfId="16939"/>
    <cellStyle name="Обычный 6 3 3 7" xfId="16940"/>
    <cellStyle name="Обычный 6 3 3 8" xfId="16941"/>
    <cellStyle name="Обычный 6 3 3 9" xfId="16942"/>
    <cellStyle name="Обычный 6 3 4" xfId="16943"/>
    <cellStyle name="Обычный 6 3 4 2" xfId="16944"/>
    <cellStyle name="Обычный 6 3 4 3" xfId="16945"/>
    <cellStyle name="Обычный 6 3 4 4" xfId="16946"/>
    <cellStyle name="Обычный 6 3 4 5" xfId="16947"/>
    <cellStyle name="Обычный 6 3 4 6" xfId="16948"/>
    <cellStyle name="Обычный 6 3 4 7" xfId="16949"/>
    <cellStyle name="Обычный 6 3 4 8" xfId="16950"/>
    <cellStyle name="Обычный 6 3 4 9" xfId="16951"/>
    <cellStyle name="Обычный 6 3 5" xfId="16952"/>
    <cellStyle name="Обычный 6 3 6" xfId="16953"/>
    <cellStyle name="Обычный 6 3 7" xfId="16954"/>
    <cellStyle name="Обычный 6 3 8" xfId="16955"/>
    <cellStyle name="Обычный 6 3 9" xfId="16956"/>
    <cellStyle name="Обычный 6 4" xfId="16957"/>
    <cellStyle name="Обычный 6 4 10" xfId="16958"/>
    <cellStyle name="Обычный 6 4 11" xfId="16959"/>
    <cellStyle name="Обычный 6 4 12" xfId="16960"/>
    <cellStyle name="Обычный 6 4 2" xfId="16961"/>
    <cellStyle name="Обычный 6 4 2 10" xfId="16962"/>
    <cellStyle name="Обычный 6 4 2 11" xfId="16963"/>
    <cellStyle name="Обычный 6 4 2 12" xfId="16964"/>
    <cellStyle name="Обычный 6 4 2 2" xfId="16965"/>
    <cellStyle name="Обычный 6 4 2 2 2" xfId="16966"/>
    <cellStyle name="Обычный 6 4 2 2 3" xfId="16967"/>
    <cellStyle name="Обычный 6 4 2 2 4" xfId="16968"/>
    <cellStyle name="Обычный 6 4 2 2 5" xfId="16969"/>
    <cellStyle name="Обычный 6 4 2 2 6" xfId="16970"/>
    <cellStyle name="Обычный 6 4 2 2 7" xfId="16971"/>
    <cellStyle name="Обычный 6 4 2 2 8" xfId="16972"/>
    <cellStyle name="Обычный 6 4 2 2 9" xfId="16973"/>
    <cellStyle name="Обычный 6 4 2 3" xfId="16974"/>
    <cellStyle name="Обычный 6 4 2 3 2" xfId="16975"/>
    <cellStyle name="Обычный 6 4 2 3 3" xfId="16976"/>
    <cellStyle name="Обычный 6 4 2 3 4" xfId="16977"/>
    <cellStyle name="Обычный 6 4 2 3 5" xfId="16978"/>
    <cellStyle name="Обычный 6 4 2 3 6" xfId="16979"/>
    <cellStyle name="Обычный 6 4 2 3 7" xfId="16980"/>
    <cellStyle name="Обычный 6 4 2 3 8" xfId="16981"/>
    <cellStyle name="Обычный 6 4 2 3 9" xfId="16982"/>
    <cellStyle name="Обычный 6 4 2 4" xfId="16983"/>
    <cellStyle name="Обычный 6 4 2 4 2" xfId="16984"/>
    <cellStyle name="Обычный 6 4 2 4 3" xfId="16985"/>
    <cellStyle name="Обычный 6 4 2 4 4" xfId="16986"/>
    <cellStyle name="Обычный 6 4 2 4 5" xfId="16987"/>
    <cellStyle name="Обычный 6 4 2 4 6" xfId="16988"/>
    <cellStyle name="Обычный 6 4 2 4 7" xfId="16989"/>
    <cellStyle name="Обычный 6 4 2 4 8" xfId="16990"/>
    <cellStyle name="Обычный 6 4 2 4 9" xfId="16991"/>
    <cellStyle name="Обычный 6 4 2 5" xfId="16992"/>
    <cellStyle name="Обычный 6 4 2 6" xfId="16993"/>
    <cellStyle name="Обычный 6 4 2 7" xfId="16994"/>
    <cellStyle name="Обычный 6 4 2 8" xfId="16995"/>
    <cellStyle name="Обычный 6 4 2 9" xfId="16996"/>
    <cellStyle name="Обычный 6 4 3" xfId="16997"/>
    <cellStyle name="Обычный 6 4 3 10" xfId="16998"/>
    <cellStyle name="Обычный 6 4 3 11" xfId="16999"/>
    <cellStyle name="Обычный 6 4 3 2" xfId="17000"/>
    <cellStyle name="Обычный 6 4 3 2 2" xfId="17001"/>
    <cellStyle name="Обычный 6 4 3 2 3" xfId="17002"/>
    <cellStyle name="Обычный 6 4 3 2 4" xfId="17003"/>
    <cellStyle name="Обычный 6 4 3 2 5" xfId="17004"/>
    <cellStyle name="Обычный 6 4 3 2 6" xfId="17005"/>
    <cellStyle name="Обычный 6 4 3 2 7" xfId="17006"/>
    <cellStyle name="Обычный 6 4 3 2 8" xfId="17007"/>
    <cellStyle name="Обычный 6 4 3 2 9" xfId="17008"/>
    <cellStyle name="Обычный 6 4 3 3" xfId="17009"/>
    <cellStyle name="Обычный 6 4 3 3 2" xfId="17010"/>
    <cellStyle name="Обычный 6 4 3 3 3" xfId="17011"/>
    <cellStyle name="Обычный 6 4 3 3 4" xfId="17012"/>
    <cellStyle name="Обычный 6 4 3 3 5" xfId="17013"/>
    <cellStyle name="Обычный 6 4 3 3 6" xfId="17014"/>
    <cellStyle name="Обычный 6 4 3 3 7" xfId="17015"/>
    <cellStyle name="Обычный 6 4 3 3 8" xfId="17016"/>
    <cellStyle name="Обычный 6 4 3 3 9" xfId="17017"/>
    <cellStyle name="Обычный 6 4 3 4" xfId="17018"/>
    <cellStyle name="Обычный 6 4 3 5" xfId="17019"/>
    <cellStyle name="Обычный 6 4 3 6" xfId="17020"/>
    <cellStyle name="Обычный 6 4 3 7" xfId="17021"/>
    <cellStyle name="Обычный 6 4 3 8" xfId="17022"/>
    <cellStyle name="Обычный 6 4 3 9" xfId="17023"/>
    <cellStyle name="Обычный 6 4 4" xfId="17024"/>
    <cellStyle name="Обычный 6 4 4 2" xfId="17025"/>
    <cellStyle name="Обычный 6 4 4 3" xfId="17026"/>
    <cellStyle name="Обычный 6 4 4 4" xfId="17027"/>
    <cellStyle name="Обычный 6 4 4 5" xfId="17028"/>
    <cellStyle name="Обычный 6 4 4 6" xfId="17029"/>
    <cellStyle name="Обычный 6 4 4 7" xfId="17030"/>
    <cellStyle name="Обычный 6 4 4 8" xfId="17031"/>
    <cellStyle name="Обычный 6 4 4 9" xfId="17032"/>
    <cellStyle name="Обычный 6 4 5" xfId="17033"/>
    <cellStyle name="Обычный 6 4 6" xfId="17034"/>
    <cellStyle name="Обычный 6 4 7" xfId="17035"/>
    <cellStyle name="Обычный 6 4 8" xfId="17036"/>
    <cellStyle name="Обычный 6 4 9" xfId="17037"/>
    <cellStyle name="Обычный 6 5" xfId="17038"/>
    <cellStyle name="Обычный 6 5 10" xfId="17039"/>
    <cellStyle name="Обычный 6 5 11" xfId="17040"/>
    <cellStyle name="Обычный 6 5 12" xfId="17041"/>
    <cellStyle name="Обычный 6 5 2" xfId="17042"/>
    <cellStyle name="Обычный 6 5 2 10" xfId="17043"/>
    <cellStyle name="Обычный 6 5 2 11" xfId="17044"/>
    <cellStyle name="Обычный 6 5 2 12" xfId="17045"/>
    <cellStyle name="Обычный 6 5 2 2" xfId="17046"/>
    <cellStyle name="Обычный 6 5 2 2 2" xfId="17047"/>
    <cellStyle name="Обычный 6 5 2 2 3" xfId="17048"/>
    <cellStyle name="Обычный 6 5 2 2 4" xfId="17049"/>
    <cellStyle name="Обычный 6 5 2 2 5" xfId="17050"/>
    <cellStyle name="Обычный 6 5 2 2 6" xfId="17051"/>
    <cellStyle name="Обычный 6 5 2 2 7" xfId="17052"/>
    <cellStyle name="Обычный 6 5 2 2 8" xfId="17053"/>
    <cellStyle name="Обычный 6 5 2 2 9" xfId="17054"/>
    <cellStyle name="Обычный 6 5 2 3" xfId="17055"/>
    <cellStyle name="Обычный 6 5 2 3 2" xfId="17056"/>
    <cellStyle name="Обычный 6 5 2 3 3" xfId="17057"/>
    <cellStyle name="Обычный 6 5 2 3 4" xfId="17058"/>
    <cellStyle name="Обычный 6 5 2 3 5" xfId="17059"/>
    <cellStyle name="Обычный 6 5 2 3 6" xfId="17060"/>
    <cellStyle name="Обычный 6 5 2 3 7" xfId="17061"/>
    <cellStyle name="Обычный 6 5 2 3 8" xfId="17062"/>
    <cellStyle name="Обычный 6 5 2 3 9" xfId="17063"/>
    <cellStyle name="Обычный 6 5 2 4" xfId="17064"/>
    <cellStyle name="Обычный 6 5 2 4 2" xfId="17065"/>
    <cellStyle name="Обычный 6 5 2 4 3" xfId="17066"/>
    <cellStyle name="Обычный 6 5 2 4 4" xfId="17067"/>
    <cellStyle name="Обычный 6 5 2 4 5" xfId="17068"/>
    <cellStyle name="Обычный 6 5 2 4 6" xfId="17069"/>
    <cellStyle name="Обычный 6 5 2 4 7" xfId="17070"/>
    <cellStyle name="Обычный 6 5 2 4 8" xfId="17071"/>
    <cellStyle name="Обычный 6 5 2 4 9" xfId="17072"/>
    <cellStyle name="Обычный 6 5 2 5" xfId="17073"/>
    <cellStyle name="Обычный 6 5 2 6" xfId="17074"/>
    <cellStyle name="Обычный 6 5 2 7" xfId="17075"/>
    <cellStyle name="Обычный 6 5 2 8" xfId="17076"/>
    <cellStyle name="Обычный 6 5 2 9" xfId="17077"/>
    <cellStyle name="Обычный 6 5 3" xfId="17078"/>
    <cellStyle name="Обычный 6 5 3 10" xfId="17079"/>
    <cellStyle name="Обычный 6 5 3 11" xfId="17080"/>
    <cellStyle name="Обычный 6 5 3 2" xfId="17081"/>
    <cellStyle name="Обычный 6 5 3 2 2" xfId="17082"/>
    <cellStyle name="Обычный 6 5 3 2 3" xfId="17083"/>
    <cellStyle name="Обычный 6 5 3 2 4" xfId="17084"/>
    <cellStyle name="Обычный 6 5 3 2 5" xfId="17085"/>
    <cellStyle name="Обычный 6 5 3 2 6" xfId="17086"/>
    <cellStyle name="Обычный 6 5 3 2 7" xfId="17087"/>
    <cellStyle name="Обычный 6 5 3 2 8" xfId="17088"/>
    <cellStyle name="Обычный 6 5 3 2 9" xfId="17089"/>
    <cellStyle name="Обычный 6 5 3 3" xfId="17090"/>
    <cellStyle name="Обычный 6 5 3 3 2" xfId="17091"/>
    <cellStyle name="Обычный 6 5 3 3 3" xfId="17092"/>
    <cellStyle name="Обычный 6 5 3 3 4" xfId="17093"/>
    <cellStyle name="Обычный 6 5 3 3 5" xfId="17094"/>
    <cellStyle name="Обычный 6 5 3 3 6" xfId="17095"/>
    <cellStyle name="Обычный 6 5 3 3 7" xfId="17096"/>
    <cellStyle name="Обычный 6 5 3 3 8" xfId="17097"/>
    <cellStyle name="Обычный 6 5 3 3 9" xfId="17098"/>
    <cellStyle name="Обычный 6 5 3 4" xfId="17099"/>
    <cellStyle name="Обычный 6 5 3 5" xfId="17100"/>
    <cellStyle name="Обычный 6 5 3 6" xfId="17101"/>
    <cellStyle name="Обычный 6 5 3 7" xfId="17102"/>
    <cellStyle name="Обычный 6 5 3 8" xfId="17103"/>
    <cellStyle name="Обычный 6 5 3 9" xfId="17104"/>
    <cellStyle name="Обычный 6 5 4" xfId="17105"/>
    <cellStyle name="Обычный 6 5 4 2" xfId="17106"/>
    <cellStyle name="Обычный 6 5 4 3" xfId="17107"/>
    <cellStyle name="Обычный 6 5 4 4" xfId="17108"/>
    <cellStyle name="Обычный 6 5 4 5" xfId="17109"/>
    <cellStyle name="Обычный 6 5 4 6" xfId="17110"/>
    <cellStyle name="Обычный 6 5 4 7" xfId="17111"/>
    <cellStyle name="Обычный 6 5 4 8" xfId="17112"/>
    <cellStyle name="Обычный 6 5 4 9" xfId="17113"/>
    <cellStyle name="Обычный 6 5 5" xfId="17114"/>
    <cellStyle name="Обычный 6 5 6" xfId="17115"/>
    <cellStyle name="Обычный 6 5 7" xfId="17116"/>
    <cellStyle name="Обычный 6 5 8" xfId="17117"/>
    <cellStyle name="Обычный 6 5 9" xfId="17118"/>
    <cellStyle name="Обычный 6 6" xfId="17119"/>
    <cellStyle name="Обычный 6 6 10" xfId="17120"/>
    <cellStyle name="Обычный 6 6 11" xfId="17121"/>
    <cellStyle name="Обычный 6 6 12" xfId="17122"/>
    <cellStyle name="Обычный 6 6 2" xfId="17123"/>
    <cellStyle name="Обычный 6 6 2 10" xfId="17124"/>
    <cellStyle name="Обычный 6 6 2 11" xfId="17125"/>
    <cellStyle name="Обычный 6 6 2 12" xfId="17126"/>
    <cellStyle name="Обычный 6 6 2 2" xfId="17127"/>
    <cellStyle name="Обычный 6 6 2 2 2" xfId="17128"/>
    <cellStyle name="Обычный 6 6 2 2 3" xfId="17129"/>
    <cellStyle name="Обычный 6 6 2 2 4" xfId="17130"/>
    <cellStyle name="Обычный 6 6 2 2 5" xfId="17131"/>
    <cellStyle name="Обычный 6 6 2 2 6" xfId="17132"/>
    <cellStyle name="Обычный 6 6 2 2 7" xfId="17133"/>
    <cellStyle name="Обычный 6 6 2 2 8" xfId="17134"/>
    <cellStyle name="Обычный 6 6 2 2 9" xfId="17135"/>
    <cellStyle name="Обычный 6 6 2 3" xfId="17136"/>
    <cellStyle name="Обычный 6 6 2 3 2" xfId="17137"/>
    <cellStyle name="Обычный 6 6 2 3 3" xfId="17138"/>
    <cellStyle name="Обычный 6 6 2 3 4" xfId="17139"/>
    <cellStyle name="Обычный 6 6 2 3 5" xfId="17140"/>
    <cellStyle name="Обычный 6 6 2 3 6" xfId="17141"/>
    <cellStyle name="Обычный 6 6 2 3 7" xfId="17142"/>
    <cellStyle name="Обычный 6 6 2 3 8" xfId="17143"/>
    <cellStyle name="Обычный 6 6 2 3 9" xfId="17144"/>
    <cellStyle name="Обычный 6 6 2 4" xfId="17145"/>
    <cellStyle name="Обычный 6 6 2 4 2" xfId="17146"/>
    <cellStyle name="Обычный 6 6 2 4 3" xfId="17147"/>
    <cellStyle name="Обычный 6 6 2 4 4" xfId="17148"/>
    <cellStyle name="Обычный 6 6 2 4 5" xfId="17149"/>
    <cellStyle name="Обычный 6 6 2 4 6" xfId="17150"/>
    <cellStyle name="Обычный 6 6 2 4 7" xfId="17151"/>
    <cellStyle name="Обычный 6 6 2 4 8" xfId="17152"/>
    <cellStyle name="Обычный 6 6 2 4 9" xfId="17153"/>
    <cellStyle name="Обычный 6 6 2 5" xfId="17154"/>
    <cellStyle name="Обычный 6 6 2 6" xfId="17155"/>
    <cellStyle name="Обычный 6 6 2 7" xfId="17156"/>
    <cellStyle name="Обычный 6 6 2 8" xfId="17157"/>
    <cellStyle name="Обычный 6 6 2 9" xfId="17158"/>
    <cellStyle name="Обычный 6 6 3" xfId="17159"/>
    <cellStyle name="Обычный 6 6 3 10" xfId="17160"/>
    <cellStyle name="Обычный 6 6 3 11" xfId="17161"/>
    <cellStyle name="Обычный 6 6 3 2" xfId="17162"/>
    <cellStyle name="Обычный 6 6 3 2 2" xfId="17163"/>
    <cellStyle name="Обычный 6 6 3 2 3" xfId="17164"/>
    <cellStyle name="Обычный 6 6 3 2 4" xfId="17165"/>
    <cellStyle name="Обычный 6 6 3 2 5" xfId="17166"/>
    <cellStyle name="Обычный 6 6 3 2 6" xfId="17167"/>
    <cellStyle name="Обычный 6 6 3 2 7" xfId="17168"/>
    <cellStyle name="Обычный 6 6 3 2 8" xfId="17169"/>
    <cellStyle name="Обычный 6 6 3 2 9" xfId="17170"/>
    <cellStyle name="Обычный 6 6 3 3" xfId="17171"/>
    <cellStyle name="Обычный 6 6 3 3 2" xfId="17172"/>
    <cellStyle name="Обычный 6 6 3 3 3" xfId="17173"/>
    <cellStyle name="Обычный 6 6 3 3 4" xfId="17174"/>
    <cellStyle name="Обычный 6 6 3 3 5" xfId="17175"/>
    <cellStyle name="Обычный 6 6 3 3 6" xfId="17176"/>
    <cellStyle name="Обычный 6 6 3 3 7" xfId="17177"/>
    <cellStyle name="Обычный 6 6 3 3 8" xfId="17178"/>
    <cellStyle name="Обычный 6 6 3 3 9" xfId="17179"/>
    <cellStyle name="Обычный 6 6 3 4" xfId="17180"/>
    <cellStyle name="Обычный 6 6 3 5" xfId="17181"/>
    <cellStyle name="Обычный 6 6 3 6" xfId="17182"/>
    <cellStyle name="Обычный 6 6 3 7" xfId="17183"/>
    <cellStyle name="Обычный 6 6 3 8" xfId="17184"/>
    <cellStyle name="Обычный 6 6 3 9" xfId="17185"/>
    <cellStyle name="Обычный 6 6 4" xfId="17186"/>
    <cellStyle name="Обычный 6 6 4 2" xfId="17187"/>
    <cellStyle name="Обычный 6 6 4 3" xfId="17188"/>
    <cellStyle name="Обычный 6 6 4 4" xfId="17189"/>
    <cellStyle name="Обычный 6 6 4 5" xfId="17190"/>
    <cellStyle name="Обычный 6 6 4 6" xfId="17191"/>
    <cellStyle name="Обычный 6 6 4 7" xfId="17192"/>
    <cellStyle name="Обычный 6 6 4 8" xfId="17193"/>
    <cellStyle name="Обычный 6 6 4 9" xfId="17194"/>
    <cellStyle name="Обычный 6 6 5" xfId="17195"/>
    <cellStyle name="Обычный 6 6 6" xfId="17196"/>
    <cellStyle name="Обычный 6 6 7" xfId="17197"/>
    <cellStyle name="Обычный 6 6 8" xfId="17198"/>
    <cellStyle name="Обычный 6 6 9" xfId="17199"/>
    <cellStyle name="Обычный 6 7" xfId="17200"/>
    <cellStyle name="Обычный 6 7 2" xfId="17201"/>
    <cellStyle name="Обычный 6 7 2 2" xfId="17202"/>
    <cellStyle name="Обычный 6 7 2 3" xfId="17203"/>
    <cellStyle name="Обычный 6 7 3" xfId="17204"/>
    <cellStyle name="Обычный 6 7 4" xfId="17205"/>
    <cellStyle name="Обычный 6 7 4 2" xfId="17206"/>
    <cellStyle name="Обычный 6 7 4 3" xfId="17207"/>
    <cellStyle name="Обычный 6 7 4 4" xfId="17208"/>
    <cellStyle name="Обычный 6 7 4 5" xfId="17209"/>
    <cellStyle name="Обычный 6 7 5" xfId="17210"/>
    <cellStyle name="Обычный 6 7 6" xfId="17211"/>
    <cellStyle name="Обычный 6 7 7" xfId="17212"/>
    <cellStyle name="Обычный 6 7 8" xfId="17213"/>
    <cellStyle name="Обычный 6 8" xfId="17214"/>
    <cellStyle name="Обычный 6 8 2" xfId="17215"/>
    <cellStyle name="Обычный 6 8 2 2" xfId="17216"/>
    <cellStyle name="Обычный 6 8 2 3" xfId="17217"/>
    <cellStyle name="Обычный 6 8 3" xfId="17218"/>
    <cellStyle name="Обычный 6 8 4" xfId="17219"/>
    <cellStyle name="Обычный 6 8 4 2" xfId="17220"/>
    <cellStyle name="Обычный 6 8 4 3" xfId="17221"/>
    <cellStyle name="Обычный 6 8 4 4" xfId="17222"/>
    <cellStyle name="Обычный 6 8 4 5" xfId="17223"/>
    <cellStyle name="Обычный 6 8 5" xfId="17224"/>
    <cellStyle name="Обычный 6 8 6" xfId="17225"/>
    <cellStyle name="Обычный 6 8 7" xfId="17226"/>
    <cellStyle name="Обычный 6 8 8" xfId="17227"/>
    <cellStyle name="Обычный 6 9" xfId="17228"/>
    <cellStyle name="Обычный 6 9 2" xfId="17229"/>
    <cellStyle name="Обычный 6 9 2 2" xfId="17230"/>
    <cellStyle name="Обычный 6 9 2 3" xfId="17231"/>
    <cellStyle name="Обычный 6 9 3" xfId="17232"/>
    <cellStyle name="Обычный 6 9 4" xfId="17233"/>
    <cellStyle name="Обычный 6 9 4 2" xfId="17234"/>
    <cellStyle name="Обычный 6 9 4 3" xfId="17235"/>
    <cellStyle name="Обычный 6 9 4 4" xfId="17236"/>
    <cellStyle name="Обычный 6 9 4 5" xfId="17237"/>
    <cellStyle name="Обычный 6 9 5" xfId="17238"/>
    <cellStyle name="Обычный 6 9 6" xfId="17239"/>
    <cellStyle name="Обычный 6 9 7" xfId="17240"/>
    <cellStyle name="Обычный 6 9 8" xfId="17241"/>
    <cellStyle name="Обычный 7" xfId="17242"/>
    <cellStyle name="Обычный 7 10" xfId="17243"/>
    <cellStyle name="Обычный 7 10 2" xfId="17244"/>
    <cellStyle name="Обычный 7 10 2 2" xfId="17245"/>
    <cellStyle name="Обычный 7 10 2 2 2" xfId="17246"/>
    <cellStyle name="Обычный 7 10 2 2 3" xfId="17247"/>
    <cellStyle name="Обычный 7 10 2 2 4" xfId="17248"/>
    <cellStyle name="Обычный 7 10 2 2 5" xfId="17249"/>
    <cellStyle name="Обычный 7 10 2 2 6" xfId="17250"/>
    <cellStyle name="Обычный 7 10 2 3" xfId="17251"/>
    <cellStyle name="Обычный 7 10 2 3 2" xfId="17252"/>
    <cellStyle name="Обычный 7 10 2 3 3" xfId="17253"/>
    <cellStyle name="Обычный 7 10 2 3 4" xfId="17254"/>
    <cellStyle name="Обычный 7 10 2 3 5" xfId="17255"/>
    <cellStyle name="Обычный 7 10 2 3 6" xfId="17256"/>
    <cellStyle name="Обычный 7 10 2 4" xfId="17257"/>
    <cellStyle name="Обычный 7 10 2 5" xfId="17258"/>
    <cellStyle name="Обычный 7 10 2 6" xfId="17259"/>
    <cellStyle name="Обычный 7 10 2 7" xfId="17260"/>
    <cellStyle name="Обычный 7 10 2 8" xfId="17261"/>
    <cellStyle name="Обычный 7 10 3" xfId="17262"/>
    <cellStyle name="Обычный 7 10 3 2" xfId="17263"/>
    <cellStyle name="Обычный 7 10 3 3" xfId="17264"/>
    <cellStyle name="Обычный 7 10 3 4" xfId="17265"/>
    <cellStyle name="Обычный 7 10 3 5" xfId="17266"/>
    <cellStyle name="Обычный 7 10 3 6" xfId="17267"/>
    <cellStyle name="Обычный 7 10 4" xfId="17268"/>
    <cellStyle name="Обычный 7 10 4 2" xfId="17269"/>
    <cellStyle name="Обычный 7 10 4 3" xfId="17270"/>
    <cellStyle name="Обычный 7 10 4 4" xfId="17271"/>
    <cellStyle name="Обычный 7 10 4 5" xfId="17272"/>
    <cellStyle name="Обычный 7 10 5" xfId="17273"/>
    <cellStyle name="Обычный 7 10 6" xfId="17274"/>
    <cellStyle name="Обычный 7 10 7" xfId="17275"/>
    <cellStyle name="Обычный 7 10 8" xfId="17276"/>
    <cellStyle name="Обычный 7 11" xfId="17277"/>
    <cellStyle name="Обычный 7 11 2" xfId="17278"/>
    <cellStyle name="Обычный 7 11 3" xfId="17279"/>
    <cellStyle name="Обычный 7 12" xfId="17280"/>
    <cellStyle name="Обычный 7 13" xfId="17281"/>
    <cellStyle name="Обычный 7 2" xfId="17282"/>
    <cellStyle name="Обычный 7 2 2" xfId="17283"/>
    <cellStyle name="Обычный 7 2 2 2" xfId="17284"/>
    <cellStyle name="Обычный 7 2 2 2 2" xfId="17285"/>
    <cellStyle name="Обычный 7 2 2 2 3" xfId="17286"/>
    <cellStyle name="Обычный 7 2 2 2 4" xfId="17287"/>
    <cellStyle name="Обычный 7 2 2 2 5" xfId="17288"/>
    <cellStyle name="Обычный 7 2 2 2 6" xfId="17289"/>
    <cellStyle name="Обычный 7 2 2 3" xfId="17290"/>
    <cellStyle name="Обычный 7 2 2 3 2" xfId="17291"/>
    <cellStyle name="Обычный 7 2 2 3 3" xfId="17292"/>
    <cellStyle name="Обычный 7 2 2 3 4" xfId="17293"/>
    <cellStyle name="Обычный 7 2 2 3 5" xfId="17294"/>
    <cellStyle name="Обычный 7 2 2 3 6" xfId="17295"/>
    <cellStyle name="Обычный 7 2 2 4" xfId="17296"/>
    <cellStyle name="Обычный 7 2 2 5" xfId="17297"/>
    <cellStyle name="Обычный 7 2 2 6" xfId="17298"/>
    <cellStyle name="Обычный 7 2 2 7" xfId="17299"/>
    <cellStyle name="Обычный 7 2 2 8" xfId="17300"/>
    <cellStyle name="Обычный 7 2 3" xfId="17301"/>
    <cellStyle name="Обычный 7 2 3 2" xfId="17302"/>
    <cellStyle name="Обычный 7 2 3 3" xfId="17303"/>
    <cellStyle name="Обычный 7 2 3 4" xfId="17304"/>
    <cellStyle name="Обычный 7 2 3 5" xfId="17305"/>
    <cellStyle name="Обычный 7 2 3 6" xfId="17306"/>
    <cellStyle name="Обычный 7 2 4" xfId="17307"/>
    <cellStyle name="Обычный 7 2 4 2" xfId="17308"/>
    <cellStyle name="Обычный 7 2 4 3" xfId="17309"/>
    <cellStyle name="Обычный 7 2 4 4" xfId="17310"/>
    <cellStyle name="Обычный 7 2 4 5" xfId="17311"/>
    <cellStyle name="Обычный 7 2 5" xfId="17312"/>
    <cellStyle name="Обычный 7 2 6" xfId="17313"/>
    <cellStyle name="Обычный 7 2 7" xfId="17314"/>
    <cellStyle name="Обычный 7 2 8" xfId="17315"/>
    <cellStyle name="Обычный 7 3" xfId="17316"/>
    <cellStyle name="Обычный 7 3 2" xfId="17317"/>
    <cellStyle name="Обычный 7 3 2 2" xfId="17318"/>
    <cellStyle name="Обычный 7 3 2 2 2" xfId="17319"/>
    <cellStyle name="Обычный 7 3 2 2 3" xfId="17320"/>
    <cellStyle name="Обычный 7 3 2 2 4" xfId="17321"/>
    <cellStyle name="Обычный 7 3 2 2 5" xfId="17322"/>
    <cellStyle name="Обычный 7 3 2 2 6" xfId="17323"/>
    <cellStyle name="Обычный 7 3 2 3" xfId="17324"/>
    <cellStyle name="Обычный 7 3 2 3 2" xfId="17325"/>
    <cellStyle name="Обычный 7 3 2 3 3" xfId="17326"/>
    <cellStyle name="Обычный 7 3 2 3 4" xfId="17327"/>
    <cellStyle name="Обычный 7 3 2 3 5" xfId="17328"/>
    <cellStyle name="Обычный 7 3 2 3 6" xfId="17329"/>
    <cellStyle name="Обычный 7 3 2 4" xfId="17330"/>
    <cellStyle name="Обычный 7 3 2 5" xfId="17331"/>
    <cellStyle name="Обычный 7 3 2 6" xfId="17332"/>
    <cellStyle name="Обычный 7 3 2 7" xfId="17333"/>
    <cellStyle name="Обычный 7 3 2 8" xfId="17334"/>
    <cellStyle name="Обычный 7 3 3" xfId="17335"/>
    <cellStyle name="Обычный 7 3 3 2" xfId="17336"/>
    <cellStyle name="Обычный 7 3 3 3" xfId="17337"/>
    <cellStyle name="Обычный 7 3 3 4" xfId="17338"/>
    <cellStyle name="Обычный 7 3 3 5" xfId="17339"/>
    <cellStyle name="Обычный 7 3 3 6" xfId="17340"/>
    <cellStyle name="Обычный 7 3 4" xfId="17341"/>
    <cellStyle name="Обычный 7 3 4 2" xfId="17342"/>
    <cellStyle name="Обычный 7 3 4 3" xfId="17343"/>
    <cellStyle name="Обычный 7 3 4 4" xfId="17344"/>
    <cellStyle name="Обычный 7 3 4 5" xfId="17345"/>
    <cellStyle name="Обычный 7 3 5" xfId="17346"/>
    <cellStyle name="Обычный 7 3 6" xfId="17347"/>
    <cellStyle name="Обычный 7 3 7" xfId="17348"/>
    <cellStyle name="Обычный 7 3 8" xfId="17349"/>
    <cellStyle name="Обычный 7 4" xfId="17350"/>
    <cellStyle name="Обычный 7 4 2" xfId="17351"/>
    <cellStyle name="Обычный 7 4 2 2" xfId="17352"/>
    <cellStyle name="Обычный 7 4 2 2 2" xfId="17353"/>
    <cellStyle name="Обычный 7 4 2 2 3" xfId="17354"/>
    <cellStyle name="Обычный 7 4 2 2 4" xfId="17355"/>
    <cellStyle name="Обычный 7 4 2 2 5" xfId="17356"/>
    <cellStyle name="Обычный 7 4 2 2 6" xfId="17357"/>
    <cellStyle name="Обычный 7 4 2 3" xfId="17358"/>
    <cellStyle name="Обычный 7 4 2 3 2" xfId="17359"/>
    <cellStyle name="Обычный 7 4 2 3 3" xfId="17360"/>
    <cellStyle name="Обычный 7 4 2 3 4" xfId="17361"/>
    <cellStyle name="Обычный 7 4 2 3 5" xfId="17362"/>
    <cellStyle name="Обычный 7 4 2 3 6" xfId="17363"/>
    <cellStyle name="Обычный 7 4 2 4" xfId="17364"/>
    <cellStyle name="Обычный 7 4 2 5" xfId="17365"/>
    <cellStyle name="Обычный 7 4 2 6" xfId="17366"/>
    <cellStyle name="Обычный 7 4 2 7" xfId="17367"/>
    <cellStyle name="Обычный 7 4 2 8" xfId="17368"/>
    <cellStyle name="Обычный 7 4 3" xfId="17369"/>
    <cellStyle name="Обычный 7 4 3 2" xfId="17370"/>
    <cellStyle name="Обычный 7 4 3 3" xfId="17371"/>
    <cellStyle name="Обычный 7 4 3 4" xfId="17372"/>
    <cellStyle name="Обычный 7 4 3 5" xfId="17373"/>
    <cellStyle name="Обычный 7 4 3 6" xfId="17374"/>
    <cellStyle name="Обычный 7 4 4" xfId="17375"/>
    <cellStyle name="Обычный 7 4 4 2" xfId="17376"/>
    <cellStyle name="Обычный 7 4 4 3" xfId="17377"/>
    <cellStyle name="Обычный 7 4 4 4" xfId="17378"/>
    <cellStyle name="Обычный 7 4 4 5" xfId="17379"/>
    <cellStyle name="Обычный 7 4 5" xfId="17380"/>
    <cellStyle name="Обычный 7 4 6" xfId="17381"/>
    <cellStyle name="Обычный 7 4 7" xfId="17382"/>
    <cellStyle name="Обычный 7 4 8" xfId="17383"/>
    <cellStyle name="Обычный 7 5" xfId="17384"/>
    <cellStyle name="Обычный 7 5 2" xfId="17385"/>
    <cellStyle name="Обычный 7 5 2 2" xfId="17386"/>
    <cellStyle name="Обычный 7 5 2 2 2" xfId="17387"/>
    <cellStyle name="Обычный 7 5 2 2 3" xfId="17388"/>
    <cellStyle name="Обычный 7 5 2 2 4" xfId="17389"/>
    <cellStyle name="Обычный 7 5 2 2 5" xfId="17390"/>
    <cellStyle name="Обычный 7 5 2 2 6" xfId="17391"/>
    <cellStyle name="Обычный 7 5 2 3" xfId="17392"/>
    <cellStyle name="Обычный 7 5 2 3 2" xfId="17393"/>
    <cellStyle name="Обычный 7 5 2 3 3" xfId="17394"/>
    <cellStyle name="Обычный 7 5 2 3 4" xfId="17395"/>
    <cellStyle name="Обычный 7 5 2 3 5" xfId="17396"/>
    <cellStyle name="Обычный 7 5 2 3 6" xfId="17397"/>
    <cellStyle name="Обычный 7 5 2 4" xfId="17398"/>
    <cellStyle name="Обычный 7 5 2 5" xfId="17399"/>
    <cellStyle name="Обычный 7 5 2 6" xfId="17400"/>
    <cellStyle name="Обычный 7 5 2 7" xfId="17401"/>
    <cellStyle name="Обычный 7 5 2 8" xfId="17402"/>
    <cellStyle name="Обычный 7 5 3" xfId="17403"/>
    <cellStyle name="Обычный 7 5 3 2" xfId="17404"/>
    <cellStyle name="Обычный 7 5 3 3" xfId="17405"/>
    <cellStyle name="Обычный 7 5 3 4" xfId="17406"/>
    <cellStyle name="Обычный 7 5 3 5" xfId="17407"/>
    <cellStyle name="Обычный 7 5 3 6" xfId="17408"/>
    <cellStyle name="Обычный 7 5 4" xfId="17409"/>
    <cellStyle name="Обычный 7 5 4 2" xfId="17410"/>
    <cellStyle name="Обычный 7 5 4 3" xfId="17411"/>
    <cellStyle name="Обычный 7 5 4 4" xfId="17412"/>
    <cellStyle name="Обычный 7 5 4 5" xfId="17413"/>
    <cellStyle name="Обычный 7 5 5" xfId="17414"/>
    <cellStyle name="Обычный 7 5 6" xfId="17415"/>
    <cellStyle name="Обычный 7 5 7" xfId="17416"/>
    <cellStyle name="Обычный 7 5 8" xfId="17417"/>
    <cellStyle name="Обычный 7 6" xfId="17418"/>
    <cellStyle name="Обычный 7 6 2" xfId="17419"/>
    <cellStyle name="Обычный 7 6 2 2" xfId="17420"/>
    <cellStyle name="Обычный 7 6 2 2 2" xfId="17421"/>
    <cellStyle name="Обычный 7 6 2 2 3" xfId="17422"/>
    <cellStyle name="Обычный 7 6 2 2 4" xfId="17423"/>
    <cellStyle name="Обычный 7 6 2 2 5" xfId="17424"/>
    <cellStyle name="Обычный 7 6 2 2 6" xfId="17425"/>
    <cellStyle name="Обычный 7 6 2 3" xfId="17426"/>
    <cellStyle name="Обычный 7 6 2 3 2" xfId="17427"/>
    <cellStyle name="Обычный 7 6 2 3 3" xfId="17428"/>
    <cellStyle name="Обычный 7 6 2 3 4" xfId="17429"/>
    <cellStyle name="Обычный 7 6 2 3 5" xfId="17430"/>
    <cellStyle name="Обычный 7 6 2 3 6" xfId="17431"/>
    <cellStyle name="Обычный 7 6 2 4" xfId="17432"/>
    <cellStyle name="Обычный 7 6 2 5" xfId="17433"/>
    <cellStyle name="Обычный 7 6 2 6" xfId="17434"/>
    <cellStyle name="Обычный 7 6 2 7" xfId="17435"/>
    <cellStyle name="Обычный 7 6 2 8" xfId="17436"/>
    <cellStyle name="Обычный 7 6 3" xfId="17437"/>
    <cellStyle name="Обычный 7 6 3 2" xfId="17438"/>
    <cellStyle name="Обычный 7 6 3 3" xfId="17439"/>
    <cellStyle name="Обычный 7 6 3 4" xfId="17440"/>
    <cellStyle name="Обычный 7 6 3 5" xfId="17441"/>
    <cellStyle name="Обычный 7 6 3 6" xfId="17442"/>
    <cellStyle name="Обычный 7 6 4" xfId="17443"/>
    <cellStyle name="Обычный 7 6 4 2" xfId="17444"/>
    <cellStyle name="Обычный 7 6 4 3" xfId="17445"/>
    <cellStyle name="Обычный 7 6 4 4" xfId="17446"/>
    <cellStyle name="Обычный 7 6 4 5" xfId="17447"/>
    <cellStyle name="Обычный 7 6 5" xfId="17448"/>
    <cellStyle name="Обычный 7 6 6" xfId="17449"/>
    <cellStyle name="Обычный 7 6 7" xfId="17450"/>
    <cellStyle name="Обычный 7 6 8" xfId="17451"/>
    <cellStyle name="Обычный 7 7" xfId="17452"/>
    <cellStyle name="Обычный 7 7 2" xfId="17453"/>
    <cellStyle name="Обычный 7 7 2 2" xfId="17454"/>
    <cellStyle name="Обычный 7 7 2 2 2" xfId="17455"/>
    <cellStyle name="Обычный 7 7 2 2 3" xfId="17456"/>
    <cellStyle name="Обычный 7 7 2 2 4" xfId="17457"/>
    <cellStyle name="Обычный 7 7 2 2 5" xfId="17458"/>
    <cellStyle name="Обычный 7 7 2 2 6" xfId="17459"/>
    <cellStyle name="Обычный 7 7 2 3" xfId="17460"/>
    <cellStyle name="Обычный 7 7 2 3 2" xfId="17461"/>
    <cellStyle name="Обычный 7 7 2 3 3" xfId="17462"/>
    <cellStyle name="Обычный 7 7 2 3 4" xfId="17463"/>
    <cellStyle name="Обычный 7 7 2 3 5" xfId="17464"/>
    <cellStyle name="Обычный 7 7 2 3 6" xfId="17465"/>
    <cellStyle name="Обычный 7 7 2 4" xfId="17466"/>
    <cellStyle name="Обычный 7 7 2 5" xfId="17467"/>
    <cellStyle name="Обычный 7 7 2 6" xfId="17468"/>
    <cellStyle name="Обычный 7 7 2 7" xfId="17469"/>
    <cellStyle name="Обычный 7 7 2 8" xfId="17470"/>
    <cellStyle name="Обычный 7 7 3" xfId="17471"/>
    <cellStyle name="Обычный 7 7 3 2" xfId="17472"/>
    <cellStyle name="Обычный 7 7 3 3" xfId="17473"/>
    <cellStyle name="Обычный 7 7 3 4" xfId="17474"/>
    <cellStyle name="Обычный 7 7 3 5" xfId="17475"/>
    <cellStyle name="Обычный 7 7 3 6" xfId="17476"/>
    <cellStyle name="Обычный 7 7 4" xfId="17477"/>
    <cellStyle name="Обычный 7 7 4 2" xfId="17478"/>
    <cellStyle name="Обычный 7 7 4 3" xfId="17479"/>
    <cellStyle name="Обычный 7 7 4 4" xfId="17480"/>
    <cellStyle name="Обычный 7 7 4 5" xfId="17481"/>
    <cellStyle name="Обычный 7 7 5" xfId="17482"/>
    <cellStyle name="Обычный 7 7 6" xfId="17483"/>
    <cellStyle name="Обычный 7 7 7" xfId="17484"/>
    <cellStyle name="Обычный 7 7 8" xfId="17485"/>
    <cellStyle name="Обычный 7 8" xfId="17486"/>
    <cellStyle name="Обычный 7 8 2" xfId="17487"/>
    <cellStyle name="Обычный 7 8 2 2" xfId="17488"/>
    <cellStyle name="Обычный 7 8 2 2 2" xfId="17489"/>
    <cellStyle name="Обычный 7 8 2 2 3" xfId="17490"/>
    <cellStyle name="Обычный 7 8 2 2 4" xfId="17491"/>
    <cellStyle name="Обычный 7 8 2 2 5" xfId="17492"/>
    <cellStyle name="Обычный 7 8 2 2 6" xfId="17493"/>
    <cellStyle name="Обычный 7 8 2 3" xfId="17494"/>
    <cellStyle name="Обычный 7 8 2 3 2" xfId="17495"/>
    <cellStyle name="Обычный 7 8 2 3 3" xfId="17496"/>
    <cellStyle name="Обычный 7 8 2 3 4" xfId="17497"/>
    <cellStyle name="Обычный 7 8 2 3 5" xfId="17498"/>
    <cellStyle name="Обычный 7 8 2 3 6" xfId="17499"/>
    <cellStyle name="Обычный 7 8 2 4" xfId="17500"/>
    <cellStyle name="Обычный 7 8 2 5" xfId="17501"/>
    <cellStyle name="Обычный 7 8 2 6" xfId="17502"/>
    <cellStyle name="Обычный 7 8 2 7" xfId="17503"/>
    <cellStyle name="Обычный 7 8 2 8" xfId="17504"/>
    <cellStyle name="Обычный 7 8 3" xfId="17505"/>
    <cellStyle name="Обычный 7 8 3 2" xfId="17506"/>
    <cellStyle name="Обычный 7 8 3 3" xfId="17507"/>
    <cellStyle name="Обычный 7 8 3 4" xfId="17508"/>
    <cellStyle name="Обычный 7 8 3 5" xfId="17509"/>
    <cellStyle name="Обычный 7 8 3 6" xfId="17510"/>
    <cellStyle name="Обычный 7 8 4" xfId="17511"/>
    <cellStyle name="Обычный 7 8 4 2" xfId="17512"/>
    <cellStyle name="Обычный 7 8 4 3" xfId="17513"/>
    <cellStyle name="Обычный 7 8 4 4" xfId="17514"/>
    <cellStyle name="Обычный 7 8 4 5" xfId="17515"/>
    <cellStyle name="Обычный 7 8 5" xfId="17516"/>
    <cellStyle name="Обычный 7 8 6" xfId="17517"/>
    <cellStyle name="Обычный 7 8 7" xfId="17518"/>
    <cellStyle name="Обычный 7 8 8" xfId="17519"/>
    <cellStyle name="Обычный 7 9" xfId="17520"/>
    <cellStyle name="Обычный 7 9 2" xfId="17521"/>
    <cellStyle name="Обычный 7 9 2 2" xfId="17522"/>
    <cellStyle name="Обычный 7 9 2 2 2" xfId="17523"/>
    <cellStyle name="Обычный 7 9 2 2 3" xfId="17524"/>
    <cellStyle name="Обычный 7 9 2 2 4" xfId="17525"/>
    <cellStyle name="Обычный 7 9 2 2 5" xfId="17526"/>
    <cellStyle name="Обычный 7 9 2 2 6" xfId="17527"/>
    <cellStyle name="Обычный 7 9 2 3" xfId="17528"/>
    <cellStyle name="Обычный 7 9 2 3 2" xfId="17529"/>
    <cellStyle name="Обычный 7 9 2 3 3" xfId="17530"/>
    <cellStyle name="Обычный 7 9 2 3 4" xfId="17531"/>
    <cellStyle name="Обычный 7 9 2 3 5" xfId="17532"/>
    <cellStyle name="Обычный 7 9 2 3 6" xfId="17533"/>
    <cellStyle name="Обычный 7 9 2 4" xfId="17534"/>
    <cellStyle name="Обычный 7 9 2 5" xfId="17535"/>
    <cellStyle name="Обычный 7 9 2 6" xfId="17536"/>
    <cellStyle name="Обычный 7 9 2 7" xfId="17537"/>
    <cellStyle name="Обычный 7 9 2 8" xfId="17538"/>
    <cellStyle name="Обычный 7 9 3" xfId="17539"/>
    <cellStyle name="Обычный 7 9 3 2" xfId="17540"/>
    <cellStyle name="Обычный 7 9 3 3" xfId="17541"/>
    <cellStyle name="Обычный 7 9 3 4" xfId="17542"/>
    <cellStyle name="Обычный 7 9 3 5" xfId="17543"/>
    <cellStyle name="Обычный 7 9 3 6" xfId="17544"/>
    <cellStyle name="Обычный 7 9 4" xfId="17545"/>
    <cellStyle name="Обычный 7 9 4 2" xfId="17546"/>
    <cellStyle name="Обычный 7 9 4 3" xfId="17547"/>
    <cellStyle name="Обычный 7 9 4 4" xfId="17548"/>
    <cellStyle name="Обычный 7 9 4 5" xfId="17549"/>
    <cellStyle name="Обычный 7 9 5" xfId="17550"/>
    <cellStyle name="Обычный 7 9 6" xfId="17551"/>
    <cellStyle name="Обычный 7 9 7" xfId="17552"/>
    <cellStyle name="Обычный 7 9 8" xfId="17553"/>
    <cellStyle name="Обычный 8" xfId="17554"/>
    <cellStyle name="Обычный 8 10" xfId="17555"/>
    <cellStyle name="Обычный 8 11" xfId="17556"/>
    <cellStyle name="Обычный 8 12" xfId="17557"/>
    <cellStyle name="Обычный 8 13" xfId="17558"/>
    <cellStyle name="Обычный 8 14" xfId="17559"/>
    <cellStyle name="Обычный 8 15" xfId="17560"/>
    <cellStyle name="Обычный 8 2" xfId="17561"/>
    <cellStyle name="Обычный 8 2 2" xfId="17562"/>
    <cellStyle name="Обычный 8 2 2 2" xfId="17563"/>
    <cellStyle name="Обычный 8 2 2 2 2" xfId="17564"/>
    <cellStyle name="Обычный 8 2 2 2 3" xfId="17565"/>
    <cellStyle name="Обычный 8 2 2 2 4" xfId="17566"/>
    <cellStyle name="Обычный 8 2 2 2 5" xfId="17567"/>
    <cellStyle name="Обычный 8 2 2 2 6" xfId="17568"/>
    <cellStyle name="Обычный 8 2 2 3" xfId="17569"/>
    <cellStyle name="Обычный 8 2 2 3 2" xfId="17570"/>
    <cellStyle name="Обычный 8 2 2 3 3" xfId="17571"/>
    <cellStyle name="Обычный 8 2 2 3 4" xfId="17572"/>
    <cellStyle name="Обычный 8 2 2 3 5" xfId="17573"/>
    <cellStyle name="Обычный 8 2 2 3 6" xfId="17574"/>
    <cellStyle name="Обычный 8 2 2 4" xfId="17575"/>
    <cellStyle name="Обычный 8 2 2 5" xfId="17576"/>
    <cellStyle name="Обычный 8 2 2 6" xfId="17577"/>
    <cellStyle name="Обычный 8 2 2 7" xfId="17578"/>
    <cellStyle name="Обычный 8 2 2 8" xfId="17579"/>
    <cellStyle name="Обычный 8 2 3" xfId="17580"/>
    <cellStyle name="Обычный 8 2 3 2" xfId="17581"/>
    <cellStyle name="Обычный 8 2 3 3" xfId="17582"/>
    <cellStyle name="Обычный 8 2 3 4" xfId="17583"/>
    <cellStyle name="Обычный 8 2 3 5" xfId="17584"/>
    <cellStyle name="Обычный 8 2 3 6" xfId="17585"/>
    <cellStyle name="Обычный 8 2 4" xfId="17586"/>
    <cellStyle name="Обычный 8 2 4 2" xfId="17587"/>
    <cellStyle name="Обычный 8 2 4 3" xfId="17588"/>
    <cellStyle name="Обычный 8 2 4 4" xfId="17589"/>
    <cellStyle name="Обычный 8 2 4 5" xfId="17590"/>
    <cellStyle name="Обычный 8 2 5" xfId="17591"/>
    <cellStyle name="Обычный 8 2 6" xfId="17592"/>
    <cellStyle name="Обычный 8 2 7" xfId="17593"/>
    <cellStyle name="Обычный 8 2 8" xfId="17594"/>
    <cellStyle name="Обычный 8 3" xfId="17595"/>
    <cellStyle name="Обычный 8 3 10" xfId="17596"/>
    <cellStyle name="Обычный 8 3 11" xfId="17597"/>
    <cellStyle name="Обычный 8 3 12" xfId="17598"/>
    <cellStyle name="Обычный 8 3 2" xfId="17599"/>
    <cellStyle name="Обычный 8 3 2 10" xfId="17600"/>
    <cellStyle name="Обычный 8 3 2 11" xfId="17601"/>
    <cellStyle name="Обычный 8 3 2 12" xfId="17602"/>
    <cellStyle name="Обычный 8 3 2 2" xfId="17603"/>
    <cellStyle name="Обычный 8 3 2 2 2" xfId="17604"/>
    <cellStyle name="Обычный 8 3 2 2 3" xfId="17605"/>
    <cellStyle name="Обычный 8 3 2 2 4" xfId="17606"/>
    <cellStyle name="Обычный 8 3 2 2 5" xfId="17607"/>
    <cellStyle name="Обычный 8 3 2 2 6" xfId="17608"/>
    <cellStyle name="Обычный 8 3 2 2 7" xfId="17609"/>
    <cellStyle name="Обычный 8 3 2 2 8" xfId="17610"/>
    <cellStyle name="Обычный 8 3 2 2 9" xfId="17611"/>
    <cellStyle name="Обычный 8 3 2 3" xfId="17612"/>
    <cellStyle name="Обычный 8 3 2 3 2" xfId="17613"/>
    <cellStyle name="Обычный 8 3 2 3 3" xfId="17614"/>
    <cellStyle name="Обычный 8 3 2 3 4" xfId="17615"/>
    <cellStyle name="Обычный 8 3 2 3 5" xfId="17616"/>
    <cellStyle name="Обычный 8 3 2 3 6" xfId="17617"/>
    <cellStyle name="Обычный 8 3 2 3 7" xfId="17618"/>
    <cellStyle name="Обычный 8 3 2 3 8" xfId="17619"/>
    <cellStyle name="Обычный 8 3 2 3 9" xfId="17620"/>
    <cellStyle name="Обычный 8 3 2 4" xfId="17621"/>
    <cellStyle name="Обычный 8 3 2 4 2" xfId="17622"/>
    <cellStyle name="Обычный 8 3 2 4 3" xfId="17623"/>
    <cellStyle name="Обычный 8 3 2 4 4" xfId="17624"/>
    <cellStyle name="Обычный 8 3 2 4 5" xfId="17625"/>
    <cellStyle name="Обычный 8 3 2 4 6" xfId="17626"/>
    <cellStyle name="Обычный 8 3 2 4 7" xfId="17627"/>
    <cellStyle name="Обычный 8 3 2 4 8" xfId="17628"/>
    <cellStyle name="Обычный 8 3 2 4 9" xfId="17629"/>
    <cellStyle name="Обычный 8 3 2 5" xfId="17630"/>
    <cellStyle name="Обычный 8 3 2 6" xfId="17631"/>
    <cellStyle name="Обычный 8 3 2 7" xfId="17632"/>
    <cellStyle name="Обычный 8 3 2 8" xfId="17633"/>
    <cellStyle name="Обычный 8 3 2 9" xfId="17634"/>
    <cellStyle name="Обычный 8 3 3" xfId="17635"/>
    <cellStyle name="Обычный 8 3 3 10" xfId="17636"/>
    <cellStyle name="Обычный 8 3 3 11" xfId="17637"/>
    <cellStyle name="Обычный 8 3 3 2" xfId="17638"/>
    <cellStyle name="Обычный 8 3 3 2 2" xfId="17639"/>
    <cellStyle name="Обычный 8 3 3 2 3" xfId="17640"/>
    <cellStyle name="Обычный 8 3 3 2 4" xfId="17641"/>
    <cellStyle name="Обычный 8 3 3 2 5" xfId="17642"/>
    <cellStyle name="Обычный 8 3 3 2 6" xfId="17643"/>
    <cellStyle name="Обычный 8 3 3 2 7" xfId="17644"/>
    <cellStyle name="Обычный 8 3 3 2 8" xfId="17645"/>
    <cellStyle name="Обычный 8 3 3 2 9" xfId="17646"/>
    <cellStyle name="Обычный 8 3 3 3" xfId="17647"/>
    <cellStyle name="Обычный 8 3 3 3 2" xfId="17648"/>
    <cellStyle name="Обычный 8 3 3 3 3" xfId="17649"/>
    <cellStyle name="Обычный 8 3 3 3 4" xfId="17650"/>
    <cellStyle name="Обычный 8 3 3 3 5" xfId="17651"/>
    <cellStyle name="Обычный 8 3 3 3 6" xfId="17652"/>
    <cellStyle name="Обычный 8 3 3 3 7" xfId="17653"/>
    <cellStyle name="Обычный 8 3 3 3 8" xfId="17654"/>
    <cellStyle name="Обычный 8 3 3 3 9" xfId="17655"/>
    <cellStyle name="Обычный 8 3 3 4" xfId="17656"/>
    <cellStyle name="Обычный 8 3 3 5" xfId="17657"/>
    <cellStyle name="Обычный 8 3 3 6" xfId="17658"/>
    <cellStyle name="Обычный 8 3 3 7" xfId="17659"/>
    <cellStyle name="Обычный 8 3 3 8" xfId="17660"/>
    <cellStyle name="Обычный 8 3 3 9" xfId="17661"/>
    <cellStyle name="Обычный 8 3 4" xfId="17662"/>
    <cellStyle name="Обычный 8 3 4 2" xfId="17663"/>
    <cellStyle name="Обычный 8 3 4 3" xfId="17664"/>
    <cellStyle name="Обычный 8 3 4 4" xfId="17665"/>
    <cellStyle name="Обычный 8 3 4 5" xfId="17666"/>
    <cellStyle name="Обычный 8 3 4 6" xfId="17667"/>
    <cellStyle name="Обычный 8 3 4 7" xfId="17668"/>
    <cellStyle name="Обычный 8 3 4 8" xfId="17669"/>
    <cellStyle name="Обычный 8 3 4 9" xfId="17670"/>
    <cellStyle name="Обычный 8 3 5" xfId="17671"/>
    <cellStyle name="Обычный 8 3 6" xfId="17672"/>
    <cellStyle name="Обычный 8 3 7" xfId="17673"/>
    <cellStyle name="Обычный 8 3 8" xfId="17674"/>
    <cellStyle name="Обычный 8 3 9" xfId="17675"/>
    <cellStyle name="Обычный 8 4" xfId="17676"/>
    <cellStyle name="Обычный 8 4 10" xfId="17677"/>
    <cellStyle name="Обычный 8 4 11" xfId="17678"/>
    <cellStyle name="Обычный 8 4 12" xfId="17679"/>
    <cellStyle name="Обычный 8 4 2" xfId="17680"/>
    <cellStyle name="Обычный 8 4 2 10" xfId="17681"/>
    <cellStyle name="Обычный 8 4 2 11" xfId="17682"/>
    <cellStyle name="Обычный 8 4 2 12" xfId="17683"/>
    <cellStyle name="Обычный 8 4 2 2" xfId="17684"/>
    <cellStyle name="Обычный 8 4 2 2 2" xfId="17685"/>
    <cellStyle name="Обычный 8 4 2 2 3" xfId="17686"/>
    <cellStyle name="Обычный 8 4 2 2 4" xfId="17687"/>
    <cellStyle name="Обычный 8 4 2 2 5" xfId="17688"/>
    <cellStyle name="Обычный 8 4 2 2 6" xfId="17689"/>
    <cellStyle name="Обычный 8 4 2 2 7" xfId="17690"/>
    <cellStyle name="Обычный 8 4 2 2 8" xfId="17691"/>
    <cellStyle name="Обычный 8 4 2 2 9" xfId="17692"/>
    <cellStyle name="Обычный 8 4 2 3" xfId="17693"/>
    <cellStyle name="Обычный 8 4 2 3 2" xfId="17694"/>
    <cellStyle name="Обычный 8 4 2 3 3" xfId="17695"/>
    <cellStyle name="Обычный 8 4 2 3 4" xfId="17696"/>
    <cellStyle name="Обычный 8 4 2 3 5" xfId="17697"/>
    <cellStyle name="Обычный 8 4 2 3 6" xfId="17698"/>
    <cellStyle name="Обычный 8 4 2 3 7" xfId="17699"/>
    <cellStyle name="Обычный 8 4 2 3 8" xfId="17700"/>
    <cellStyle name="Обычный 8 4 2 3 9" xfId="17701"/>
    <cellStyle name="Обычный 8 4 2 4" xfId="17702"/>
    <cellStyle name="Обычный 8 4 2 4 2" xfId="17703"/>
    <cellStyle name="Обычный 8 4 2 4 3" xfId="17704"/>
    <cellStyle name="Обычный 8 4 2 4 4" xfId="17705"/>
    <cellStyle name="Обычный 8 4 2 4 5" xfId="17706"/>
    <cellStyle name="Обычный 8 4 2 4 6" xfId="17707"/>
    <cellStyle name="Обычный 8 4 2 4 7" xfId="17708"/>
    <cellStyle name="Обычный 8 4 2 4 8" xfId="17709"/>
    <cellStyle name="Обычный 8 4 2 4 9" xfId="17710"/>
    <cellStyle name="Обычный 8 4 2 5" xfId="17711"/>
    <cellStyle name="Обычный 8 4 2 6" xfId="17712"/>
    <cellStyle name="Обычный 8 4 2 7" xfId="17713"/>
    <cellStyle name="Обычный 8 4 2 8" xfId="17714"/>
    <cellStyle name="Обычный 8 4 2 9" xfId="17715"/>
    <cellStyle name="Обычный 8 4 3" xfId="17716"/>
    <cellStyle name="Обычный 8 4 3 10" xfId="17717"/>
    <cellStyle name="Обычный 8 4 3 11" xfId="17718"/>
    <cellStyle name="Обычный 8 4 3 2" xfId="17719"/>
    <cellStyle name="Обычный 8 4 3 2 2" xfId="17720"/>
    <cellStyle name="Обычный 8 4 3 2 3" xfId="17721"/>
    <cellStyle name="Обычный 8 4 3 2 4" xfId="17722"/>
    <cellStyle name="Обычный 8 4 3 2 5" xfId="17723"/>
    <cellStyle name="Обычный 8 4 3 2 6" xfId="17724"/>
    <cellStyle name="Обычный 8 4 3 2 7" xfId="17725"/>
    <cellStyle name="Обычный 8 4 3 2 8" xfId="17726"/>
    <cellStyle name="Обычный 8 4 3 2 9" xfId="17727"/>
    <cellStyle name="Обычный 8 4 3 3" xfId="17728"/>
    <cellStyle name="Обычный 8 4 3 3 2" xfId="17729"/>
    <cellStyle name="Обычный 8 4 3 3 3" xfId="17730"/>
    <cellStyle name="Обычный 8 4 3 3 4" xfId="17731"/>
    <cellStyle name="Обычный 8 4 3 3 5" xfId="17732"/>
    <cellStyle name="Обычный 8 4 3 3 6" xfId="17733"/>
    <cellStyle name="Обычный 8 4 3 3 7" xfId="17734"/>
    <cellStyle name="Обычный 8 4 3 3 8" xfId="17735"/>
    <cellStyle name="Обычный 8 4 3 3 9" xfId="17736"/>
    <cellStyle name="Обычный 8 4 3 4" xfId="17737"/>
    <cellStyle name="Обычный 8 4 3 5" xfId="17738"/>
    <cellStyle name="Обычный 8 4 3 6" xfId="17739"/>
    <cellStyle name="Обычный 8 4 3 7" xfId="17740"/>
    <cellStyle name="Обычный 8 4 3 8" xfId="17741"/>
    <cellStyle name="Обычный 8 4 3 9" xfId="17742"/>
    <cellStyle name="Обычный 8 4 4" xfId="17743"/>
    <cellStyle name="Обычный 8 4 4 2" xfId="17744"/>
    <cellStyle name="Обычный 8 4 4 3" xfId="17745"/>
    <cellStyle name="Обычный 8 4 4 4" xfId="17746"/>
    <cellStyle name="Обычный 8 4 4 5" xfId="17747"/>
    <cellStyle name="Обычный 8 4 4 6" xfId="17748"/>
    <cellStyle name="Обычный 8 4 4 7" xfId="17749"/>
    <cellStyle name="Обычный 8 4 4 8" xfId="17750"/>
    <cellStyle name="Обычный 8 4 4 9" xfId="17751"/>
    <cellStyle name="Обычный 8 4 5" xfId="17752"/>
    <cellStyle name="Обычный 8 4 6" xfId="17753"/>
    <cellStyle name="Обычный 8 4 7" xfId="17754"/>
    <cellStyle name="Обычный 8 4 8" xfId="17755"/>
    <cellStyle name="Обычный 8 4 9" xfId="17756"/>
    <cellStyle name="Обычный 8 5" xfId="17757"/>
    <cellStyle name="Обычный 8 5 10" xfId="17758"/>
    <cellStyle name="Обычный 8 5 11" xfId="17759"/>
    <cellStyle name="Обычный 8 5 12" xfId="17760"/>
    <cellStyle name="Обычный 8 5 2" xfId="17761"/>
    <cellStyle name="Обычный 8 5 2 2" xfId="17762"/>
    <cellStyle name="Обычный 8 5 2 3" xfId="17763"/>
    <cellStyle name="Обычный 8 5 2 4" xfId="17764"/>
    <cellStyle name="Обычный 8 5 2 5" xfId="17765"/>
    <cellStyle name="Обычный 8 5 2 6" xfId="17766"/>
    <cellStyle name="Обычный 8 5 2 7" xfId="17767"/>
    <cellStyle name="Обычный 8 5 2 8" xfId="17768"/>
    <cellStyle name="Обычный 8 5 2 9" xfId="17769"/>
    <cellStyle name="Обычный 8 5 3" xfId="17770"/>
    <cellStyle name="Обычный 8 5 3 2" xfId="17771"/>
    <cellStyle name="Обычный 8 5 3 3" xfId="17772"/>
    <cellStyle name="Обычный 8 5 3 4" xfId="17773"/>
    <cellStyle name="Обычный 8 5 3 5" xfId="17774"/>
    <cellStyle name="Обычный 8 5 3 6" xfId="17775"/>
    <cellStyle name="Обычный 8 5 3 7" xfId="17776"/>
    <cellStyle name="Обычный 8 5 3 8" xfId="17777"/>
    <cellStyle name="Обычный 8 5 3 9" xfId="17778"/>
    <cellStyle name="Обычный 8 5 4" xfId="17779"/>
    <cellStyle name="Обычный 8 5 4 2" xfId="17780"/>
    <cellStyle name="Обычный 8 5 4 3" xfId="17781"/>
    <cellStyle name="Обычный 8 5 4 4" xfId="17782"/>
    <cellStyle name="Обычный 8 5 4 5" xfId="17783"/>
    <cellStyle name="Обычный 8 5 4 6" xfId="17784"/>
    <cellStyle name="Обычный 8 5 4 7" xfId="17785"/>
    <cellStyle name="Обычный 8 5 4 8" xfId="17786"/>
    <cellStyle name="Обычный 8 5 4 9" xfId="17787"/>
    <cellStyle name="Обычный 8 5 5" xfId="17788"/>
    <cellStyle name="Обычный 8 5 6" xfId="17789"/>
    <cellStyle name="Обычный 8 5 7" xfId="17790"/>
    <cellStyle name="Обычный 8 5 8" xfId="17791"/>
    <cellStyle name="Обычный 8 5 9" xfId="17792"/>
    <cellStyle name="Обычный 8 6" xfId="17793"/>
    <cellStyle name="Обычный 8 6 10" xfId="17794"/>
    <cellStyle name="Обычный 8 6 11" xfId="17795"/>
    <cellStyle name="Обычный 8 6 2" xfId="17796"/>
    <cellStyle name="Обычный 8 6 2 2" xfId="17797"/>
    <cellStyle name="Обычный 8 6 2 3" xfId="17798"/>
    <cellStyle name="Обычный 8 6 2 4" xfId="17799"/>
    <cellStyle name="Обычный 8 6 2 5" xfId="17800"/>
    <cellStyle name="Обычный 8 6 2 6" xfId="17801"/>
    <cellStyle name="Обычный 8 6 2 7" xfId="17802"/>
    <cellStyle name="Обычный 8 6 2 8" xfId="17803"/>
    <cellStyle name="Обычный 8 6 2 9" xfId="17804"/>
    <cellStyle name="Обычный 8 6 3" xfId="17805"/>
    <cellStyle name="Обычный 8 6 3 2" xfId="17806"/>
    <cellStyle name="Обычный 8 6 3 3" xfId="17807"/>
    <cellStyle name="Обычный 8 6 3 4" xfId="17808"/>
    <cellStyle name="Обычный 8 6 3 5" xfId="17809"/>
    <cellStyle name="Обычный 8 6 3 6" xfId="17810"/>
    <cellStyle name="Обычный 8 6 3 7" xfId="17811"/>
    <cellStyle name="Обычный 8 6 3 8" xfId="17812"/>
    <cellStyle name="Обычный 8 6 3 9" xfId="17813"/>
    <cellStyle name="Обычный 8 6 4" xfId="17814"/>
    <cellStyle name="Обычный 8 6 5" xfId="17815"/>
    <cellStyle name="Обычный 8 6 6" xfId="17816"/>
    <cellStyle name="Обычный 8 6 7" xfId="17817"/>
    <cellStyle name="Обычный 8 6 8" xfId="17818"/>
    <cellStyle name="Обычный 8 6 9" xfId="17819"/>
    <cellStyle name="Обычный 8 7" xfId="17820"/>
    <cellStyle name="Обычный 8 7 2" xfId="17821"/>
    <cellStyle name="Обычный 8 7 3" xfId="17822"/>
    <cellStyle name="Обычный 8 7 4" xfId="17823"/>
    <cellStyle name="Обычный 8 7 5" xfId="17824"/>
    <cellStyle name="Обычный 8 7 6" xfId="17825"/>
    <cellStyle name="Обычный 8 7 7" xfId="17826"/>
    <cellStyle name="Обычный 8 7 8" xfId="17827"/>
    <cellStyle name="Обычный 8 7 9" xfId="17828"/>
    <cellStyle name="Обычный 8 8" xfId="17829"/>
    <cellStyle name="Обычный 8 9" xfId="17830"/>
    <cellStyle name="Обычный 9" xfId="17831"/>
    <cellStyle name="Обычный 9 2" xfId="17832"/>
    <cellStyle name="Обычный 9 2 2" xfId="17833"/>
    <cellStyle name="Обычный 9 2 2 2" xfId="17834"/>
    <cellStyle name="Обычный 9 2 2 3" xfId="17835"/>
    <cellStyle name="Обычный 9 2 2 4" xfId="17836"/>
    <cellStyle name="Обычный 9 2 2 5" xfId="17837"/>
    <cellStyle name="Обычный 9 2 2 6" xfId="17838"/>
    <cellStyle name="Обычный 9 2 3" xfId="17839"/>
    <cellStyle name="Обычный 9 2 3 2" xfId="17840"/>
    <cellStyle name="Обычный 9 2 3 3" xfId="17841"/>
    <cellStyle name="Обычный 9 2 3 4" xfId="17842"/>
    <cellStyle name="Обычный 9 2 3 5" xfId="17843"/>
    <cellStyle name="Обычный 9 2 3 6" xfId="17844"/>
    <cellStyle name="Обычный 9 2 4" xfId="17845"/>
    <cellStyle name="Обычный 9 2 5" xfId="17846"/>
    <cellStyle name="Обычный 9 2 6" xfId="17847"/>
    <cellStyle name="Обычный 9 2 7" xfId="17848"/>
    <cellStyle name="Обычный 9 2 8" xfId="17849"/>
    <cellStyle name="Обычный 9 3" xfId="17850"/>
    <cellStyle name="Обычный 9 3 2" xfId="17851"/>
    <cellStyle name="Обычный 9 3 3" xfId="17852"/>
    <cellStyle name="Обычный 9 3 4" xfId="17853"/>
    <cellStyle name="Обычный 9 3 5" xfId="17854"/>
    <cellStyle name="Обычный 9 3 6" xfId="17855"/>
    <cellStyle name="Обычный 9 4" xfId="17856"/>
    <cellStyle name="Обычный 9 4 2" xfId="17857"/>
    <cellStyle name="Обычный 9 4 3" xfId="17858"/>
    <cellStyle name="Обычный 9 4 4" xfId="17859"/>
    <cellStyle name="Обычный 9 4 5" xfId="17860"/>
    <cellStyle name="Обычный 9 5" xfId="17861"/>
    <cellStyle name="Обычный 9 6" xfId="17862"/>
    <cellStyle name="Обычный 9 7" xfId="17863"/>
    <cellStyle name="Обычный 9 8" xfId="17864"/>
    <cellStyle name="Плохой 2" xfId="17865"/>
    <cellStyle name="Плохой 2 10" xfId="17866"/>
    <cellStyle name="Плохой 2 11" xfId="17867"/>
    <cellStyle name="Плохой 2 12" xfId="17868"/>
    <cellStyle name="Плохой 2 13" xfId="17869"/>
    <cellStyle name="Плохой 2 2" xfId="17870"/>
    <cellStyle name="Плохой 2 2 2" xfId="17871"/>
    <cellStyle name="Плохой 2 2 2 2" xfId="17872"/>
    <cellStyle name="Плохой 2 2 2 2 2" xfId="17873"/>
    <cellStyle name="Плохой 2 2 2 2 3" xfId="17874"/>
    <cellStyle name="Плохой 2 2 2 2 4" xfId="17875"/>
    <cellStyle name="Плохой 2 2 2 2 5" xfId="17876"/>
    <cellStyle name="Плохой 2 2 2 2 6" xfId="17877"/>
    <cellStyle name="Плохой 2 2 2 3" xfId="17878"/>
    <cellStyle name="Плохой 2 2 2 3 2" xfId="17879"/>
    <cellStyle name="Плохой 2 2 2 3 3" xfId="17880"/>
    <cellStyle name="Плохой 2 2 2 3 4" xfId="17881"/>
    <cellStyle name="Плохой 2 2 2 3 5" xfId="17882"/>
    <cellStyle name="Плохой 2 2 2 3 6" xfId="17883"/>
    <cellStyle name="Плохой 2 2 2 4" xfId="17884"/>
    <cellStyle name="Плохой 2 2 2 5" xfId="17885"/>
    <cellStyle name="Плохой 2 2 2 6" xfId="17886"/>
    <cellStyle name="Плохой 2 2 2 7" xfId="17887"/>
    <cellStyle name="Плохой 2 2 2 8" xfId="17888"/>
    <cellStyle name="Плохой 2 2 3" xfId="17889"/>
    <cellStyle name="Плохой 2 2 3 2" xfId="17890"/>
    <cellStyle name="Плохой 2 2 3 3" xfId="17891"/>
    <cellStyle name="Плохой 2 2 3 4" xfId="17892"/>
    <cellStyle name="Плохой 2 2 3 5" xfId="17893"/>
    <cellStyle name="Плохой 2 2 3 6" xfId="17894"/>
    <cellStyle name="Плохой 2 2 4" xfId="17895"/>
    <cellStyle name="Плохой 2 2 4 2" xfId="17896"/>
    <cellStyle name="Плохой 2 2 4 3" xfId="17897"/>
    <cellStyle name="Плохой 2 2 4 4" xfId="17898"/>
    <cellStyle name="Плохой 2 2 4 5" xfId="17899"/>
    <cellStyle name="Плохой 2 2 5" xfId="17900"/>
    <cellStyle name="Плохой 2 2 6" xfId="17901"/>
    <cellStyle name="Плохой 2 2 7" xfId="17902"/>
    <cellStyle name="Плохой 2 2 8" xfId="17903"/>
    <cellStyle name="Плохой 2 3" xfId="17904"/>
    <cellStyle name="Плохой 2 3 2" xfId="17905"/>
    <cellStyle name="Плохой 2 3 2 2" xfId="17906"/>
    <cellStyle name="Плохой 2 3 2 2 2" xfId="17907"/>
    <cellStyle name="Плохой 2 3 2 2 3" xfId="17908"/>
    <cellStyle name="Плохой 2 3 2 2 4" xfId="17909"/>
    <cellStyle name="Плохой 2 3 2 2 5" xfId="17910"/>
    <cellStyle name="Плохой 2 3 2 2 6" xfId="17911"/>
    <cellStyle name="Плохой 2 3 2 3" xfId="17912"/>
    <cellStyle name="Плохой 2 3 2 3 2" xfId="17913"/>
    <cellStyle name="Плохой 2 3 2 3 3" xfId="17914"/>
    <cellStyle name="Плохой 2 3 2 3 4" xfId="17915"/>
    <cellStyle name="Плохой 2 3 2 3 5" xfId="17916"/>
    <cellStyle name="Плохой 2 3 2 3 6" xfId="17917"/>
    <cellStyle name="Плохой 2 3 2 4" xfId="17918"/>
    <cellStyle name="Плохой 2 3 2 5" xfId="17919"/>
    <cellStyle name="Плохой 2 3 2 6" xfId="17920"/>
    <cellStyle name="Плохой 2 3 2 7" xfId="17921"/>
    <cellStyle name="Плохой 2 3 2 8" xfId="17922"/>
    <cellStyle name="Плохой 2 3 3" xfId="17923"/>
    <cellStyle name="Плохой 2 3 3 2" xfId="17924"/>
    <cellStyle name="Плохой 2 3 3 3" xfId="17925"/>
    <cellStyle name="Плохой 2 3 3 4" xfId="17926"/>
    <cellStyle name="Плохой 2 3 3 5" xfId="17927"/>
    <cellStyle name="Плохой 2 3 3 6" xfId="17928"/>
    <cellStyle name="Плохой 2 3 4" xfId="17929"/>
    <cellStyle name="Плохой 2 3 4 2" xfId="17930"/>
    <cellStyle name="Плохой 2 3 4 3" xfId="17931"/>
    <cellStyle name="Плохой 2 3 4 4" xfId="17932"/>
    <cellStyle name="Плохой 2 3 4 5" xfId="17933"/>
    <cellStyle name="Плохой 2 3 5" xfId="17934"/>
    <cellStyle name="Плохой 2 3 6" xfId="17935"/>
    <cellStyle name="Плохой 2 3 7" xfId="17936"/>
    <cellStyle name="Плохой 2 3 8" xfId="17937"/>
    <cellStyle name="Плохой 2 4" xfId="17938"/>
    <cellStyle name="Плохой 2 4 2" xfId="17939"/>
    <cellStyle name="Плохой 2 4 2 2" xfId="17940"/>
    <cellStyle name="Плохой 2 4 2 2 2" xfId="17941"/>
    <cellStyle name="Плохой 2 4 2 2 3" xfId="17942"/>
    <cellStyle name="Плохой 2 4 2 2 4" xfId="17943"/>
    <cellStyle name="Плохой 2 4 2 2 5" xfId="17944"/>
    <cellStyle name="Плохой 2 4 2 2 6" xfId="17945"/>
    <cellStyle name="Плохой 2 4 2 3" xfId="17946"/>
    <cellStyle name="Плохой 2 4 2 3 2" xfId="17947"/>
    <cellStyle name="Плохой 2 4 2 3 3" xfId="17948"/>
    <cellStyle name="Плохой 2 4 2 3 4" xfId="17949"/>
    <cellStyle name="Плохой 2 4 2 3 5" xfId="17950"/>
    <cellStyle name="Плохой 2 4 2 3 6" xfId="17951"/>
    <cellStyle name="Плохой 2 4 2 4" xfId="17952"/>
    <cellStyle name="Плохой 2 4 2 5" xfId="17953"/>
    <cellStyle name="Плохой 2 4 2 6" xfId="17954"/>
    <cellStyle name="Плохой 2 4 2 7" xfId="17955"/>
    <cellStyle name="Плохой 2 4 2 8" xfId="17956"/>
    <cellStyle name="Плохой 2 4 3" xfId="17957"/>
    <cellStyle name="Плохой 2 4 3 2" xfId="17958"/>
    <cellStyle name="Плохой 2 4 3 3" xfId="17959"/>
    <cellStyle name="Плохой 2 4 3 4" xfId="17960"/>
    <cellStyle name="Плохой 2 4 3 5" xfId="17961"/>
    <cellStyle name="Плохой 2 4 3 6" xfId="17962"/>
    <cellStyle name="Плохой 2 4 4" xfId="17963"/>
    <cellStyle name="Плохой 2 4 4 2" xfId="17964"/>
    <cellStyle name="Плохой 2 4 4 3" xfId="17965"/>
    <cellStyle name="Плохой 2 4 4 4" xfId="17966"/>
    <cellStyle name="Плохой 2 4 4 5" xfId="17967"/>
    <cellStyle name="Плохой 2 4 5" xfId="17968"/>
    <cellStyle name="Плохой 2 4 6" xfId="17969"/>
    <cellStyle name="Плохой 2 4 7" xfId="17970"/>
    <cellStyle name="Плохой 2 4 8" xfId="17971"/>
    <cellStyle name="Плохой 2 5" xfId="17972"/>
    <cellStyle name="Плохой 2 5 2" xfId="17973"/>
    <cellStyle name="Плохой 2 5 2 2" xfId="17974"/>
    <cellStyle name="Плохой 2 5 2 2 2" xfId="17975"/>
    <cellStyle name="Плохой 2 5 2 2 3" xfId="17976"/>
    <cellStyle name="Плохой 2 5 2 2 4" xfId="17977"/>
    <cellStyle name="Плохой 2 5 2 2 5" xfId="17978"/>
    <cellStyle name="Плохой 2 5 2 2 6" xfId="17979"/>
    <cellStyle name="Плохой 2 5 2 3" xfId="17980"/>
    <cellStyle name="Плохой 2 5 2 3 2" xfId="17981"/>
    <cellStyle name="Плохой 2 5 2 3 3" xfId="17982"/>
    <cellStyle name="Плохой 2 5 2 3 4" xfId="17983"/>
    <cellStyle name="Плохой 2 5 2 3 5" xfId="17984"/>
    <cellStyle name="Плохой 2 5 2 3 6" xfId="17985"/>
    <cellStyle name="Плохой 2 5 2 4" xfId="17986"/>
    <cellStyle name="Плохой 2 5 2 5" xfId="17987"/>
    <cellStyle name="Плохой 2 5 2 6" xfId="17988"/>
    <cellStyle name="Плохой 2 5 2 7" xfId="17989"/>
    <cellStyle name="Плохой 2 5 2 8" xfId="17990"/>
    <cellStyle name="Плохой 2 5 3" xfId="17991"/>
    <cellStyle name="Плохой 2 5 3 2" xfId="17992"/>
    <cellStyle name="Плохой 2 5 3 3" xfId="17993"/>
    <cellStyle name="Плохой 2 5 3 4" xfId="17994"/>
    <cellStyle name="Плохой 2 5 3 5" xfId="17995"/>
    <cellStyle name="Плохой 2 5 3 6" xfId="17996"/>
    <cellStyle name="Плохой 2 5 4" xfId="17997"/>
    <cellStyle name="Плохой 2 5 4 2" xfId="17998"/>
    <cellStyle name="Плохой 2 5 4 3" xfId="17999"/>
    <cellStyle name="Плохой 2 5 4 4" xfId="18000"/>
    <cellStyle name="Плохой 2 5 4 5" xfId="18001"/>
    <cellStyle name="Плохой 2 5 5" xfId="18002"/>
    <cellStyle name="Плохой 2 5 6" xfId="18003"/>
    <cellStyle name="Плохой 2 5 7" xfId="18004"/>
    <cellStyle name="Плохой 2 5 8" xfId="18005"/>
    <cellStyle name="Плохой 2 6" xfId="18006"/>
    <cellStyle name="Плохой 2 6 2" xfId="18007"/>
    <cellStyle name="Плохой 2 6 2 2" xfId="18008"/>
    <cellStyle name="Плохой 2 6 2 3" xfId="18009"/>
    <cellStyle name="Плохой 2 6 3" xfId="18010"/>
    <cellStyle name="Плохой 2 6 4" xfId="18011"/>
    <cellStyle name="Плохой 2 6 4 2" xfId="18012"/>
    <cellStyle name="Плохой 2 6 4 3" xfId="18013"/>
    <cellStyle name="Плохой 2 6 4 4" xfId="18014"/>
    <cellStyle name="Плохой 2 6 4 5" xfId="18015"/>
    <cellStyle name="Плохой 2 6 5" xfId="18016"/>
    <cellStyle name="Плохой 2 6 6" xfId="18017"/>
    <cellStyle name="Плохой 2 6 7" xfId="18018"/>
    <cellStyle name="Плохой 2 6 8" xfId="18019"/>
    <cellStyle name="Плохой 2 7" xfId="18020"/>
    <cellStyle name="Плохой 2 7 2" xfId="18021"/>
    <cellStyle name="Плохой 2 7 2 2" xfId="18022"/>
    <cellStyle name="Плохой 2 7 2 3" xfId="18023"/>
    <cellStyle name="Плохой 2 7 2 4" xfId="18024"/>
    <cellStyle name="Плохой 2 7 2 5" xfId="18025"/>
    <cellStyle name="Плохой 2 7 2 6" xfId="18026"/>
    <cellStyle name="Плохой 2 7 3" xfId="18027"/>
    <cellStyle name="Плохой 2 7 3 2" xfId="18028"/>
    <cellStyle name="Плохой 2 7 3 3" xfId="18029"/>
    <cellStyle name="Плохой 2 7 3 4" xfId="18030"/>
    <cellStyle name="Плохой 2 7 3 5" xfId="18031"/>
    <cellStyle name="Плохой 2 7 3 6" xfId="18032"/>
    <cellStyle name="Плохой 2 7 4" xfId="18033"/>
    <cellStyle name="Плохой 2 7 5" xfId="18034"/>
    <cellStyle name="Плохой 2 7 6" xfId="18035"/>
    <cellStyle name="Плохой 2 7 7" xfId="18036"/>
    <cellStyle name="Плохой 2 7 8" xfId="18037"/>
    <cellStyle name="Плохой 2 8" xfId="18038"/>
    <cellStyle name="Плохой 2 8 2" xfId="18039"/>
    <cellStyle name="Плохой 2 8 3" xfId="18040"/>
    <cellStyle name="Плохой 2 8 4" xfId="18041"/>
    <cellStyle name="Плохой 2 8 5" xfId="18042"/>
    <cellStyle name="Плохой 2 8 6" xfId="18043"/>
    <cellStyle name="Плохой 2 9" xfId="18044"/>
    <cellStyle name="Плохой 2 9 2" xfId="18045"/>
    <cellStyle name="Плохой 2 9 3" xfId="18046"/>
    <cellStyle name="Плохой 2 9 4" xfId="18047"/>
    <cellStyle name="Плохой 2 9 5" xfId="18048"/>
    <cellStyle name="Плохой 3" xfId="18049"/>
    <cellStyle name="Плохой 3 2" xfId="18050"/>
    <cellStyle name="Плохой 3 2 2" xfId="18051"/>
    <cellStyle name="Плохой 3 2 2 2" xfId="18052"/>
    <cellStyle name="Плохой 3 2 2 3" xfId="18053"/>
    <cellStyle name="Плохой 3 2 2 4" xfId="18054"/>
    <cellStyle name="Плохой 3 2 2 5" xfId="18055"/>
    <cellStyle name="Плохой 3 2 2 6" xfId="18056"/>
    <cellStyle name="Плохой 3 2 3" xfId="18057"/>
    <cellStyle name="Плохой 3 2 3 2" xfId="18058"/>
    <cellStyle name="Плохой 3 2 3 3" xfId="18059"/>
    <cellStyle name="Плохой 3 2 3 4" xfId="18060"/>
    <cellStyle name="Плохой 3 2 3 5" xfId="18061"/>
    <cellStyle name="Плохой 3 2 3 6" xfId="18062"/>
    <cellStyle name="Плохой 3 2 4" xfId="18063"/>
    <cellStyle name="Плохой 3 2 5" xfId="18064"/>
    <cellStyle name="Плохой 3 2 6" xfId="18065"/>
    <cellStyle name="Плохой 3 2 7" xfId="18066"/>
    <cellStyle name="Плохой 3 2 8" xfId="18067"/>
    <cellStyle name="Плохой 3 3" xfId="18068"/>
    <cellStyle name="Плохой 3 3 2" xfId="18069"/>
    <cellStyle name="Плохой 3 3 3" xfId="18070"/>
    <cellStyle name="Плохой 3 3 4" xfId="18071"/>
    <cellStyle name="Плохой 3 3 5" xfId="18072"/>
    <cellStyle name="Плохой 3 3 6" xfId="18073"/>
    <cellStyle name="Плохой 3 4" xfId="18074"/>
    <cellStyle name="Плохой 3 4 2" xfId="18075"/>
    <cellStyle name="Плохой 3 4 3" xfId="18076"/>
    <cellStyle name="Плохой 3 4 4" xfId="18077"/>
    <cellStyle name="Плохой 3 4 5" xfId="18078"/>
    <cellStyle name="Плохой 3 5" xfId="18079"/>
    <cellStyle name="Плохой 3 6" xfId="18080"/>
    <cellStyle name="Плохой 3 7" xfId="18081"/>
    <cellStyle name="Плохой 3 8" xfId="18082"/>
    <cellStyle name="Плохой 4" xfId="18083"/>
    <cellStyle name="Плохой 4 2" xfId="18084"/>
    <cellStyle name="Плохой 4 2 2" xfId="18085"/>
    <cellStyle name="Плохой 4 2 2 2" xfId="18086"/>
    <cellStyle name="Плохой 4 2 2 3" xfId="18087"/>
    <cellStyle name="Плохой 4 2 2 4" xfId="18088"/>
    <cellStyle name="Плохой 4 2 2 5" xfId="18089"/>
    <cellStyle name="Плохой 4 2 2 6" xfId="18090"/>
    <cellStyle name="Плохой 4 2 3" xfId="18091"/>
    <cellStyle name="Плохой 4 2 3 2" xfId="18092"/>
    <cellStyle name="Плохой 4 2 3 3" xfId="18093"/>
    <cellStyle name="Плохой 4 2 3 4" xfId="18094"/>
    <cellStyle name="Плохой 4 2 3 5" xfId="18095"/>
    <cellStyle name="Плохой 4 2 3 6" xfId="18096"/>
    <cellStyle name="Плохой 4 2 4" xfId="18097"/>
    <cellStyle name="Плохой 4 2 5" xfId="18098"/>
    <cellStyle name="Плохой 4 2 6" xfId="18099"/>
    <cellStyle name="Плохой 4 2 7" xfId="18100"/>
    <cellStyle name="Плохой 4 2 8" xfId="18101"/>
    <cellStyle name="Плохой 4 3" xfId="18102"/>
    <cellStyle name="Плохой 4 3 2" xfId="18103"/>
    <cellStyle name="Плохой 4 3 3" xfId="18104"/>
    <cellStyle name="Плохой 4 3 4" xfId="18105"/>
    <cellStyle name="Плохой 4 3 5" xfId="18106"/>
    <cellStyle name="Плохой 4 3 6" xfId="18107"/>
    <cellStyle name="Плохой 4 4" xfId="18108"/>
    <cellStyle name="Плохой 4 4 2" xfId="18109"/>
    <cellStyle name="Плохой 4 4 3" xfId="18110"/>
    <cellStyle name="Плохой 4 4 4" xfId="18111"/>
    <cellStyle name="Плохой 4 4 5" xfId="18112"/>
    <cellStyle name="Плохой 4 5" xfId="18113"/>
    <cellStyle name="Плохой 4 6" xfId="18114"/>
    <cellStyle name="Плохой 4 7" xfId="18115"/>
    <cellStyle name="Плохой 4 8" xfId="18116"/>
    <cellStyle name="Плохой 5" xfId="18117"/>
    <cellStyle name="Плохой 5 2" xfId="18118"/>
    <cellStyle name="Плохой 5 2 2" xfId="18119"/>
    <cellStyle name="Плохой 5 2 2 2" xfId="18120"/>
    <cellStyle name="Плохой 5 2 2 3" xfId="18121"/>
    <cellStyle name="Плохой 5 2 2 4" xfId="18122"/>
    <cellStyle name="Плохой 5 2 2 5" xfId="18123"/>
    <cellStyle name="Плохой 5 2 2 6" xfId="18124"/>
    <cellStyle name="Плохой 5 2 3" xfId="18125"/>
    <cellStyle name="Плохой 5 2 3 2" xfId="18126"/>
    <cellStyle name="Плохой 5 2 3 3" xfId="18127"/>
    <cellStyle name="Плохой 5 2 3 4" xfId="18128"/>
    <cellStyle name="Плохой 5 2 3 5" xfId="18129"/>
    <cellStyle name="Плохой 5 2 3 6" xfId="18130"/>
    <cellStyle name="Плохой 5 2 4" xfId="18131"/>
    <cellStyle name="Плохой 5 2 5" xfId="18132"/>
    <cellStyle name="Плохой 5 2 6" xfId="18133"/>
    <cellStyle name="Плохой 5 2 7" xfId="18134"/>
    <cellStyle name="Плохой 5 2 8" xfId="18135"/>
    <cellStyle name="Плохой 5 3" xfId="18136"/>
    <cellStyle name="Плохой 5 3 2" xfId="18137"/>
    <cellStyle name="Плохой 5 3 3" xfId="18138"/>
    <cellStyle name="Плохой 5 3 4" xfId="18139"/>
    <cellStyle name="Плохой 5 3 5" xfId="18140"/>
    <cellStyle name="Плохой 5 3 6" xfId="18141"/>
    <cellStyle name="Плохой 5 4" xfId="18142"/>
    <cellStyle name="Плохой 5 4 2" xfId="18143"/>
    <cellStyle name="Плохой 5 4 3" xfId="18144"/>
    <cellStyle name="Плохой 5 4 4" xfId="18145"/>
    <cellStyle name="Плохой 5 4 5" xfId="18146"/>
    <cellStyle name="Плохой 5 5" xfId="18147"/>
    <cellStyle name="Плохой 5 6" xfId="18148"/>
    <cellStyle name="Плохой 5 7" xfId="18149"/>
    <cellStyle name="Плохой 5 8" xfId="18150"/>
    <cellStyle name="Плохой 6" xfId="18151"/>
    <cellStyle name="Плохой 6 2" xfId="18152"/>
    <cellStyle name="Плохой 6 2 2" xfId="18153"/>
    <cellStyle name="Плохой 6 2 2 2" xfId="18154"/>
    <cellStyle name="Плохой 6 2 2 3" xfId="18155"/>
    <cellStyle name="Плохой 6 2 2 4" xfId="18156"/>
    <cellStyle name="Плохой 6 2 2 5" xfId="18157"/>
    <cellStyle name="Плохой 6 2 2 6" xfId="18158"/>
    <cellStyle name="Плохой 6 2 3" xfId="18159"/>
    <cellStyle name="Плохой 6 2 3 2" xfId="18160"/>
    <cellStyle name="Плохой 6 2 3 3" xfId="18161"/>
    <cellStyle name="Плохой 6 2 3 4" xfId="18162"/>
    <cellStyle name="Плохой 6 2 3 5" xfId="18163"/>
    <cellStyle name="Плохой 6 2 3 6" xfId="18164"/>
    <cellStyle name="Плохой 6 2 4" xfId="18165"/>
    <cellStyle name="Плохой 6 2 5" xfId="18166"/>
    <cellStyle name="Плохой 6 2 6" xfId="18167"/>
    <cellStyle name="Плохой 6 2 7" xfId="18168"/>
    <cellStyle name="Плохой 6 2 8" xfId="18169"/>
    <cellStyle name="Плохой 6 3" xfId="18170"/>
    <cellStyle name="Плохой 6 3 2" xfId="18171"/>
    <cellStyle name="Плохой 6 3 3" xfId="18172"/>
    <cellStyle name="Плохой 6 3 4" xfId="18173"/>
    <cellStyle name="Плохой 6 3 5" xfId="18174"/>
    <cellStyle name="Плохой 6 3 6" xfId="18175"/>
    <cellStyle name="Плохой 6 4" xfId="18176"/>
    <cellStyle name="Плохой 6 4 2" xfId="18177"/>
    <cellStyle name="Плохой 6 4 3" xfId="18178"/>
    <cellStyle name="Плохой 6 4 4" xfId="18179"/>
    <cellStyle name="Плохой 6 4 5" xfId="18180"/>
    <cellStyle name="Плохой 6 5" xfId="18181"/>
    <cellStyle name="Плохой 6 6" xfId="18182"/>
    <cellStyle name="Плохой 6 7" xfId="18183"/>
    <cellStyle name="Плохой 6 8" xfId="18184"/>
    <cellStyle name="Пояснение 2" xfId="18185"/>
    <cellStyle name="Пояснение 2 2" xfId="18186"/>
    <cellStyle name="Пояснение 2 2 2" xfId="18187"/>
    <cellStyle name="Пояснение 2 2 2 2" xfId="18188"/>
    <cellStyle name="Пояснение 2 2 2 3" xfId="18189"/>
    <cellStyle name="Пояснение 2 2 3" xfId="18190"/>
    <cellStyle name="Пояснение 2 2 4" xfId="18191"/>
    <cellStyle name="Пояснение 2 2 4 2" xfId="18192"/>
    <cellStyle name="Пояснение 2 2 4 3" xfId="18193"/>
    <cellStyle name="Пояснение 2 2 4 4" xfId="18194"/>
    <cellStyle name="Пояснение 2 2 4 5" xfId="18195"/>
    <cellStyle name="Пояснение 2 2 5" xfId="18196"/>
    <cellStyle name="Пояснение 2 2 6" xfId="18197"/>
    <cellStyle name="Пояснение 2 2 7" xfId="18198"/>
    <cellStyle name="Пояснение 2 2 8" xfId="18199"/>
    <cellStyle name="Пояснение 2 3" xfId="18200"/>
    <cellStyle name="Пояснение 2 3 2" xfId="18201"/>
    <cellStyle name="Пояснение 2 3 2 2" xfId="18202"/>
    <cellStyle name="Пояснение 2 3 2 3" xfId="18203"/>
    <cellStyle name="Пояснение 2 3 2 4" xfId="18204"/>
    <cellStyle name="Пояснение 2 3 2 5" xfId="18205"/>
    <cellStyle name="Пояснение 2 3 2 6" xfId="18206"/>
    <cellStyle name="Пояснение 2 3 3" xfId="18207"/>
    <cellStyle name="Пояснение 2 3 3 2" xfId="18208"/>
    <cellStyle name="Пояснение 2 3 3 3" xfId="18209"/>
    <cellStyle name="Пояснение 2 3 3 4" xfId="18210"/>
    <cellStyle name="Пояснение 2 3 3 5" xfId="18211"/>
    <cellStyle name="Пояснение 2 3 3 6" xfId="18212"/>
    <cellStyle name="Пояснение 2 3 4" xfId="18213"/>
    <cellStyle name="Пояснение 2 3 5" xfId="18214"/>
    <cellStyle name="Пояснение 2 3 6" xfId="18215"/>
    <cellStyle name="Пояснение 2 3 7" xfId="18216"/>
    <cellStyle name="Пояснение 2 3 8" xfId="18217"/>
    <cellStyle name="Пояснение 2 4" xfId="18218"/>
    <cellStyle name="Пояснение 2 4 2" xfId="18219"/>
    <cellStyle name="Пояснение 2 4 3" xfId="18220"/>
    <cellStyle name="Пояснение 2 4 4" xfId="18221"/>
    <cellStyle name="Пояснение 2 4 5" xfId="18222"/>
    <cellStyle name="Пояснение 2 4 6" xfId="18223"/>
    <cellStyle name="Пояснение 2 5" xfId="18224"/>
    <cellStyle name="Пояснение 2 5 2" xfId="18225"/>
    <cellStyle name="Пояснение 2 5 3" xfId="18226"/>
    <cellStyle name="Пояснение 2 5 4" xfId="18227"/>
    <cellStyle name="Пояснение 2 5 5" xfId="18228"/>
    <cellStyle name="Пояснение 2 6" xfId="18229"/>
    <cellStyle name="Пояснение 2 7" xfId="18230"/>
    <cellStyle name="Пояснение 2 8" xfId="18231"/>
    <cellStyle name="Пояснение 2 9" xfId="18232"/>
    <cellStyle name="Пояснение 3" xfId="18233"/>
    <cellStyle name="Пояснение 3 2" xfId="18234"/>
    <cellStyle name="Пояснение 3 2 2" xfId="18235"/>
    <cellStyle name="Пояснение 3 2 2 2" xfId="18236"/>
    <cellStyle name="Пояснение 3 2 2 3" xfId="18237"/>
    <cellStyle name="Пояснение 3 2 2 4" xfId="18238"/>
    <cellStyle name="Пояснение 3 2 2 5" xfId="18239"/>
    <cellStyle name="Пояснение 3 2 2 6" xfId="18240"/>
    <cellStyle name="Пояснение 3 2 3" xfId="18241"/>
    <cellStyle name="Пояснение 3 2 3 2" xfId="18242"/>
    <cellStyle name="Пояснение 3 2 3 3" xfId="18243"/>
    <cellStyle name="Пояснение 3 2 3 4" xfId="18244"/>
    <cellStyle name="Пояснение 3 2 3 5" xfId="18245"/>
    <cellStyle name="Пояснение 3 2 3 6" xfId="18246"/>
    <cellStyle name="Пояснение 3 2 4" xfId="18247"/>
    <cellStyle name="Пояснение 3 2 5" xfId="18248"/>
    <cellStyle name="Пояснение 3 2 6" xfId="18249"/>
    <cellStyle name="Пояснение 3 2 7" xfId="18250"/>
    <cellStyle name="Пояснение 3 2 8" xfId="18251"/>
    <cellStyle name="Пояснение 3 3" xfId="18252"/>
    <cellStyle name="Пояснение 3 3 2" xfId="18253"/>
    <cellStyle name="Пояснение 3 3 3" xfId="18254"/>
    <cellStyle name="Пояснение 3 3 4" xfId="18255"/>
    <cellStyle name="Пояснение 3 3 5" xfId="18256"/>
    <cellStyle name="Пояснение 3 3 6" xfId="18257"/>
    <cellStyle name="Пояснение 3 4" xfId="18258"/>
    <cellStyle name="Пояснение 3 4 2" xfId="18259"/>
    <cellStyle name="Пояснение 3 4 3" xfId="18260"/>
    <cellStyle name="Пояснение 3 4 4" xfId="18261"/>
    <cellStyle name="Пояснение 3 4 5" xfId="18262"/>
    <cellStyle name="Пояснение 3 5" xfId="18263"/>
    <cellStyle name="Пояснение 3 6" xfId="18264"/>
    <cellStyle name="Пояснение 3 7" xfId="18265"/>
    <cellStyle name="Пояснение 3 8" xfId="18266"/>
    <cellStyle name="Пояснение 4" xfId="18267"/>
    <cellStyle name="Пояснение 4 2" xfId="18268"/>
    <cellStyle name="Пояснение 4 2 2" xfId="18269"/>
    <cellStyle name="Пояснение 4 2 2 2" xfId="18270"/>
    <cellStyle name="Пояснение 4 2 2 3" xfId="18271"/>
    <cellStyle name="Пояснение 4 2 2 4" xfId="18272"/>
    <cellStyle name="Пояснение 4 2 2 5" xfId="18273"/>
    <cellStyle name="Пояснение 4 2 2 6" xfId="18274"/>
    <cellStyle name="Пояснение 4 2 3" xfId="18275"/>
    <cellStyle name="Пояснение 4 2 3 2" xfId="18276"/>
    <cellStyle name="Пояснение 4 2 3 3" xfId="18277"/>
    <cellStyle name="Пояснение 4 2 3 4" xfId="18278"/>
    <cellStyle name="Пояснение 4 2 3 5" xfId="18279"/>
    <cellStyle name="Пояснение 4 2 3 6" xfId="18280"/>
    <cellStyle name="Пояснение 4 2 4" xfId="18281"/>
    <cellStyle name="Пояснение 4 2 5" xfId="18282"/>
    <cellStyle name="Пояснение 4 2 6" xfId="18283"/>
    <cellStyle name="Пояснение 4 2 7" xfId="18284"/>
    <cellStyle name="Пояснение 4 2 8" xfId="18285"/>
    <cellStyle name="Пояснение 4 3" xfId="18286"/>
    <cellStyle name="Пояснение 4 3 2" xfId="18287"/>
    <cellStyle name="Пояснение 4 3 3" xfId="18288"/>
    <cellStyle name="Пояснение 4 3 4" xfId="18289"/>
    <cellStyle name="Пояснение 4 3 5" xfId="18290"/>
    <cellStyle name="Пояснение 4 3 6" xfId="18291"/>
    <cellStyle name="Пояснение 4 4" xfId="18292"/>
    <cellStyle name="Пояснение 4 4 2" xfId="18293"/>
    <cellStyle name="Пояснение 4 4 3" xfId="18294"/>
    <cellStyle name="Пояснение 4 4 4" xfId="18295"/>
    <cellStyle name="Пояснение 4 4 5" xfId="18296"/>
    <cellStyle name="Пояснение 4 5" xfId="18297"/>
    <cellStyle name="Пояснение 4 6" xfId="18298"/>
    <cellStyle name="Пояснение 4 7" xfId="18299"/>
    <cellStyle name="Пояснение 4 8" xfId="18300"/>
    <cellStyle name="Пояснение 5" xfId="18301"/>
    <cellStyle name="Пояснение 5 2" xfId="18302"/>
    <cellStyle name="Пояснение 5 2 2" xfId="18303"/>
    <cellStyle name="Пояснение 5 2 2 2" xfId="18304"/>
    <cellStyle name="Пояснение 5 2 2 3" xfId="18305"/>
    <cellStyle name="Пояснение 5 2 2 4" xfId="18306"/>
    <cellStyle name="Пояснение 5 2 2 5" xfId="18307"/>
    <cellStyle name="Пояснение 5 2 2 6" xfId="18308"/>
    <cellStyle name="Пояснение 5 2 3" xfId="18309"/>
    <cellStyle name="Пояснение 5 2 3 2" xfId="18310"/>
    <cellStyle name="Пояснение 5 2 3 3" xfId="18311"/>
    <cellStyle name="Пояснение 5 2 3 4" xfId="18312"/>
    <cellStyle name="Пояснение 5 2 3 5" xfId="18313"/>
    <cellStyle name="Пояснение 5 2 3 6" xfId="18314"/>
    <cellStyle name="Пояснение 5 2 4" xfId="18315"/>
    <cellStyle name="Пояснение 5 2 5" xfId="18316"/>
    <cellStyle name="Пояснение 5 2 6" xfId="18317"/>
    <cellStyle name="Пояснение 5 2 7" xfId="18318"/>
    <cellStyle name="Пояснение 5 2 8" xfId="18319"/>
    <cellStyle name="Пояснение 5 3" xfId="18320"/>
    <cellStyle name="Пояснение 5 3 2" xfId="18321"/>
    <cellStyle name="Пояснение 5 3 3" xfId="18322"/>
    <cellStyle name="Пояснение 5 3 4" xfId="18323"/>
    <cellStyle name="Пояснение 5 3 5" xfId="18324"/>
    <cellStyle name="Пояснение 5 3 6" xfId="18325"/>
    <cellStyle name="Пояснение 5 4" xfId="18326"/>
    <cellStyle name="Пояснение 5 4 2" xfId="18327"/>
    <cellStyle name="Пояснение 5 4 3" xfId="18328"/>
    <cellStyle name="Пояснение 5 4 4" xfId="18329"/>
    <cellStyle name="Пояснение 5 4 5" xfId="18330"/>
    <cellStyle name="Пояснение 5 5" xfId="18331"/>
    <cellStyle name="Пояснение 5 6" xfId="18332"/>
    <cellStyle name="Пояснение 5 7" xfId="18333"/>
    <cellStyle name="Пояснение 5 8" xfId="18334"/>
    <cellStyle name="Пояснение 6" xfId="18335"/>
    <cellStyle name="Пояснение 6 2" xfId="18336"/>
    <cellStyle name="Пояснение 6 2 2" xfId="18337"/>
    <cellStyle name="Пояснение 6 2 2 2" xfId="18338"/>
    <cellStyle name="Пояснение 6 2 2 3" xfId="18339"/>
    <cellStyle name="Пояснение 6 2 2 4" xfId="18340"/>
    <cellStyle name="Пояснение 6 2 2 5" xfId="18341"/>
    <cellStyle name="Пояснение 6 2 2 6" xfId="18342"/>
    <cellStyle name="Пояснение 6 2 3" xfId="18343"/>
    <cellStyle name="Пояснение 6 2 3 2" xfId="18344"/>
    <cellStyle name="Пояснение 6 2 3 3" xfId="18345"/>
    <cellStyle name="Пояснение 6 2 3 4" xfId="18346"/>
    <cellStyle name="Пояснение 6 2 3 5" xfId="18347"/>
    <cellStyle name="Пояснение 6 2 3 6" xfId="18348"/>
    <cellStyle name="Пояснение 6 2 4" xfId="18349"/>
    <cellStyle name="Пояснение 6 2 5" xfId="18350"/>
    <cellStyle name="Пояснение 6 2 6" xfId="18351"/>
    <cellStyle name="Пояснение 6 2 7" xfId="18352"/>
    <cellStyle name="Пояснение 6 2 8" xfId="18353"/>
    <cellStyle name="Пояснение 6 3" xfId="18354"/>
    <cellStyle name="Пояснение 6 3 2" xfId="18355"/>
    <cellStyle name="Пояснение 6 3 3" xfId="18356"/>
    <cellStyle name="Пояснение 6 3 4" xfId="18357"/>
    <cellStyle name="Пояснение 6 3 5" xfId="18358"/>
    <cellStyle name="Пояснение 6 3 6" xfId="18359"/>
    <cellStyle name="Пояснение 6 4" xfId="18360"/>
    <cellStyle name="Пояснение 6 4 2" xfId="18361"/>
    <cellStyle name="Пояснение 6 4 3" xfId="18362"/>
    <cellStyle name="Пояснение 6 4 4" xfId="18363"/>
    <cellStyle name="Пояснение 6 4 5" xfId="18364"/>
    <cellStyle name="Пояснение 6 5" xfId="18365"/>
    <cellStyle name="Пояснение 6 6" xfId="18366"/>
    <cellStyle name="Пояснение 6 7" xfId="18367"/>
    <cellStyle name="Пояснение 6 8" xfId="18368"/>
    <cellStyle name="Примечание 2" xfId="18369"/>
    <cellStyle name="Примечание 2 10" xfId="18370"/>
    <cellStyle name="Примечание 2 11" xfId="18371"/>
    <cellStyle name="Примечание 2 12" xfId="18372"/>
    <cellStyle name="Примечание 2 13" xfId="18373"/>
    <cellStyle name="Примечание 2 14" xfId="18374"/>
    <cellStyle name="Примечание 2 15" xfId="18375"/>
    <cellStyle name="Примечание 2 16" xfId="18376"/>
    <cellStyle name="Примечание 2 2" xfId="18377"/>
    <cellStyle name="Примечание 2 2 10" xfId="18378"/>
    <cellStyle name="Примечание 2 2 11" xfId="18379"/>
    <cellStyle name="Примечание 2 2 12" xfId="18380"/>
    <cellStyle name="Примечание 2 2 13" xfId="18381"/>
    <cellStyle name="Примечание 2 2 14" xfId="18382"/>
    <cellStyle name="Примечание 2 2 2" xfId="18383"/>
    <cellStyle name="Примечание 2 2 2 10" xfId="18384"/>
    <cellStyle name="Примечание 2 2 2 11" xfId="18385"/>
    <cellStyle name="Примечание 2 2 2 12" xfId="18386"/>
    <cellStyle name="Примечание 2 2 2 2" xfId="18387"/>
    <cellStyle name="Примечание 2 2 2 2 2" xfId="18388"/>
    <cellStyle name="Примечание 2 2 2 2 3" xfId="18389"/>
    <cellStyle name="Примечание 2 2 2 2 4" xfId="18390"/>
    <cellStyle name="Примечание 2 2 2 2 5" xfId="18391"/>
    <cellStyle name="Примечание 2 2 2 3" xfId="18392"/>
    <cellStyle name="Примечание 2 2 2 3 2" xfId="18393"/>
    <cellStyle name="Примечание 2 2 2 3 3" xfId="18394"/>
    <cellStyle name="Примечание 2 2 2 3 4" xfId="18395"/>
    <cellStyle name="Примечание 2 2 2 3 5" xfId="18396"/>
    <cellStyle name="Примечание 2 2 2 4" xfId="18397"/>
    <cellStyle name="Примечание 2 2 2 4 2" xfId="18398"/>
    <cellStyle name="Примечание 2 2 2 4 3" xfId="18399"/>
    <cellStyle name="Примечание 2 2 2 4 4" xfId="18400"/>
    <cellStyle name="Примечание 2 2 2 4 5" xfId="18401"/>
    <cellStyle name="Примечание 2 2 2 5" xfId="18402"/>
    <cellStyle name="Примечание 2 2 2 5 2" xfId="18403"/>
    <cellStyle name="Примечание 2 2 2 5 3" xfId="18404"/>
    <cellStyle name="Примечание 2 2 2 5 4" xfId="18405"/>
    <cellStyle name="Примечание 2 2 2 6" xfId="18406"/>
    <cellStyle name="Примечание 2 2 2 7" xfId="18407"/>
    <cellStyle name="Примечание 2 2 2 8" xfId="18408"/>
    <cellStyle name="Примечание 2 2 2 9" xfId="18409"/>
    <cellStyle name="Примечание 2 2 3" xfId="18410"/>
    <cellStyle name="Примечание 2 2 3 10" xfId="18411"/>
    <cellStyle name="Примечание 2 2 3 11" xfId="18412"/>
    <cellStyle name="Примечание 2 2 3 2" xfId="18413"/>
    <cellStyle name="Примечание 2 2 3 2 2" xfId="18414"/>
    <cellStyle name="Примечание 2 2 3 2 3" xfId="18415"/>
    <cellStyle name="Примечание 2 2 3 2 4" xfId="18416"/>
    <cellStyle name="Примечание 2 2 3 2 5" xfId="18417"/>
    <cellStyle name="Примечание 2 2 3 3" xfId="18418"/>
    <cellStyle name="Примечание 2 2 3 3 2" xfId="18419"/>
    <cellStyle name="Примечание 2 2 3 3 3" xfId="18420"/>
    <cellStyle name="Примечание 2 2 3 3 4" xfId="18421"/>
    <cellStyle name="Примечание 2 2 3 3 5" xfId="18422"/>
    <cellStyle name="Примечание 2 2 3 4" xfId="18423"/>
    <cellStyle name="Примечание 2 2 3 4 2" xfId="18424"/>
    <cellStyle name="Примечание 2 2 3 4 3" xfId="18425"/>
    <cellStyle name="Примечание 2 2 3 4 4" xfId="18426"/>
    <cellStyle name="Примечание 2 2 3 5" xfId="18427"/>
    <cellStyle name="Примечание 2 2 3 6" xfId="18428"/>
    <cellStyle name="Примечание 2 2 3 7" xfId="18429"/>
    <cellStyle name="Примечание 2 2 3 8" xfId="18430"/>
    <cellStyle name="Примечание 2 2 3 9" xfId="18431"/>
    <cellStyle name="Примечание 2 2 4" xfId="18432"/>
    <cellStyle name="Примечание 2 2 4 2" xfId="18433"/>
    <cellStyle name="Примечание 2 2 4 3" xfId="18434"/>
    <cellStyle name="Примечание 2 2 4 4" xfId="18435"/>
    <cellStyle name="Примечание 2 2 4 5" xfId="18436"/>
    <cellStyle name="Примечание 2 2 4 6" xfId="18437"/>
    <cellStyle name="Примечание 2 2 4 7" xfId="18438"/>
    <cellStyle name="Примечание 2 2 4 8" xfId="18439"/>
    <cellStyle name="Примечание 2 2 5" xfId="18440"/>
    <cellStyle name="Примечание 2 2 5 2" xfId="18441"/>
    <cellStyle name="Примечание 2 2 5 3" xfId="18442"/>
    <cellStyle name="Примечание 2 2 5 4" xfId="18443"/>
    <cellStyle name="Примечание 2 2 5 5" xfId="18444"/>
    <cellStyle name="Примечание 2 2 5 6" xfId="18445"/>
    <cellStyle name="Примечание 2 2 5 7" xfId="18446"/>
    <cellStyle name="Примечание 2 2 5 8" xfId="18447"/>
    <cellStyle name="Примечание 2 2 6" xfId="18448"/>
    <cellStyle name="Примечание 2 2 6 2" xfId="18449"/>
    <cellStyle name="Примечание 2 2 6 3" xfId="18450"/>
    <cellStyle name="Примечание 2 2 6 4" xfId="18451"/>
    <cellStyle name="Примечание 2 2 6 5" xfId="18452"/>
    <cellStyle name="Примечание 2 2 6 6" xfId="18453"/>
    <cellStyle name="Примечание 2 2 6 7" xfId="18454"/>
    <cellStyle name="Примечание 2 2 6 8" xfId="18455"/>
    <cellStyle name="Примечание 2 2 7" xfId="18456"/>
    <cellStyle name="Примечание 2 2 7 2" xfId="18457"/>
    <cellStyle name="Примечание 2 2 7 3" xfId="18458"/>
    <cellStyle name="Примечание 2 2 7 4" xfId="18459"/>
    <cellStyle name="Примечание 2 2 8" xfId="18460"/>
    <cellStyle name="Примечание 2 2 9" xfId="18461"/>
    <cellStyle name="Примечание 2 3" xfId="18462"/>
    <cellStyle name="Примечание 2 3 10" xfId="18463"/>
    <cellStyle name="Примечание 2 3 11" xfId="18464"/>
    <cellStyle name="Примечание 2 3 12" xfId="18465"/>
    <cellStyle name="Примечание 2 3 13" xfId="18466"/>
    <cellStyle name="Примечание 2 3 14" xfId="18467"/>
    <cellStyle name="Примечание 2 3 2" xfId="18468"/>
    <cellStyle name="Примечание 2 3 2 10" xfId="18469"/>
    <cellStyle name="Примечание 2 3 2 11" xfId="18470"/>
    <cellStyle name="Примечание 2 3 2 12" xfId="18471"/>
    <cellStyle name="Примечание 2 3 2 2" xfId="18472"/>
    <cellStyle name="Примечание 2 3 2 2 2" xfId="18473"/>
    <cellStyle name="Примечание 2 3 2 2 3" xfId="18474"/>
    <cellStyle name="Примечание 2 3 2 2 4" xfId="18475"/>
    <cellStyle name="Примечание 2 3 2 2 5" xfId="18476"/>
    <cellStyle name="Примечание 2 3 2 3" xfId="18477"/>
    <cellStyle name="Примечание 2 3 2 3 2" xfId="18478"/>
    <cellStyle name="Примечание 2 3 2 3 3" xfId="18479"/>
    <cellStyle name="Примечание 2 3 2 3 4" xfId="18480"/>
    <cellStyle name="Примечание 2 3 2 3 5" xfId="18481"/>
    <cellStyle name="Примечание 2 3 2 4" xfId="18482"/>
    <cellStyle name="Примечание 2 3 2 4 2" xfId="18483"/>
    <cellStyle name="Примечание 2 3 2 4 3" xfId="18484"/>
    <cellStyle name="Примечание 2 3 2 4 4" xfId="18485"/>
    <cellStyle name="Примечание 2 3 2 4 5" xfId="18486"/>
    <cellStyle name="Примечание 2 3 2 5" xfId="18487"/>
    <cellStyle name="Примечание 2 3 2 5 2" xfId="18488"/>
    <cellStyle name="Примечание 2 3 2 5 3" xfId="18489"/>
    <cellStyle name="Примечание 2 3 2 5 4" xfId="18490"/>
    <cellStyle name="Примечание 2 3 2 6" xfId="18491"/>
    <cellStyle name="Примечание 2 3 2 7" xfId="18492"/>
    <cellStyle name="Примечание 2 3 2 8" xfId="18493"/>
    <cellStyle name="Примечание 2 3 2 9" xfId="18494"/>
    <cellStyle name="Примечание 2 3 3" xfId="18495"/>
    <cellStyle name="Примечание 2 3 3 10" xfId="18496"/>
    <cellStyle name="Примечание 2 3 3 11" xfId="18497"/>
    <cellStyle name="Примечание 2 3 3 2" xfId="18498"/>
    <cellStyle name="Примечание 2 3 3 2 2" xfId="18499"/>
    <cellStyle name="Примечание 2 3 3 2 3" xfId="18500"/>
    <cellStyle name="Примечание 2 3 3 2 4" xfId="18501"/>
    <cellStyle name="Примечание 2 3 3 2 5" xfId="18502"/>
    <cellStyle name="Примечание 2 3 3 3" xfId="18503"/>
    <cellStyle name="Примечание 2 3 3 3 2" xfId="18504"/>
    <cellStyle name="Примечание 2 3 3 3 3" xfId="18505"/>
    <cellStyle name="Примечание 2 3 3 3 4" xfId="18506"/>
    <cellStyle name="Примечание 2 3 3 3 5" xfId="18507"/>
    <cellStyle name="Примечание 2 3 3 4" xfId="18508"/>
    <cellStyle name="Примечание 2 3 3 4 2" xfId="18509"/>
    <cellStyle name="Примечание 2 3 3 4 3" xfId="18510"/>
    <cellStyle name="Примечание 2 3 3 4 4" xfId="18511"/>
    <cellStyle name="Примечание 2 3 3 5" xfId="18512"/>
    <cellStyle name="Примечание 2 3 3 6" xfId="18513"/>
    <cellStyle name="Примечание 2 3 3 7" xfId="18514"/>
    <cellStyle name="Примечание 2 3 3 8" xfId="18515"/>
    <cellStyle name="Примечание 2 3 3 9" xfId="18516"/>
    <cellStyle name="Примечание 2 3 4" xfId="18517"/>
    <cellStyle name="Примечание 2 3 4 2" xfId="18518"/>
    <cellStyle name="Примечание 2 3 4 3" xfId="18519"/>
    <cellStyle name="Примечание 2 3 4 4" xfId="18520"/>
    <cellStyle name="Примечание 2 3 4 5" xfId="18521"/>
    <cellStyle name="Примечание 2 3 4 6" xfId="18522"/>
    <cellStyle name="Примечание 2 3 4 7" xfId="18523"/>
    <cellStyle name="Примечание 2 3 4 8" xfId="18524"/>
    <cellStyle name="Примечание 2 3 5" xfId="18525"/>
    <cellStyle name="Примечание 2 3 5 2" xfId="18526"/>
    <cellStyle name="Примечание 2 3 5 3" xfId="18527"/>
    <cellStyle name="Примечание 2 3 5 4" xfId="18528"/>
    <cellStyle name="Примечание 2 3 5 5" xfId="18529"/>
    <cellStyle name="Примечание 2 3 5 6" xfId="18530"/>
    <cellStyle name="Примечание 2 3 5 7" xfId="18531"/>
    <cellStyle name="Примечание 2 3 5 8" xfId="18532"/>
    <cellStyle name="Примечание 2 3 6" xfId="18533"/>
    <cellStyle name="Примечание 2 3 6 2" xfId="18534"/>
    <cellStyle name="Примечание 2 3 6 3" xfId="18535"/>
    <cellStyle name="Примечание 2 3 6 4" xfId="18536"/>
    <cellStyle name="Примечание 2 3 6 5" xfId="18537"/>
    <cellStyle name="Примечание 2 3 6 6" xfId="18538"/>
    <cellStyle name="Примечание 2 3 6 7" xfId="18539"/>
    <cellStyle name="Примечание 2 3 6 8" xfId="18540"/>
    <cellStyle name="Примечание 2 3 7" xfId="18541"/>
    <cellStyle name="Примечание 2 3 7 2" xfId="18542"/>
    <cellStyle name="Примечание 2 3 7 3" xfId="18543"/>
    <cellStyle name="Примечание 2 3 7 4" xfId="18544"/>
    <cellStyle name="Примечание 2 3 8" xfId="18545"/>
    <cellStyle name="Примечание 2 3 9" xfId="18546"/>
    <cellStyle name="Примечание 2 4" xfId="18547"/>
    <cellStyle name="Примечание 2 4 10" xfId="18548"/>
    <cellStyle name="Примечание 2 4 11" xfId="18549"/>
    <cellStyle name="Примечание 2 4 12" xfId="18550"/>
    <cellStyle name="Примечание 2 4 2" xfId="18551"/>
    <cellStyle name="Примечание 2 4 2 2" xfId="18552"/>
    <cellStyle name="Примечание 2 4 2 3" xfId="18553"/>
    <cellStyle name="Примечание 2 4 2 4" xfId="18554"/>
    <cellStyle name="Примечание 2 4 2 5" xfId="18555"/>
    <cellStyle name="Примечание 2 4 3" xfId="18556"/>
    <cellStyle name="Примечание 2 4 3 2" xfId="18557"/>
    <cellStyle name="Примечание 2 4 3 3" xfId="18558"/>
    <cellStyle name="Примечание 2 4 3 4" xfId="18559"/>
    <cellStyle name="Примечание 2 4 3 5" xfId="18560"/>
    <cellStyle name="Примечание 2 4 4" xfId="18561"/>
    <cellStyle name="Примечание 2 4 4 2" xfId="18562"/>
    <cellStyle name="Примечание 2 4 4 3" xfId="18563"/>
    <cellStyle name="Примечание 2 4 4 4" xfId="18564"/>
    <cellStyle name="Примечание 2 4 4 5" xfId="18565"/>
    <cellStyle name="Примечание 2 4 5" xfId="18566"/>
    <cellStyle name="Примечание 2 4 5 2" xfId="18567"/>
    <cellStyle name="Примечание 2 4 5 3" xfId="18568"/>
    <cellStyle name="Примечание 2 4 5 4" xfId="18569"/>
    <cellStyle name="Примечание 2 4 6" xfId="18570"/>
    <cellStyle name="Примечание 2 4 7" xfId="18571"/>
    <cellStyle name="Примечание 2 4 8" xfId="18572"/>
    <cellStyle name="Примечание 2 4 9" xfId="18573"/>
    <cellStyle name="Примечание 2 5" xfId="18574"/>
    <cellStyle name="Примечание 2 5 10" xfId="18575"/>
    <cellStyle name="Примечание 2 5 11" xfId="18576"/>
    <cellStyle name="Примечание 2 5 2" xfId="18577"/>
    <cellStyle name="Примечание 2 5 2 2" xfId="18578"/>
    <cellStyle name="Примечание 2 5 2 3" xfId="18579"/>
    <cellStyle name="Примечание 2 5 2 4" xfId="18580"/>
    <cellStyle name="Примечание 2 5 2 5" xfId="18581"/>
    <cellStyle name="Примечание 2 5 3" xfId="18582"/>
    <cellStyle name="Примечание 2 5 3 2" xfId="18583"/>
    <cellStyle name="Примечание 2 5 3 3" xfId="18584"/>
    <cellStyle name="Примечание 2 5 3 4" xfId="18585"/>
    <cellStyle name="Примечание 2 5 3 5" xfId="18586"/>
    <cellStyle name="Примечание 2 5 4" xfId="18587"/>
    <cellStyle name="Примечание 2 5 4 2" xfId="18588"/>
    <cellStyle name="Примечание 2 5 4 3" xfId="18589"/>
    <cellStyle name="Примечание 2 5 4 4" xfId="18590"/>
    <cellStyle name="Примечание 2 5 5" xfId="18591"/>
    <cellStyle name="Примечание 2 5 6" xfId="18592"/>
    <cellStyle name="Примечание 2 5 7" xfId="18593"/>
    <cellStyle name="Примечание 2 5 8" xfId="18594"/>
    <cellStyle name="Примечание 2 5 9" xfId="18595"/>
    <cellStyle name="Примечание 2 6" xfId="18596"/>
    <cellStyle name="Примечание 2 6 2" xfId="18597"/>
    <cellStyle name="Примечание 2 6 3" xfId="18598"/>
    <cellStyle name="Примечание 2 6 4" xfId="18599"/>
    <cellStyle name="Примечание 2 6 5" xfId="18600"/>
    <cellStyle name="Примечание 2 6 6" xfId="18601"/>
    <cellStyle name="Примечание 2 6 7" xfId="18602"/>
    <cellStyle name="Примечание 2 6 8" xfId="18603"/>
    <cellStyle name="Примечание 2 7" xfId="18604"/>
    <cellStyle name="Примечание 2 7 2" xfId="18605"/>
    <cellStyle name="Примечание 2 7 3" xfId="18606"/>
    <cellStyle name="Примечание 2 7 4" xfId="18607"/>
    <cellStyle name="Примечание 2 7 5" xfId="18608"/>
    <cellStyle name="Примечание 2 7 6" xfId="18609"/>
    <cellStyle name="Примечание 2 7 7" xfId="18610"/>
    <cellStyle name="Примечание 2 7 8" xfId="18611"/>
    <cellStyle name="Примечание 2 8" xfId="18612"/>
    <cellStyle name="Примечание 2 8 2" xfId="18613"/>
    <cellStyle name="Примечание 2 8 3" xfId="18614"/>
    <cellStyle name="Примечание 2 8 4" xfId="18615"/>
    <cellStyle name="Примечание 2 8 5" xfId="18616"/>
    <cellStyle name="Примечание 2 8 6" xfId="18617"/>
    <cellStyle name="Примечание 2 8 7" xfId="18618"/>
    <cellStyle name="Примечание 2 8 8" xfId="18619"/>
    <cellStyle name="Примечание 2 9" xfId="18620"/>
    <cellStyle name="Примечание 2 9 2" xfId="18621"/>
    <cellStyle name="Примечание 2 9 3" xfId="18622"/>
    <cellStyle name="Примечание 2 9 4" xfId="18623"/>
    <cellStyle name="Примечание 3" xfId="18624"/>
    <cellStyle name="Примечание 3 10" xfId="18625"/>
    <cellStyle name="Примечание 3 11" xfId="18626"/>
    <cellStyle name="Примечание 3 12" xfId="18627"/>
    <cellStyle name="Примечание 3 13" xfId="18628"/>
    <cellStyle name="Примечание 3 14" xfId="18629"/>
    <cellStyle name="Примечание 3 2" xfId="18630"/>
    <cellStyle name="Примечание 3 2 10" xfId="18631"/>
    <cellStyle name="Примечание 3 2 11" xfId="18632"/>
    <cellStyle name="Примечание 3 2 12" xfId="18633"/>
    <cellStyle name="Примечание 3 2 2" xfId="18634"/>
    <cellStyle name="Примечание 3 2 2 2" xfId="18635"/>
    <cellStyle name="Примечание 3 2 2 3" xfId="18636"/>
    <cellStyle name="Примечание 3 2 2 4" xfId="18637"/>
    <cellStyle name="Примечание 3 2 2 5" xfId="18638"/>
    <cellStyle name="Примечание 3 2 3" xfId="18639"/>
    <cellStyle name="Примечание 3 2 3 2" xfId="18640"/>
    <cellStyle name="Примечание 3 2 3 3" xfId="18641"/>
    <cellStyle name="Примечание 3 2 3 4" xfId="18642"/>
    <cellStyle name="Примечание 3 2 3 5" xfId="18643"/>
    <cellStyle name="Примечание 3 2 4" xfId="18644"/>
    <cellStyle name="Примечание 3 2 4 2" xfId="18645"/>
    <cellStyle name="Примечание 3 2 4 3" xfId="18646"/>
    <cellStyle name="Примечание 3 2 4 4" xfId="18647"/>
    <cellStyle name="Примечание 3 2 4 5" xfId="18648"/>
    <cellStyle name="Примечание 3 2 5" xfId="18649"/>
    <cellStyle name="Примечание 3 2 5 2" xfId="18650"/>
    <cellStyle name="Примечание 3 2 5 3" xfId="18651"/>
    <cellStyle name="Примечание 3 2 5 4" xfId="18652"/>
    <cellStyle name="Примечание 3 2 6" xfId="18653"/>
    <cellStyle name="Примечание 3 2 7" xfId="18654"/>
    <cellStyle name="Примечание 3 2 8" xfId="18655"/>
    <cellStyle name="Примечание 3 2 9" xfId="18656"/>
    <cellStyle name="Примечание 3 3" xfId="18657"/>
    <cellStyle name="Примечание 3 3 10" xfId="18658"/>
    <cellStyle name="Примечание 3 3 11" xfId="18659"/>
    <cellStyle name="Примечание 3 3 2" xfId="18660"/>
    <cellStyle name="Примечание 3 3 2 2" xfId="18661"/>
    <cellStyle name="Примечание 3 3 2 3" xfId="18662"/>
    <cellStyle name="Примечание 3 3 2 4" xfId="18663"/>
    <cellStyle name="Примечание 3 3 2 5" xfId="18664"/>
    <cellStyle name="Примечание 3 3 3" xfId="18665"/>
    <cellStyle name="Примечание 3 3 3 2" xfId="18666"/>
    <cellStyle name="Примечание 3 3 3 3" xfId="18667"/>
    <cellStyle name="Примечание 3 3 3 4" xfId="18668"/>
    <cellStyle name="Примечание 3 3 3 5" xfId="18669"/>
    <cellStyle name="Примечание 3 3 4" xfId="18670"/>
    <cellStyle name="Примечание 3 3 4 2" xfId="18671"/>
    <cellStyle name="Примечание 3 3 4 3" xfId="18672"/>
    <cellStyle name="Примечание 3 3 4 4" xfId="18673"/>
    <cellStyle name="Примечание 3 3 5" xfId="18674"/>
    <cellStyle name="Примечание 3 3 6" xfId="18675"/>
    <cellStyle name="Примечание 3 3 7" xfId="18676"/>
    <cellStyle name="Примечание 3 3 8" xfId="18677"/>
    <cellStyle name="Примечание 3 3 9" xfId="18678"/>
    <cellStyle name="Примечание 3 4" xfId="18679"/>
    <cellStyle name="Примечание 3 4 2" xfId="18680"/>
    <cellStyle name="Примечание 3 4 3" xfId="18681"/>
    <cellStyle name="Примечание 3 4 4" xfId="18682"/>
    <cellStyle name="Примечание 3 4 5" xfId="18683"/>
    <cellStyle name="Примечание 3 4 6" xfId="18684"/>
    <cellStyle name="Примечание 3 4 7" xfId="18685"/>
    <cellStyle name="Примечание 3 4 8" xfId="18686"/>
    <cellStyle name="Примечание 3 5" xfId="18687"/>
    <cellStyle name="Примечание 3 5 2" xfId="18688"/>
    <cellStyle name="Примечание 3 5 3" xfId="18689"/>
    <cellStyle name="Примечание 3 5 4" xfId="18690"/>
    <cellStyle name="Примечание 3 5 5" xfId="18691"/>
    <cellStyle name="Примечание 3 5 6" xfId="18692"/>
    <cellStyle name="Примечание 3 5 7" xfId="18693"/>
    <cellStyle name="Примечание 3 5 8" xfId="18694"/>
    <cellStyle name="Примечание 3 6" xfId="18695"/>
    <cellStyle name="Примечание 3 6 2" xfId="18696"/>
    <cellStyle name="Примечание 3 6 3" xfId="18697"/>
    <cellStyle name="Примечание 3 6 4" xfId="18698"/>
    <cellStyle name="Примечание 3 6 5" xfId="18699"/>
    <cellStyle name="Примечание 3 6 6" xfId="18700"/>
    <cellStyle name="Примечание 3 6 7" xfId="18701"/>
    <cellStyle name="Примечание 3 6 8" xfId="18702"/>
    <cellStyle name="Примечание 3 7" xfId="18703"/>
    <cellStyle name="Примечание 3 7 2" xfId="18704"/>
    <cellStyle name="Примечание 3 7 3" xfId="18705"/>
    <cellStyle name="Примечание 3 7 4" xfId="18706"/>
    <cellStyle name="Примечание 3 8" xfId="18707"/>
    <cellStyle name="Примечание 3 9" xfId="18708"/>
    <cellStyle name="Примечание 4" xfId="18709"/>
    <cellStyle name="Примечание 4 10" xfId="18710"/>
    <cellStyle name="Примечание 4 11" xfId="18711"/>
    <cellStyle name="Примечание 4 12" xfId="18712"/>
    <cellStyle name="Примечание 4 13" xfId="18713"/>
    <cellStyle name="Примечание 4 14" xfId="18714"/>
    <cellStyle name="Примечание 4 2" xfId="18715"/>
    <cellStyle name="Примечание 4 2 10" xfId="18716"/>
    <cellStyle name="Примечание 4 2 11" xfId="18717"/>
    <cellStyle name="Примечание 4 2 12" xfId="18718"/>
    <cellStyle name="Примечание 4 2 2" xfId="18719"/>
    <cellStyle name="Примечание 4 2 2 2" xfId="18720"/>
    <cellStyle name="Примечание 4 2 2 3" xfId="18721"/>
    <cellStyle name="Примечание 4 2 2 4" xfId="18722"/>
    <cellStyle name="Примечание 4 2 2 5" xfId="18723"/>
    <cellStyle name="Примечание 4 2 3" xfId="18724"/>
    <cellStyle name="Примечание 4 2 3 2" xfId="18725"/>
    <cellStyle name="Примечание 4 2 3 3" xfId="18726"/>
    <cellStyle name="Примечание 4 2 3 4" xfId="18727"/>
    <cellStyle name="Примечание 4 2 3 5" xfId="18728"/>
    <cellStyle name="Примечание 4 2 4" xfId="18729"/>
    <cellStyle name="Примечание 4 2 4 2" xfId="18730"/>
    <cellStyle name="Примечание 4 2 4 3" xfId="18731"/>
    <cellStyle name="Примечание 4 2 4 4" xfId="18732"/>
    <cellStyle name="Примечание 4 2 4 5" xfId="18733"/>
    <cellStyle name="Примечание 4 2 5" xfId="18734"/>
    <cellStyle name="Примечание 4 2 5 2" xfId="18735"/>
    <cellStyle name="Примечание 4 2 5 3" xfId="18736"/>
    <cellStyle name="Примечание 4 2 5 4" xfId="18737"/>
    <cellStyle name="Примечание 4 2 6" xfId="18738"/>
    <cellStyle name="Примечание 4 2 7" xfId="18739"/>
    <cellStyle name="Примечание 4 2 8" xfId="18740"/>
    <cellStyle name="Примечание 4 2 9" xfId="18741"/>
    <cellStyle name="Примечание 4 3" xfId="18742"/>
    <cellStyle name="Примечание 4 3 10" xfId="18743"/>
    <cellStyle name="Примечание 4 3 11" xfId="18744"/>
    <cellStyle name="Примечание 4 3 2" xfId="18745"/>
    <cellStyle name="Примечание 4 3 2 2" xfId="18746"/>
    <cellStyle name="Примечание 4 3 2 3" xfId="18747"/>
    <cellStyle name="Примечание 4 3 2 4" xfId="18748"/>
    <cellStyle name="Примечание 4 3 2 5" xfId="18749"/>
    <cellStyle name="Примечание 4 3 3" xfId="18750"/>
    <cellStyle name="Примечание 4 3 3 2" xfId="18751"/>
    <cellStyle name="Примечание 4 3 3 3" xfId="18752"/>
    <cellStyle name="Примечание 4 3 3 4" xfId="18753"/>
    <cellStyle name="Примечание 4 3 3 5" xfId="18754"/>
    <cellStyle name="Примечание 4 3 4" xfId="18755"/>
    <cellStyle name="Примечание 4 3 4 2" xfId="18756"/>
    <cellStyle name="Примечание 4 3 4 3" xfId="18757"/>
    <cellStyle name="Примечание 4 3 4 4" xfId="18758"/>
    <cellStyle name="Примечание 4 3 5" xfId="18759"/>
    <cellStyle name="Примечание 4 3 6" xfId="18760"/>
    <cellStyle name="Примечание 4 3 7" xfId="18761"/>
    <cellStyle name="Примечание 4 3 8" xfId="18762"/>
    <cellStyle name="Примечание 4 3 9" xfId="18763"/>
    <cellStyle name="Примечание 4 4" xfId="18764"/>
    <cellStyle name="Примечание 4 4 2" xfId="18765"/>
    <cellStyle name="Примечание 4 4 3" xfId="18766"/>
    <cellStyle name="Примечание 4 4 4" xfId="18767"/>
    <cellStyle name="Примечание 4 4 5" xfId="18768"/>
    <cellStyle name="Примечание 4 4 6" xfId="18769"/>
    <cellStyle name="Примечание 4 4 7" xfId="18770"/>
    <cellStyle name="Примечание 4 4 8" xfId="18771"/>
    <cellStyle name="Примечание 4 5" xfId="18772"/>
    <cellStyle name="Примечание 4 5 2" xfId="18773"/>
    <cellStyle name="Примечание 4 5 3" xfId="18774"/>
    <cellStyle name="Примечание 4 5 4" xfId="18775"/>
    <cellStyle name="Примечание 4 5 5" xfId="18776"/>
    <cellStyle name="Примечание 4 5 6" xfId="18777"/>
    <cellStyle name="Примечание 4 5 7" xfId="18778"/>
    <cellStyle name="Примечание 4 5 8" xfId="18779"/>
    <cellStyle name="Примечание 4 6" xfId="18780"/>
    <cellStyle name="Примечание 4 6 2" xfId="18781"/>
    <cellStyle name="Примечание 4 6 3" xfId="18782"/>
    <cellStyle name="Примечание 4 6 4" xfId="18783"/>
    <cellStyle name="Примечание 4 6 5" xfId="18784"/>
    <cellStyle name="Примечание 4 6 6" xfId="18785"/>
    <cellStyle name="Примечание 4 6 7" xfId="18786"/>
    <cellStyle name="Примечание 4 6 8" xfId="18787"/>
    <cellStyle name="Примечание 4 7" xfId="18788"/>
    <cellStyle name="Примечание 4 7 2" xfId="18789"/>
    <cellStyle name="Примечание 4 7 3" xfId="18790"/>
    <cellStyle name="Примечание 4 7 4" xfId="18791"/>
    <cellStyle name="Примечание 4 8" xfId="18792"/>
    <cellStyle name="Примечание 4 9" xfId="18793"/>
    <cellStyle name="Примечание 5" xfId="18794"/>
    <cellStyle name="Примечание 5 10" xfId="18795"/>
    <cellStyle name="Примечание 5 11" xfId="18796"/>
    <cellStyle name="Примечание 5 12" xfId="18797"/>
    <cellStyle name="Примечание 5 13" xfId="18798"/>
    <cellStyle name="Примечание 5 14" xfId="18799"/>
    <cellStyle name="Примечание 5 2" xfId="18800"/>
    <cellStyle name="Примечание 5 2 10" xfId="18801"/>
    <cellStyle name="Примечание 5 2 11" xfId="18802"/>
    <cellStyle name="Примечание 5 2 12" xfId="18803"/>
    <cellStyle name="Примечание 5 2 2" xfId="18804"/>
    <cellStyle name="Примечание 5 2 2 2" xfId="18805"/>
    <cellStyle name="Примечание 5 2 2 3" xfId="18806"/>
    <cellStyle name="Примечание 5 2 2 4" xfId="18807"/>
    <cellStyle name="Примечание 5 2 2 5" xfId="18808"/>
    <cellStyle name="Примечание 5 2 3" xfId="18809"/>
    <cellStyle name="Примечание 5 2 3 2" xfId="18810"/>
    <cellStyle name="Примечание 5 2 3 3" xfId="18811"/>
    <cellStyle name="Примечание 5 2 3 4" xfId="18812"/>
    <cellStyle name="Примечание 5 2 3 5" xfId="18813"/>
    <cellStyle name="Примечание 5 2 4" xfId="18814"/>
    <cellStyle name="Примечание 5 2 4 2" xfId="18815"/>
    <cellStyle name="Примечание 5 2 4 3" xfId="18816"/>
    <cellStyle name="Примечание 5 2 4 4" xfId="18817"/>
    <cellStyle name="Примечание 5 2 4 5" xfId="18818"/>
    <cellStyle name="Примечание 5 2 5" xfId="18819"/>
    <cellStyle name="Примечание 5 2 5 2" xfId="18820"/>
    <cellStyle name="Примечание 5 2 5 3" xfId="18821"/>
    <cellStyle name="Примечание 5 2 5 4" xfId="18822"/>
    <cellStyle name="Примечание 5 2 6" xfId="18823"/>
    <cellStyle name="Примечание 5 2 7" xfId="18824"/>
    <cellStyle name="Примечание 5 2 8" xfId="18825"/>
    <cellStyle name="Примечание 5 2 9" xfId="18826"/>
    <cellStyle name="Примечание 5 3" xfId="18827"/>
    <cellStyle name="Примечание 5 3 10" xfId="18828"/>
    <cellStyle name="Примечание 5 3 11" xfId="18829"/>
    <cellStyle name="Примечание 5 3 2" xfId="18830"/>
    <cellStyle name="Примечание 5 3 2 2" xfId="18831"/>
    <cellStyle name="Примечание 5 3 2 3" xfId="18832"/>
    <cellStyle name="Примечание 5 3 2 4" xfId="18833"/>
    <cellStyle name="Примечание 5 3 2 5" xfId="18834"/>
    <cellStyle name="Примечание 5 3 3" xfId="18835"/>
    <cellStyle name="Примечание 5 3 3 2" xfId="18836"/>
    <cellStyle name="Примечание 5 3 3 3" xfId="18837"/>
    <cellStyle name="Примечание 5 3 3 4" xfId="18838"/>
    <cellStyle name="Примечание 5 3 3 5" xfId="18839"/>
    <cellStyle name="Примечание 5 3 4" xfId="18840"/>
    <cellStyle name="Примечание 5 3 4 2" xfId="18841"/>
    <cellStyle name="Примечание 5 3 4 3" xfId="18842"/>
    <cellStyle name="Примечание 5 3 4 4" xfId="18843"/>
    <cellStyle name="Примечание 5 3 5" xfId="18844"/>
    <cellStyle name="Примечание 5 3 6" xfId="18845"/>
    <cellStyle name="Примечание 5 3 7" xfId="18846"/>
    <cellStyle name="Примечание 5 3 8" xfId="18847"/>
    <cellStyle name="Примечание 5 3 9" xfId="18848"/>
    <cellStyle name="Примечание 5 4" xfId="18849"/>
    <cellStyle name="Примечание 5 4 2" xfId="18850"/>
    <cellStyle name="Примечание 5 4 3" xfId="18851"/>
    <cellStyle name="Примечание 5 4 4" xfId="18852"/>
    <cellStyle name="Примечание 5 4 5" xfId="18853"/>
    <cellStyle name="Примечание 5 4 6" xfId="18854"/>
    <cellStyle name="Примечание 5 4 7" xfId="18855"/>
    <cellStyle name="Примечание 5 4 8" xfId="18856"/>
    <cellStyle name="Примечание 5 5" xfId="18857"/>
    <cellStyle name="Примечание 5 5 2" xfId="18858"/>
    <cellStyle name="Примечание 5 5 3" xfId="18859"/>
    <cellStyle name="Примечание 5 5 4" xfId="18860"/>
    <cellStyle name="Примечание 5 5 5" xfId="18861"/>
    <cellStyle name="Примечание 5 5 6" xfId="18862"/>
    <cellStyle name="Примечание 5 5 7" xfId="18863"/>
    <cellStyle name="Примечание 5 5 8" xfId="18864"/>
    <cellStyle name="Примечание 5 6" xfId="18865"/>
    <cellStyle name="Примечание 5 6 2" xfId="18866"/>
    <cellStyle name="Примечание 5 6 3" xfId="18867"/>
    <cellStyle name="Примечание 5 6 4" xfId="18868"/>
    <cellStyle name="Примечание 5 6 5" xfId="18869"/>
    <cellStyle name="Примечание 5 6 6" xfId="18870"/>
    <cellStyle name="Примечание 5 6 7" xfId="18871"/>
    <cellStyle name="Примечание 5 6 8" xfId="18872"/>
    <cellStyle name="Примечание 5 7" xfId="18873"/>
    <cellStyle name="Примечание 5 7 2" xfId="18874"/>
    <cellStyle name="Примечание 5 7 3" xfId="18875"/>
    <cellStyle name="Примечание 5 7 4" xfId="18876"/>
    <cellStyle name="Примечание 5 8" xfId="18877"/>
    <cellStyle name="Примечание 5 9" xfId="18878"/>
    <cellStyle name="Примечание 6" xfId="18879"/>
    <cellStyle name="Примечание 6 10" xfId="18880"/>
    <cellStyle name="Примечание 6 11" xfId="18881"/>
    <cellStyle name="Примечание 6 12" xfId="18882"/>
    <cellStyle name="Примечание 6 13" xfId="18883"/>
    <cellStyle name="Примечание 6 14" xfId="18884"/>
    <cellStyle name="Примечание 6 2" xfId="18885"/>
    <cellStyle name="Примечание 6 2 10" xfId="18886"/>
    <cellStyle name="Примечание 6 2 11" xfId="18887"/>
    <cellStyle name="Примечание 6 2 12" xfId="18888"/>
    <cellStyle name="Примечание 6 2 2" xfId="18889"/>
    <cellStyle name="Примечание 6 2 2 2" xfId="18890"/>
    <cellStyle name="Примечание 6 2 2 3" xfId="18891"/>
    <cellStyle name="Примечание 6 2 2 4" xfId="18892"/>
    <cellStyle name="Примечание 6 2 2 5" xfId="18893"/>
    <cellStyle name="Примечание 6 2 3" xfId="18894"/>
    <cellStyle name="Примечание 6 2 3 2" xfId="18895"/>
    <cellStyle name="Примечание 6 2 3 3" xfId="18896"/>
    <cellStyle name="Примечание 6 2 3 4" xfId="18897"/>
    <cellStyle name="Примечание 6 2 3 5" xfId="18898"/>
    <cellStyle name="Примечание 6 2 4" xfId="18899"/>
    <cellStyle name="Примечание 6 2 4 2" xfId="18900"/>
    <cellStyle name="Примечание 6 2 4 3" xfId="18901"/>
    <cellStyle name="Примечание 6 2 4 4" xfId="18902"/>
    <cellStyle name="Примечание 6 2 4 5" xfId="18903"/>
    <cellStyle name="Примечание 6 2 5" xfId="18904"/>
    <cellStyle name="Примечание 6 2 5 2" xfId="18905"/>
    <cellStyle name="Примечание 6 2 5 3" xfId="18906"/>
    <cellStyle name="Примечание 6 2 5 4" xfId="18907"/>
    <cellStyle name="Примечание 6 2 6" xfId="18908"/>
    <cellStyle name="Примечание 6 2 7" xfId="18909"/>
    <cellStyle name="Примечание 6 2 8" xfId="18910"/>
    <cellStyle name="Примечание 6 2 9" xfId="18911"/>
    <cellStyle name="Примечание 6 3" xfId="18912"/>
    <cellStyle name="Примечание 6 3 10" xfId="18913"/>
    <cellStyle name="Примечание 6 3 11" xfId="18914"/>
    <cellStyle name="Примечание 6 3 2" xfId="18915"/>
    <cellStyle name="Примечание 6 3 2 2" xfId="18916"/>
    <cellStyle name="Примечание 6 3 2 3" xfId="18917"/>
    <cellStyle name="Примечание 6 3 2 4" xfId="18918"/>
    <cellStyle name="Примечание 6 3 2 5" xfId="18919"/>
    <cellStyle name="Примечание 6 3 3" xfId="18920"/>
    <cellStyle name="Примечание 6 3 3 2" xfId="18921"/>
    <cellStyle name="Примечание 6 3 3 3" xfId="18922"/>
    <cellStyle name="Примечание 6 3 3 4" xfId="18923"/>
    <cellStyle name="Примечание 6 3 3 5" xfId="18924"/>
    <cellStyle name="Примечание 6 3 4" xfId="18925"/>
    <cellStyle name="Примечание 6 3 4 2" xfId="18926"/>
    <cellStyle name="Примечание 6 3 4 3" xfId="18927"/>
    <cellStyle name="Примечание 6 3 4 4" xfId="18928"/>
    <cellStyle name="Примечание 6 3 5" xfId="18929"/>
    <cellStyle name="Примечание 6 3 6" xfId="18930"/>
    <cellStyle name="Примечание 6 3 7" xfId="18931"/>
    <cellStyle name="Примечание 6 3 8" xfId="18932"/>
    <cellStyle name="Примечание 6 3 9" xfId="18933"/>
    <cellStyle name="Примечание 6 4" xfId="18934"/>
    <cellStyle name="Примечание 6 4 2" xfId="18935"/>
    <cellStyle name="Примечание 6 4 3" xfId="18936"/>
    <cellStyle name="Примечание 6 4 4" xfId="18937"/>
    <cellStyle name="Примечание 6 4 5" xfId="18938"/>
    <cellStyle name="Примечание 6 4 6" xfId="18939"/>
    <cellStyle name="Примечание 6 4 7" xfId="18940"/>
    <cellStyle name="Примечание 6 4 8" xfId="18941"/>
    <cellStyle name="Примечание 6 5" xfId="18942"/>
    <cellStyle name="Примечание 6 5 2" xfId="18943"/>
    <cellStyle name="Примечание 6 5 3" xfId="18944"/>
    <cellStyle name="Примечание 6 5 4" xfId="18945"/>
    <cellStyle name="Примечание 6 5 5" xfId="18946"/>
    <cellStyle name="Примечание 6 5 6" xfId="18947"/>
    <cellStyle name="Примечание 6 5 7" xfId="18948"/>
    <cellStyle name="Примечание 6 5 8" xfId="18949"/>
    <cellStyle name="Примечание 6 6" xfId="18950"/>
    <cellStyle name="Примечание 6 6 2" xfId="18951"/>
    <cellStyle name="Примечание 6 6 3" xfId="18952"/>
    <cellStyle name="Примечание 6 6 4" xfId="18953"/>
    <cellStyle name="Примечание 6 6 5" xfId="18954"/>
    <cellStyle name="Примечание 6 6 6" xfId="18955"/>
    <cellStyle name="Примечание 6 6 7" xfId="18956"/>
    <cellStyle name="Примечание 6 6 8" xfId="18957"/>
    <cellStyle name="Примечание 6 7" xfId="18958"/>
    <cellStyle name="Примечание 6 7 2" xfId="18959"/>
    <cellStyle name="Примечание 6 7 3" xfId="18960"/>
    <cellStyle name="Примечание 6 7 4" xfId="18961"/>
    <cellStyle name="Примечание 6 8" xfId="18962"/>
    <cellStyle name="Примечание 6 9" xfId="18963"/>
    <cellStyle name="Процентный 2" xfId="18964"/>
    <cellStyle name="Процентный 2 10" xfId="18965"/>
    <cellStyle name="Процентный 2 10 10" xfId="18966"/>
    <cellStyle name="Процентный 2 10 11" xfId="18967"/>
    <cellStyle name="Процентный 2 10 12" xfId="18968"/>
    <cellStyle name="Процентный 2 10 2" xfId="18969"/>
    <cellStyle name="Процентный 2 10 2 2" xfId="18970"/>
    <cellStyle name="Процентный 2 10 2 3" xfId="18971"/>
    <cellStyle name="Процентный 2 10 2 4" xfId="18972"/>
    <cellStyle name="Процентный 2 10 2 5" xfId="18973"/>
    <cellStyle name="Процентный 2 10 2 6" xfId="18974"/>
    <cellStyle name="Процентный 2 10 2 7" xfId="18975"/>
    <cellStyle name="Процентный 2 10 2 8" xfId="18976"/>
    <cellStyle name="Процентный 2 10 2 9" xfId="18977"/>
    <cellStyle name="Процентный 2 10 3" xfId="18978"/>
    <cellStyle name="Процентный 2 10 3 2" xfId="18979"/>
    <cellStyle name="Процентный 2 10 3 3" xfId="18980"/>
    <cellStyle name="Процентный 2 10 3 4" xfId="18981"/>
    <cellStyle name="Процентный 2 10 3 5" xfId="18982"/>
    <cellStyle name="Процентный 2 10 3 6" xfId="18983"/>
    <cellStyle name="Процентный 2 10 3 7" xfId="18984"/>
    <cellStyle name="Процентный 2 10 3 8" xfId="18985"/>
    <cellStyle name="Процентный 2 10 3 9" xfId="18986"/>
    <cellStyle name="Процентный 2 10 4" xfId="18987"/>
    <cellStyle name="Процентный 2 10 4 2" xfId="18988"/>
    <cellStyle name="Процентный 2 10 4 3" xfId="18989"/>
    <cellStyle name="Процентный 2 10 4 4" xfId="18990"/>
    <cellStyle name="Процентный 2 10 4 5" xfId="18991"/>
    <cellStyle name="Процентный 2 10 4 6" xfId="18992"/>
    <cellStyle name="Процентный 2 10 4 7" xfId="18993"/>
    <cellStyle name="Процентный 2 10 4 8" xfId="18994"/>
    <cellStyle name="Процентный 2 10 4 9" xfId="18995"/>
    <cellStyle name="Процентный 2 10 5" xfId="18996"/>
    <cellStyle name="Процентный 2 10 6" xfId="18997"/>
    <cellStyle name="Процентный 2 10 7" xfId="18998"/>
    <cellStyle name="Процентный 2 10 8" xfId="18999"/>
    <cellStyle name="Процентный 2 10 9" xfId="19000"/>
    <cellStyle name="Процентный 2 11" xfId="19001"/>
    <cellStyle name="Процентный 2 11 10" xfId="19002"/>
    <cellStyle name="Процентный 2 11 11" xfId="19003"/>
    <cellStyle name="Процентный 2 11 2" xfId="19004"/>
    <cellStyle name="Процентный 2 11 2 2" xfId="19005"/>
    <cellStyle name="Процентный 2 11 2 3" xfId="19006"/>
    <cellStyle name="Процентный 2 11 2 4" xfId="19007"/>
    <cellStyle name="Процентный 2 11 2 5" xfId="19008"/>
    <cellStyle name="Процентный 2 11 2 6" xfId="19009"/>
    <cellStyle name="Процентный 2 11 2 7" xfId="19010"/>
    <cellStyle name="Процентный 2 11 2 8" xfId="19011"/>
    <cellStyle name="Процентный 2 11 2 9" xfId="19012"/>
    <cellStyle name="Процентный 2 11 3" xfId="19013"/>
    <cellStyle name="Процентный 2 11 3 2" xfId="19014"/>
    <cellStyle name="Процентный 2 11 3 3" xfId="19015"/>
    <cellStyle name="Процентный 2 11 3 4" xfId="19016"/>
    <cellStyle name="Процентный 2 11 3 5" xfId="19017"/>
    <cellStyle name="Процентный 2 11 3 6" xfId="19018"/>
    <cellStyle name="Процентный 2 11 3 7" xfId="19019"/>
    <cellStyle name="Процентный 2 11 3 8" xfId="19020"/>
    <cellStyle name="Процентный 2 11 3 9" xfId="19021"/>
    <cellStyle name="Процентный 2 11 4" xfId="19022"/>
    <cellStyle name="Процентный 2 11 5" xfId="19023"/>
    <cellStyle name="Процентный 2 11 6" xfId="19024"/>
    <cellStyle name="Процентный 2 11 7" xfId="19025"/>
    <cellStyle name="Процентный 2 11 8" xfId="19026"/>
    <cellStyle name="Процентный 2 11 9" xfId="19027"/>
    <cellStyle name="Процентный 2 12" xfId="19028"/>
    <cellStyle name="Процентный 2 12 2" xfId="19029"/>
    <cellStyle name="Процентный 2 12 3" xfId="19030"/>
    <cellStyle name="Процентный 2 12 4" xfId="19031"/>
    <cellStyle name="Процентный 2 12 5" xfId="19032"/>
    <cellStyle name="Процентный 2 12 6" xfId="19033"/>
    <cellStyle name="Процентный 2 12 7" xfId="19034"/>
    <cellStyle name="Процентный 2 12 8" xfId="19035"/>
    <cellStyle name="Процентный 2 12 9" xfId="19036"/>
    <cellStyle name="Процентный 2 13" xfId="19037"/>
    <cellStyle name="Процентный 2 14" xfId="19038"/>
    <cellStyle name="Процентный 2 15" xfId="19039"/>
    <cellStyle name="Процентный 2 16" xfId="19040"/>
    <cellStyle name="Процентный 2 17" xfId="19041"/>
    <cellStyle name="Процентный 2 18" xfId="19042"/>
    <cellStyle name="Процентный 2 19" xfId="19043"/>
    <cellStyle name="Процентный 2 2" xfId="19044"/>
    <cellStyle name="Процентный 2 2 2" xfId="19045"/>
    <cellStyle name="Процентный 2 2 2 2" xfId="19046"/>
    <cellStyle name="Процентный 2 2 2 3" xfId="19047"/>
    <cellStyle name="Процентный 2 2 3" xfId="19048"/>
    <cellStyle name="Процентный 2 2 4" xfId="19049"/>
    <cellStyle name="Процентный 2 2 4 2" xfId="19050"/>
    <cellStyle name="Процентный 2 2 4 3" xfId="19051"/>
    <cellStyle name="Процентный 2 2 4 4" xfId="19052"/>
    <cellStyle name="Процентный 2 2 4 5" xfId="19053"/>
    <cellStyle name="Процентный 2 2 5" xfId="19054"/>
    <cellStyle name="Процентный 2 2 6" xfId="19055"/>
    <cellStyle name="Процентный 2 2 7" xfId="19056"/>
    <cellStyle name="Процентный 2 2 8" xfId="19057"/>
    <cellStyle name="Процентный 2 20" xfId="19058"/>
    <cellStyle name="Процентный 2 3" xfId="19059"/>
    <cellStyle name="Процентный 2 3 10" xfId="19060"/>
    <cellStyle name="Процентный 2 3 11" xfId="19061"/>
    <cellStyle name="Процентный 2 3 12" xfId="19062"/>
    <cellStyle name="Процентный 2 3 2" xfId="19063"/>
    <cellStyle name="Процентный 2 3 2 10" xfId="19064"/>
    <cellStyle name="Процентный 2 3 2 11" xfId="19065"/>
    <cellStyle name="Процентный 2 3 2 12" xfId="19066"/>
    <cellStyle name="Процентный 2 3 2 2" xfId="19067"/>
    <cellStyle name="Процентный 2 3 2 2 2" xfId="19068"/>
    <cellStyle name="Процентный 2 3 2 2 3" xfId="19069"/>
    <cellStyle name="Процентный 2 3 2 2 4" xfId="19070"/>
    <cellStyle name="Процентный 2 3 2 2 5" xfId="19071"/>
    <cellStyle name="Процентный 2 3 2 2 6" xfId="19072"/>
    <cellStyle name="Процентный 2 3 2 2 7" xfId="19073"/>
    <cellStyle name="Процентный 2 3 2 2 8" xfId="19074"/>
    <cellStyle name="Процентный 2 3 2 2 9" xfId="19075"/>
    <cellStyle name="Процентный 2 3 2 3" xfId="19076"/>
    <cellStyle name="Процентный 2 3 2 3 2" xfId="19077"/>
    <cellStyle name="Процентный 2 3 2 3 3" xfId="19078"/>
    <cellStyle name="Процентный 2 3 2 3 4" xfId="19079"/>
    <cellStyle name="Процентный 2 3 2 3 5" xfId="19080"/>
    <cellStyle name="Процентный 2 3 2 3 6" xfId="19081"/>
    <cellStyle name="Процентный 2 3 2 3 7" xfId="19082"/>
    <cellStyle name="Процентный 2 3 2 3 8" xfId="19083"/>
    <cellStyle name="Процентный 2 3 2 3 9" xfId="19084"/>
    <cellStyle name="Процентный 2 3 2 4" xfId="19085"/>
    <cellStyle name="Процентный 2 3 2 4 2" xfId="19086"/>
    <cellStyle name="Процентный 2 3 2 4 3" xfId="19087"/>
    <cellStyle name="Процентный 2 3 2 4 4" xfId="19088"/>
    <cellStyle name="Процентный 2 3 2 4 5" xfId="19089"/>
    <cellStyle name="Процентный 2 3 2 4 6" xfId="19090"/>
    <cellStyle name="Процентный 2 3 2 4 7" xfId="19091"/>
    <cellStyle name="Процентный 2 3 2 4 8" xfId="19092"/>
    <cellStyle name="Процентный 2 3 2 4 9" xfId="19093"/>
    <cellStyle name="Процентный 2 3 2 5" xfId="19094"/>
    <cellStyle name="Процентный 2 3 2 6" xfId="19095"/>
    <cellStyle name="Процентный 2 3 2 7" xfId="19096"/>
    <cellStyle name="Процентный 2 3 2 8" xfId="19097"/>
    <cellStyle name="Процентный 2 3 2 9" xfId="19098"/>
    <cellStyle name="Процентный 2 3 3" xfId="19099"/>
    <cellStyle name="Процентный 2 3 3 10" xfId="19100"/>
    <cellStyle name="Процентный 2 3 3 11" xfId="19101"/>
    <cellStyle name="Процентный 2 3 3 2" xfId="19102"/>
    <cellStyle name="Процентный 2 3 3 2 2" xfId="19103"/>
    <cellStyle name="Процентный 2 3 3 2 3" xfId="19104"/>
    <cellStyle name="Процентный 2 3 3 2 4" xfId="19105"/>
    <cellStyle name="Процентный 2 3 3 2 5" xfId="19106"/>
    <cellStyle name="Процентный 2 3 3 2 6" xfId="19107"/>
    <cellStyle name="Процентный 2 3 3 2 7" xfId="19108"/>
    <cellStyle name="Процентный 2 3 3 2 8" xfId="19109"/>
    <cellStyle name="Процентный 2 3 3 2 9" xfId="19110"/>
    <cellStyle name="Процентный 2 3 3 3" xfId="19111"/>
    <cellStyle name="Процентный 2 3 3 3 2" xfId="19112"/>
    <cellStyle name="Процентный 2 3 3 3 3" xfId="19113"/>
    <cellStyle name="Процентный 2 3 3 3 4" xfId="19114"/>
    <cellStyle name="Процентный 2 3 3 3 5" xfId="19115"/>
    <cellStyle name="Процентный 2 3 3 3 6" xfId="19116"/>
    <cellStyle name="Процентный 2 3 3 3 7" xfId="19117"/>
    <cellStyle name="Процентный 2 3 3 3 8" xfId="19118"/>
    <cellStyle name="Процентный 2 3 3 3 9" xfId="19119"/>
    <cellStyle name="Процентный 2 3 3 4" xfId="19120"/>
    <cellStyle name="Процентный 2 3 3 5" xfId="19121"/>
    <cellStyle name="Процентный 2 3 3 6" xfId="19122"/>
    <cellStyle name="Процентный 2 3 3 7" xfId="19123"/>
    <cellStyle name="Процентный 2 3 3 8" xfId="19124"/>
    <cellStyle name="Процентный 2 3 3 9" xfId="19125"/>
    <cellStyle name="Процентный 2 3 4" xfId="19126"/>
    <cellStyle name="Процентный 2 3 4 2" xfId="19127"/>
    <cellStyle name="Процентный 2 3 4 3" xfId="19128"/>
    <cellStyle name="Процентный 2 3 4 4" xfId="19129"/>
    <cellStyle name="Процентный 2 3 4 5" xfId="19130"/>
    <cellStyle name="Процентный 2 3 4 6" xfId="19131"/>
    <cellStyle name="Процентный 2 3 4 7" xfId="19132"/>
    <cellStyle name="Процентный 2 3 4 8" xfId="19133"/>
    <cellStyle name="Процентный 2 3 4 9" xfId="19134"/>
    <cellStyle name="Процентный 2 3 5" xfId="19135"/>
    <cellStyle name="Процентный 2 3 6" xfId="19136"/>
    <cellStyle name="Процентный 2 3 7" xfId="19137"/>
    <cellStyle name="Процентный 2 3 8" xfId="19138"/>
    <cellStyle name="Процентный 2 3 9" xfId="19139"/>
    <cellStyle name="Процентный 2 4" xfId="19140"/>
    <cellStyle name="Процентный 2 4 10" xfId="19141"/>
    <cellStyle name="Процентный 2 4 11" xfId="19142"/>
    <cellStyle name="Процентный 2 4 12" xfId="19143"/>
    <cellStyle name="Процентный 2 4 2" xfId="19144"/>
    <cellStyle name="Процентный 2 4 2 10" xfId="19145"/>
    <cellStyle name="Процентный 2 4 2 11" xfId="19146"/>
    <cellStyle name="Процентный 2 4 2 12" xfId="19147"/>
    <cellStyle name="Процентный 2 4 2 2" xfId="19148"/>
    <cellStyle name="Процентный 2 4 2 2 2" xfId="19149"/>
    <cellStyle name="Процентный 2 4 2 2 3" xfId="19150"/>
    <cellStyle name="Процентный 2 4 2 2 4" xfId="19151"/>
    <cellStyle name="Процентный 2 4 2 2 5" xfId="19152"/>
    <cellStyle name="Процентный 2 4 2 2 6" xfId="19153"/>
    <cellStyle name="Процентный 2 4 2 2 7" xfId="19154"/>
    <cellStyle name="Процентный 2 4 2 2 8" xfId="19155"/>
    <cellStyle name="Процентный 2 4 2 2 9" xfId="19156"/>
    <cellStyle name="Процентный 2 4 2 3" xfId="19157"/>
    <cellStyle name="Процентный 2 4 2 3 2" xfId="19158"/>
    <cellStyle name="Процентный 2 4 2 3 3" xfId="19159"/>
    <cellStyle name="Процентный 2 4 2 3 4" xfId="19160"/>
    <cellStyle name="Процентный 2 4 2 3 5" xfId="19161"/>
    <cellStyle name="Процентный 2 4 2 3 6" xfId="19162"/>
    <cellStyle name="Процентный 2 4 2 3 7" xfId="19163"/>
    <cellStyle name="Процентный 2 4 2 3 8" xfId="19164"/>
    <cellStyle name="Процентный 2 4 2 3 9" xfId="19165"/>
    <cellStyle name="Процентный 2 4 2 4" xfId="19166"/>
    <cellStyle name="Процентный 2 4 2 4 2" xfId="19167"/>
    <cellStyle name="Процентный 2 4 2 4 3" xfId="19168"/>
    <cellStyle name="Процентный 2 4 2 4 4" xfId="19169"/>
    <cellStyle name="Процентный 2 4 2 4 5" xfId="19170"/>
    <cellStyle name="Процентный 2 4 2 4 6" xfId="19171"/>
    <cellStyle name="Процентный 2 4 2 4 7" xfId="19172"/>
    <cellStyle name="Процентный 2 4 2 4 8" xfId="19173"/>
    <cellStyle name="Процентный 2 4 2 4 9" xfId="19174"/>
    <cellStyle name="Процентный 2 4 2 5" xfId="19175"/>
    <cellStyle name="Процентный 2 4 2 6" xfId="19176"/>
    <cellStyle name="Процентный 2 4 2 7" xfId="19177"/>
    <cellStyle name="Процентный 2 4 2 8" xfId="19178"/>
    <cellStyle name="Процентный 2 4 2 9" xfId="19179"/>
    <cellStyle name="Процентный 2 4 3" xfId="19180"/>
    <cellStyle name="Процентный 2 4 3 10" xfId="19181"/>
    <cellStyle name="Процентный 2 4 3 11" xfId="19182"/>
    <cellStyle name="Процентный 2 4 3 2" xfId="19183"/>
    <cellStyle name="Процентный 2 4 3 2 2" xfId="19184"/>
    <cellStyle name="Процентный 2 4 3 2 3" xfId="19185"/>
    <cellStyle name="Процентный 2 4 3 2 4" xfId="19186"/>
    <cellStyle name="Процентный 2 4 3 2 5" xfId="19187"/>
    <cellStyle name="Процентный 2 4 3 2 6" xfId="19188"/>
    <cellStyle name="Процентный 2 4 3 2 7" xfId="19189"/>
    <cellStyle name="Процентный 2 4 3 2 8" xfId="19190"/>
    <cellStyle name="Процентный 2 4 3 2 9" xfId="19191"/>
    <cellStyle name="Процентный 2 4 3 3" xfId="19192"/>
    <cellStyle name="Процентный 2 4 3 3 2" xfId="19193"/>
    <cellStyle name="Процентный 2 4 3 3 3" xfId="19194"/>
    <cellStyle name="Процентный 2 4 3 3 4" xfId="19195"/>
    <cellStyle name="Процентный 2 4 3 3 5" xfId="19196"/>
    <cellStyle name="Процентный 2 4 3 3 6" xfId="19197"/>
    <cellStyle name="Процентный 2 4 3 3 7" xfId="19198"/>
    <cellStyle name="Процентный 2 4 3 3 8" xfId="19199"/>
    <cellStyle name="Процентный 2 4 3 3 9" xfId="19200"/>
    <cellStyle name="Процентный 2 4 3 4" xfId="19201"/>
    <cellStyle name="Процентный 2 4 3 5" xfId="19202"/>
    <cellStyle name="Процентный 2 4 3 6" xfId="19203"/>
    <cellStyle name="Процентный 2 4 3 7" xfId="19204"/>
    <cellStyle name="Процентный 2 4 3 8" xfId="19205"/>
    <cellStyle name="Процентный 2 4 3 9" xfId="19206"/>
    <cellStyle name="Процентный 2 4 4" xfId="19207"/>
    <cellStyle name="Процентный 2 4 4 2" xfId="19208"/>
    <cellStyle name="Процентный 2 4 4 3" xfId="19209"/>
    <cellStyle name="Процентный 2 4 4 4" xfId="19210"/>
    <cellStyle name="Процентный 2 4 4 5" xfId="19211"/>
    <cellStyle name="Процентный 2 4 4 6" xfId="19212"/>
    <cellStyle name="Процентный 2 4 4 7" xfId="19213"/>
    <cellStyle name="Процентный 2 4 4 8" xfId="19214"/>
    <cellStyle name="Процентный 2 4 4 9" xfId="19215"/>
    <cellStyle name="Процентный 2 4 5" xfId="19216"/>
    <cellStyle name="Процентный 2 4 6" xfId="19217"/>
    <cellStyle name="Процентный 2 4 7" xfId="19218"/>
    <cellStyle name="Процентный 2 4 8" xfId="19219"/>
    <cellStyle name="Процентный 2 4 9" xfId="19220"/>
    <cellStyle name="Процентный 2 5" xfId="19221"/>
    <cellStyle name="Процентный 2 5 10" xfId="19222"/>
    <cellStyle name="Процентный 2 5 11" xfId="19223"/>
    <cellStyle name="Процентный 2 5 12" xfId="19224"/>
    <cellStyle name="Процентный 2 5 2" xfId="19225"/>
    <cellStyle name="Процентный 2 5 2 10" xfId="19226"/>
    <cellStyle name="Процентный 2 5 2 11" xfId="19227"/>
    <cellStyle name="Процентный 2 5 2 12" xfId="19228"/>
    <cellStyle name="Процентный 2 5 2 2" xfId="19229"/>
    <cellStyle name="Процентный 2 5 2 2 2" xfId="19230"/>
    <cellStyle name="Процентный 2 5 2 2 3" xfId="19231"/>
    <cellStyle name="Процентный 2 5 2 2 4" xfId="19232"/>
    <cellStyle name="Процентный 2 5 2 2 5" xfId="19233"/>
    <cellStyle name="Процентный 2 5 2 2 6" xfId="19234"/>
    <cellStyle name="Процентный 2 5 2 2 7" xfId="19235"/>
    <cellStyle name="Процентный 2 5 2 2 8" xfId="19236"/>
    <cellStyle name="Процентный 2 5 2 2 9" xfId="19237"/>
    <cellStyle name="Процентный 2 5 2 3" xfId="19238"/>
    <cellStyle name="Процентный 2 5 2 3 2" xfId="19239"/>
    <cellStyle name="Процентный 2 5 2 3 3" xfId="19240"/>
    <cellStyle name="Процентный 2 5 2 3 4" xfId="19241"/>
    <cellStyle name="Процентный 2 5 2 3 5" xfId="19242"/>
    <cellStyle name="Процентный 2 5 2 3 6" xfId="19243"/>
    <cellStyle name="Процентный 2 5 2 3 7" xfId="19244"/>
    <cellStyle name="Процентный 2 5 2 3 8" xfId="19245"/>
    <cellStyle name="Процентный 2 5 2 3 9" xfId="19246"/>
    <cellStyle name="Процентный 2 5 2 4" xfId="19247"/>
    <cellStyle name="Процентный 2 5 2 4 2" xfId="19248"/>
    <cellStyle name="Процентный 2 5 2 4 3" xfId="19249"/>
    <cellStyle name="Процентный 2 5 2 4 4" xfId="19250"/>
    <cellStyle name="Процентный 2 5 2 4 5" xfId="19251"/>
    <cellStyle name="Процентный 2 5 2 4 6" xfId="19252"/>
    <cellStyle name="Процентный 2 5 2 4 7" xfId="19253"/>
    <cellStyle name="Процентный 2 5 2 4 8" xfId="19254"/>
    <cellStyle name="Процентный 2 5 2 4 9" xfId="19255"/>
    <cellStyle name="Процентный 2 5 2 5" xfId="19256"/>
    <cellStyle name="Процентный 2 5 2 6" xfId="19257"/>
    <cellStyle name="Процентный 2 5 2 7" xfId="19258"/>
    <cellStyle name="Процентный 2 5 2 8" xfId="19259"/>
    <cellStyle name="Процентный 2 5 2 9" xfId="19260"/>
    <cellStyle name="Процентный 2 5 3" xfId="19261"/>
    <cellStyle name="Процентный 2 5 3 10" xfId="19262"/>
    <cellStyle name="Процентный 2 5 3 11" xfId="19263"/>
    <cellStyle name="Процентный 2 5 3 2" xfId="19264"/>
    <cellStyle name="Процентный 2 5 3 2 2" xfId="19265"/>
    <cellStyle name="Процентный 2 5 3 2 3" xfId="19266"/>
    <cellStyle name="Процентный 2 5 3 2 4" xfId="19267"/>
    <cellStyle name="Процентный 2 5 3 2 5" xfId="19268"/>
    <cellStyle name="Процентный 2 5 3 2 6" xfId="19269"/>
    <cellStyle name="Процентный 2 5 3 2 7" xfId="19270"/>
    <cellStyle name="Процентный 2 5 3 2 8" xfId="19271"/>
    <cellStyle name="Процентный 2 5 3 2 9" xfId="19272"/>
    <cellStyle name="Процентный 2 5 3 3" xfId="19273"/>
    <cellStyle name="Процентный 2 5 3 3 2" xfId="19274"/>
    <cellStyle name="Процентный 2 5 3 3 3" xfId="19275"/>
    <cellStyle name="Процентный 2 5 3 3 4" xfId="19276"/>
    <cellStyle name="Процентный 2 5 3 3 5" xfId="19277"/>
    <cellStyle name="Процентный 2 5 3 3 6" xfId="19278"/>
    <cellStyle name="Процентный 2 5 3 3 7" xfId="19279"/>
    <cellStyle name="Процентный 2 5 3 3 8" xfId="19280"/>
    <cellStyle name="Процентный 2 5 3 3 9" xfId="19281"/>
    <cellStyle name="Процентный 2 5 3 4" xfId="19282"/>
    <cellStyle name="Процентный 2 5 3 5" xfId="19283"/>
    <cellStyle name="Процентный 2 5 3 6" xfId="19284"/>
    <cellStyle name="Процентный 2 5 3 7" xfId="19285"/>
    <cellStyle name="Процентный 2 5 3 8" xfId="19286"/>
    <cellStyle name="Процентный 2 5 3 9" xfId="19287"/>
    <cellStyle name="Процентный 2 5 4" xfId="19288"/>
    <cellStyle name="Процентный 2 5 4 2" xfId="19289"/>
    <cellStyle name="Процентный 2 5 4 3" xfId="19290"/>
    <cellStyle name="Процентный 2 5 4 4" xfId="19291"/>
    <cellStyle name="Процентный 2 5 4 5" xfId="19292"/>
    <cellStyle name="Процентный 2 5 4 6" xfId="19293"/>
    <cellStyle name="Процентный 2 5 4 7" xfId="19294"/>
    <cellStyle name="Процентный 2 5 4 8" xfId="19295"/>
    <cellStyle name="Процентный 2 5 4 9" xfId="19296"/>
    <cellStyle name="Процентный 2 5 5" xfId="19297"/>
    <cellStyle name="Процентный 2 5 6" xfId="19298"/>
    <cellStyle name="Процентный 2 5 7" xfId="19299"/>
    <cellStyle name="Процентный 2 5 8" xfId="19300"/>
    <cellStyle name="Процентный 2 5 9" xfId="19301"/>
    <cellStyle name="Процентный 2 6" xfId="19302"/>
    <cellStyle name="Процентный 2 6 10" xfId="19303"/>
    <cellStyle name="Процентный 2 6 11" xfId="19304"/>
    <cellStyle name="Процентный 2 6 12" xfId="19305"/>
    <cellStyle name="Процентный 2 6 2" xfId="19306"/>
    <cellStyle name="Процентный 2 6 2 10" xfId="19307"/>
    <cellStyle name="Процентный 2 6 2 11" xfId="19308"/>
    <cellStyle name="Процентный 2 6 2 12" xfId="19309"/>
    <cellStyle name="Процентный 2 6 2 2" xfId="19310"/>
    <cellStyle name="Процентный 2 6 2 2 2" xfId="19311"/>
    <cellStyle name="Процентный 2 6 2 2 3" xfId="19312"/>
    <cellStyle name="Процентный 2 6 2 2 4" xfId="19313"/>
    <cellStyle name="Процентный 2 6 2 2 5" xfId="19314"/>
    <cellStyle name="Процентный 2 6 2 2 6" xfId="19315"/>
    <cellStyle name="Процентный 2 6 2 2 7" xfId="19316"/>
    <cellStyle name="Процентный 2 6 2 2 8" xfId="19317"/>
    <cellStyle name="Процентный 2 6 2 2 9" xfId="19318"/>
    <cellStyle name="Процентный 2 6 2 3" xfId="19319"/>
    <cellStyle name="Процентный 2 6 2 3 2" xfId="19320"/>
    <cellStyle name="Процентный 2 6 2 3 3" xfId="19321"/>
    <cellStyle name="Процентный 2 6 2 3 4" xfId="19322"/>
    <cellStyle name="Процентный 2 6 2 3 5" xfId="19323"/>
    <cellStyle name="Процентный 2 6 2 3 6" xfId="19324"/>
    <cellStyle name="Процентный 2 6 2 3 7" xfId="19325"/>
    <cellStyle name="Процентный 2 6 2 3 8" xfId="19326"/>
    <cellStyle name="Процентный 2 6 2 3 9" xfId="19327"/>
    <cellStyle name="Процентный 2 6 2 4" xfId="19328"/>
    <cellStyle name="Процентный 2 6 2 4 2" xfId="19329"/>
    <cellStyle name="Процентный 2 6 2 4 3" xfId="19330"/>
    <cellStyle name="Процентный 2 6 2 4 4" xfId="19331"/>
    <cellStyle name="Процентный 2 6 2 4 5" xfId="19332"/>
    <cellStyle name="Процентный 2 6 2 4 6" xfId="19333"/>
    <cellStyle name="Процентный 2 6 2 4 7" xfId="19334"/>
    <cellStyle name="Процентный 2 6 2 4 8" xfId="19335"/>
    <cellStyle name="Процентный 2 6 2 4 9" xfId="19336"/>
    <cellStyle name="Процентный 2 6 2 5" xfId="19337"/>
    <cellStyle name="Процентный 2 6 2 6" xfId="19338"/>
    <cellStyle name="Процентный 2 6 2 7" xfId="19339"/>
    <cellStyle name="Процентный 2 6 2 8" xfId="19340"/>
    <cellStyle name="Процентный 2 6 2 9" xfId="19341"/>
    <cellStyle name="Процентный 2 6 3" xfId="19342"/>
    <cellStyle name="Процентный 2 6 3 10" xfId="19343"/>
    <cellStyle name="Процентный 2 6 3 11" xfId="19344"/>
    <cellStyle name="Процентный 2 6 3 2" xfId="19345"/>
    <cellStyle name="Процентный 2 6 3 2 2" xfId="19346"/>
    <cellStyle name="Процентный 2 6 3 2 3" xfId="19347"/>
    <cellStyle name="Процентный 2 6 3 2 4" xfId="19348"/>
    <cellStyle name="Процентный 2 6 3 2 5" xfId="19349"/>
    <cellStyle name="Процентный 2 6 3 2 6" xfId="19350"/>
    <cellStyle name="Процентный 2 6 3 2 7" xfId="19351"/>
    <cellStyle name="Процентный 2 6 3 2 8" xfId="19352"/>
    <cellStyle name="Процентный 2 6 3 2 9" xfId="19353"/>
    <cellStyle name="Процентный 2 6 3 3" xfId="19354"/>
    <cellStyle name="Процентный 2 6 3 3 2" xfId="19355"/>
    <cellStyle name="Процентный 2 6 3 3 3" xfId="19356"/>
    <cellStyle name="Процентный 2 6 3 3 4" xfId="19357"/>
    <cellStyle name="Процентный 2 6 3 3 5" xfId="19358"/>
    <cellStyle name="Процентный 2 6 3 3 6" xfId="19359"/>
    <cellStyle name="Процентный 2 6 3 3 7" xfId="19360"/>
    <cellStyle name="Процентный 2 6 3 3 8" xfId="19361"/>
    <cellStyle name="Процентный 2 6 3 3 9" xfId="19362"/>
    <cellStyle name="Процентный 2 6 3 4" xfId="19363"/>
    <cellStyle name="Процентный 2 6 3 5" xfId="19364"/>
    <cellStyle name="Процентный 2 6 3 6" xfId="19365"/>
    <cellStyle name="Процентный 2 6 3 7" xfId="19366"/>
    <cellStyle name="Процентный 2 6 3 8" xfId="19367"/>
    <cellStyle name="Процентный 2 6 3 9" xfId="19368"/>
    <cellStyle name="Процентный 2 6 4" xfId="19369"/>
    <cellStyle name="Процентный 2 6 4 2" xfId="19370"/>
    <cellStyle name="Процентный 2 6 4 3" xfId="19371"/>
    <cellStyle name="Процентный 2 6 4 4" xfId="19372"/>
    <cellStyle name="Процентный 2 6 4 5" xfId="19373"/>
    <cellStyle name="Процентный 2 6 4 6" xfId="19374"/>
    <cellStyle name="Процентный 2 6 4 7" xfId="19375"/>
    <cellStyle name="Процентный 2 6 4 8" xfId="19376"/>
    <cellStyle name="Процентный 2 6 4 9" xfId="19377"/>
    <cellStyle name="Процентный 2 6 5" xfId="19378"/>
    <cellStyle name="Процентный 2 6 6" xfId="19379"/>
    <cellStyle name="Процентный 2 6 7" xfId="19380"/>
    <cellStyle name="Процентный 2 6 8" xfId="19381"/>
    <cellStyle name="Процентный 2 6 9" xfId="19382"/>
    <cellStyle name="Процентный 2 7" xfId="19383"/>
    <cellStyle name="Процентный 2 7 10" xfId="19384"/>
    <cellStyle name="Процентный 2 7 11" xfId="19385"/>
    <cellStyle name="Процентный 2 7 12" xfId="19386"/>
    <cellStyle name="Процентный 2 7 2" xfId="19387"/>
    <cellStyle name="Процентный 2 7 2 10" xfId="19388"/>
    <cellStyle name="Процентный 2 7 2 11" xfId="19389"/>
    <cellStyle name="Процентный 2 7 2 12" xfId="19390"/>
    <cellStyle name="Процентный 2 7 2 2" xfId="19391"/>
    <cellStyle name="Процентный 2 7 2 2 2" xfId="19392"/>
    <cellStyle name="Процентный 2 7 2 2 3" xfId="19393"/>
    <cellStyle name="Процентный 2 7 2 2 4" xfId="19394"/>
    <cellStyle name="Процентный 2 7 2 2 5" xfId="19395"/>
    <cellStyle name="Процентный 2 7 2 2 6" xfId="19396"/>
    <cellStyle name="Процентный 2 7 2 2 7" xfId="19397"/>
    <cellStyle name="Процентный 2 7 2 2 8" xfId="19398"/>
    <cellStyle name="Процентный 2 7 2 2 9" xfId="19399"/>
    <cellStyle name="Процентный 2 7 2 3" xfId="19400"/>
    <cellStyle name="Процентный 2 7 2 3 2" xfId="19401"/>
    <cellStyle name="Процентный 2 7 2 3 3" xfId="19402"/>
    <cellStyle name="Процентный 2 7 2 3 4" xfId="19403"/>
    <cellStyle name="Процентный 2 7 2 3 5" xfId="19404"/>
    <cellStyle name="Процентный 2 7 2 3 6" xfId="19405"/>
    <cellStyle name="Процентный 2 7 2 3 7" xfId="19406"/>
    <cellStyle name="Процентный 2 7 2 3 8" xfId="19407"/>
    <cellStyle name="Процентный 2 7 2 3 9" xfId="19408"/>
    <cellStyle name="Процентный 2 7 2 4" xfId="19409"/>
    <cellStyle name="Процентный 2 7 2 4 2" xfId="19410"/>
    <cellStyle name="Процентный 2 7 2 4 3" xfId="19411"/>
    <cellStyle name="Процентный 2 7 2 4 4" xfId="19412"/>
    <cellStyle name="Процентный 2 7 2 4 5" xfId="19413"/>
    <cellStyle name="Процентный 2 7 2 4 6" xfId="19414"/>
    <cellStyle name="Процентный 2 7 2 4 7" xfId="19415"/>
    <cellStyle name="Процентный 2 7 2 4 8" xfId="19416"/>
    <cellStyle name="Процентный 2 7 2 4 9" xfId="19417"/>
    <cellStyle name="Процентный 2 7 2 5" xfId="19418"/>
    <cellStyle name="Процентный 2 7 2 6" xfId="19419"/>
    <cellStyle name="Процентный 2 7 2 7" xfId="19420"/>
    <cellStyle name="Процентный 2 7 2 8" xfId="19421"/>
    <cellStyle name="Процентный 2 7 2 9" xfId="19422"/>
    <cellStyle name="Процентный 2 7 3" xfId="19423"/>
    <cellStyle name="Процентный 2 7 3 10" xfId="19424"/>
    <cellStyle name="Процентный 2 7 3 11" xfId="19425"/>
    <cellStyle name="Процентный 2 7 3 2" xfId="19426"/>
    <cellStyle name="Процентный 2 7 3 2 2" xfId="19427"/>
    <cellStyle name="Процентный 2 7 3 2 3" xfId="19428"/>
    <cellStyle name="Процентный 2 7 3 2 4" xfId="19429"/>
    <cellStyle name="Процентный 2 7 3 2 5" xfId="19430"/>
    <cellStyle name="Процентный 2 7 3 2 6" xfId="19431"/>
    <cellStyle name="Процентный 2 7 3 2 7" xfId="19432"/>
    <cellStyle name="Процентный 2 7 3 2 8" xfId="19433"/>
    <cellStyle name="Процентный 2 7 3 2 9" xfId="19434"/>
    <cellStyle name="Процентный 2 7 3 3" xfId="19435"/>
    <cellStyle name="Процентный 2 7 3 3 2" xfId="19436"/>
    <cellStyle name="Процентный 2 7 3 3 3" xfId="19437"/>
    <cellStyle name="Процентный 2 7 3 3 4" xfId="19438"/>
    <cellStyle name="Процентный 2 7 3 3 5" xfId="19439"/>
    <cellStyle name="Процентный 2 7 3 3 6" xfId="19440"/>
    <cellStyle name="Процентный 2 7 3 3 7" xfId="19441"/>
    <cellStyle name="Процентный 2 7 3 3 8" xfId="19442"/>
    <cellStyle name="Процентный 2 7 3 3 9" xfId="19443"/>
    <cellStyle name="Процентный 2 7 3 4" xfId="19444"/>
    <cellStyle name="Процентный 2 7 3 5" xfId="19445"/>
    <cellStyle name="Процентный 2 7 3 6" xfId="19446"/>
    <cellStyle name="Процентный 2 7 3 7" xfId="19447"/>
    <cellStyle name="Процентный 2 7 3 8" xfId="19448"/>
    <cellStyle name="Процентный 2 7 3 9" xfId="19449"/>
    <cellStyle name="Процентный 2 7 4" xfId="19450"/>
    <cellStyle name="Процентный 2 7 4 2" xfId="19451"/>
    <cellStyle name="Процентный 2 7 4 3" xfId="19452"/>
    <cellStyle name="Процентный 2 7 4 4" xfId="19453"/>
    <cellStyle name="Процентный 2 7 4 5" xfId="19454"/>
    <cellStyle name="Процентный 2 7 4 6" xfId="19455"/>
    <cellStyle name="Процентный 2 7 4 7" xfId="19456"/>
    <cellStyle name="Процентный 2 7 4 8" xfId="19457"/>
    <cellStyle name="Процентный 2 7 4 9" xfId="19458"/>
    <cellStyle name="Процентный 2 7 5" xfId="19459"/>
    <cellStyle name="Процентный 2 7 6" xfId="19460"/>
    <cellStyle name="Процентный 2 7 7" xfId="19461"/>
    <cellStyle name="Процентный 2 7 8" xfId="19462"/>
    <cellStyle name="Процентный 2 7 9" xfId="19463"/>
    <cellStyle name="Процентный 2 8" xfId="19464"/>
    <cellStyle name="Процентный 2 8 10" xfId="19465"/>
    <cellStyle name="Процентный 2 8 2" xfId="19466"/>
    <cellStyle name="Процентный 2 8 2 2" xfId="19467"/>
    <cellStyle name="Процентный 2 8 2 2 2" xfId="19468"/>
    <cellStyle name="Процентный 2 8 2 2 2 2" xfId="19469"/>
    <cellStyle name="Процентный 2 8 2 2 2 3" xfId="19470"/>
    <cellStyle name="Процентный 2 8 2 2 2 4" xfId="19471"/>
    <cellStyle name="Процентный 2 8 2 2 2 5" xfId="19472"/>
    <cellStyle name="Процентный 2 8 2 2 2 6" xfId="19473"/>
    <cellStyle name="Процентный 2 8 2 2 3" xfId="19474"/>
    <cellStyle name="Процентный 2 8 2 2 3 2" xfId="19475"/>
    <cellStyle name="Процентный 2 8 2 2 3 3" xfId="19476"/>
    <cellStyle name="Процентный 2 8 2 2 3 4" xfId="19477"/>
    <cellStyle name="Процентный 2 8 2 2 3 5" xfId="19478"/>
    <cellStyle name="Процентный 2 8 2 2 3 6" xfId="19479"/>
    <cellStyle name="Процентный 2 8 2 2 4" xfId="19480"/>
    <cellStyle name="Процентный 2 8 2 2 5" xfId="19481"/>
    <cellStyle name="Процентный 2 8 2 2 6" xfId="19482"/>
    <cellStyle name="Процентный 2 8 2 2 7" xfId="19483"/>
    <cellStyle name="Процентный 2 8 2 2 8" xfId="19484"/>
    <cellStyle name="Процентный 2 8 2 3" xfId="19485"/>
    <cellStyle name="Процентный 2 8 2 3 2" xfId="19486"/>
    <cellStyle name="Процентный 2 8 2 3 3" xfId="19487"/>
    <cellStyle name="Процентный 2 8 2 3 4" xfId="19488"/>
    <cellStyle name="Процентный 2 8 2 3 5" xfId="19489"/>
    <cellStyle name="Процентный 2 8 2 3 6" xfId="19490"/>
    <cellStyle name="Процентный 2 8 2 4" xfId="19491"/>
    <cellStyle name="Процентный 2 8 2 4 2" xfId="19492"/>
    <cellStyle name="Процентный 2 8 2 4 3" xfId="19493"/>
    <cellStyle name="Процентный 2 8 2 4 4" xfId="19494"/>
    <cellStyle name="Процентный 2 8 2 4 5" xfId="19495"/>
    <cellStyle name="Процентный 2 8 2 5" xfId="19496"/>
    <cellStyle name="Процентный 2 8 2 6" xfId="19497"/>
    <cellStyle name="Процентный 2 8 2 7" xfId="19498"/>
    <cellStyle name="Процентный 2 8 2 8" xfId="19499"/>
    <cellStyle name="Процентный 2 8 3" xfId="19500"/>
    <cellStyle name="Процентный 2 8 3 2" xfId="19501"/>
    <cellStyle name="Процентный 2 8 3 2 2" xfId="19502"/>
    <cellStyle name="Процентный 2 8 3 2 2 2" xfId="19503"/>
    <cellStyle name="Процентный 2 8 3 2 2 3" xfId="19504"/>
    <cellStyle name="Процентный 2 8 3 2 2 4" xfId="19505"/>
    <cellStyle name="Процентный 2 8 3 2 2 5" xfId="19506"/>
    <cellStyle name="Процентный 2 8 3 2 2 6" xfId="19507"/>
    <cellStyle name="Процентный 2 8 3 2 3" xfId="19508"/>
    <cellStyle name="Процентный 2 8 3 2 3 2" xfId="19509"/>
    <cellStyle name="Процентный 2 8 3 2 3 3" xfId="19510"/>
    <cellStyle name="Процентный 2 8 3 2 3 4" xfId="19511"/>
    <cellStyle name="Процентный 2 8 3 2 3 5" xfId="19512"/>
    <cellStyle name="Процентный 2 8 3 2 3 6" xfId="19513"/>
    <cellStyle name="Процентный 2 8 3 2 4" xfId="19514"/>
    <cellStyle name="Процентный 2 8 3 2 5" xfId="19515"/>
    <cellStyle name="Процентный 2 8 3 2 6" xfId="19516"/>
    <cellStyle name="Процентный 2 8 3 2 7" xfId="19517"/>
    <cellStyle name="Процентный 2 8 3 2 8" xfId="19518"/>
    <cellStyle name="Процентный 2 8 3 3" xfId="19519"/>
    <cellStyle name="Процентный 2 8 3 3 2" xfId="19520"/>
    <cellStyle name="Процентный 2 8 3 3 3" xfId="19521"/>
    <cellStyle name="Процентный 2 8 3 3 4" xfId="19522"/>
    <cellStyle name="Процентный 2 8 3 3 5" xfId="19523"/>
    <cellStyle name="Процентный 2 8 3 3 6" xfId="19524"/>
    <cellStyle name="Процентный 2 8 3 4" xfId="19525"/>
    <cellStyle name="Процентный 2 8 3 4 2" xfId="19526"/>
    <cellStyle name="Процентный 2 8 3 4 3" xfId="19527"/>
    <cellStyle name="Процентный 2 8 3 4 4" xfId="19528"/>
    <cellStyle name="Процентный 2 8 3 4 5" xfId="19529"/>
    <cellStyle name="Процентный 2 8 3 5" xfId="19530"/>
    <cellStyle name="Процентный 2 8 3 6" xfId="19531"/>
    <cellStyle name="Процентный 2 8 3 7" xfId="19532"/>
    <cellStyle name="Процентный 2 8 3 8" xfId="19533"/>
    <cellStyle name="Процентный 2 8 4" xfId="19534"/>
    <cellStyle name="Процентный 2 8 4 2" xfId="19535"/>
    <cellStyle name="Процентный 2 8 4 3" xfId="19536"/>
    <cellStyle name="Процентный 2 8 5" xfId="19537"/>
    <cellStyle name="Процентный 2 8 6" xfId="19538"/>
    <cellStyle name="Процентный 2 8 6 2" xfId="19539"/>
    <cellStyle name="Процентный 2 8 6 3" xfId="19540"/>
    <cellStyle name="Процентный 2 8 6 4" xfId="19541"/>
    <cellStyle name="Процентный 2 8 6 5" xfId="19542"/>
    <cellStyle name="Процентный 2 8 7" xfId="19543"/>
    <cellStyle name="Процентный 2 8 8" xfId="19544"/>
    <cellStyle name="Процентный 2 8 9" xfId="19545"/>
    <cellStyle name="Процентный 2 9" xfId="19546"/>
    <cellStyle name="Процентный 2 9 2" xfId="19547"/>
    <cellStyle name="Процентный 2 9 2 2" xfId="19548"/>
    <cellStyle name="Процентный 2 9 2 3" xfId="19549"/>
    <cellStyle name="Процентный 2 9 3" xfId="19550"/>
    <cellStyle name="Процентный 2 9 4" xfId="19551"/>
    <cellStyle name="Процентный 2 9 4 2" xfId="19552"/>
    <cellStyle name="Процентный 2 9 4 3" xfId="19553"/>
    <cellStyle name="Процентный 2 9 4 4" xfId="19554"/>
    <cellStyle name="Процентный 2 9 4 5" xfId="19555"/>
    <cellStyle name="Процентный 2 9 5" xfId="19556"/>
    <cellStyle name="Процентный 2 9 6" xfId="19557"/>
    <cellStyle name="Процентный 2 9 7" xfId="19558"/>
    <cellStyle name="Процентный 2 9 8" xfId="19559"/>
    <cellStyle name="Процентный 3" xfId="19560"/>
    <cellStyle name="Процентный 3 10" xfId="19561"/>
    <cellStyle name="Процентный 3 11" xfId="19562"/>
    <cellStyle name="Процентный 3 12" xfId="19563"/>
    <cellStyle name="Процентный 3 13" xfId="19564"/>
    <cellStyle name="Процентный 3 14" xfId="19565"/>
    <cellStyle name="Процентный 3 15" xfId="19566"/>
    <cellStyle name="Процентный 3 2" xfId="19567"/>
    <cellStyle name="Процентный 3 2 10" xfId="19568"/>
    <cellStyle name="Процентный 3 2 2" xfId="19569"/>
    <cellStyle name="Процентный 3 2 2 2" xfId="19570"/>
    <cellStyle name="Процентный 3 2 2 2 2" xfId="19571"/>
    <cellStyle name="Процентный 3 2 2 2 3" xfId="19572"/>
    <cellStyle name="Процентный 3 2 2 3" xfId="19573"/>
    <cellStyle name="Процентный 3 2 2 4" xfId="19574"/>
    <cellStyle name="Процентный 3 2 2 4 2" xfId="19575"/>
    <cellStyle name="Процентный 3 2 2 4 3" xfId="19576"/>
    <cellStyle name="Процентный 3 2 2 4 4" xfId="19577"/>
    <cellStyle name="Процентный 3 2 2 4 5" xfId="19578"/>
    <cellStyle name="Процентный 3 2 2 5" xfId="19579"/>
    <cellStyle name="Процентный 3 2 2 6" xfId="19580"/>
    <cellStyle name="Процентный 3 2 2 7" xfId="19581"/>
    <cellStyle name="Процентный 3 2 2 8" xfId="19582"/>
    <cellStyle name="Процентный 3 2 3" xfId="19583"/>
    <cellStyle name="Процентный 3 2 3 10" xfId="19584"/>
    <cellStyle name="Процентный 3 2 3 11" xfId="19585"/>
    <cellStyle name="Процентный 3 2 3 12" xfId="19586"/>
    <cellStyle name="Процентный 3 2 3 2" xfId="19587"/>
    <cellStyle name="Процентный 3 2 3 2 10" xfId="19588"/>
    <cellStyle name="Процентный 3 2 3 2 11" xfId="19589"/>
    <cellStyle name="Процентный 3 2 3 2 12" xfId="19590"/>
    <cellStyle name="Процентный 3 2 3 2 2" xfId="19591"/>
    <cellStyle name="Процентный 3 2 3 2 2 2" xfId="19592"/>
    <cellStyle name="Процентный 3 2 3 2 2 3" xfId="19593"/>
    <cellStyle name="Процентный 3 2 3 2 2 4" xfId="19594"/>
    <cellStyle name="Процентный 3 2 3 2 2 5" xfId="19595"/>
    <cellStyle name="Процентный 3 2 3 2 2 6" xfId="19596"/>
    <cellStyle name="Процентный 3 2 3 2 2 7" xfId="19597"/>
    <cellStyle name="Процентный 3 2 3 2 2 8" xfId="19598"/>
    <cellStyle name="Процентный 3 2 3 2 2 9" xfId="19599"/>
    <cellStyle name="Процентный 3 2 3 2 3" xfId="19600"/>
    <cellStyle name="Процентный 3 2 3 2 3 2" xfId="19601"/>
    <cellStyle name="Процентный 3 2 3 2 3 3" xfId="19602"/>
    <cellStyle name="Процентный 3 2 3 2 3 4" xfId="19603"/>
    <cellStyle name="Процентный 3 2 3 2 3 5" xfId="19604"/>
    <cellStyle name="Процентный 3 2 3 2 3 6" xfId="19605"/>
    <cellStyle name="Процентный 3 2 3 2 3 7" xfId="19606"/>
    <cellStyle name="Процентный 3 2 3 2 3 8" xfId="19607"/>
    <cellStyle name="Процентный 3 2 3 2 3 9" xfId="19608"/>
    <cellStyle name="Процентный 3 2 3 2 4" xfId="19609"/>
    <cellStyle name="Процентный 3 2 3 2 4 2" xfId="19610"/>
    <cellStyle name="Процентный 3 2 3 2 4 3" xfId="19611"/>
    <cellStyle name="Процентный 3 2 3 2 4 4" xfId="19612"/>
    <cellStyle name="Процентный 3 2 3 2 4 5" xfId="19613"/>
    <cellStyle name="Процентный 3 2 3 2 4 6" xfId="19614"/>
    <cellStyle name="Процентный 3 2 3 2 4 7" xfId="19615"/>
    <cellStyle name="Процентный 3 2 3 2 4 8" xfId="19616"/>
    <cellStyle name="Процентный 3 2 3 2 4 9" xfId="19617"/>
    <cellStyle name="Процентный 3 2 3 2 5" xfId="19618"/>
    <cellStyle name="Процентный 3 2 3 2 6" xfId="19619"/>
    <cellStyle name="Процентный 3 2 3 2 7" xfId="19620"/>
    <cellStyle name="Процентный 3 2 3 2 8" xfId="19621"/>
    <cellStyle name="Процентный 3 2 3 2 9" xfId="19622"/>
    <cellStyle name="Процентный 3 2 3 3" xfId="19623"/>
    <cellStyle name="Процентный 3 2 3 3 10" xfId="19624"/>
    <cellStyle name="Процентный 3 2 3 3 11" xfId="19625"/>
    <cellStyle name="Процентный 3 2 3 3 2" xfId="19626"/>
    <cellStyle name="Процентный 3 2 3 3 2 2" xfId="19627"/>
    <cellStyle name="Процентный 3 2 3 3 2 3" xfId="19628"/>
    <cellStyle name="Процентный 3 2 3 3 2 4" xfId="19629"/>
    <cellStyle name="Процентный 3 2 3 3 2 5" xfId="19630"/>
    <cellStyle name="Процентный 3 2 3 3 2 6" xfId="19631"/>
    <cellStyle name="Процентный 3 2 3 3 2 7" xfId="19632"/>
    <cellStyle name="Процентный 3 2 3 3 2 8" xfId="19633"/>
    <cellStyle name="Процентный 3 2 3 3 2 9" xfId="19634"/>
    <cellStyle name="Процентный 3 2 3 3 3" xfId="19635"/>
    <cellStyle name="Процентный 3 2 3 3 3 2" xfId="19636"/>
    <cellStyle name="Процентный 3 2 3 3 3 3" xfId="19637"/>
    <cellStyle name="Процентный 3 2 3 3 3 4" xfId="19638"/>
    <cellStyle name="Процентный 3 2 3 3 3 5" xfId="19639"/>
    <cellStyle name="Процентный 3 2 3 3 3 6" xfId="19640"/>
    <cellStyle name="Процентный 3 2 3 3 3 7" xfId="19641"/>
    <cellStyle name="Процентный 3 2 3 3 3 8" xfId="19642"/>
    <cellStyle name="Процентный 3 2 3 3 3 9" xfId="19643"/>
    <cellStyle name="Процентный 3 2 3 3 4" xfId="19644"/>
    <cellStyle name="Процентный 3 2 3 3 5" xfId="19645"/>
    <cellStyle name="Процентный 3 2 3 3 6" xfId="19646"/>
    <cellStyle name="Процентный 3 2 3 3 7" xfId="19647"/>
    <cellStyle name="Процентный 3 2 3 3 8" xfId="19648"/>
    <cellStyle name="Процентный 3 2 3 3 9" xfId="19649"/>
    <cellStyle name="Процентный 3 2 3 4" xfId="19650"/>
    <cellStyle name="Процентный 3 2 3 4 2" xfId="19651"/>
    <cellStyle name="Процентный 3 2 3 4 3" xfId="19652"/>
    <cellStyle name="Процентный 3 2 3 4 4" xfId="19653"/>
    <cellStyle name="Процентный 3 2 3 4 5" xfId="19654"/>
    <cellStyle name="Процентный 3 2 3 4 6" xfId="19655"/>
    <cellStyle name="Процентный 3 2 3 4 7" xfId="19656"/>
    <cellStyle name="Процентный 3 2 3 4 8" xfId="19657"/>
    <cellStyle name="Процентный 3 2 3 4 9" xfId="19658"/>
    <cellStyle name="Процентный 3 2 3 5" xfId="19659"/>
    <cellStyle name="Процентный 3 2 3 6" xfId="19660"/>
    <cellStyle name="Процентный 3 2 3 7" xfId="19661"/>
    <cellStyle name="Процентный 3 2 3 8" xfId="19662"/>
    <cellStyle name="Процентный 3 2 3 9" xfId="19663"/>
    <cellStyle name="Процентный 3 2 4" xfId="19664"/>
    <cellStyle name="Процентный 3 2 4 2" xfId="19665"/>
    <cellStyle name="Процентный 3 2 4 3" xfId="19666"/>
    <cellStyle name="Процентный 3 2 5" xfId="19667"/>
    <cellStyle name="Процентный 3 2 6" xfId="19668"/>
    <cellStyle name="Процентный 3 2 6 2" xfId="19669"/>
    <cellStyle name="Процентный 3 2 6 3" xfId="19670"/>
    <cellStyle name="Процентный 3 2 6 4" xfId="19671"/>
    <cellStyle name="Процентный 3 2 6 5" xfId="19672"/>
    <cellStyle name="Процентный 3 2 7" xfId="19673"/>
    <cellStyle name="Процентный 3 2 8" xfId="19674"/>
    <cellStyle name="Процентный 3 2 9" xfId="19675"/>
    <cellStyle name="Процентный 3 3" xfId="19676"/>
    <cellStyle name="Процентный 3 3 2" xfId="19677"/>
    <cellStyle name="Процентный 3 3 2 2" xfId="19678"/>
    <cellStyle name="Процентный 3 3 2 3" xfId="19679"/>
    <cellStyle name="Процентный 3 3 3" xfId="19680"/>
    <cellStyle name="Процентный 3 3 4" xfId="19681"/>
    <cellStyle name="Процентный 3 3 4 2" xfId="19682"/>
    <cellStyle name="Процентный 3 3 4 3" xfId="19683"/>
    <cellStyle name="Процентный 3 3 4 4" xfId="19684"/>
    <cellStyle name="Процентный 3 3 4 5" xfId="19685"/>
    <cellStyle name="Процентный 3 3 5" xfId="19686"/>
    <cellStyle name="Процентный 3 3 6" xfId="19687"/>
    <cellStyle name="Процентный 3 3 7" xfId="19688"/>
    <cellStyle name="Процентный 3 3 8" xfId="19689"/>
    <cellStyle name="Процентный 3 4" xfId="19690"/>
    <cellStyle name="Процентный 3 4 2" xfId="19691"/>
    <cellStyle name="Процентный 3 4 2 2" xfId="19692"/>
    <cellStyle name="Процентный 3 4 2 3" xfId="19693"/>
    <cellStyle name="Процентный 3 4 3" xfId="19694"/>
    <cellStyle name="Процентный 3 4 4" xfId="19695"/>
    <cellStyle name="Процентный 3 4 4 2" xfId="19696"/>
    <cellStyle name="Процентный 3 4 4 3" xfId="19697"/>
    <cellStyle name="Процентный 3 4 4 4" xfId="19698"/>
    <cellStyle name="Процентный 3 4 4 5" xfId="19699"/>
    <cellStyle name="Процентный 3 4 5" xfId="19700"/>
    <cellStyle name="Процентный 3 4 6" xfId="19701"/>
    <cellStyle name="Процентный 3 4 7" xfId="19702"/>
    <cellStyle name="Процентный 3 4 8" xfId="19703"/>
    <cellStyle name="Процентный 3 5" xfId="19704"/>
    <cellStyle name="Процентный 3 5 10" xfId="19705"/>
    <cellStyle name="Процентный 3 5 11" xfId="19706"/>
    <cellStyle name="Процентный 3 5 12" xfId="19707"/>
    <cellStyle name="Процентный 3 5 2" xfId="19708"/>
    <cellStyle name="Процентный 3 5 2 2" xfId="19709"/>
    <cellStyle name="Процентный 3 5 2 3" xfId="19710"/>
    <cellStyle name="Процентный 3 5 2 4" xfId="19711"/>
    <cellStyle name="Процентный 3 5 2 5" xfId="19712"/>
    <cellStyle name="Процентный 3 5 2 6" xfId="19713"/>
    <cellStyle name="Процентный 3 5 2 7" xfId="19714"/>
    <cellStyle name="Процентный 3 5 2 8" xfId="19715"/>
    <cellStyle name="Процентный 3 5 2 9" xfId="19716"/>
    <cellStyle name="Процентный 3 5 3" xfId="19717"/>
    <cellStyle name="Процентный 3 5 3 2" xfId="19718"/>
    <cellStyle name="Процентный 3 5 3 3" xfId="19719"/>
    <cellStyle name="Процентный 3 5 3 4" xfId="19720"/>
    <cellStyle name="Процентный 3 5 3 5" xfId="19721"/>
    <cellStyle name="Процентный 3 5 3 6" xfId="19722"/>
    <cellStyle name="Процентный 3 5 3 7" xfId="19723"/>
    <cellStyle name="Процентный 3 5 3 8" xfId="19724"/>
    <cellStyle name="Процентный 3 5 3 9" xfId="19725"/>
    <cellStyle name="Процентный 3 5 4" xfId="19726"/>
    <cellStyle name="Процентный 3 5 4 2" xfId="19727"/>
    <cellStyle name="Процентный 3 5 4 3" xfId="19728"/>
    <cellStyle name="Процентный 3 5 4 4" xfId="19729"/>
    <cellStyle name="Процентный 3 5 4 5" xfId="19730"/>
    <cellStyle name="Процентный 3 5 4 6" xfId="19731"/>
    <cellStyle name="Процентный 3 5 4 7" xfId="19732"/>
    <cellStyle name="Процентный 3 5 4 8" xfId="19733"/>
    <cellStyle name="Процентный 3 5 4 9" xfId="19734"/>
    <cellStyle name="Процентный 3 5 5" xfId="19735"/>
    <cellStyle name="Процентный 3 5 6" xfId="19736"/>
    <cellStyle name="Процентный 3 5 7" xfId="19737"/>
    <cellStyle name="Процентный 3 5 8" xfId="19738"/>
    <cellStyle name="Процентный 3 5 9" xfId="19739"/>
    <cellStyle name="Процентный 3 6" xfId="19740"/>
    <cellStyle name="Процентный 3 6 10" xfId="19741"/>
    <cellStyle name="Процентный 3 6 11" xfId="19742"/>
    <cellStyle name="Процентный 3 6 2" xfId="19743"/>
    <cellStyle name="Процентный 3 6 2 2" xfId="19744"/>
    <cellStyle name="Процентный 3 6 2 3" xfId="19745"/>
    <cellStyle name="Процентный 3 6 2 4" xfId="19746"/>
    <cellStyle name="Процентный 3 6 2 5" xfId="19747"/>
    <cellStyle name="Процентный 3 6 2 6" xfId="19748"/>
    <cellStyle name="Процентный 3 6 2 7" xfId="19749"/>
    <cellStyle name="Процентный 3 6 2 8" xfId="19750"/>
    <cellStyle name="Процентный 3 6 2 9" xfId="19751"/>
    <cellStyle name="Процентный 3 6 3" xfId="19752"/>
    <cellStyle name="Процентный 3 6 3 2" xfId="19753"/>
    <cellStyle name="Процентный 3 6 3 3" xfId="19754"/>
    <cellStyle name="Процентный 3 6 3 4" xfId="19755"/>
    <cellStyle name="Процентный 3 6 3 5" xfId="19756"/>
    <cellStyle name="Процентный 3 6 3 6" xfId="19757"/>
    <cellStyle name="Процентный 3 6 3 7" xfId="19758"/>
    <cellStyle name="Процентный 3 6 3 8" xfId="19759"/>
    <cellStyle name="Процентный 3 6 3 9" xfId="19760"/>
    <cellStyle name="Процентный 3 6 4" xfId="19761"/>
    <cellStyle name="Процентный 3 6 5" xfId="19762"/>
    <cellStyle name="Процентный 3 6 6" xfId="19763"/>
    <cellStyle name="Процентный 3 6 7" xfId="19764"/>
    <cellStyle name="Процентный 3 6 8" xfId="19765"/>
    <cellStyle name="Процентный 3 6 9" xfId="19766"/>
    <cellStyle name="Процентный 3 7" xfId="19767"/>
    <cellStyle name="Процентный 3 7 2" xfId="19768"/>
    <cellStyle name="Процентный 3 7 3" xfId="19769"/>
    <cellStyle name="Процентный 3 7 4" xfId="19770"/>
    <cellStyle name="Процентный 3 7 5" xfId="19771"/>
    <cellStyle name="Процентный 3 7 6" xfId="19772"/>
    <cellStyle name="Процентный 3 7 7" xfId="19773"/>
    <cellStyle name="Процентный 3 7 8" xfId="19774"/>
    <cellStyle name="Процентный 3 7 9" xfId="19775"/>
    <cellStyle name="Процентный 3 8" xfId="19776"/>
    <cellStyle name="Процентный 3 9" xfId="19777"/>
    <cellStyle name="Процентный 4" xfId="19778"/>
    <cellStyle name="Процентный 4 2" xfId="19779"/>
    <cellStyle name="Процентный 4 2 2" xfId="19780"/>
    <cellStyle name="Процентный 4 2 3" xfId="19781"/>
    <cellStyle name="Процентный 4 3" xfId="19782"/>
    <cellStyle name="Процентный 4 4" xfId="19783"/>
    <cellStyle name="Процентный 4 4 2" xfId="19784"/>
    <cellStyle name="Процентный 4 4 3" xfId="19785"/>
    <cellStyle name="Процентный 4 4 4" xfId="19786"/>
    <cellStyle name="Процентный 4 4 5" xfId="19787"/>
    <cellStyle name="Процентный 4 5" xfId="19788"/>
    <cellStyle name="Процентный 4 6" xfId="19789"/>
    <cellStyle name="Процентный 4 7" xfId="19790"/>
    <cellStyle name="Процентный 4 8" xfId="19791"/>
    <cellStyle name="Связанная ячейка 2" xfId="19792"/>
    <cellStyle name="Связанная ячейка 2 2" xfId="19793"/>
    <cellStyle name="Связанная ячейка 2 2 2" xfId="19794"/>
    <cellStyle name="Связанная ячейка 2 2 2 2" xfId="19795"/>
    <cellStyle name="Связанная ячейка 2 2 2 3" xfId="19796"/>
    <cellStyle name="Связанная ячейка 2 2 3" xfId="19797"/>
    <cellStyle name="Связанная ячейка 2 2 4" xfId="19798"/>
    <cellStyle name="Связанная ячейка 2 2 4 2" xfId="19799"/>
    <cellStyle name="Связанная ячейка 2 2 4 3" xfId="19800"/>
    <cellStyle name="Связанная ячейка 2 2 4 4" xfId="19801"/>
    <cellStyle name="Связанная ячейка 2 2 4 5" xfId="19802"/>
    <cellStyle name="Связанная ячейка 2 2 5" xfId="19803"/>
    <cellStyle name="Связанная ячейка 2 2 6" xfId="19804"/>
    <cellStyle name="Связанная ячейка 2 2 7" xfId="19805"/>
    <cellStyle name="Связанная ячейка 2 2 8" xfId="19806"/>
    <cellStyle name="Связанная ячейка 2 3" xfId="19807"/>
    <cellStyle name="Связанная ячейка 2 3 2" xfId="19808"/>
    <cellStyle name="Связанная ячейка 2 3 2 2" xfId="19809"/>
    <cellStyle name="Связанная ячейка 2 3 2 3" xfId="19810"/>
    <cellStyle name="Связанная ячейка 2 3 2 4" xfId="19811"/>
    <cellStyle name="Связанная ячейка 2 3 2 5" xfId="19812"/>
    <cellStyle name="Связанная ячейка 2 3 2 6" xfId="19813"/>
    <cellStyle name="Связанная ячейка 2 3 3" xfId="19814"/>
    <cellStyle name="Связанная ячейка 2 3 3 2" xfId="19815"/>
    <cellStyle name="Связанная ячейка 2 3 3 3" xfId="19816"/>
    <cellStyle name="Связанная ячейка 2 3 3 4" xfId="19817"/>
    <cellStyle name="Связанная ячейка 2 3 3 5" xfId="19818"/>
    <cellStyle name="Связанная ячейка 2 3 3 6" xfId="19819"/>
    <cellStyle name="Связанная ячейка 2 3 4" xfId="19820"/>
    <cellStyle name="Связанная ячейка 2 3 5" xfId="19821"/>
    <cellStyle name="Связанная ячейка 2 3 6" xfId="19822"/>
    <cellStyle name="Связанная ячейка 2 3 7" xfId="19823"/>
    <cellStyle name="Связанная ячейка 2 3 8" xfId="19824"/>
    <cellStyle name="Связанная ячейка 2 4" xfId="19825"/>
    <cellStyle name="Связанная ячейка 2 4 2" xfId="19826"/>
    <cellStyle name="Связанная ячейка 2 4 3" xfId="19827"/>
    <cellStyle name="Связанная ячейка 2 4 4" xfId="19828"/>
    <cellStyle name="Связанная ячейка 2 4 5" xfId="19829"/>
    <cellStyle name="Связанная ячейка 2 4 6" xfId="19830"/>
    <cellStyle name="Связанная ячейка 2 5" xfId="19831"/>
    <cellStyle name="Связанная ячейка 2 5 2" xfId="19832"/>
    <cellStyle name="Связанная ячейка 2 5 3" xfId="19833"/>
    <cellStyle name="Связанная ячейка 2 5 4" xfId="19834"/>
    <cellStyle name="Связанная ячейка 2 5 5" xfId="19835"/>
    <cellStyle name="Связанная ячейка 2 6" xfId="19836"/>
    <cellStyle name="Связанная ячейка 2 7" xfId="19837"/>
    <cellStyle name="Связанная ячейка 2 8" xfId="19838"/>
    <cellStyle name="Связанная ячейка 2 9" xfId="19839"/>
    <cellStyle name="Связанная ячейка 3" xfId="19840"/>
    <cellStyle name="Связанная ячейка 3 2" xfId="19841"/>
    <cellStyle name="Связанная ячейка 3 2 2" xfId="19842"/>
    <cellStyle name="Связанная ячейка 3 2 2 2" xfId="19843"/>
    <cellStyle name="Связанная ячейка 3 2 2 3" xfId="19844"/>
    <cellStyle name="Связанная ячейка 3 2 2 4" xfId="19845"/>
    <cellStyle name="Связанная ячейка 3 2 2 5" xfId="19846"/>
    <cellStyle name="Связанная ячейка 3 2 2 6" xfId="19847"/>
    <cellStyle name="Связанная ячейка 3 2 3" xfId="19848"/>
    <cellStyle name="Связанная ячейка 3 2 3 2" xfId="19849"/>
    <cellStyle name="Связанная ячейка 3 2 3 3" xfId="19850"/>
    <cellStyle name="Связанная ячейка 3 2 3 4" xfId="19851"/>
    <cellStyle name="Связанная ячейка 3 2 3 5" xfId="19852"/>
    <cellStyle name="Связанная ячейка 3 2 3 6" xfId="19853"/>
    <cellStyle name="Связанная ячейка 3 2 4" xfId="19854"/>
    <cellStyle name="Связанная ячейка 3 2 5" xfId="19855"/>
    <cellStyle name="Связанная ячейка 3 2 6" xfId="19856"/>
    <cellStyle name="Связанная ячейка 3 2 7" xfId="19857"/>
    <cellStyle name="Связанная ячейка 3 2 8" xfId="19858"/>
    <cellStyle name="Связанная ячейка 3 3" xfId="19859"/>
    <cellStyle name="Связанная ячейка 3 3 2" xfId="19860"/>
    <cellStyle name="Связанная ячейка 3 3 3" xfId="19861"/>
    <cellStyle name="Связанная ячейка 3 3 4" xfId="19862"/>
    <cellStyle name="Связанная ячейка 3 3 5" xfId="19863"/>
    <cellStyle name="Связанная ячейка 3 3 6" xfId="19864"/>
    <cellStyle name="Связанная ячейка 3 4" xfId="19865"/>
    <cellStyle name="Связанная ячейка 3 4 2" xfId="19866"/>
    <cellStyle name="Связанная ячейка 3 4 3" xfId="19867"/>
    <cellStyle name="Связанная ячейка 3 4 4" xfId="19868"/>
    <cellStyle name="Связанная ячейка 3 4 5" xfId="19869"/>
    <cellStyle name="Связанная ячейка 3 5" xfId="19870"/>
    <cellStyle name="Связанная ячейка 3 6" xfId="19871"/>
    <cellStyle name="Связанная ячейка 3 7" xfId="19872"/>
    <cellStyle name="Связанная ячейка 3 8" xfId="19873"/>
    <cellStyle name="Связанная ячейка 4" xfId="19874"/>
    <cellStyle name="Связанная ячейка 4 2" xfId="19875"/>
    <cellStyle name="Связанная ячейка 4 2 2" xfId="19876"/>
    <cellStyle name="Связанная ячейка 4 2 2 2" xfId="19877"/>
    <cellStyle name="Связанная ячейка 4 2 2 3" xfId="19878"/>
    <cellStyle name="Связанная ячейка 4 2 2 4" xfId="19879"/>
    <cellStyle name="Связанная ячейка 4 2 2 5" xfId="19880"/>
    <cellStyle name="Связанная ячейка 4 2 2 6" xfId="19881"/>
    <cellStyle name="Связанная ячейка 4 2 3" xfId="19882"/>
    <cellStyle name="Связанная ячейка 4 2 3 2" xfId="19883"/>
    <cellStyle name="Связанная ячейка 4 2 3 3" xfId="19884"/>
    <cellStyle name="Связанная ячейка 4 2 3 4" xfId="19885"/>
    <cellStyle name="Связанная ячейка 4 2 3 5" xfId="19886"/>
    <cellStyle name="Связанная ячейка 4 2 3 6" xfId="19887"/>
    <cellStyle name="Связанная ячейка 4 2 4" xfId="19888"/>
    <cellStyle name="Связанная ячейка 4 2 5" xfId="19889"/>
    <cellStyle name="Связанная ячейка 4 2 6" xfId="19890"/>
    <cellStyle name="Связанная ячейка 4 2 7" xfId="19891"/>
    <cellStyle name="Связанная ячейка 4 2 8" xfId="19892"/>
    <cellStyle name="Связанная ячейка 4 3" xfId="19893"/>
    <cellStyle name="Связанная ячейка 4 3 2" xfId="19894"/>
    <cellStyle name="Связанная ячейка 4 3 3" xfId="19895"/>
    <cellStyle name="Связанная ячейка 4 3 4" xfId="19896"/>
    <cellStyle name="Связанная ячейка 4 3 5" xfId="19897"/>
    <cellStyle name="Связанная ячейка 4 3 6" xfId="19898"/>
    <cellStyle name="Связанная ячейка 4 4" xfId="19899"/>
    <cellStyle name="Связанная ячейка 4 4 2" xfId="19900"/>
    <cellStyle name="Связанная ячейка 4 4 3" xfId="19901"/>
    <cellStyle name="Связанная ячейка 4 4 4" xfId="19902"/>
    <cellStyle name="Связанная ячейка 4 4 5" xfId="19903"/>
    <cellStyle name="Связанная ячейка 4 5" xfId="19904"/>
    <cellStyle name="Связанная ячейка 4 6" xfId="19905"/>
    <cellStyle name="Связанная ячейка 4 7" xfId="19906"/>
    <cellStyle name="Связанная ячейка 4 8" xfId="19907"/>
    <cellStyle name="Связанная ячейка 5" xfId="19908"/>
    <cellStyle name="Связанная ячейка 5 2" xfId="19909"/>
    <cellStyle name="Связанная ячейка 5 2 2" xfId="19910"/>
    <cellStyle name="Связанная ячейка 5 2 2 2" xfId="19911"/>
    <cellStyle name="Связанная ячейка 5 2 2 3" xfId="19912"/>
    <cellStyle name="Связанная ячейка 5 2 2 4" xfId="19913"/>
    <cellStyle name="Связанная ячейка 5 2 2 5" xfId="19914"/>
    <cellStyle name="Связанная ячейка 5 2 2 6" xfId="19915"/>
    <cellStyle name="Связанная ячейка 5 2 3" xfId="19916"/>
    <cellStyle name="Связанная ячейка 5 2 3 2" xfId="19917"/>
    <cellStyle name="Связанная ячейка 5 2 3 3" xfId="19918"/>
    <cellStyle name="Связанная ячейка 5 2 3 4" xfId="19919"/>
    <cellStyle name="Связанная ячейка 5 2 3 5" xfId="19920"/>
    <cellStyle name="Связанная ячейка 5 2 3 6" xfId="19921"/>
    <cellStyle name="Связанная ячейка 5 2 4" xfId="19922"/>
    <cellStyle name="Связанная ячейка 5 2 5" xfId="19923"/>
    <cellStyle name="Связанная ячейка 5 2 6" xfId="19924"/>
    <cellStyle name="Связанная ячейка 5 2 7" xfId="19925"/>
    <cellStyle name="Связанная ячейка 5 2 8" xfId="19926"/>
    <cellStyle name="Связанная ячейка 5 3" xfId="19927"/>
    <cellStyle name="Связанная ячейка 5 3 2" xfId="19928"/>
    <cellStyle name="Связанная ячейка 5 3 3" xfId="19929"/>
    <cellStyle name="Связанная ячейка 5 3 4" xfId="19930"/>
    <cellStyle name="Связанная ячейка 5 3 5" xfId="19931"/>
    <cellStyle name="Связанная ячейка 5 3 6" xfId="19932"/>
    <cellStyle name="Связанная ячейка 5 4" xfId="19933"/>
    <cellStyle name="Связанная ячейка 5 4 2" xfId="19934"/>
    <cellStyle name="Связанная ячейка 5 4 3" xfId="19935"/>
    <cellStyle name="Связанная ячейка 5 4 4" xfId="19936"/>
    <cellStyle name="Связанная ячейка 5 4 5" xfId="19937"/>
    <cellStyle name="Связанная ячейка 5 5" xfId="19938"/>
    <cellStyle name="Связанная ячейка 5 6" xfId="19939"/>
    <cellStyle name="Связанная ячейка 5 7" xfId="19940"/>
    <cellStyle name="Связанная ячейка 5 8" xfId="19941"/>
    <cellStyle name="Связанная ячейка 6" xfId="19942"/>
    <cellStyle name="Связанная ячейка 6 2" xfId="19943"/>
    <cellStyle name="Связанная ячейка 6 2 2" xfId="19944"/>
    <cellStyle name="Связанная ячейка 6 2 2 2" xfId="19945"/>
    <cellStyle name="Связанная ячейка 6 2 2 3" xfId="19946"/>
    <cellStyle name="Связанная ячейка 6 2 2 4" xfId="19947"/>
    <cellStyle name="Связанная ячейка 6 2 2 5" xfId="19948"/>
    <cellStyle name="Связанная ячейка 6 2 2 6" xfId="19949"/>
    <cellStyle name="Связанная ячейка 6 2 3" xfId="19950"/>
    <cellStyle name="Связанная ячейка 6 2 3 2" xfId="19951"/>
    <cellStyle name="Связанная ячейка 6 2 3 3" xfId="19952"/>
    <cellStyle name="Связанная ячейка 6 2 3 4" xfId="19953"/>
    <cellStyle name="Связанная ячейка 6 2 3 5" xfId="19954"/>
    <cellStyle name="Связанная ячейка 6 2 3 6" xfId="19955"/>
    <cellStyle name="Связанная ячейка 6 2 4" xfId="19956"/>
    <cellStyle name="Связанная ячейка 6 2 5" xfId="19957"/>
    <cellStyle name="Связанная ячейка 6 2 6" xfId="19958"/>
    <cellStyle name="Связанная ячейка 6 2 7" xfId="19959"/>
    <cellStyle name="Связанная ячейка 6 2 8" xfId="19960"/>
    <cellStyle name="Связанная ячейка 6 3" xfId="19961"/>
    <cellStyle name="Связанная ячейка 6 3 2" xfId="19962"/>
    <cellStyle name="Связанная ячейка 6 3 3" xfId="19963"/>
    <cellStyle name="Связанная ячейка 6 3 4" xfId="19964"/>
    <cellStyle name="Связанная ячейка 6 3 5" xfId="19965"/>
    <cellStyle name="Связанная ячейка 6 3 6" xfId="19966"/>
    <cellStyle name="Связанная ячейка 6 4" xfId="19967"/>
    <cellStyle name="Связанная ячейка 6 4 2" xfId="19968"/>
    <cellStyle name="Связанная ячейка 6 4 3" xfId="19969"/>
    <cellStyle name="Связанная ячейка 6 4 4" xfId="19970"/>
    <cellStyle name="Связанная ячейка 6 4 5" xfId="19971"/>
    <cellStyle name="Связанная ячейка 6 5" xfId="19972"/>
    <cellStyle name="Связанная ячейка 6 6" xfId="19973"/>
    <cellStyle name="Связанная ячейка 6 7" xfId="19974"/>
    <cellStyle name="Связанная ячейка 6 8" xfId="19975"/>
    <cellStyle name="Стиль 1" xfId="19976"/>
    <cellStyle name="Текст предупреждения 2" xfId="19977"/>
    <cellStyle name="Текст предупреждения 2 2" xfId="19978"/>
    <cellStyle name="Текст предупреждения 2 2 2" xfId="19979"/>
    <cellStyle name="Текст предупреждения 2 2 2 2" xfId="19980"/>
    <cellStyle name="Текст предупреждения 2 2 2 3" xfId="19981"/>
    <cellStyle name="Текст предупреждения 2 2 3" xfId="19982"/>
    <cellStyle name="Текст предупреждения 2 2 4" xfId="19983"/>
    <cellStyle name="Текст предупреждения 2 2 4 2" xfId="19984"/>
    <cellStyle name="Текст предупреждения 2 2 4 3" xfId="19985"/>
    <cellStyle name="Текст предупреждения 2 2 4 4" xfId="19986"/>
    <cellStyle name="Текст предупреждения 2 2 4 5" xfId="19987"/>
    <cellStyle name="Текст предупреждения 2 2 5" xfId="19988"/>
    <cellStyle name="Текст предупреждения 2 2 6" xfId="19989"/>
    <cellStyle name="Текст предупреждения 2 2 7" xfId="19990"/>
    <cellStyle name="Текст предупреждения 2 2 8" xfId="19991"/>
    <cellStyle name="Текст предупреждения 2 3" xfId="19992"/>
    <cellStyle name="Текст предупреждения 2 3 2" xfId="19993"/>
    <cellStyle name="Текст предупреждения 2 3 3" xfId="19994"/>
    <cellStyle name="Текст предупреждения 2 4" xfId="19995"/>
    <cellStyle name="Текст предупреждения 2 5" xfId="19996"/>
    <cellStyle name="Текст предупреждения 2 5 2" xfId="19997"/>
    <cellStyle name="Текст предупреждения 2 5 3" xfId="19998"/>
    <cellStyle name="Текст предупреждения 2 5 4" xfId="19999"/>
    <cellStyle name="Текст предупреждения 2 5 5" xfId="20000"/>
    <cellStyle name="Текст предупреждения 2 6" xfId="20001"/>
    <cellStyle name="Текст предупреждения 2 7" xfId="20002"/>
    <cellStyle name="Текст предупреждения 2 8" xfId="20003"/>
    <cellStyle name="Текст предупреждения 2 9" xfId="20004"/>
    <cellStyle name="Текст предупреждения 3" xfId="20005"/>
    <cellStyle name="Текст предупреждения 3 2" xfId="20006"/>
    <cellStyle name="Текст предупреждения 3 2 2" xfId="20007"/>
    <cellStyle name="Текст предупреждения 3 2 3" xfId="20008"/>
    <cellStyle name="Текст предупреждения 3 3" xfId="20009"/>
    <cellStyle name="Текст предупреждения 3 4" xfId="20010"/>
    <cellStyle name="Текст предупреждения 3 4 2" xfId="20011"/>
    <cellStyle name="Текст предупреждения 3 4 3" xfId="20012"/>
    <cellStyle name="Текст предупреждения 3 4 4" xfId="20013"/>
    <cellStyle name="Текст предупреждения 3 4 5" xfId="20014"/>
    <cellStyle name="Текст предупреждения 3 5" xfId="20015"/>
    <cellStyle name="Текст предупреждения 3 6" xfId="20016"/>
    <cellStyle name="Текст предупреждения 3 7" xfId="20017"/>
    <cellStyle name="Текст предупреждения 3 8" xfId="20018"/>
    <cellStyle name="Текст предупреждения 4" xfId="20019"/>
    <cellStyle name="Текст предупреждения 4 2" xfId="20020"/>
    <cellStyle name="Текст предупреждения 4 2 2" xfId="20021"/>
    <cellStyle name="Текст предупреждения 4 2 3" xfId="20022"/>
    <cellStyle name="Текст предупреждения 4 3" xfId="20023"/>
    <cellStyle name="Текст предупреждения 4 4" xfId="20024"/>
    <cellStyle name="Текст предупреждения 4 4 2" xfId="20025"/>
    <cellStyle name="Текст предупреждения 4 4 3" xfId="20026"/>
    <cellStyle name="Текст предупреждения 4 4 4" xfId="20027"/>
    <cellStyle name="Текст предупреждения 4 4 5" xfId="20028"/>
    <cellStyle name="Текст предупреждения 4 5" xfId="20029"/>
    <cellStyle name="Текст предупреждения 4 6" xfId="20030"/>
    <cellStyle name="Текст предупреждения 4 7" xfId="20031"/>
    <cellStyle name="Текст предупреждения 4 8" xfId="20032"/>
    <cellStyle name="Текст предупреждения 5" xfId="20033"/>
    <cellStyle name="Текст предупреждения 5 2" xfId="20034"/>
    <cellStyle name="Текст предупреждения 5 2 2" xfId="20035"/>
    <cellStyle name="Текст предупреждения 5 2 3" xfId="20036"/>
    <cellStyle name="Текст предупреждения 5 3" xfId="20037"/>
    <cellStyle name="Текст предупреждения 5 4" xfId="20038"/>
    <cellStyle name="Текст предупреждения 5 4 2" xfId="20039"/>
    <cellStyle name="Текст предупреждения 5 4 3" xfId="20040"/>
    <cellStyle name="Текст предупреждения 5 4 4" xfId="20041"/>
    <cellStyle name="Текст предупреждения 5 4 5" xfId="20042"/>
    <cellStyle name="Текст предупреждения 5 5" xfId="20043"/>
    <cellStyle name="Текст предупреждения 5 6" xfId="20044"/>
    <cellStyle name="Текст предупреждения 5 7" xfId="20045"/>
    <cellStyle name="Текст предупреждения 5 8" xfId="20046"/>
    <cellStyle name="Текст предупреждения 6" xfId="20047"/>
    <cellStyle name="Текст предупреждения 6 2" xfId="20048"/>
    <cellStyle name="Текст предупреждения 6 2 2" xfId="20049"/>
    <cellStyle name="Текст предупреждения 6 2 3" xfId="20050"/>
    <cellStyle name="Текст предупреждения 6 3" xfId="20051"/>
    <cellStyle name="Текст предупреждения 6 4" xfId="20052"/>
    <cellStyle name="Текст предупреждения 6 4 2" xfId="20053"/>
    <cellStyle name="Текст предупреждения 6 4 3" xfId="20054"/>
    <cellStyle name="Текст предупреждения 6 4 4" xfId="20055"/>
    <cellStyle name="Текст предупреждения 6 4 5" xfId="20056"/>
    <cellStyle name="Текст предупреждения 6 5" xfId="20057"/>
    <cellStyle name="Текст предупреждения 6 6" xfId="20058"/>
    <cellStyle name="Текст предупреждения 6 7" xfId="20059"/>
    <cellStyle name="Текст предупреждения 6 8" xfId="20060"/>
    <cellStyle name="Финансовый 10" xfId="20061"/>
    <cellStyle name="Финансовый 10 10" xfId="20062"/>
    <cellStyle name="Финансовый 10 11" xfId="20063"/>
    <cellStyle name="Финансовый 10 12" xfId="20064"/>
    <cellStyle name="Финансовый 10 2" xfId="20065"/>
    <cellStyle name="Финансовый 10 2 2" xfId="20066"/>
    <cellStyle name="Финансовый 10 2 3" xfId="20067"/>
    <cellStyle name="Финансовый 10 2 4" xfId="20068"/>
    <cellStyle name="Финансовый 10 2 5" xfId="20069"/>
    <cellStyle name="Финансовый 10 2 6" xfId="20070"/>
    <cellStyle name="Финансовый 10 2 7" xfId="20071"/>
    <cellStyle name="Финансовый 10 2 8" xfId="20072"/>
    <cellStyle name="Финансовый 10 2 9" xfId="20073"/>
    <cellStyle name="Финансовый 10 3" xfId="20074"/>
    <cellStyle name="Финансовый 10 3 2" xfId="20075"/>
    <cellStyle name="Финансовый 10 3 3" xfId="20076"/>
    <cellStyle name="Финансовый 10 3 4" xfId="20077"/>
    <cellStyle name="Финансовый 10 3 5" xfId="20078"/>
    <cellStyle name="Финансовый 10 3 6" xfId="20079"/>
    <cellStyle name="Финансовый 10 3 7" xfId="20080"/>
    <cellStyle name="Финансовый 10 3 8" xfId="20081"/>
    <cellStyle name="Финансовый 10 3 9" xfId="20082"/>
    <cellStyle name="Финансовый 10 4" xfId="20083"/>
    <cellStyle name="Финансовый 10 4 2" xfId="20084"/>
    <cellStyle name="Финансовый 10 4 3" xfId="20085"/>
    <cellStyle name="Финансовый 10 4 4" xfId="20086"/>
    <cellStyle name="Финансовый 10 4 5" xfId="20087"/>
    <cellStyle name="Финансовый 10 4 6" xfId="20088"/>
    <cellStyle name="Финансовый 10 4 7" xfId="20089"/>
    <cellStyle name="Финансовый 10 4 8" xfId="20090"/>
    <cellStyle name="Финансовый 10 4 9" xfId="20091"/>
    <cellStyle name="Финансовый 10 5" xfId="20092"/>
    <cellStyle name="Финансовый 10 6" xfId="20093"/>
    <cellStyle name="Финансовый 10 7" xfId="20094"/>
    <cellStyle name="Финансовый 10 8" xfId="20095"/>
    <cellStyle name="Финансовый 10 9" xfId="20096"/>
    <cellStyle name="Финансовый 11" xfId="20097"/>
    <cellStyle name="Финансовый 11 2" xfId="20098"/>
    <cellStyle name="Финансовый 11 3" xfId="20099"/>
    <cellStyle name="Финансовый 11 4" xfId="20100"/>
    <cellStyle name="Финансовый 11 5" xfId="20101"/>
    <cellStyle name="Финансовый 11 6" xfId="20102"/>
    <cellStyle name="Финансовый 11 7" xfId="20103"/>
    <cellStyle name="Финансовый 11 8" xfId="20104"/>
    <cellStyle name="Финансовый 11 9" xfId="20105"/>
    <cellStyle name="Финансовый 2" xfId="20106"/>
    <cellStyle name="Финансовый 2 10" xfId="20107"/>
    <cellStyle name="Финансовый 2 10 10" xfId="20108"/>
    <cellStyle name="Финансовый 2 10 11" xfId="20109"/>
    <cellStyle name="Финансовый 2 10 12" xfId="20110"/>
    <cellStyle name="Финансовый 2 10 2" xfId="20111"/>
    <cellStyle name="Финансовый 2 10 2 10" xfId="20112"/>
    <cellStyle name="Финансовый 2 10 2 11" xfId="20113"/>
    <cellStyle name="Финансовый 2 10 2 12" xfId="20114"/>
    <cellStyle name="Финансовый 2 10 2 2" xfId="20115"/>
    <cellStyle name="Финансовый 2 10 2 2 2" xfId="20116"/>
    <cellStyle name="Финансовый 2 10 2 2 3" xfId="20117"/>
    <cellStyle name="Финансовый 2 10 2 2 4" xfId="20118"/>
    <cellStyle name="Финансовый 2 10 2 2 5" xfId="20119"/>
    <cellStyle name="Финансовый 2 10 2 2 6" xfId="20120"/>
    <cellStyle name="Финансовый 2 10 2 2 7" xfId="20121"/>
    <cellStyle name="Финансовый 2 10 2 2 8" xfId="20122"/>
    <cellStyle name="Финансовый 2 10 2 2 9" xfId="20123"/>
    <cellStyle name="Финансовый 2 10 2 3" xfId="20124"/>
    <cellStyle name="Финансовый 2 10 2 3 2" xfId="20125"/>
    <cellStyle name="Финансовый 2 10 2 3 3" xfId="20126"/>
    <cellStyle name="Финансовый 2 10 2 3 4" xfId="20127"/>
    <cellStyle name="Финансовый 2 10 2 3 5" xfId="20128"/>
    <cellStyle name="Финансовый 2 10 2 3 6" xfId="20129"/>
    <cellStyle name="Финансовый 2 10 2 3 7" xfId="20130"/>
    <cellStyle name="Финансовый 2 10 2 3 8" xfId="20131"/>
    <cellStyle name="Финансовый 2 10 2 3 9" xfId="20132"/>
    <cellStyle name="Финансовый 2 10 2 4" xfId="20133"/>
    <cellStyle name="Финансовый 2 10 2 4 2" xfId="20134"/>
    <cellStyle name="Финансовый 2 10 2 4 3" xfId="20135"/>
    <cellStyle name="Финансовый 2 10 2 4 4" xfId="20136"/>
    <cellStyle name="Финансовый 2 10 2 4 5" xfId="20137"/>
    <cellStyle name="Финансовый 2 10 2 4 6" xfId="20138"/>
    <cellStyle name="Финансовый 2 10 2 4 7" xfId="20139"/>
    <cellStyle name="Финансовый 2 10 2 4 8" xfId="20140"/>
    <cellStyle name="Финансовый 2 10 2 4 9" xfId="20141"/>
    <cellStyle name="Финансовый 2 10 2 5" xfId="20142"/>
    <cellStyle name="Финансовый 2 10 2 6" xfId="20143"/>
    <cellStyle name="Финансовый 2 10 2 7" xfId="20144"/>
    <cellStyle name="Финансовый 2 10 2 8" xfId="20145"/>
    <cellStyle name="Финансовый 2 10 2 9" xfId="20146"/>
    <cellStyle name="Финансовый 2 10 3" xfId="20147"/>
    <cellStyle name="Финансовый 2 10 3 10" xfId="20148"/>
    <cellStyle name="Финансовый 2 10 3 11" xfId="20149"/>
    <cellStyle name="Финансовый 2 10 3 2" xfId="20150"/>
    <cellStyle name="Финансовый 2 10 3 2 2" xfId="20151"/>
    <cellStyle name="Финансовый 2 10 3 2 3" xfId="20152"/>
    <cellStyle name="Финансовый 2 10 3 2 4" xfId="20153"/>
    <cellStyle name="Финансовый 2 10 3 2 5" xfId="20154"/>
    <cellStyle name="Финансовый 2 10 3 2 6" xfId="20155"/>
    <cellStyle name="Финансовый 2 10 3 2 7" xfId="20156"/>
    <cellStyle name="Финансовый 2 10 3 2 8" xfId="20157"/>
    <cellStyle name="Финансовый 2 10 3 2 9" xfId="20158"/>
    <cellStyle name="Финансовый 2 10 3 3" xfId="20159"/>
    <cellStyle name="Финансовый 2 10 3 3 2" xfId="20160"/>
    <cellStyle name="Финансовый 2 10 3 3 3" xfId="20161"/>
    <cellStyle name="Финансовый 2 10 3 3 4" xfId="20162"/>
    <cellStyle name="Финансовый 2 10 3 3 5" xfId="20163"/>
    <cellStyle name="Финансовый 2 10 3 3 6" xfId="20164"/>
    <cellStyle name="Финансовый 2 10 3 3 7" xfId="20165"/>
    <cellStyle name="Финансовый 2 10 3 3 8" xfId="20166"/>
    <cellStyle name="Финансовый 2 10 3 3 9" xfId="20167"/>
    <cellStyle name="Финансовый 2 10 3 4" xfId="20168"/>
    <cellStyle name="Финансовый 2 10 3 5" xfId="20169"/>
    <cellStyle name="Финансовый 2 10 3 6" xfId="20170"/>
    <cellStyle name="Финансовый 2 10 3 7" xfId="20171"/>
    <cellStyle name="Финансовый 2 10 3 8" xfId="20172"/>
    <cellStyle name="Финансовый 2 10 3 9" xfId="20173"/>
    <cellStyle name="Финансовый 2 10 4" xfId="20174"/>
    <cellStyle name="Финансовый 2 10 4 2" xfId="20175"/>
    <cellStyle name="Финансовый 2 10 4 3" xfId="20176"/>
    <cellStyle name="Финансовый 2 10 4 4" xfId="20177"/>
    <cellStyle name="Финансовый 2 10 4 5" xfId="20178"/>
    <cellStyle name="Финансовый 2 10 4 6" xfId="20179"/>
    <cellStyle name="Финансовый 2 10 4 7" xfId="20180"/>
    <cellStyle name="Финансовый 2 10 4 8" xfId="20181"/>
    <cellStyle name="Финансовый 2 10 4 9" xfId="20182"/>
    <cellStyle name="Финансовый 2 10 5" xfId="20183"/>
    <cellStyle name="Финансовый 2 10 6" xfId="20184"/>
    <cellStyle name="Финансовый 2 10 7" xfId="20185"/>
    <cellStyle name="Финансовый 2 10 8" xfId="20186"/>
    <cellStyle name="Финансовый 2 10 9" xfId="20187"/>
    <cellStyle name="Финансовый 2 11" xfId="20188"/>
    <cellStyle name="Финансовый 2 11 10" xfId="20189"/>
    <cellStyle name="Финансовый 2 11 11" xfId="20190"/>
    <cellStyle name="Финансовый 2 11 12" xfId="20191"/>
    <cellStyle name="Финансовый 2 11 2" xfId="20192"/>
    <cellStyle name="Финансовый 2 11 2 10" xfId="20193"/>
    <cellStyle name="Финансовый 2 11 2 11" xfId="20194"/>
    <cellStyle name="Финансовый 2 11 2 12" xfId="20195"/>
    <cellStyle name="Финансовый 2 11 2 2" xfId="20196"/>
    <cellStyle name="Финансовый 2 11 2 2 2" xfId="20197"/>
    <cellStyle name="Финансовый 2 11 2 2 3" xfId="20198"/>
    <cellStyle name="Финансовый 2 11 2 2 4" xfId="20199"/>
    <cellStyle name="Финансовый 2 11 2 2 5" xfId="20200"/>
    <cellStyle name="Финансовый 2 11 2 2 6" xfId="20201"/>
    <cellStyle name="Финансовый 2 11 2 2 7" xfId="20202"/>
    <cellStyle name="Финансовый 2 11 2 2 8" xfId="20203"/>
    <cellStyle name="Финансовый 2 11 2 2 9" xfId="20204"/>
    <cellStyle name="Финансовый 2 11 2 3" xfId="20205"/>
    <cellStyle name="Финансовый 2 11 2 3 2" xfId="20206"/>
    <cellStyle name="Финансовый 2 11 2 3 3" xfId="20207"/>
    <cellStyle name="Финансовый 2 11 2 3 4" xfId="20208"/>
    <cellStyle name="Финансовый 2 11 2 3 5" xfId="20209"/>
    <cellStyle name="Финансовый 2 11 2 3 6" xfId="20210"/>
    <cellStyle name="Финансовый 2 11 2 3 7" xfId="20211"/>
    <cellStyle name="Финансовый 2 11 2 3 8" xfId="20212"/>
    <cellStyle name="Финансовый 2 11 2 3 9" xfId="20213"/>
    <cellStyle name="Финансовый 2 11 2 4" xfId="20214"/>
    <cellStyle name="Финансовый 2 11 2 4 2" xfId="20215"/>
    <cellStyle name="Финансовый 2 11 2 4 3" xfId="20216"/>
    <cellStyle name="Финансовый 2 11 2 4 4" xfId="20217"/>
    <cellStyle name="Финансовый 2 11 2 4 5" xfId="20218"/>
    <cellStyle name="Финансовый 2 11 2 4 6" xfId="20219"/>
    <cellStyle name="Финансовый 2 11 2 4 7" xfId="20220"/>
    <cellStyle name="Финансовый 2 11 2 4 8" xfId="20221"/>
    <cellStyle name="Финансовый 2 11 2 4 9" xfId="20222"/>
    <cellStyle name="Финансовый 2 11 2 5" xfId="20223"/>
    <cellStyle name="Финансовый 2 11 2 6" xfId="20224"/>
    <cellStyle name="Финансовый 2 11 2 7" xfId="20225"/>
    <cellStyle name="Финансовый 2 11 2 8" xfId="20226"/>
    <cellStyle name="Финансовый 2 11 2 9" xfId="20227"/>
    <cellStyle name="Финансовый 2 11 3" xfId="20228"/>
    <cellStyle name="Финансовый 2 11 3 10" xfId="20229"/>
    <cellStyle name="Финансовый 2 11 3 11" xfId="20230"/>
    <cellStyle name="Финансовый 2 11 3 2" xfId="20231"/>
    <cellStyle name="Финансовый 2 11 3 2 2" xfId="20232"/>
    <cellStyle name="Финансовый 2 11 3 2 3" xfId="20233"/>
    <cellStyle name="Финансовый 2 11 3 2 4" xfId="20234"/>
    <cellStyle name="Финансовый 2 11 3 2 5" xfId="20235"/>
    <cellStyle name="Финансовый 2 11 3 2 6" xfId="20236"/>
    <cellStyle name="Финансовый 2 11 3 2 7" xfId="20237"/>
    <cellStyle name="Финансовый 2 11 3 2 8" xfId="20238"/>
    <cellStyle name="Финансовый 2 11 3 2 9" xfId="20239"/>
    <cellStyle name="Финансовый 2 11 3 3" xfId="20240"/>
    <cellStyle name="Финансовый 2 11 3 3 2" xfId="20241"/>
    <cellStyle name="Финансовый 2 11 3 3 3" xfId="20242"/>
    <cellStyle name="Финансовый 2 11 3 3 4" xfId="20243"/>
    <cellStyle name="Финансовый 2 11 3 3 5" xfId="20244"/>
    <cellStyle name="Финансовый 2 11 3 3 6" xfId="20245"/>
    <cellStyle name="Финансовый 2 11 3 3 7" xfId="20246"/>
    <cellStyle name="Финансовый 2 11 3 3 8" xfId="20247"/>
    <cellStyle name="Финансовый 2 11 3 3 9" xfId="20248"/>
    <cellStyle name="Финансовый 2 11 3 4" xfId="20249"/>
    <cellStyle name="Финансовый 2 11 3 5" xfId="20250"/>
    <cellStyle name="Финансовый 2 11 3 6" xfId="20251"/>
    <cellStyle name="Финансовый 2 11 3 7" xfId="20252"/>
    <cellStyle name="Финансовый 2 11 3 8" xfId="20253"/>
    <cellStyle name="Финансовый 2 11 3 9" xfId="20254"/>
    <cellStyle name="Финансовый 2 11 4" xfId="20255"/>
    <cellStyle name="Финансовый 2 11 4 2" xfId="20256"/>
    <cellStyle name="Финансовый 2 11 4 3" xfId="20257"/>
    <cellStyle name="Финансовый 2 11 4 4" xfId="20258"/>
    <cellStyle name="Финансовый 2 11 4 5" xfId="20259"/>
    <cellStyle name="Финансовый 2 11 4 6" xfId="20260"/>
    <cellStyle name="Финансовый 2 11 4 7" xfId="20261"/>
    <cellStyle name="Финансовый 2 11 4 8" xfId="20262"/>
    <cellStyle name="Финансовый 2 11 4 9" xfId="20263"/>
    <cellStyle name="Финансовый 2 11 5" xfId="20264"/>
    <cellStyle name="Финансовый 2 11 6" xfId="20265"/>
    <cellStyle name="Финансовый 2 11 7" xfId="20266"/>
    <cellStyle name="Финансовый 2 11 8" xfId="20267"/>
    <cellStyle name="Финансовый 2 11 9" xfId="20268"/>
    <cellStyle name="Финансовый 2 12" xfId="20269"/>
    <cellStyle name="Финансовый 2 12 10" xfId="20270"/>
    <cellStyle name="Финансовый 2 12 11" xfId="20271"/>
    <cellStyle name="Финансовый 2 12 12" xfId="20272"/>
    <cellStyle name="Финансовый 2 12 2" xfId="20273"/>
    <cellStyle name="Финансовый 2 12 2 10" xfId="20274"/>
    <cellStyle name="Финансовый 2 12 2 11" xfId="20275"/>
    <cellStyle name="Финансовый 2 12 2 12" xfId="20276"/>
    <cellStyle name="Финансовый 2 12 2 2" xfId="20277"/>
    <cellStyle name="Финансовый 2 12 2 2 2" xfId="20278"/>
    <cellStyle name="Финансовый 2 12 2 2 3" xfId="20279"/>
    <cellStyle name="Финансовый 2 12 2 2 4" xfId="20280"/>
    <cellStyle name="Финансовый 2 12 2 2 5" xfId="20281"/>
    <cellStyle name="Финансовый 2 12 2 2 6" xfId="20282"/>
    <cellStyle name="Финансовый 2 12 2 2 7" xfId="20283"/>
    <cellStyle name="Финансовый 2 12 2 2 8" xfId="20284"/>
    <cellStyle name="Финансовый 2 12 2 2 9" xfId="20285"/>
    <cellStyle name="Финансовый 2 12 2 3" xfId="20286"/>
    <cellStyle name="Финансовый 2 12 2 3 2" xfId="20287"/>
    <cellStyle name="Финансовый 2 12 2 3 3" xfId="20288"/>
    <cellStyle name="Финансовый 2 12 2 3 4" xfId="20289"/>
    <cellStyle name="Финансовый 2 12 2 3 5" xfId="20290"/>
    <cellStyle name="Финансовый 2 12 2 3 6" xfId="20291"/>
    <cellStyle name="Финансовый 2 12 2 3 7" xfId="20292"/>
    <cellStyle name="Финансовый 2 12 2 3 8" xfId="20293"/>
    <cellStyle name="Финансовый 2 12 2 3 9" xfId="20294"/>
    <cellStyle name="Финансовый 2 12 2 4" xfId="20295"/>
    <cellStyle name="Финансовый 2 12 2 4 2" xfId="20296"/>
    <cellStyle name="Финансовый 2 12 2 4 3" xfId="20297"/>
    <cellStyle name="Финансовый 2 12 2 4 4" xfId="20298"/>
    <cellStyle name="Финансовый 2 12 2 4 5" xfId="20299"/>
    <cellStyle name="Финансовый 2 12 2 4 6" xfId="20300"/>
    <cellStyle name="Финансовый 2 12 2 4 7" xfId="20301"/>
    <cellStyle name="Финансовый 2 12 2 4 8" xfId="20302"/>
    <cellStyle name="Финансовый 2 12 2 4 9" xfId="20303"/>
    <cellStyle name="Финансовый 2 12 2 5" xfId="20304"/>
    <cellStyle name="Финансовый 2 12 2 6" xfId="20305"/>
    <cellStyle name="Финансовый 2 12 2 7" xfId="20306"/>
    <cellStyle name="Финансовый 2 12 2 8" xfId="20307"/>
    <cellStyle name="Финансовый 2 12 2 9" xfId="20308"/>
    <cellStyle name="Финансовый 2 12 3" xfId="20309"/>
    <cellStyle name="Финансовый 2 12 3 10" xfId="20310"/>
    <cellStyle name="Финансовый 2 12 3 11" xfId="20311"/>
    <cellStyle name="Финансовый 2 12 3 2" xfId="20312"/>
    <cellStyle name="Финансовый 2 12 3 2 2" xfId="20313"/>
    <cellStyle name="Финансовый 2 12 3 2 3" xfId="20314"/>
    <cellStyle name="Финансовый 2 12 3 2 4" xfId="20315"/>
    <cellStyle name="Финансовый 2 12 3 2 5" xfId="20316"/>
    <cellStyle name="Финансовый 2 12 3 2 6" xfId="20317"/>
    <cellStyle name="Финансовый 2 12 3 2 7" xfId="20318"/>
    <cellStyle name="Финансовый 2 12 3 2 8" xfId="20319"/>
    <cellStyle name="Финансовый 2 12 3 2 9" xfId="20320"/>
    <cellStyle name="Финансовый 2 12 3 3" xfId="20321"/>
    <cellStyle name="Финансовый 2 12 3 3 2" xfId="20322"/>
    <cellStyle name="Финансовый 2 12 3 3 3" xfId="20323"/>
    <cellStyle name="Финансовый 2 12 3 3 4" xfId="20324"/>
    <cellStyle name="Финансовый 2 12 3 3 5" xfId="20325"/>
    <cellStyle name="Финансовый 2 12 3 3 6" xfId="20326"/>
    <cellStyle name="Финансовый 2 12 3 3 7" xfId="20327"/>
    <cellStyle name="Финансовый 2 12 3 3 8" xfId="20328"/>
    <cellStyle name="Финансовый 2 12 3 3 9" xfId="20329"/>
    <cellStyle name="Финансовый 2 12 3 4" xfId="20330"/>
    <cellStyle name="Финансовый 2 12 3 5" xfId="20331"/>
    <cellStyle name="Финансовый 2 12 3 6" xfId="20332"/>
    <cellStyle name="Финансовый 2 12 3 7" xfId="20333"/>
    <cellStyle name="Финансовый 2 12 3 8" xfId="20334"/>
    <cellStyle name="Финансовый 2 12 3 9" xfId="20335"/>
    <cellStyle name="Финансовый 2 12 4" xfId="20336"/>
    <cellStyle name="Финансовый 2 12 4 2" xfId="20337"/>
    <cellStyle name="Финансовый 2 12 4 3" xfId="20338"/>
    <cellStyle name="Финансовый 2 12 4 4" xfId="20339"/>
    <cellStyle name="Финансовый 2 12 4 5" xfId="20340"/>
    <cellStyle name="Финансовый 2 12 4 6" xfId="20341"/>
    <cellStyle name="Финансовый 2 12 4 7" xfId="20342"/>
    <cellStyle name="Финансовый 2 12 4 8" xfId="20343"/>
    <cellStyle name="Финансовый 2 12 4 9" xfId="20344"/>
    <cellStyle name="Финансовый 2 12 5" xfId="20345"/>
    <cellStyle name="Финансовый 2 12 6" xfId="20346"/>
    <cellStyle name="Финансовый 2 12 7" xfId="20347"/>
    <cellStyle name="Финансовый 2 12 8" xfId="20348"/>
    <cellStyle name="Финансовый 2 12 9" xfId="20349"/>
    <cellStyle name="Финансовый 2 13" xfId="20350"/>
    <cellStyle name="Финансовый 2 13 10" xfId="20351"/>
    <cellStyle name="Финансовый 2 13 11" xfId="20352"/>
    <cellStyle name="Финансовый 2 13 12" xfId="20353"/>
    <cellStyle name="Финансовый 2 13 2" xfId="20354"/>
    <cellStyle name="Финансовый 2 13 2 10" xfId="20355"/>
    <cellStyle name="Финансовый 2 13 2 11" xfId="20356"/>
    <cellStyle name="Финансовый 2 13 2 12" xfId="20357"/>
    <cellStyle name="Финансовый 2 13 2 2" xfId="20358"/>
    <cellStyle name="Финансовый 2 13 2 2 2" xfId="20359"/>
    <cellStyle name="Финансовый 2 13 2 2 3" xfId="20360"/>
    <cellStyle name="Финансовый 2 13 2 2 4" xfId="20361"/>
    <cellStyle name="Финансовый 2 13 2 2 5" xfId="20362"/>
    <cellStyle name="Финансовый 2 13 2 2 6" xfId="20363"/>
    <cellStyle name="Финансовый 2 13 2 2 7" xfId="20364"/>
    <cellStyle name="Финансовый 2 13 2 2 8" xfId="20365"/>
    <cellStyle name="Финансовый 2 13 2 2 9" xfId="20366"/>
    <cellStyle name="Финансовый 2 13 2 3" xfId="20367"/>
    <cellStyle name="Финансовый 2 13 2 3 2" xfId="20368"/>
    <cellStyle name="Финансовый 2 13 2 3 3" xfId="20369"/>
    <cellStyle name="Финансовый 2 13 2 3 4" xfId="20370"/>
    <cellStyle name="Финансовый 2 13 2 3 5" xfId="20371"/>
    <cellStyle name="Финансовый 2 13 2 3 6" xfId="20372"/>
    <cellStyle name="Финансовый 2 13 2 3 7" xfId="20373"/>
    <cellStyle name="Финансовый 2 13 2 3 8" xfId="20374"/>
    <cellStyle name="Финансовый 2 13 2 3 9" xfId="20375"/>
    <cellStyle name="Финансовый 2 13 2 4" xfId="20376"/>
    <cellStyle name="Финансовый 2 13 2 4 2" xfId="20377"/>
    <cellStyle name="Финансовый 2 13 2 4 3" xfId="20378"/>
    <cellStyle name="Финансовый 2 13 2 4 4" xfId="20379"/>
    <cellStyle name="Финансовый 2 13 2 4 5" xfId="20380"/>
    <cellStyle name="Финансовый 2 13 2 4 6" xfId="20381"/>
    <cellStyle name="Финансовый 2 13 2 4 7" xfId="20382"/>
    <cellStyle name="Финансовый 2 13 2 4 8" xfId="20383"/>
    <cellStyle name="Финансовый 2 13 2 4 9" xfId="20384"/>
    <cellStyle name="Финансовый 2 13 2 5" xfId="20385"/>
    <cellStyle name="Финансовый 2 13 2 6" xfId="20386"/>
    <cellStyle name="Финансовый 2 13 2 7" xfId="20387"/>
    <cellStyle name="Финансовый 2 13 2 8" xfId="20388"/>
    <cellStyle name="Финансовый 2 13 2 9" xfId="20389"/>
    <cellStyle name="Финансовый 2 13 3" xfId="20390"/>
    <cellStyle name="Финансовый 2 13 3 10" xfId="20391"/>
    <cellStyle name="Финансовый 2 13 3 11" xfId="20392"/>
    <cellStyle name="Финансовый 2 13 3 2" xfId="20393"/>
    <cellStyle name="Финансовый 2 13 3 2 2" xfId="20394"/>
    <cellStyle name="Финансовый 2 13 3 2 3" xfId="20395"/>
    <cellStyle name="Финансовый 2 13 3 2 4" xfId="20396"/>
    <cellStyle name="Финансовый 2 13 3 2 5" xfId="20397"/>
    <cellStyle name="Финансовый 2 13 3 2 6" xfId="20398"/>
    <cellStyle name="Финансовый 2 13 3 2 7" xfId="20399"/>
    <cellStyle name="Финансовый 2 13 3 2 8" xfId="20400"/>
    <cellStyle name="Финансовый 2 13 3 2 9" xfId="20401"/>
    <cellStyle name="Финансовый 2 13 3 3" xfId="20402"/>
    <cellStyle name="Финансовый 2 13 3 3 2" xfId="20403"/>
    <cellStyle name="Финансовый 2 13 3 3 3" xfId="20404"/>
    <cellStyle name="Финансовый 2 13 3 3 4" xfId="20405"/>
    <cellStyle name="Финансовый 2 13 3 3 5" xfId="20406"/>
    <cellStyle name="Финансовый 2 13 3 3 6" xfId="20407"/>
    <cellStyle name="Финансовый 2 13 3 3 7" xfId="20408"/>
    <cellStyle name="Финансовый 2 13 3 3 8" xfId="20409"/>
    <cellStyle name="Финансовый 2 13 3 3 9" xfId="20410"/>
    <cellStyle name="Финансовый 2 13 3 4" xfId="20411"/>
    <cellStyle name="Финансовый 2 13 3 5" xfId="20412"/>
    <cellStyle name="Финансовый 2 13 3 6" xfId="20413"/>
    <cellStyle name="Финансовый 2 13 3 7" xfId="20414"/>
    <cellStyle name="Финансовый 2 13 3 8" xfId="20415"/>
    <cellStyle name="Финансовый 2 13 3 9" xfId="20416"/>
    <cellStyle name="Финансовый 2 13 4" xfId="20417"/>
    <cellStyle name="Финансовый 2 13 4 2" xfId="20418"/>
    <cellStyle name="Финансовый 2 13 4 3" xfId="20419"/>
    <cellStyle name="Финансовый 2 13 4 4" xfId="20420"/>
    <cellStyle name="Финансовый 2 13 4 5" xfId="20421"/>
    <cellStyle name="Финансовый 2 13 4 6" xfId="20422"/>
    <cellStyle name="Финансовый 2 13 4 7" xfId="20423"/>
    <cellStyle name="Финансовый 2 13 4 8" xfId="20424"/>
    <cellStyle name="Финансовый 2 13 4 9" xfId="20425"/>
    <cellStyle name="Финансовый 2 13 5" xfId="20426"/>
    <cellStyle name="Финансовый 2 13 6" xfId="20427"/>
    <cellStyle name="Финансовый 2 13 7" xfId="20428"/>
    <cellStyle name="Финансовый 2 13 8" xfId="20429"/>
    <cellStyle name="Финансовый 2 13 9" xfId="20430"/>
    <cellStyle name="Финансовый 2 14" xfId="20431"/>
    <cellStyle name="Финансовый 2 14 10" xfId="20432"/>
    <cellStyle name="Финансовый 2 14 11" xfId="20433"/>
    <cellStyle name="Финансовый 2 14 12" xfId="20434"/>
    <cellStyle name="Финансовый 2 14 2" xfId="20435"/>
    <cellStyle name="Финансовый 2 14 2 10" xfId="20436"/>
    <cellStyle name="Финансовый 2 14 2 11" xfId="20437"/>
    <cellStyle name="Финансовый 2 14 2 12" xfId="20438"/>
    <cellStyle name="Финансовый 2 14 2 2" xfId="20439"/>
    <cellStyle name="Финансовый 2 14 2 2 2" xfId="20440"/>
    <cellStyle name="Финансовый 2 14 2 2 3" xfId="20441"/>
    <cellStyle name="Финансовый 2 14 2 2 4" xfId="20442"/>
    <cellStyle name="Финансовый 2 14 2 2 5" xfId="20443"/>
    <cellStyle name="Финансовый 2 14 2 2 6" xfId="20444"/>
    <cellStyle name="Финансовый 2 14 2 2 7" xfId="20445"/>
    <cellStyle name="Финансовый 2 14 2 2 8" xfId="20446"/>
    <cellStyle name="Финансовый 2 14 2 2 9" xfId="20447"/>
    <cellStyle name="Финансовый 2 14 2 3" xfId="20448"/>
    <cellStyle name="Финансовый 2 14 2 3 2" xfId="20449"/>
    <cellStyle name="Финансовый 2 14 2 3 3" xfId="20450"/>
    <cellStyle name="Финансовый 2 14 2 3 4" xfId="20451"/>
    <cellStyle name="Финансовый 2 14 2 3 5" xfId="20452"/>
    <cellStyle name="Финансовый 2 14 2 3 6" xfId="20453"/>
    <cellStyle name="Финансовый 2 14 2 3 7" xfId="20454"/>
    <cellStyle name="Финансовый 2 14 2 3 8" xfId="20455"/>
    <cellStyle name="Финансовый 2 14 2 3 9" xfId="20456"/>
    <cellStyle name="Финансовый 2 14 2 4" xfId="20457"/>
    <cellStyle name="Финансовый 2 14 2 4 2" xfId="20458"/>
    <cellStyle name="Финансовый 2 14 2 4 3" xfId="20459"/>
    <cellStyle name="Финансовый 2 14 2 4 4" xfId="20460"/>
    <cellStyle name="Финансовый 2 14 2 4 5" xfId="20461"/>
    <cellStyle name="Финансовый 2 14 2 4 6" xfId="20462"/>
    <cellStyle name="Финансовый 2 14 2 4 7" xfId="20463"/>
    <cellStyle name="Финансовый 2 14 2 4 8" xfId="20464"/>
    <cellStyle name="Финансовый 2 14 2 4 9" xfId="20465"/>
    <cellStyle name="Финансовый 2 14 2 5" xfId="20466"/>
    <cellStyle name="Финансовый 2 14 2 6" xfId="20467"/>
    <cellStyle name="Финансовый 2 14 2 7" xfId="20468"/>
    <cellStyle name="Финансовый 2 14 2 8" xfId="20469"/>
    <cellStyle name="Финансовый 2 14 2 9" xfId="20470"/>
    <cellStyle name="Финансовый 2 14 3" xfId="20471"/>
    <cellStyle name="Финансовый 2 14 3 10" xfId="20472"/>
    <cellStyle name="Финансовый 2 14 3 11" xfId="20473"/>
    <cellStyle name="Финансовый 2 14 3 2" xfId="20474"/>
    <cellStyle name="Финансовый 2 14 3 2 2" xfId="20475"/>
    <cellStyle name="Финансовый 2 14 3 2 3" xfId="20476"/>
    <cellStyle name="Финансовый 2 14 3 2 4" xfId="20477"/>
    <cellStyle name="Финансовый 2 14 3 2 5" xfId="20478"/>
    <cellStyle name="Финансовый 2 14 3 2 6" xfId="20479"/>
    <cellStyle name="Финансовый 2 14 3 2 7" xfId="20480"/>
    <cellStyle name="Финансовый 2 14 3 2 8" xfId="20481"/>
    <cellStyle name="Финансовый 2 14 3 2 9" xfId="20482"/>
    <cellStyle name="Финансовый 2 14 3 3" xfId="20483"/>
    <cellStyle name="Финансовый 2 14 3 3 2" xfId="20484"/>
    <cellStyle name="Финансовый 2 14 3 3 3" xfId="20485"/>
    <cellStyle name="Финансовый 2 14 3 3 4" xfId="20486"/>
    <cellStyle name="Финансовый 2 14 3 3 5" xfId="20487"/>
    <cellStyle name="Финансовый 2 14 3 3 6" xfId="20488"/>
    <cellStyle name="Финансовый 2 14 3 3 7" xfId="20489"/>
    <cellStyle name="Финансовый 2 14 3 3 8" xfId="20490"/>
    <cellStyle name="Финансовый 2 14 3 3 9" xfId="20491"/>
    <cellStyle name="Финансовый 2 14 3 4" xfId="20492"/>
    <cellStyle name="Финансовый 2 14 3 5" xfId="20493"/>
    <cellStyle name="Финансовый 2 14 3 6" xfId="20494"/>
    <cellStyle name="Финансовый 2 14 3 7" xfId="20495"/>
    <cellStyle name="Финансовый 2 14 3 8" xfId="20496"/>
    <cellStyle name="Финансовый 2 14 3 9" xfId="20497"/>
    <cellStyle name="Финансовый 2 14 4" xfId="20498"/>
    <cellStyle name="Финансовый 2 14 4 2" xfId="20499"/>
    <cellStyle name="Финансовый 2 14 4 3" xfId="20500"/>
    <cellStyle name="Финансовый 2 14 4 4" xfId="20501"/>
    <cellStyle name="Финансовый 2 14 4 5" xfId="20502"/>
    <cellStyle name="Финансовый 2 14 4 6" xfId="20503"/>
    <cellStyle name="Финансовый 2 14 4 7" xfId="20504"/>
    <cellStyle name="Финансовый 2 14 4 8" xfId="20505"/>
    <cellStyle name="Финансовый 2 14 4 9" xfId="20506"/>
    <cellStyle name="Финансовый 2 14 5" xfId="20507"/>
    <cellStyle name="Финансовый 2 14 6" xfId="20508"/>
    <cellStyle name="Финансовый 2 14 7" xfId="20509"/>
    <cellStyle name="Финансовый 2 14 8" xfId="20510"/>
    <cellStyle name="Финансовый 2 14 9" xfId="20511"/>
    <cellStyle name="Финансовый 2 15" xfId="20512"/>
    <cellStyle name="Финансовый 2 15 10" xfId="20513"/>
    <cellStyle name="Финансовый 2 15 11" xfId="20514"/>
    <cellStyle name="Финансовый 2 15 12" xfId="20515"/>
    <cellStyle name="Финансовый 2 15 2" xfId="20516"/>
    <cellStyle name="Финансовый 2 15 2 10" xfId="20517"/>
    <cellStyle name="Финансовый 2 15 2 11" xfId="20518"/>
    <cellStyle name="Финансовый 2 15 2 12" xfId="20519"/>
    <cellStyle name="Финансовый 2 15 2 2" xfId="20520"/>
    <cellStyle name="Финансовый 2 15 2 2 2" xfId="20521"/>
    <cellStyle name="Финансовый 2 15 2 2 3" xfId="20522"/>
    <cellStyle name="Финансовый 2 15 2 2 4" xfId="20523"/>
    <cellStyle name="Финансовый 2 15 2 2 5" xfId="20524"/>
    <cellStyle name="Финансовый 2 15 2 2 6" xfId="20525"/>
    <cellStyle name="Финансовый 2 15 2 2 7" xfId="20526"/>
    <cellStyle name="Финансовый 2 15 2 2 8" xfId="20527"/>
    <cellStyle name="Финансовый 2 15 2 2 9" xfId="20528"/>
    <cellStyle name="Финансовый 2 15 2 3" xfId="20529"/>
    <cellStyle name="Финансовый 2 15 2 3 2" xfId="20530"/>
    <cellStyle name="Финансовый 2 15 2 3 3" xfId="20531"/>
    <cellStyle name="Финансовый 2 15 2 3 4" xfId="20532"/>
    <cellStyle name="Финансовый 2 15 2 3 5" xfId="20533"/>
    <cellStyle name="Финансовый 2 15 2 3 6" xfId="20534"/>
    <cellStyle name="Финансовый 2 15 2 3 7" xfId="20535"/>
    <cellStyle name="Финансовый 2 15 2 3 8" xfId="20536"/>
    <cellStyle name="Финансовый 2 15 2 3 9" xfId="20537"/>
    <cellStyle name="Финансовый 2 15 2 4" xfId="20538"/>
    <cellStyle name="Финансовый 2 15 2 4 2" xfId="20539"/>
    <cellStyle name="Финансовый 2 15 2 4 3" xfId="20540"/>
    <cellStyle name="Финансовый 2 15 2 4 4" xfId="20541"/>
    <cellStyle name="Финансовый 2 15 2 4 5" xfId="20542"/>
    <cellStyle name="Финансовый 2 15 2 4 6" xfId="20543"/>
    <cellStyle name="Финансовый 2 15 2 4 7" xfId="20544"/>
    <cellStyle name="Финансовый 2 15 2 4 8" xfId="20545"/>
    <cellStyle name="Финансовый 2 15 2 4 9" xfId="20546"/>
    <cellStyle name="Финансовый 2 15 2 5" xfId="20547"/>
    <cellStyle name="Финансовый 2 15 2 6" xfId="20548"/>
    <cellStyle name="Финансовый 2 15 2 7" xfId="20549"/>
    <cellStyle name="Финансовый 2 15 2 8" xfId="20550"/>
    <cellStyle name="Финансовый 2 15 2 9" xfId="20551"/>
    <cellStyle name="Финансовый 2 15 3" xfId="20552"/>
    <cellStyle name="Финансовый 2 15 3 10" xfId="20553"/>
    <cellStyle name="Финансовый 2 15 3 11" xfId="20554"/>
    <cellStyle name="Финансовый 2 15 3 2" xfId="20555"/>
    <cellStyle name="Финансовый 2 15 3 2 2" xfId="20556"/>
    <cellStyle name="Финансовый 2 15 3 2 3" xfId="20557"/>
    <cellStyle name="Финансовый 2 15 3 2 4" xfId="20558"/>
    <cellStyle name="Финансовый 2 15 3 2 5" xfId="20559"/>
    <cellStyle name="Финансовый 2 15 3 2 6" xfId="20560"/>
    <cellStyle name="Финансовый 2 15 3 2 7" xfId="20561"/>
    <cellStyle name="Финансовый 2 15 3 2 8" xfId="20562"/>
    <cellStyle name="Финансовый 2 15 3 2 9" xfId="20563"/>
    <cellStyle name="Финансовый 2 15 3 3" xfId="20564"/>
    <cellStyle name="Финансовый 2 15 3 3 2" xfId="20565"/>
    <cellStyle name="Финансовый 2 15 3 3 3" xfId="20566"/>
    <cellStyle name="Финансовый 2 15 3 3 4" xfId="20567"/>
    <cellStyle name="Финансовый 2 15 3 3 5" xfId="20568"/>
    <cellStyle name="Финансовый 2 15 3 3 6" xfId="20569"/>
    <cellStyle name="Финансовый 2 15 3 3 7" xfId="20570"/>
    <cellStyle name="Финансовый 2 15 3 3 8" xfId="20571"/>
    <cellStyle name="Финансовый 2 15 3 3 9" xfId="20572"/>
    <cellStyle name="Финансовый 2 15 3 4" xfId="20573"/>
    <cellStyle name="Финансовый 2 15 3 5" xfId="20574"/>
    <cellStyle name="Финансовый 2 15 3 6" xfId="20575"/>
    <cellStyle name="Финансовый 2 15 3 7" xfId="20576"/>
    <cellStyle name="Финансовый 2 15 3 8" xfId="20577"/>
    <cellStyle name="Финансовый 2 15 3 9" xfId="20578"/>
    <cellStyle name="Финансовый 2 15 4" xfId="20579"/>
    <cellStyle name="Финансовый 2 15 4 2" xfId="20580"/>
    <cellStyle name="Финансовый 2 15 4 3" xfId="20581"/>
    <cellStyle name="Финансовый 2 15 4 4" xfId="20582"/>
    <cellStyle name="Финансовый 2 15 4 5" xfId="20583"/>
    <cellStyle name="Финансовый 2 15 4 6" xfId="20584"/>
    <cellStyle name="Финансовый 2 15 4 7" xfId="20585"/>
    <cellStyle name="Финансовый 2 15 4 8" xfId="20586"/>
    <cellStyle name="Финансовый 2 15 4 9" xfId="20587"/>
    <cellStyle name="Финансовый 2 15 5" xfId="20588"/>
    <cellStyle name="Финансовый 2 15 6" xfId="20589"/>
    <cellStyle name="Финансовый 2 15 7" xfId="20590"/>
    <cellStyle name="Финансовый 2 15 8" xfId="20591"/>
    <cellStyle name="Финансовый 2 15 9" xfId="20592"/>
    <cellStyle name="Финансовый 2 16" xfId="20593"/>
    <cellStyle name="Финансовый 2 16 10" xfId="20594"/>
    <cellStyle name="Финансовый 2 16 11" xfId="20595"/>
    <cellStyle name="Финансовый 2 16 12" xfId="20596"/>
    <cellStyle name="Финансовый 2 16 2" xfId="20597"/>
    <cellStyle name="Финансовый 2 16 2 10" xfId="20598"/>
    <cellStyle name="Финансовый 2 16 2 11" xfId="20599"/>
    <cellStyle name="Финансовый 2 16 2 12" xfId="20600"/>
    <cellStyle name="Финансовый 2 16 2 2" xfId="20601"/>
    <cellStyle name="Финансовый 2 16 2 2 2" xfId="20602"/>
    <cellStyle name="Финансовый 2 16 2 2 3" xfId="20603"/>
    <cellStyle name="Финансовый 2 16 2 2 4" xfId="20604"/>
    <cellStyle name="Финансовый 2 16 2 2 5" xfId="20605"/>
    <cellStyle name="Финансовый 2 16 2 2 6" xfId="20606"/>
    <cellStyle name="Финансовый 2 16 2 2 7" xfId="20607"/>
    <cellStyle name="Финансовый 2 16 2 2 8" xfId="20608"/>
    <cellStyle name="Финансовый 2 16 2 2 9" xfId="20609"/>
    <cellStyle name="Финансовый 2 16 2 3" xfId="20610"/>
    <cellStyle name="Финансовый 2 16 2 3 2" xfId="20611"/>
    <cellStyle name="Финансовый 2 16 2 3 3" xfId="20612"/>
    <cellStyle name="Финансовый 2 16 2 3 4" xfId="20613"/>
    <cellStyle name="Финансовый 2 16 2 3 5" xfId="20614"/>
    <cellStyle name="Финансовый 2 16 2 3 6" xfId="20615"/>
    <cellStyle name="Финансовый 2 16 2 3 7" xfId="20616"/>
    <cellStyle name="Финансовый 2 16 2 3 8" xfId="20617"/>
    <cellStyle name="Финансовый 2 16 2 3 9" xfId="20618"/>
    <cellStyle name="Финансовый 2 16 2 4" xfId="20619"/>
    <cellStyle name="Финансовый 2 16 2 4 2" xfId="20620"/>
    <cellStyle name="Финансовый 2 16 2 4 3" xfId="20621"/>
    <cellStyle name="Финансовый 2 16 2 4 4" xfId="20622"/>
    <cellStyle name="Финансовый 2 16 2 4 5" xfId="20623"/>
    <cellStyle name="Финансовый 2 16 2 4 6" xfId="20624"/>
    <cellStyle name="Финансовый 2 16 2 4 7" xfId="20625"/>
    <cellStyle name="Финансовый 2 16 2 4 8" xfId="20626"/>
    <cellStyle name="Финансовый 2 16 2 4 9" xfId="20627"/>
    <cellStyle name="Финансовый 2 16 2 5" xfId="20628"/>
    <cellStyle name="Финансовый 2 16 2 6" xfId="20629"/>
    <cellStyle name="Финансовый 2 16 2 7" xfId="20630"/>
    <cellStyle name="Финансовый 2 16 2 8" xfId="20631"/>
    <cellStyle name="Финансовый 2 16 2 9" xfId="20632"/>
    <cellStyle name="Финансовый 2 16 3" xfId="20633"/>
    <cellStyle name="Финансовый 2 16 3 10" xfId="20634"/>
    <cellStyle name="Финансовый 2 16 3 11" xfId="20635"/>
    <cellStyle name="Финансовый 2 16 3 2" xfId="20636"/>
    <cellStyle name="Финансовый 2 16 3 2 2" xfId="20637"/>
    <cellStyle name="Финансовый 2 16 3 2 3" xfId="20638"/>
    <cellStyle name="Финансовый 2 16 3 2 4" xfId="20639"/>
    <cellStyle name="Финансовый 2 16 3 2 5" xfId="20640"/>
    <cellStyle name="Финансовый 2 16 3 2 6" xfId="20641"/>
    <cellStyle name="Финансовый 2 16 3 2 7" xfId="20642"/>
    <cellStyle name="Финансовый 2 16 3 2 8" xfId="20643"/>
    <cellStyle name="Финансовый 2 16 3 2 9" xfId="20644"/>
    <cellStyle name="Финансовый 2 16 3 3" xfId="20645"/>
    <cellStyle name="Финансовый 2 16 3 3 2" xfId="20646"/>
    <cellStyle name="Финансовый 2 16 3 3 3" xfId="20647"/>
    <cellStyle name="Финансовый 2 16 3 3 4" xfId="20648"/>
    <cellStyle name="Финансовый 2 16 3 3 5" xfId="20649"/>
    <cellStyle name="Финансовый 2 16 3 3 6" xfId="20650"/>
    <cellStyle name="Финансовый 2 16 3 3 7" xfId="20651"/>
    <cellStyle name="Финансовый 2 16 3 3 8" xfId="20652"/>
    <cellStyle name="Финансовый 2 16 3 3 9" xfId="20653"/>
    <cellStyle name="Финансовый 2 16 3 4" xfId="20654"/>
    <cellStyle name="Финансовый 2 16 3 5" xfId="20655"/>
    <cellStyle name="Финансовый 2 16 3 6" xfId="20656"/>
    <cellStyle name="Финансовый 2 16 3 7" xfId="20657"/>
    <cellStyle name="Финансовый 2 16 3 8" xfId="20658"/>
    <cellStyle name="Финансовый 2 16 3 9" xfId="20659"/>
    <cellStyle name="Финансовый 2 16 4" xfId="20660"/>
    <cellStyle name="Финансовый 2 16 4 2" xfId="20661"/>
    <cellStyle name="Финансовый 2 16 4 3" xfId="20662"/>
    <cellStyle name="Финансовый 2 16 4 4" xfId="20663"/>
    <cellStyle name="Финансовый 2 16 4 5" xfId="20664"/>
    <cellStyle name="Финансовый 2 16 4 6" xfId="20665"/>
    <cellStyle name="Финансовый 2 16 4 7" xfId="20666"/>
    <cellStyle name="Финансовый 2 16 4 8" xfId="20667"/>
    <cellStyle name="Финансовый 2 16 4 9" xfId="20668"/>
    <cellStyle name="Финансовый 2 16 5" xfId="20669"/>
    <cellStyle name="Финансовый 2 16 6" xfId="20670"/>
    <cellStyle name="Финансовый 2 16 7" xfId="20671"/>
    <cellStyle name="Финансовый 2 16 8" xfId="20672"/>
    <cellStyle name="Финансовый 2 16 9" xfId="20673"/>
    <cellStyle name="Финансовый 2 17" xfId="20674"/>
    <cellStyle name="Финансовый 2 17 10" xfId="20675"/>
    <cellStyle name="Финансовый 2 17 11" xfId="20676"/>
    <cellStyle name="Финансовый 2 17 12" xfId="20677"/>
    <cellStyle name="Финансовый 2 17 2" xfId="20678"/>
    <cellStyle name="Финансовый 2 17 2 10" xfId="20679"/>
    <cellStyle name="Финансовый 2 17 2 11" xfId="20680"/>
    <cellStyle name="Финансовый 2 17 2 12" xfId="20681"/>
    <cellStyle name="Финансовый 2 17 2 2" xfId="20682"/>
    <cellStyle name="Финансовый 2 17 2 2 2" xfId="20683"/>
    <cellStyle name="Финансовый 2 17 2 2 3" xfId="20684"/>
    <cellStyle name="Финансовый 2 17 2 2 4" xfId="20685"/>
    <cellStyle name="Финансовый 2 17 2 2 5" xfId="20686"/>
    <cellStyle name="Финансовый 2 17 2 2 6" xfId="20687"/>
    <cellStyle name="Финансовый 2 17 2 2 7" xfId="20688"/>
    <cellStyle name="Финансовый 2 17 2 2 8" xfId="20689"/>
    <cellStyle name="Финансовый 2 17 2 2 9" xfId="20690"/>
    <cellStyle name="Финансовый 2 17 2 3" xfId="20691"/>
    <cellStyle name="Финансовый 2 17 2 3 2" xfId="20692"/>
    <cellStyle name="Финансовый 2 17 2 3 3" xfId="20693"/>
    <cellStyle name="Финансовый 2 17 2 3 4" xfId="20694"/>
    <cellStyle name="Финансовый 2 17 2 3 5" xfId="20695"/>
    <cellStyle name="Финансовый 2 17 2 3 6" xfId="20696"/>
    <cellStyle name="Финансовый 2 17 2 3 7" xfId="20697"/>
    <cellStyle name="Финансовый 2 17 2 3 8" xfId="20698"/>
    <cellStyle name="Финансовый 2 17 2 3 9" xfId="20699"/>
    <cellStyle name="Финансовый 2 17 2 4" xfId="20700"/>
    <cellStyle name="Финансовый 2 17 2 4 2" xfId="20701"/>
    <cellStyle name="Финансовый 2 17 2 4 3" xfId="20702"/>
    <cellStyle name="Финансовый 2 17 2 4 4" xfId="20703"/>
    <cellStyle name="Финансовый 2 17 2 4 5" xfId="20704"/>
    <cellStyle name="Финансовый 2 17 2 4 6" xfId="20705"/>
    <cellStyle name="Финансовый 2 17 2 4 7" xfId="20706"/>
    <cellStyle name="Финансовый 2 17 2 4 8" xfId="20707"/>
    <cellStyle name="Финансовый 2 17 2 4 9" xfId="20708"/>
    <cellStyle name="Финансовый 2 17 2 5" xfId="20709"/>
    <cellStyle name="Финансовый 2 17 2 6" xfId="20710"/>
    <cellStyle name="Финансовый 2 17 2 7" xfId="20711"/>
    <cellStyle name="Финансовый 2 17 2 8" xfId="20712"/>
    <cellStyle name="Финансовый 2 17 2 9" xfId="20713"/>
    <cellStyle name="Финансовый 2 17 3" xfId="20714"/>
    <cellStyle name="Финансовый 2 17 3 10" xfId="20715"/>
    <cellStyle name="Финансовый 2 17 3 11" xfId="20716"/>
    <cellStyle name="Финансовый 2 17 3 2" xfId="20717"/>
    <cellStyle name="Финансовый 2 17 3 2 2" xfId="20718"/>
    <cellStyle name="Финансовый 2 17 3 2 3" xfId="20719"/>
    <cellStyle name="Финансовый 2 17 3 2 4" xfId="20720"/>
    <cellStyle name="Финансовый 2 17 3 2 5" xfId="20721"/>
    <cellStyle name="Финансовый 2 17 3 2 6" xfId="20722"/>
    <cellStyle name="Финансовый 2 17 3 2 7" xfId="20723"/>
    <cellStyle name="Финансовый 2 17 3 2 8" xfId="20724"/>
    <cellStyle name="Финансовый 2 17 3 2 9" xfId="20725"/>
    <cellStyle name="Финансовый 2 17 3 3" xfId="20726"/>
    <cellStyle name="Финансовый 2 17 3 3 2" xfId="20727"/>
    <cellStyle name="Финансовый 2 17 3 3 3" xfId="20728"/>
    <cellStyle name="Финансовый 2 17 3 3 4" xfId="20729"/>
    <cellStyle name="Финансовый 2 17 3 3 5" xfId="20730"/>
    <cellStyle name="Финансовый 2 17 3 3 6" xfId="20731"/>
    <cellStyle name="Финансовый 2 17 3 3 7" xfId="20732"/>
    <cellStyle name="Финансовый 2 17 3 3 8" xfId="20733"/>
    <cellStyle name="Финансовый 2 17 3 3 9" xfId="20734"/>
    <cellStyle name="Финансовый 2 17 3 4" xfId="20735"/>
    <cellStyle name="Финансовый 2 17 3 5" xfId="20736"/>
    <cellStyle name="Финансовый 2 17 3 6" xfId="20737"/>
    <cellStyle name="Финансовый 2 17 3 7" xfId="20738"/>
    <cellStyle name="Финансовый 2 17 3 8" xfId="20739"/>
    <cellStyle name="Финансовый 2 17 3 9" xfId="20740"/>
    <cellStyle name="Финансовый 2 17 4" xfId="20741"/>
    <cellStyle name="Финансовый 2 17 4 2" xfId="20742"/>
    <cellStyle name="Финансовый 2 17 4 3" xfId="20743"/>
    <cellStyle name="Финансовый 2 17 4 4" xfId="20744"/>
    <cellStyle name="Финансовый 2 17 4 5" xfId="20745"/>
    <cellStyle name="Финансовый 2 17 4 6" xfId="20746"/>
    <cellStyle name="Финансовый 2 17 4 7" xfId="20747"/>
    <cellStyle name="Финансовый 2 17 4 8" xfId="20748"/>
    <cellStyle name="Финансовый 2 17 4 9" xfId="20749"/>
    <cellStyle name="Финансовый 2 17 5" xfId="20750"/>
    <cellStyle name="Финансовый 2 17 6" xfId="20751"/>
    <cellStyle name="Финансовый 2 17 7" xfId="20752"/>
    <cellStyle name="Финансовый 2 17 8" xfId="20753"/>
    <cellStyle name="Финансовый 2 17 9" xfId="20754"/>
    <cellStyle name="Финансовый 2 18" xfId="20755"/>
    <cellStyle name="Финансовый 2 18 10" xfId="20756"/>
    <cellStyle name="Финансовый 2 18 11" xfId="20757"/>
    <cellStyle name="Финансовый 2 18 12" xfId="20758"/>
    <cellStyle name="Финансовый 2 18 2" xfId="20759"/>
    <cellStyle name="Финансовый 2 18 2 10" xfId="20760"/>
    <cellStyle name="Финансовый 2 18 2 11" xfId="20761"/>
    <cellStyle name="Финансовый 2 18 2 12" xfId="20762"/>
    <cellStyle name="Финансовый 2 18 2 2" xfId="20763"/>
    <cellStyle name="Финансовый 2 18 2 2 2" xfId="20764"/>
    <cellStyle name="Финансовый 2 18 2 2 3" xfId="20765"/>
    <cellStyle name="Финансовый 2 18 2 2 4" xfId="20766"/>
    <cellStyle name="Финансовый 2 18 2 2 5" xfId="20767"/>
    <cellStyle name="Финансовый 2 18 2 2 6" xfId="20768"/>
    <cellStyle name="Финансовый 2 18 2 2 7" xfId="20769"/>
    <cellStyle name="Финансовый 2 18 2 2 8" xfId="20770"/>
    <cellStyle name="Финансовый 2 18 2 2 9" xfId="20771"/>
    <cellStyle name="Финансовый 2 18 2 3" xfId="20772"/>
    <cellStyle name="Финансовый 2 18 2 3 2" xfId="20773"/>
    <cellStyle name="Финансовый 2 18 2 3 3" xfId="20774"/>
    <cellStyle name="Финансовый 2 18 2 3 4" xfId="20775"/>
    <cellStyle name="Финансовый 2 18 2 3 5" xfId="20776"/>
    <cellStyle name="Финансовый 2 18 2 3 6" xfId="20777"/>
    <cellStyle name="Финансовый 2 18 2 3 7" xfId="20778"/>
    <cellStyle name="Финансовый 2 18 2 3 8" xfId="20779"/>
    <cellStyle name="Финансовый 2 18 2 3 9" xfId="20780"/>
    <cellStyle name="Финансовый 2 18 2 4" xfId="20781"/>
    <cellStyle name="Финансовый 2 18 2 4 2" xfId="20782"/>
    <cellStyle name="Финансовый 2 18 2 4 3" xfId="20783"/>
    <cellStyle name="Финансовый 2 18 2 4 4" xfId="20784"/>
    <cellStyle name="Финансовый 2 18 2 4 5" xfId="20785"/>
    <cellStyle name="Финансовый 2 18 2 4 6" xfId="20786"/>
    <cellStyle name="Финансовый 2 18 2 4 7" xfId="20787"/>
    <cellStyle name="Финансовый 2 18 2 4 8" xfId="20788"/>
    <cellStyle name="Финансовый 2 18 2 4 9" xfId="20789"/>
    <cellStyle name="Финансовый 2 18 2 5" xfId="20790"/>
    <cellStyle name="Финансовый 2 18 2 6" xfId="20791"/>
    <cellStyle name="Финансовый 2 18 2 7" xfId="20792"/>
    <cellStyle name="Финансовый 2 18 2 8" xfId="20793"/>
    <cellStyle name="Финансовый 2 18 2 9" xfId="20794"/>
    <cellStyle name="Финансовый 2 18 3" xfId="20795"/>
    <cellStyle name="Финансовый 2 18 3 10" xfId="20796"/>
    <cellStyle name="Финансовый 2 18 3 11" xfId="20797"/>
    <cellStyle name="Финансовый 2 18 3 2" xfId="20798"/>
    <cellStyle name="Финансовый 2 18 3 2 2" xfId="20799"/>
    <cellStyle name="Финансовый 2 18 3 2 3" xfId="20800"/>
    <cellStyle name="Финансовый 2 18 3 2 4" xfId="20801"/>
    <cellStyle name="Финансовый 2 18 3 2 5" xfId="20802"/>
    <cellStyle name="Финансовый 2 18 3 2 6" xfId="20803"/>
    <cellStyle name="Финансовый 2 18 3 2 7" xfId="20804"/>
    <cellStyle name="Финансовый 2 18 3 2 8" xfId="20805"/>
    <cellStyle name="Финансовый 2 18 3 2 9" xfId="20806"/>
    <cellStyle name="Финансовый 2 18 3 3" xfId="20807"/>
    <cellStyle name="Финансовый 2 18 3 3 2" xfId="20808"/>
    <cellStyle name="Финансовый 2 18 3 3 3" xfId="20809"/>
    <cellStyle name="Финансовый 2 18 3 3 4" xfId="20810"/>
    <cellStyle name="Финансовый 2 18 3 3 5" xfId="20811"/>
    <cellStyle name="Финансовый 2 18 3 3 6" xfId="20812"/>
    <cellStyle name="Финансовый 2 18 3 3 7" xfId="20813"/>
    <cellStyle name="Финансовый 2 18 3 3 8" xfId="20814"/>
    <cellStyle name="Финансовый 2 18 3 3 9" xfId="20815"/>
    <cellStyle name="Финансовый 2 18 3 4" xfId="20816"/>
    <cellStyle name="Финансовый 2 18 3 5" xfId="20817"/>
    <cellStyle name="Финансовый 2 18 3 6" xfId="20818"/>
    <cellStyle name="Финансовый 2 18 3 7" xfId="20819"/>
    <cellStyle name="Финансовый 2 18 3 8" xfId="20820"/>
    <cellStyle name="Финансовый 2 18 3 9" xfId="20821"/>
    <cellStyle name="Финансовый 2 18 4" xfId="20822"/>
    <cellStyle name="Финансовый 2 18 4 2" xfId="20823"/>
    <cellStyle name="Финансовый 2 18 4 3" xfId="20824"/>
    <cellStyle name="Финансовый 2 18 4 4" xfId="20825"/>
    <cellStyle name="Финансовый 2 18 4 5" xfId="20826"/>
    <cellStyle name="Финансовый 2 18 4 6" xfId="20827"/>
    <cellStyle name="Финансовый 2 18 4 7" xfId="20828"/>
    <cellStyle name="Финансовый 2 18 4 8" xfId="20829"/>
    <cellStyle name="Финансовый 2 18 4 9" xfId="20830"/>
    <cellStyle name="Финансовый 2 18 5" xfId="20831"/>
    <cellStyle name="Финансовый 2 18 6" xfId="20832"/>
    <cellStyle name="Финансовый 2 18 7" xfId="20833"/>
    <cellStyle name="Финансовый 2 18 8" xfId="20834"/>
    <cellStyle name="Финансовый 2 18 9" xfId="20835"/>
    <cellStyle name="Финансовый 2 19" xfId="20836"/>
    <cellStyle name="Финансовый 2 19 2" xfId="20837"/>
    <cellStyle name="Финансовый 2 19 2 2" xfId="20838"/>
    <cellStyle name="Финансовый 2 19 2 3" xfId="20839"/>
    <cellStyle name="Финансовый 2 19 3" xfId="20840"/>
    <cellStyle name="Финансовый 2 19 4" xfId="20841"/>
    <cellStyle name="Финансовый 2 19 4 2" xfId="20842"/>
    <cellStyle name="Финансовый 2 19 4 3" xfId="20843"/>
    <cellStyle name="Финансовый 2 19 4 4" xfId="20844"/>
    <cellStyle name="Финансовый 2 19 4 5" xfId="20845"/>
    <cellStyle name="Финансовый 2 19 5" xfId="20846"/>
    <cellStyle name="Финансовый 2 19 6" xfId="20847"/>
    <cellStyle name="Финансовый 2 19 7" xfId="20848"/>
    <cellStyle name="Финансовый 2 19 8" xfId="20849"/>
    <cellStyle name="Финансовый 2 2" xfId="20850"/>
    <cellStyle name="Финансовый 2 2 10" xfId="20851"/>
    <cellStyle name="Финансовый 2 2 10 2" xfId="20852"/>
    <cellStyle name="Финансовый 2 2 10 2 2" xfId="20853"/>
    <cellStyle name="Финансовый 2 2 10 2 3" xfId="20854"/>
    <cellStyle name="Финансовый 2 2 10 3" xfId="20855"/>
    <cellStyle name="Финансовый 2 2 10 4" xfId="20856"/>
    <cellStyle name="Финансовый 2 2 10 4 2" xfId="20857"/>
    <cellStyle name="Финансовый 2 2 10 4 3" xfId="20858"/>
    <cellStyle name="Финансовый 2 2 10 4 4" xfId="20859"/>
    <cellStyle name="Финансовый 2 2 10 4 5" xfId="20860"/>
    <cellStyle name="Финансовый 2 2 10 5" xfId="20861"/>
    <cellStyle name="Финансовый 2 2 10 6" xfId="20862"/>
    <cellStyle name="Финансовый 2 2 10 7" xfId="20863"/>
    <cellStyle name="Финансовый 2 2 10 8" xfId="20864"/>
    <cellStyle name="Финансовый 2 2 11" xfId="20865"/>
    <cellStyle name="Финансовый 2 2 11 10" xfId="20866"/>
    <cellStyle name="Финансовый 2 2 11 11" xfId="20867"/>
    <cellStyle name="Финансовый 2 2 11 12" xfId="20868"/>
    <cellStyle name="Финансовый 2 2 11 2" xfId="20869"/>
    <cellStyle name="Финансовый 2 2 11 2 10" xfId="20870"/>
    <cellStyle name="Финансовый 2 2 11 2 11" xfId="20871"/>
    <cellStyle name="Финансовый 2 2 11 2 12" xfId="20872"/>
    <cellStyle name="Финансовый 2 2 11 2 2" xfId="20873"/>
    <cellStyle name="Финансовый 2 2 11 2 2 2" xfId="20874"/>
    <cellStyle name="Финансовый 2 2 11 2 2 3" xfId="20875"/>
    <cellStyle name="Финансовый 2 2 11 2 2 4" xfId="20876"/>
    <cellStyle name="Финансовый 2 2 11 2 2 5" xfId="20877"/>
    <cellStyle name="Финансовый 2 2 11 2 2 6" xfId="20878"/>
    <cellStyle name="Финансовый 2 2 11 2 2 7" xfId="20879"/>
    <cellStyle name="Финансовый 2 2 11 2 2 8" xfId="20880"/>
    <cellStyle name="Финансовый 2 2 11 2 2 9" xfId="20881"/>
    <cellStyle name="Финансовый 2 2 11 2 3" xfId="20882"/>
    <cellStyle name="Финансовый 2 2 11 2 3 2" xfId="20883"/>
    <cellStyle name="Финансовый 2 2 11 2 3 3" xfId="20884"/>
    <cellStyle name="Финансовый 2 2 11 2 3 4" xfId="20885"/>
    <cellStyle name="Финансовый 2 2 11 2 3 5" xfId="20886"/>
    <cellStyle name="Финансовый 2 2 11 2 3 6" xfId="20887"/>
    <cellStyle name="Финансовый 2 2 11 2 3 7" xfId="20888"/>
    <cellStyle name="Финансовый 2 2 11 2 3 8" xfId="20889"/>
    <cellStyle name="Финансовый 2 2 11 2 3 9" xfId="20890"/>
    <cellStyle name="Финансовый 2 2 11 2 4" xfId="20891"/>
    <cellStyle name="Финансовый 2 2 11 2 4 2" xfId="20892"/>
    <cellStyle name="Финансовый 2 2 11 2 4 3" xfId="20893"/>
    <cellStyle name="Финансовый 2 2 11 2 4 4" xfId="20894"/>
    <cellStyle name="Финансовый 2 2 11 2 4 5" xfId="20895"/>
    <cellStyle name="Финансовый 2 2 11 2 4 6" xfId="20896"/>
    <cellStyle name="Финансовый 2 2 11 2 4 7" xfId="20897"/>
    <cellStyle name="Финансовый 2 2 11 2 4 8" xfId="20898"/>
    <cellStyle name="Финансовый 2 2 11 2 4 9" xfId="20899"/>
    <cellStyle name="Финансовый 2 2 11 2 5" xfId="20900"/>
    <cellStyle name="Финансовый 2 2 11 2 6" xfId="20901"/>
    <cellStyle name="Финансовый 2 2 11 2 7" xfId="20902"/>
    <cellStyle name="Финансовый 2 2 11 2 8" xfId="20903"/>
    <cellStyle name="Финансовый 2 2 11 2 9" xfId="20904"/>
    <cellStyle name="Финансовый 2 2 11 3" xfId="20905"/>
    <cellStyle name="Финансовый 2 2 11 3 10" xfId="20906"/>
    <cellStyle name="Финансовый 2 2 11 3 11" xfId="20907"/>
    <cellStyle name="Финансовый 2 2 11 3 2" xfId="20908"/>
    <cellStyle name="Финансовый 2 2 11 3 2 2" xfId="20909"/>
    <cellStyle name="Финансовый 2 2 11 3 2 3" xfId="20910"/>
    <cellStyle name="Финансовый 2 2 11 3 2 4" xfId="20911"/>
    <cellStyle name="Финансовый 2 2 11 3 2 5" xfId="20912"/>
    <cellStyle name="Финансовый 2 2 11 3 2 6" xfId="20913"/>
    <cellStyle name="Финансовый 2 2 11 3 2 7" xfId="20914"/>
    <cellStyle name="Финансовый 2 2 11 3 2 8" xfId="20915"/>
    <cellStyle name="Финансовый 2 2 11 3 2 9" xfId="20916"/>
    <cellStyle name="Финансовый 2 2 11 3 3" xfId="20917"/>
    <cellStyle name="Финансовый 2 2 11 3 3 2" xfId="20918"/>
    <cellStyle name="Финансовый 2 2 11 3 3 3" xfId="20919"/>
    <cellStyle name="Финансовый 2 2 11 3 3 4" xfId="20920"/>
    <cellStyle name="Финансовый 2 2 11 3 3 5" xfId="20921"/>
    <cellStyle name="Финансовый 2 2 11 3 3 6" xfId="20922"/>
    <cellStyle name="Финансовый 2 2 11 3 3 7" xfId="20923"/>
    <cellStyle name="Финансовый 2 2 11 3 3 8" xfId="20924"/>
    <cellStyle name="Финансовый 2 2 11 3 3 9" xfId="20925"/>
    <cellStyle name="Финансовый 2 2 11 3 4" xfId="20926"/>
    <cellStyle name="Финансовый 2 2 11 3 5" xfId="20927"/>
    <cellStyle name="Финансовый 2 2 11 3 6" xfId="20928"/>
    <cellStyle name="Финансовый 2 2 11 3 7" xfId="20929"/>
    <cellStyle name="Финансовый 2 2 11 3 8" xfId="20930"/>
    <cellStyle name="Финансовый 2 2 11 3 9" xfId="20931"/>
    <cellStyle name="Финансовый 2 2 11 4" xfId="20932"/>
    <cellStyle name="Финансовый 2 2 11 4 2" xfId="20933"/>
    <cellStyle name="Финансовый 2 2 11 4 3" xfId="20934"/>
    <cellStyle name="Финансовый 2 2 11 4 4" xfId="20935"/>
    <cellStyle name="Финансовый 2 2 11 4 5" xfId="20936"/>
    <cellStyle name="Финансовый 2 2 11 4 6" xfId="20937"/>
    <cellStyle name="Финансовый 2 2 11 4 7" xfId="20938"/>
    <cellStyle name="Финансовый 2 2 11 4 8" xfId="20939"/>
    <cellStyle name="Финансовый 2 2 11 4 9" xfId="20940"/>
    <cellStyle name="Финансовый 2 2 11 5" xfId="20941"/>
    <cellStyle name="Финансовый 2 2 11 6" xfId="20942"/>
    <cellStyle name="Финансовый 2 2 11 7" xfId="20943"/>
    <cellStyle name="Финансовый 2 2 11 8" xfId="20944"/>
    <cellStyle name="Финансовый 2 2 11 9" xfId="20945"/>
    <cellStyle name="Финансовый 2 2 12" xfId="20946"/>
    <cellStyle name="Финансовый 2 2 12 10" xfId="20947"/>
    <cellStyle name="Финансовый 2 2 12 11" xfId="20948"/>
    <cellStyle name="Финансовый 2 2 12 12" xfId="20949"/>
    <cellStyle name="Финансовый 2 2 12 2" xfId="20950"/>
    <cellStyle name="Финансовый 2 2 12 2 10" xfId="20951"/>
    <cellStyle name="Финансовый 2 2 12 2 11" xfId="20952"/>
    <cellStyle name="Финансовый 2 2 12 2 12" xfId="20953"/>
    <cellStyle name="Финансовый 2 2 12 2 2" xfId="20954"/>
    <cellStyle name="Финансовый 2 2 12 2 2 2" xfId="20955"/>
    <cellStyle name="Финансовый 2 2 12 2 2 3" xfId="20956"/>
    <cellStyle name="Финансовый 2 2 12 2 2 4" xfId="20957"/>
    <cellStyle name="Финансовый 2 2 12 2 2 5" xfId="20958"/>
    <cellStyle name="Финансовый 2 2 12 2 2 6" xfId="20959"/>
    <cellStyle name="Финансовый 2 2 12 2 2 7" xfId="20960"/>
    <cellStyle name="Финансовый 2 2 12 2 2 8" xfId="20961"/>
    <cellStyle name="Финансовый 2 2 12 2 2 9" xfId="20962"/>
    <cellStyle name="Финансовый 2 2 12 2 3" xfId="20963"/>
    <cellStyle name="Финансовый 2 2 12 2 3 2" xfId="20964"/>
    <cellStyle name="Финансовый 2 2 12 2 3 3" xfId="20965"/>
    <cellStyle name="Финансовый 2 2 12 2 3 4" xfId="20966"/>
    <cellStyle name="Финансовый 2 2 12 2 3 5" xfId="20967"/>
    <cellStyle name="Финансовый 2 2 12 2 3 6" xfId="20968"/>
    <cellStyle name="Финансовый 2 2 12 2 3 7" xfId="20969"/>
    <cellStyle name="Финансовый 2 2 12 2 3 8" xfId="20970"/>
    <cellStyle name="Финансовый 2 2 12 2 3 9" xfId="20971"/>
    <cellStyle name="Финансовый 2 2 12 2 4" xfId="20972"/>
    <cellStyle name="Финансовый 2 2 12 2 4 2" xfId="20973"/>
    <cellStyle name="Финансовый 2 2 12 2 4 3" xfId="20974"/>
    <cellStyle name="Финансовый 2 2 12 2 4 4" xfId="20975"/>
    <cellStyle name="Финансовый 2 2 12 2 4 5" xfId="20976"/>
    <cellStyle name="Финансовый 2 2 12 2 4 6" xfId="20977"/>
    <cellStyle name="Финансовый 2 2 12 2 4 7" xfId="20978"/>
    <cellStyle name="Финансовый 2 2 12 2 4 8" xfId="20979"/>
    <cellStyle name="Финансовый 2 2 12 2 4 9" xfId="20980"/>
    <cellStyle name="Финансовый 2 2 12 2 5" xfId="20981"/>
    <cellStyle name="Финансовый 2 2 12 2 6" xfId="20982"/>
    <cellStyle name="Финансовый 2 2 12 2 7" xfId="20983"/>
    <cellStyle name="Финансовый 2 2 12 2 8" xfId="20984"/>
    <cellStyle name="Финансовый 2 2 12 2 9" xfId="20985"/>
    <cellStyle name="Финансовый 2 2 12 3" xfId="20986"/>
    <cellStyle name="Финансовый 2 2 12 3 10" xfId="20987"/>
    <cellStyle name="Финансовый 2 2 12 3 11" xfId="20988"/>
    <cellStyle name="Финансовый 2 2 12 3 2" xfId="20989"/>
    <cellStyle name="Финансовый 2 2 12 3 2 2" xfId="20990"/>
    <cellStyle name="Финансовый 2 2 12 3 2 3" xfId="20991"/>
    <cellStyle name="Финансовый 2 2 12 3 2 4" xfId="20992"/>
    <cellStyle name="Финансовый 2 2 12 3 2 5" xfId="20993"/>
    <cellStyle name="Финансовый 2 2 12 3 2 6" xfId="20994"/>
    <cellStyle name="Финансовый 2 2 12 3 2 7" xfId="20995"/>
    <cellStyle name="Финансовый 2 2 12 3 2 8" xfId="20996"/>
    <cellStyle name="Финансовый 2 2 12 3 2 9" xfId="20997"/>
    <cellStyle name="Финансовый 2 2 12 3 3" xfId="20998"/>
    <cellStyle name="Финансовый 2 2 12 3 3 2" xfId="20999"/>
    <cellStyle name="Финансовый 2 2 12 3 3 3" xfId="21000"/>
    <cellStyle name="Финансовый 2 2 12 3 3 4" xfId="21001"/>
    <cellStyle name="Финансовый 2 2 12 3 3 5" xfId="21002"/>
    <cellStyle name="Финансовый 2 2 12 3 3 6" xfId="21003"/>
    <cellStyle name="Финансовый 2 2 12 3 3 7" xfId="21004"/>
    <cellStyle name="Финансовый 2 2 12 3 3 8" xfId="21005"/>
    <cellStyle name="Финансовый 2 2 12 3 3 9" xfId="21006"/>
    <cellStyle name="Финансовый 2 2 12 3 4" xfId="21007"/>
    <cellStyle name="Финансовый 2 2 12 3 5" xfId="21008"/>
    <cellStyle name="Финансовый 2 2 12 3 6" xfId="21009"/>
    <cellStyle name="Финансовый 2 2 12 3 7" xfId="21010"/>
    <cellStyle name="Финансовый 2 2 12 3 8" xfId="21011"/>
    <cellStyle name="Финансовый 2 2 12 3 9" xfId="21012"/>
    <cellStyle name="Финансовый 2 2 12 4" xfId="21013"/>
    <cellStyle name="Финансовый 2 2 12 4 2" xfId="21014"/>
    <cellStyle name="Финансовый 2 2 12 4 3" xfId="21015"/>
    <cellStyle name="Финансовый 2 2 12 4 4" xfId="21016"/>
    <cellStyle name="Финансовый 2 2 12 4 5" xfId="21017"/>
    <cellStyle name="Финансовый 2 2 12 4 6" xfId="21018"/>
    <cellStyle name="Финансовый 2 2 12 4 7" xfId="21019"/>
    <cellStyle name="Финансовый 2 2 12 4 8" xfId="21020"/>
    <cellStyle name="Финансовый 2 2 12 4 9" xfId="21021"/>
    <cellStyle name="Финансовый 2 2 12 5" xfId="21022"/>
    <cellStyle name="Финансовый 2 2 12 6" xfId="21023"/>
    <cellStyle name="Финансовый 2 2 12 7" xfId="21024"/>
    <cellStyle name="Финансовый 2 2 12 8" xfId="21025"/>
    <cellStyle name="Финансовый 2 2 12 9" xfId="21026"/>
    <cellStyle name="Финансовый 2 2 13" xfId="21027"/>
    <cellStyle name="Финансовый 2 2 13 10" xfId="21028"/>
    <cellStyle name="Финансовый 2 2 13 11" xfId="21029"/>
    <cellStyle name="Финансовый 2 2 13 12" xfId="21030"/>
    <cellStyle name="Финансовый 2 2 13 2" xfId="21031"/>
    <cellStyle name="Финансовый 2 2 13 2 10" xfId="21032"/>
    <cellStyle name="Финансовый 2 2 13 2 11" xfId="21033"/>
    <cellStyle name="Финансовый 2 2 13 2 12" xfId="21034"/>
    <cellStyle name="Финансовый 2 2 13 2 2" xfId="21035"/>
    <cellStyle name="Финансовый 2 2 13 2 2 2" xfId="21036"/>
    <cellStyle name="Финансовый 2 2 13 2 2 3" xfId="21037"/>
    <cellStyle name="Финансовый 2 2 13 2 2 4" xfId="21038"/>
    <cellStyle name="Финансовый 2 2 13 2 2 5" xfId="21039"/>
    <cellStyle name="Финансовый 2 2 13 2 2 6" xfId="21040"/>
    <cellStyle name="Финансовый 2 2 13 2 2 7" xfId="21041"/>
    <cellStyle name="Финансовый 2 2 13 2 2 8" xfId="21042"/>
    <cellStyle name="Финансовый 2 2 13 2 2 9" xfId="21043"/>
    <cellStyle name="Финансовый 2 2 13 2 3" xfId="21044"/>
    <cellStyle name="Финансовый 2 2 13 2 3 2" xfId="21045"/>
    <cellStyle name="Финансовый 2 2 13 2 3 3" xfId="21046"/>
    <cellStyle name="Финансовый 2 2 13 2 3 4" xfId="21047"/>
    <cellStyle name="Финансовый 2 2 13 2 3 5" xfId="21048"/>
    <cellStyle name="Финансовый 2 2 13 2 3 6" xfId="21049"/>
    <cellStyle name="Финансовый 2 2 13 2 3 7" xfId="21050"/>
    <cellStyle name="Финансовый 2 2 13 2 3 8" xfId="21051"/>
    <cellStyle name="Финансовый 2 2 13 2 3 9" xfId="21052"/>
    <cellStyle name="Финансовый 2 2 13 2 4" xfId="21053"/>
    <cellStyle name="Финансовый 2 2 13 2 4 2" xfId="21054"/>
    <cellStyle name="Финансовый 2 2 13 2 4 3" xfId="21055"/>
    <cellStyle name="Финансовый 2 2 13 2 4 4" xfId="21056"/>
    <cellStyle name="Финансовый 2 2 13 2 4 5" xfId="21057"/>
    <cellStyle name="Финансовый 2 2 13 2 4 6" xfId="21058"/>
    <cellStyle name="Финансовый 2 2 13 2 4 7" xfId="21059"/>
    <cellStyle name="Финансовый 2 2 13 2 4 8" xfId="21060"/>
    <cellStyle name="Финансовый 2 2 13 2 4 9" xfId="21061"/>
    <cellStyle name="Финансовый 2 2 13 2 5" xfId="21062"/>
    <cellStyle name="Финансовый 2 2 13 2 6" xfId="21063"/>
    <cellStyle name="Финансовый 2 2 13 2 7" xfId="21064"/>
    <cellStyle name="Финансовый 2 2 13 2 8" xfId="21065"/>
    <cellStyle name="Финансовый 2 2 13 2 9" xfId="21066"/>
    <cellStyle name="Финансовый 2 2 13 3" xfId="21067"/>
    <cellStyle name="Финансовый 2 2 13 3 10" xfId="21068"/>
    <cellStyle name="Финансовый 2 2 13 3 11" xfId="21069"/>
    <cellStyle name="Финансовый 2 2 13 3 2" xfId="21070"/>
    <cellStyle name="Финансовый 2 2 13 3 2 2" xfId="21071"/>
    <cellStyle name="Финансовый 2 2 13 3 2 3" xfId="21072"/>
    <cellStyle name="Финансовый 2 2 13 3 2 4" xfId="21073"/>
    <cellStyle name="Финансовый 2 2 13 3 2 5" xfId="21074"/>
    <cellStyle name="Финансовый 2 2 13 3 2 6" xfId="21075"/>
    <cellStyle name="Финансовый 2 2 13 3 2 7" xfId="21076"/>
    <cellStyle name="Финансовый 2 2 13 3 2 8" xfId="21077"/>
    <cellStyle name="Финансовый 2 2 13 3 2 9" xfId="21078"/>
    <cellStyle name="Финансовый 2 2 13 3 3" xfId="21079"/>
    <cellStyle name="Финансовый 2 2 13 3 3 2" xfId="21080"/>
    <cellStyle name="Финансовый 2 2 13 3 3 3" xfId="21081"/>
    <cellStyle name="Финансовый 2 2 13 3 3 4" xfId="21082"/>
    <cellStyle name="Финансовый 2 2 13 3 3 5" xfId="21083"/>
    <cellStyle name="Финансовый 2 2 13 3 3 6" xfId="21084"/>
    <cellStyle name="Финансовый 2 2 13 3 3 7" xfId="21085"/>
    <cellStyle name="Финансовый 2 2 13 3 3 8" xfId="21086"/>
    <cellStyle name="Финансовый 2 2 13 3 3 9" xfId="21087"/>
    <cellStyle name="Финансовый 2 2 13 3 4" xfId="21088"/>
    <cellStyle name="Финансовый 2 2 13 3 5" xfId="21089"/>
    <cellStyle name="Финансовый 2 2 13 3 6" xfId="21090"/>
    <cellStyle name="Финансовый 2 2 13 3 7" xfId="21091"/>
    <cellStyle name="Финансовый 2 2 13 3 8" xfId="21092"/>
    <cellStyle name="Финансовый 2 2 13 3 9" xfId="21093"/>
    <cellStyle name="Финансовый 2 2 13 4" xfId="21094"/>
    <cellStyle name="Финансовый 2 2 13 4 2" xfId="21095"/>
    <cellStyle name="Финансовый 2 2 13 4 3" xfId="21096"/>
    <cellStyle name="Финансовый 2 2 13 4 4" xfId="21097"/>
    <cellStyle name="Финансовый 2 2 13 4 5" xfId="21098"/>
    <cellStyle name="Финансовый 2 2 13 4 6" xfId="21099"/>
    <cellStyle name="Финансовый 2 2 13 4 7" xfId="21100"/>
    <cellStyle name="Финансовый 2 2 13 4 8" xfId="21101"/>
    <cellStyle name="Финансовый 2 2 13 4 9" xfId="21102"/>
    <cellStyle name="Финансовый 2 2 13 5" xfId="21103"/>
    <cellStyle name="Финансовый 2 2 13 6" xfId="21104"/>
    <cellStyle name="Финансовый 2 2 13 7" xfId="21105"/>
    <cellStyle name="Финансовый 2 2 13 8" xfId="21106"/>
    <cellStyle name="Финансовый 2 2 13 9" xfId="21107"/>
    <cellStyle name="Финансовый 2 2 14" xfId="21108"/>
    <cellStyle name="Финансовый 2 2 14 10" xfId="21109"/>
    <cellStyle name="Финансовый 2 2 14 11" xfId="21110"/>
    <cellStyle name="Финансовый 2 2 14 12" xfId="21111"/>
    <cellStyle name="Финансовый 2 2 14 2" xfId="21112"/>
    <cellStyle name="Финансовый 2 2 14 2 10" xfId="21113"/>
    <cellStyle name="Финансовый 2 2 14 2 11" xfId="21114"/>
    <cellStyle name="Финансовый 2 2 14 2 12" xfId="21115"/>
    <cellStyle name="Финансовый 2 2 14 2 2" xfId="21116"/>
    <cellStyle name="Финансовый 2 2 14 2 2 2" xfId="21117"/>
    <cellStyle name="Финансовый 2 2 14 2 2 3" xfId="21118"/>
    <cellStyle name="Финансовый 2 2 14 2 2 4" xfId="21119"/>
    <cellStyle name="Финансовый 2 2 14 2 2 5" xfId="21120"/>
    <cellStyle name="Финансовый 2 2 14 2 2 6" xfId="21121"/>
    <cellStyle name="Финансовый 2 2 14 2 2 7" xfId="21122"/>
    <cellStyle name="Финансовый 2 2 14 2 2 8" xfId="21123"/>
    <cellStyle name="Финансовый 2 2 14 2 2 9" xfId="21124"/>
    <cellStyle name="Финансовый 2 2 14 2 3" xfId="21125"/>
    <cellStyle name="Финансовый 2 2 14 2 3 2" xfId="21126"/>
    <cellStyle name="Финансовый 2 2 14 2 3 3" xfId="21127"/>
    <cellStyle name="Финансовый 2 2 14 2 3 4" xfId="21128"/>
    <cellStyle name="Финансовый 2 2 14 2 3 5" xfId="21129"/>
    <cellStyle name="Финансовый 2 2 14 2 3 6" xfId="21130"/>
    <cellStyle name="Финансовый 2 2 14 2 3 7" xfId="21131"/>
    <cellStyle name="Финансовый 2 2 14 2 3 8" xfId="21132"/>
    <cellStyle name="Финансовый 2 2 14 2 3 9" xfId="21133"/>
    <cellStyle name="Финансовый 2 2 14 2 4" xfId="21134"/>
    <cellStyle name="Финансовый 2 2 14 2 4 2" xfId="21135"/>
    <cellStyle name="Финансовый 2 2 14 2 4 3" xfId="21136"/>
    <cellStyle name="Финансовый 2 2 14 2 4 4" xfId="21137"/>
    <cellStyle name="Финансовый 2 2 14 2 4 5" xfId="21138"/>
    <cellStyle name="Финансовый 2 2 14 2 4 6" xfId="21139"/>
    <cellStyle name="Финансовый 2 2 14 2 4 7" xfId="21140"/>
    <cellStyle name="Финансовый 2 2 14 2 4 8" xfId="21141"/>
    <cellStyle name="Финансовый 2 2 14 2 4 9" xfId="21142"/>
    <cellStyle name="Финансовый 2 2 14 2 5" xfId="21143"/>
    <cellStyle name="Финансовый 2 2 14 2 6" xfId="21144"/>
    <cellStyle name="Финансовый 2 2 14 2 7" xfId="21145"/>
    <cellStyle name="Финансовый 2 2 14 2 8" xfId="21146"/>
    <cellStyle name="Финансовый 2 2 14 2 9" xfId="21147"/>
    <cellStyle name="Финансовый 2 2 14 3" xfId="21148"/>
    <cellStyle name="Финансовый 2 2 14 3 10" xfId="21149"/>
    <cellStyle name="Финансовый 2 2 14 3 11" xfId="21150"/>
    <cellStyle name="Финансовый 2 2 14 3 2" xfId="21151"/>
    <cellStyle name="Финансовый 2 2 14 3 2 2" xfId="21152"/>
    <cellStyle name="Финансовый 2 2 14 3 2 3" xfId="21153"/>
    <cellStyle name="Финансовый 2 2 14 3 2 4" xfId="21154"/>
    <cellStyle name="Финансовый 2 2 14 3 2 5" xfId="21155"/>
    <cellStyle name="Финансовый 2 2 14 3 2 6" xfId="21156"/>
    <cellStyle name="Финансовый 2 2 14 3 2 7" xfId="21157"/>
    <cellStyle name="Финансовый 2 2 14 3 2 8" xfId="21158"/>
    <cellStyle name="Финансовый 2 2 14 3 2 9" xfId="21159"/>
    <cellStyle name="Финансовый 2 2 14 3 3" xfId="21160"/>
    <cellStyle name="Финансовый 2 2 14 3 3 2" xfId="21161"/>
    <cellStyle name="Финансовый 2 2 14 3 3 3" xfId="21162"/>
    <cellStyle name="Финансовый 2 2 14 3 3 4" xfId="21163"/>
    <cellStyle name="Финансовый 2 2 14 3 3 5" xfId="21164"/>
    <cellStyle name="Финансовый 2 2 14 3 3 6" xfId="21165"/>
    <cellStyle name="Финансовый 2 2 14 3 3 7" xfId="21166"/>
    <cellStyle name="Финансовый 2 2 14 3 3 8" xfId="21167"/>
    <cellStyle name="Финансовый 2 2 14 3 3 9" xfId="21168"/>
    <cellStyle name="Финансовый 2 2 14 3 4" xfId="21169"/>
    <cellStyle name="Финансовый 2 2 14 3 5" xfId="21170"/>
    <cellStyle name="Финансовый 2 2 14 3 6" xfId="21171"/>
    <cellStyle name="Финансовый 2 2 14 3 7" xfId="21172"/>
    <cellStyle name="Финансовый 2 2 14 3 8" xfId="21173"/>
    <cellStyle name="Финансовый 2 2 14 3 9" xfId="21174"/>
    <cellStyle name="Финансовый 2 2 14 4" xfId="21175"/>
    <cellStyle name="Финансовый 2 2 14 4 2" xfId="21176"/>
    <cellStyle name="Финансовый 2 2 14 4 3" xfId="21177"/>
    <cellStyle name="Финансовый 2 2 14 4 4" xfId="21178"/>
    <cellStyle name="Финансовый 2 2 14 4 5" xfId="21179"/>
    <cellStyle name="Финансовый 2 2 14 4 6" xfId="21180"/>
    <cellStyle name="Финансовый 2 2 14 4 7" xfId="21181"/>
    <cellStyle name="Финансовый 2 2 14 4 8" xfId="21182"/>
    <cellStyle name="Финансовый 2 2 14 4 9" xfId="21183"/>
    <cellStyle name="Финансовый 2 2 14 5" xfId="21184"/>
    <cellStyle name="Финансовый 2 2 14 6" xfId="21185"/>
    <cellStyle name="Финансовый 2 2 14 7" xfId="21186"/>
    <cellStyle name="Финансовый 2 2 14 8" xfId="21187"/>
    <cellStyle name="Финансовый 2 2 14 9" xfId="21188"/>
    <cellStyle name="Финансовый 2 2 15" xfId="21189"/>
    <cellStyle name="Финансовый 2 2 15 2" xfId="21190"/>
    <cellStyle name="Финансовый 2 2 15 2 2" xfId="21191"/>
    <cellStyle name="Финансовый 2 2 15 2 3" xfId="21192"/>
    <cellStyle name="Финансовый 2 2 15 3" xfId="21193"/>
    <cellStyle name="Финансовый 2 2 15 4" xfId="21194"/>
    <cellStyle name="Финансовый 2 2 15 4 2" xfId="21195"/>
    <cellStyle name="Финансовый 2 2 15 4 3" xfId="21196"/>
    <cellStyle name="Финансовый 2 2 15 4 4" xfId="21197"/>
    <cellStyle name="Финансовый 2 2 15 4 5" xfId="21198"/>
    <cellStyle name="Финансовый 2 2 15 5" xfId="21199"/>
    <cellStyle name="Финансовый 2 2 15 6" xfId="21200"/>
    <cellStyle name="Финансовый 2 2 15 7" xfId="21201"/>
    <cellStyle name="Финансовый 2 2 15 8" xfId="21202"/>
    <cellStyle name="Финансовый 2 2 16" xfId="21203"/>
    <cellStyle name="Финансовый 2 2 16 2" xfId="21204"/>
    <cellStyle name="Финансовый 2 2 16 2 2" xfId="21205"/>
    <cellStyle name="Финансовый 2 2 16 2 3" xfId="21206"/>
    <cellStyle name="Финансовый 2 2 16 3" xfId="21207"/>
    <cellStyle name="Финансовый 2 2 16 4" xfId="21208"/>
    <cellStyle name="Финансовый 2 2 16 4 2" xfId="21209"/>
    <cellStyle name="Финансовый 2 2 16 4 3" xfId="21210"/>
    <cellStyle name="Финансовый 2 2 16 4 4" xfId="21211"/>
    <cellStyle name="Финансовый 2 2 16 4 5" xfId="21212"/>
    <cellStyle name="Финансовый 2 2 16 5" xfId="21213"/>
    <cellStyle name="Финансовый 2 2 16 6" xfId="21214"/>
    <cellStyle name="Финансовый 2 2 16 7" xfId="21215"/>
    <cellStyle name="Финансовый 2 2 16 8" xfId="21216"/>
    <cellStyle name="Финансовый 2 2 17" xfId="21217"/>
    <cellStyle name="Финансовый 2 2 17 2" xfId="21218"/>
    <cellStyle name="Финансовый 2 2 17 2 2" xfId="21219"/>
    <cellStyle name="Финансовый 2 2 17 2 3" xfId="21220"/>
    <cellStyle name="Финансовый 2 2 17 3" xfId="21221"/>
    <cellStyle name="Финансовый 2 2 17 4" xfId="21222"/>
    <cellStyle name="Финансовый 2 2 17 4 2" xfId="21223"/>
    <cellStyle name="Финансовый 2 2 17 4 3" xfId="21224"/>
    <cellStyle name="Финансовый 2 2 17 4 4" xfId="21225"/>
    <cellStyle name="Финансовый 2 2 17 4 5" xfId="21226"/>
    <cellStyle name="Финансовый 2 2 17 5" xfId="21227"/>
    <cellStyle name="Финансовый 2 2 17 6" xfId="21228"/>
    <cellStyle name="Финансовый 2 2 17 7" xfId="21229"/>
    <cellStyle name="Финансовый 2 2 17 8" xfId="21230"/>
    <cellStyle name="Финансовый 2 2 18" xfId="21231"/>
    <cellStyle name="Финансовый 2 2 18 2" xfId="21232"/>
    <cellStyle name="Финансовый 2 2 18 2 2" xfId="21233"/>
    <cellStyle name="Финансовый 2 2 18 2 3" xfId="21234"/>
    <cellStyle name="Финансовый 2 2 18 3" xfId="21235"/>
    <cellStyle name="Финансовый 2 2 18 4" xfId="21236"/>
    <cellStyle name="Финансовый 2 2 18 4 2" xfId="21237"/>
    <cellStyle name="Финансовый 2 2 18 4 3" xfId="21238"/>
    <cellStyle name="Финансовый 2 2 18 4 4" xfId="21239"/>
    <cellStyle name="Финансовый 2 2 18 4 5" xfId="21240"/>
    <cellStyle name="Финансовый 2 2 18 5" xfId="21241"/>
    <cellStyle name="Финансовый 2 2 18 6" xfId="21242"/>
    <cellStyle name="Финансовый 2 2 18 7" xfId="21243"/>
    <cellStyle name="Финансовый 2 2 18 8" xfId="21244"/>
    <cellStyle name="Финансовый 2 2 19" xfId="21245"/>
    <cellStyle name="Финансовый 2 2 19 2" xfId="21246"/>
    <cellStyle name="Финансовый 2 2 19 2 2" xfId="21247"/>
    <cellStyle name="Финансовый 2 2 19 2 3" xfId="21248"/>
    <cellStyle name="Финансовый 2 2 19 3" xfId="21249"/>
    <cellStyle name="Финансовый 2 2 19 4" xfId="21250"/>
    <cellStyle name="Финансовый 2 2 19 4 2" xfId="21251"/>
    <cellStyle name="Финансовый 2 2 19 4 3" xfId="21252"/>
    <cellStyle name="Финансовый 2 2 19 4 4" xfId="21253"/>
    <cellStyle name="Финансовый 2 2 19 4 5" xfId="21254"/>
    <cellStyle name="Финансовый 2 2 19 5" xfId="21255"/>
    <cellStyle name="Финансовый 2 2 19 6" xfId="21256"/>
    <cellStyle name="Финансовый 2 2 19 7" xfId="21257"/>
    <cellStyle name="Финансовый 2 2 19 8" xfId="21258"/>
    <cellStyle name="Финансовый 2 2 2" xfId="21259"/>
    <cellStyle name="Финансовый 2 2 2 10" xfId="21260"/>
    <cellStyle name="Финансовый 2 2 2 10 10" xfId="21261"/>
    <cellStyle name="Финансовый 2 2 2 10 11" xfId="21262"/>
    <cellStyle name="Финансовый 2 2 2 10 12" xfId="21263"/>
    <cellStyle name="Финансовый 2 2 2 10 2" xfId="21264"/>
    <cellStyle name="Финансовый 2 2 2 10 2 10" xfId="21265"/>
    <cellStyle name="Финансовый 2 2 2 10 2 11" xfId="21266"/>
    <cellStyle name="Финансовый 2 2 2 10 2 12" xfId="21267"/>
    <cellStyle name="Финансовый 2 2 2 10 2 2" xfId="21268"/>
    <cellStyle name="Финансовый 2 2 2 10 2 2 2" xfId="21269"/>
    <cellStyle name="Финансовый 2 2 2 10 2 2 3" xfId="21270"/>
    <cellStyle name="Финансовый 2 2 2 10 2 2 4" xfId="21271"/>
    <cellStyle name="Финансовый 2 2 2 10 2 2 5" xfId="21272"/>
    <cellStyle name="Финансовый 2 2 2 10 2 2 6" xfId="21273"/>
    <cellStyle name="Финансовый 2 2 2 10 2 2 7" xfId="21274"/>
    <cellStyle name="Финансовый 2 2 2 10 2 2 8" xfId="21275"/>
    <cellStyle name="Финансовый 2 2 2 10 2 2 9" xfId="21276"/>
    <cellStyle name="Финансовый 2 2 2 10 2 3" xfId="21277"/>
    <cellStyle name="Финансовый 2 2 2 10 2 3 2" xfId="21278"/>
    <cellStyle name="Финансовый 2 2 2 10 2 3 3" xfId="21279"/>
    <cellStyle name="Финансовый 2 2 2 10 2 3 4" xfId="21280"/>
    <cellStyle name="Финансовый 2 2 2 10 2 3 5" xfId="21281"/>
    <cellStyle name="Финансовый 2 2 2 10 2 3 6" xfId="21282"/>
    <cellStyle name="Финансовый 2 2 2 10 2 3 7" xfId="21283"/>
    <cellStyle name="Финансовый 2 2 2 10 2 3 8" xfId="21284"/>
    <cellStyle name="Финансовый 2 2 2 10 2 3 9" xfId="21285"/>
    <cellStyle name="Финансовый 2 2 2 10 2 4" xfId="21286"/>
    <cellStyle name="Финансовый 2 2 2 10 2 4 2" xfId="21287"/>
    <cellStyle name="Финансовый 2 2 2 10 2 4 3" xfId="21288"/>
    <cellStyle name="Финансовый 2 2 2 10 2 4 4" xfId="21289"/>
    <cellStyle name="Финансовый 2 2 2 10 2 4 5" xfId="21290"/>
    <cellStyle name="Финансовый 2 2 2 10 2 4 6" xfId="21291"/>
    <cellStyle name="Финансовый 2 2 2 10 2 4 7" xfId="21292"/>
    <cellStyle name="Финансовый 2 2 2 10 2 4 8" xfId="21293"/>
    <cellStyle name="Финансовый 2 2 2 10 2 4 9" xfId="21294"/>
    <cellStyle name="Финансовый 2 2 2 10 2 5" xfId="21295"/>
    <cellStyle name="Финансовый 2 2 2 10 2 6" xfId="21296"/>
    <cellStyle name="Финансовый 2 2 2 10 2 7" xfId="21297"/>
    <cellStyle name="Финансовый 2 2 2 10 2 8" xfId="21298"/>
    <cellStyle name="Финансовый 2 2 2 10 2 9" xfId="21299"/>
    <cellStyle name="Финансовый 2 2 2 10 3" xfId="21300"/>
    <cellStyle name="Финансовый 2 2 2 10 3 10" xfId="21301"/>
    <cellStyle name="Финансовый 2 2 2 10 3 11" xfId="21302"/>
    <cellStyle name="Финансовый 2 2 2 10 3 2" xfId="21303"/>
    <cellStyle name="Финансовый 2 2 2 10 3 2 2" xfId="21304"/>
    <cellStyle name="Финансовый 2 2 2 10 3 2 3" xfId="21305"/>
    <cellStyle name="Финансовый 2 2 2 10 3 2 4" xfId="21306"/>
    <cellStyle name="Финансовый 2 2 2 10 3 2 5" xfId="21307"/>
    <cellStyle name="Финансовый 2 2 2 10 3 2 6" xfId="21308"/>
    <cellStyle name="Финансовый 2 2 2 10 3 2 7" xfId="21309"/>
    <cellStyle name="Финансовый 2 2 2 10 3 2 8" xfId="21310"/>
    <cellStyle name="Финансовый 2 2 2 10 3 2 9" xfId="21311"/>
    <cellStyle name="Финансовый 2 2 2 10 3 3" xfId="21312"/>
    <cellStyle name="Финансовый 2 2 2 10 3 3 2" xfId="21313"/>
    <cellStyle name="Финансовый 2 2 2 10 3 3 3" xfId="21314"/>
    <cellStyle name="Финансовый 2 2 2 10 3 3 4" xfId="21315"/>
    <cellStyle name="Финансовый 2 2 2 10 3 3 5" xfId="21316"/>
    <cellStyle name="Финансовый 2 2 2 10 3 3 6" xfId="21317"/>
    <cellStyle name="Финансовый 2 2 2 10 3 3 7" xfId="21318"/>
    <cellStyle name="Финансовый 2 2 2 10 3 3 8" xfId="21319"/>
    <cellStyle name="Финансовый 2 2 2 10 3 3 9" xfId="21320"/>
    <cellStyle name="Финансовый 2 2 2 10 3 4" xfId="21321"/>
    <cellStyle name="Финансовый 2 2 2 10 3 5" xfId="21322"/>
    <cellStyle name="Финансовый 2 2 2 10 3 6" xfId="21323"/>
    <cellStyle name="Финансовый 2 2 2 10 3 7" xfId="21324"/>
    <cellStyle name="Финансовый 2 2 2 10 3 8" xfId="21325"/>
    <cellStyle name="Финансовый 2 2 2 10 3 9" xfId="21326"/>
    <cellStyle name="Финансовый 2 2 2 10 4" xfId="21327"/>
    <cellStyle name="Финансовый 2 2 2 10 4 2" xfId="21328"/>
    <cellStyle name="Финансовый 2 2 2 10 4 3" xfId="21329"/>
    <cellStyle name="Финансовый 2 2 2 10 4 4" xfId="21330"/>
    <cellStyle name="Финансовый 2 2 2 10 4 5" xfId="21331"/>
    <cellStyle name="Финансовый 2 2 2 10 4 6" xfId="21332"/>
    <cellStyle name="Финансовый 2 2 2 10 4 7" xfId="21333"/>
    <cellStyle name="Финансовый 2 2 2 10 4 8" xfId="21334"/>
    <cellStyle name="Финансовый 2 2 2 10 4 9" xfId="21335"/>
    <cellStyle name="Финансовый 2 2 2 10 5" xfId="21336"/>
    <cellStyle name="Финансовый 2 2 2 10 6" xfId="21337"/>
    <cellStyle name="Финансовый 2 2 2 10 7" xfId="21338"/>
    <cellStyle name="Финансовый 2 2 2 10 8" xfId="21339"/>
    <cellStyle name="Финансовый 2 2 2 10 9" xfId="21340"/>
    <cellStyle name="Финансовый 2 2 2 11" xfId="21341"/>
    <cellStyle name="Финансовый 2 2 2 11 10" xfId="21342"/>
    <cellStyle name="Финансовый 2 2 2 11 11" xfId="21343"/>
    <cellStyle name="Финансовый 2 2 2 11 12" xfId="21344"/>
    <cellStyle name="Финансовый 2 2 2 11 2" xfId="21345"/>
    <cellStyle name="Финансовый 2 2 2 11 2 2" xfId="21346"/>
    <cellStyle name="Финансовый 2 2 2 11 2 3" xfId="21347"/>
    <cellStyle name="Финансовый 2 2 2 11 2 4" xfId="21348"/>
    <cellStyle name="Финансовый 2 2 2 11 2 5" xfId="21349"/>
    <cellStyle name="Финансовый 2 2 2 11 2 6" xfId="21350"/>
    <cellStyle name="Финансовый 2 2 2 11 2 7" xfId="21351"/>
    <cellStyle name="Финансовый 2 2 2 11 2 8" xfId="21352"/>
    <cellStyle name="Финансовый 2 2 2 11 2 9" xfId="21353"/>
    <cellStyle name="Финансовый 2 2 2 11 3" xfId="21354"/>
    <cellStyle name="Финансовый 2 2 2 11 3 2" xfId="21355"/>
    <cellStyle name="Финансовый 2 2 2 11 3 3" xfId="21356"/>
    <cellStyle name="Финансовый 2 2 2 11 3 4" xfId="21357"/>
    <cellStyle name="Финансовый 2 2 2 11 3 5" xfId="21358"/>
    <cellStyle name="Финансовый 2 2 2 11 3 6" xfId="21359"/>
    <cellStyle name="Финансовый 2 2 2 11 3 7" xfId="21360"/>
    <cellStyle name="Финансовый 2 2 2 11 3 8" xfId="21361"/>
    <cellStyle name="Финансовый 2 2 2 11 3 9" xfId="21362"/>
    <cellStyle name="Финансовый 2 2 2 11 4" xfId="21363"/>
    <cellStyle name="Финансовый 2 2 2 11 4 2" xfId="21364"/>
    <cellStyle name="Финансовый 2 2 2 11 4 3" xfId="21365"/>
    <cellStyle name="Финансовый 2 2 2 11 4 4" xfId="21366"/>
    <cellStyle name="Финансовый 2 2 2 11 4 5" xfId="21367"/>
    <cellStyle name="Финансовый 2 2 2 11 4 6" xfId="21368"/>
    <cellStyle name="Финансовый 2 2 2 11 4 7" xfId="21369"/>
    <cellStyle name="Финансовый 2 2 2 11 4 8" xfId="21370"/>
    <cellStyle name="Финансовый 2 2 2 11 4 9" xfId="21371"/>
    <cellStyle name="Финансовый 2 2 2 11 5" xfId="21372"/>
    <cellStyle name="Финансовый 2 2 2 11 6" xfId="21373"/>
    <cellStyle name="Финансовый 2 2 2 11 7" xfId="21374"/>
    <cellStyle name="Финансовый 2 2 2 11 8" xfId="21375"/>
    <cellStyle name="Финансовый 2 2 2 11 9" xfId="21376"/>
    <cellStyle name="Финансовый 2 2 2 12" xfId="21377"/>
    <cellStyle name="Финансовый 2 2 2 12 10" xfId="21378"/>
    <cellStyle name="Финансовый 2 2 2 12 11" xfId="21379"/>
    <cellStyle name="Финансовый 2 2 2 12 2" xfId="21380"/>
    <cellStyle name="Финансовый 2 2 2 12 2 2" xfId="21381"/>
    <cellStyle name="Финансовый 2 2 2 12 2 3" xfId="21382"/>
    <cellStyle name="Финансовый 2 2 2 12 2 4" xfId="21383"/>
    <cellStyle name="Финансовый 2 2 2 12 2 5" xfId="21384"/>
    <cellStyle name="Финансовый 2 2 2 12 2 6" xfId="21385"/>
    <cellStyle name="Финансовый 2 2 2 12 2 7" xfId="21386"/>
    <cellStyle name="Финансовый 2 2 2 12 2 8" xfId="21387"/>
    <cellStyle name="Финансовый 2 2 2 12 2 9" xfId="21388"/>
    <cellStyle name="Финансовый 2 2 2 12 3" xfId="21389"/>
    <cellStyle name="Финансовый 2 2 2 12 3 2" xfId="21390"/>
    <cellStyle name="Финансовый 2 2 2 12 3 3" xfId="21391"/>
    <cellStyle name="Финансовый 2 2 2 12 3 4" xfId="21392"/>
    <cellStyle name="Финансовый 2 2 2 12 3 5" xfId="21393"/>
    <cellStyle name="Финансовый 2 2 2 12 3 6" xfId="21394"/>
    <cellStyle name="Финансовый 2 2 2 12 3 7" xfId="21395"/>
    <cellStyle name="Финансовый 2 2 2 12 3 8" xfId="21396"/>
    <cellStyle name="Финансовый 2 2 2 12 3 9" xfId="21397"/>
    <cellStyle name="Финансовый 2 2 2 12 4" xfId="21398"/>
    <cellStyle name="Финансовый 2 2 2 12 5" xfId="21399"/>
    <cellStyle name="Финансовый 2 2 2 12 6" xfId="21400"/>
    <cellStyle name="Финансовый 2 2 2 12 7" xfId="21401"/>
    <cellStyle name="Финансовый 2 2 2 12 8" xfId="21402"/>
    <cellStyle name="Финансовый 2 2 2 12 9" xfId="21403"/>
    <cellStyle name="Финансовый 2 2 2 13" xfId="21404"/>
    <cellStyle name="Финансовый 2 2 2 13 2" xfId="21405"/>
    <cellStyle name="Финансовый 2 2 2 13 3" xfId="21406"/>
    <cellStyle name="Финансовый 2 2 2 13 4" xfId="21407"/>
    <cellStyle name="Финансовый 2 2 2 13 5" xfId="21408"/>
    <cellStyle name="Финансовый 2 2 2 13 6" xfId="21409"/>
    <cellStyle name="Финансовый 2 2 2 13 7" xfId="21410"/>
    <cellStyle name="Финансовый 2 2 2 13 8" xfId="21411"/>
    <cellStyle name="Финансовый 2 2 2 13 9" xfId="21412"/>
    <cellStyle name="Финансовый 2 2 2 14" xfId="21413"/>
    <cellStyle name="Финансовый 2 2 2 15" xfId="21414"/>
    <cellStyle name="Финансовый 2 2 2 16" xfId="21415"/>
    <cellStyle name="Финансовый 2 2 2 17" xfId="21416"/>
    <cellStyle name="Финансовый 2 2 2 18" xfId="21417"/>
    <cellStyle name="Финансовый 2 2 2 19" xfId="21418"/>
    <cellStyle name="Финансовый 2 2 2 2" xfId="21419"/>
    <cellStyle name="Финансовый 2 2 2 2 2" xfId="21420"/>
    <cellStyle name="Финансовый 2 2 2 2 2 10" xfId="21421"/>
    <cellStyle name="Финансовый 2 2 2 2 2 11" xfId="21422"/>
    <cellStyle name="Финансовый 2 2 2 2 2 12" xfId="21423"/>
    <cellStyle name="Финансовый 2 2 2 2 2 2" xfId="21424"/>
    <cellStyle name="Финансовый 2 2 2 2 2 2 10" xfId="21425"/>
    <cellStyle name="Финансовый 2 2 2 2 2 2 11" xfId="21426"/>
    <cellStyle name="Финансовый 2 2 2 2 2 2 12" xfId="21427"/>
    <cellStyle name="Финансовый 2 2 2 2 2 2 2" xfId="21428"/>
    <cellStyle name="Финансовый 2 2 2 2 2 2 2 2" xfId="21429"/>
    <cellStyle name="Финансовый 2 2 2 2 2 2 2 3" xfId="21430"/>
    <cellStyle name="Финансовый 2 2 2 2 2 2 2 4" xfId="21431"/>
    <cellStyle name="Финансовый 2 2 2 2 2 2 2 5" xfId="21432"/>
    <cellStyle name="Финансовый 2 2 2 2 2 2 2 6" xfId="21433"/>
    <cellStyle name="Финансовый 2 2 2 2 2 2 2 7" xfId="21434"/>
    <cellStyle name="Финансовый 2 2 2 2 2 2 2 8" xfId="21435"/>
    <cellStyle name="Финансовый 2 2 2 2 2 2 2 9" xfId="21436"/>
    <cellStyle name="Финансовый 2 2 2 2 2 2 3" xfId="21437"/>
    <cellStyle name="Финансовый 2 2 2 2 2 2 3 2" xfId="21438"/>
    <cellStyle name="Финансовый 2 2 2 2 2 2 3 3" xfId="21439"/>
    <cellStyle name="Финансовый 2 2 2 2 2 2 3 4" xfId="21440"/>
    <cellStyle name="Финансовый 2 2 2 2 2 2 3 5" xfId="21441"/>
    <cellStyle name="Финансовый 2 2 2 2 2 2 3 6" xfId="21442"/>
    <cellStyle name="Финансовый 2 2 2 2 2 2 3 7" xfId="21443"/>
    <cellStyle name="Финансовый 2 2 2 2 2 2 3 8" xfId="21444"/>
    <cellStyle name="Финансовый 2 2 2 2 2 2 3 9" xfId="21445"/>
    <cellStyle name="Финансовый 2 2 2 2 2 2 4" xfId="21446"/>
    <cellStyle name="Финансовый 2 2 2 2 2 2 4 2" xfId="21447"/>
    <cellStyle name="Финансовый 2 2 2 2 2 2 4 3" xfId="21448"/>
    <cellStyle name="Финансовый 2 2 2 2 2 2 4 4" xfId="21449"/>
    <cellStyle name="Финансовый 2 2 2 2 2 2 4 5" xfId="21450"/>
    <cellStyle name="Финансовый 2 2 2 2 2 2 4 6" xfId="21451"/>
    <cellStyle name="Финансовый 2 2 2 2 2 2 4 7" xfId="21452"/>
    <cellStyle name="Финансовый 2 2 2 2 2 2 4 8" xfId="21453"/>
    <cellStyle name="Финансовый 2 2 2 2 2 2 4 9" xfId="21454"/>
    <cellStyle name="Финансовый 2 2 2 2 2 2 5" xfId="21455"/>
    <cellStyle name="Финансовый 2 2 2 2 2 2 6" xfId="21456"/>
    <cellStyle name="Финансовый 2 2 2 2 2 2 7" xfId="21457"/>
    <cellStyle name="Финансовый 2 2 2 2 2 2 8" xfId="21458"/>
    <cellStyle name="Финансовый 2 2 2 2 2 2 9" xfId="21459"/>
    <cellStyle name="Финансовый 2 2 2 2 2 3" xfId="21460"/>
    <cellStyle name="Финансовый 2 2 2 2 2 3 10" xfId="21461"/>
    <cellStyle name="Финансовый 2 2 2 2 2 3 11" xfId="21462"/>
    <cellStyle name="Финансовый 2 2 2 2 2 3 2" xfId="21463"/>
    <cellStyle name="Финансовый 2 2 2 2 2 3 2 2" xfId="21464"/>
    <cellStyle name="Финансовый 2 2 2 2 2 3 2 3" xfId="21465"/>
    <cellStyle name="Финансовый 2 2 2 2 2 3 2 4" xfId="21466"/>
    <cellStyle name="Финансовый 2 2 2 2 2 3 2 5" xfId="21467"/>
    <cellStyle name="Финансовый 2 2 2 2 2 3 2 6" xfId="21468"/>
    <cellStyle name="Финансовый 2 2 2 2 2 3 2 7" xfId="21469"/>
    <cellStyle name="Финансовый 2 2 2 2 2 3 2 8" xfId="21470"/>
    <cellStyle name="Финансовый 2 2 2 2 2 3 2 9" xfId="21471"/>
    <cellStyle name="Финансовый 2 2 2 2 2 3 3" xfId="21472"/>
    <cellStyle name="Финансовый 2 2 2 2 2 3 3 2" xfId="21473"/>
    <cellStyle name="Финансовый 2 2 2 2 2 3 3 3" xfId="21474"/>
    <cellStyle name="Финансовый 2 2 2 2 2 3 3 4" xfId="21475"/>
    <cellStyle name="Финансовый 2 2 2 2 2 3 3 5" xfId="21476"/>
    <cellStyle name="Финансовый 2 2 2 2 2 3 3 6" xfId="21477"/>
    <cellStyle name="Финансовый 2 2 2 2 2 3 3 7" xfId="21478"/>
    <cellStyle name="Финансовый 2 2 2 2 2 3 3 8" xfId="21479"/>
    <cellStyle name="Финансовый 2 2 2 2 2 3 3 9" xfId="21480"/>
    <cellStyle name="Финансовый 2 2 2 2 2 3 4" xfId="21481"/>
    <cellStyle name="Финансовый 2 2 2 2 2 3 5" xfId="21482"/>
    <cellStyle name="Финансовый 2 2 2 2 2 3 6" xfId="21483"/>
    <cellStyle name="Финансовый 2 2 2 2 2 3 7" xfId="21484"/>
    <cellStyle name="Финансовый 2 2 2 2 2 3 8" xfId="21485"/>
    <cellStyle name="Финансовый 2 2 2 2 2 3 9" xfId="21486"/>
    <cellStyle name="Финансовый 2 2 2 2 2 4" xfId="21487"/>
    <cellStyle name="Финансовый 2 2 2 2 2 4 2" xfId="21488"/>
    <cellStyle name="Финансовый 2 2 2 2 2 4 3" xfId="21489"/>
    <cellStyle name="Финансовый 2 2 2 2 2 4 4" xfId="21490"/>
    <cellStyle name="Финансовый 2 2 2 2 2 4 5" xfId="21491"/>
    <cellStyle name="Финансовый 2 2 2 2 2 4 6" xfId="21492"/>
    <cellStyle name="Финансовый 2 2 2 2 2 4 7" xfId="21493"/>
    <cellStyle name="Финансовый 2 2 2 2 2 4 8" xfId="21494"/>
    <cellStyle name="Финансовый 2 2 2 2 2 4 9" xfId="21495"/>
    <cellStyle name="Финансовый 2 2 2 2 2 5" xfId="21496"/>
    <cellStyle name="Финансовый 2 2 2 2 2 6" xfId="21497"/>
    <cellStyle name="Финансовый 2 2 2 2 2 7" xfId="21498"/>
    <cellStyle name="Финансовый 2 2 2 2 2 8" xfId="21499"/>
    <cellStyle name="Финансовый 2 2 2 2 2 9" xfId="21500"/>
    <cellStyle name="Финансовый 2 2 2 2 3" xfId="21501"/>
    <cellStyle name="Финансовый 2 2 2 2 3 2" xfId="21502"/>
    <cellStyle name="Финансовый 2 2 2 2 3 3" xfId="21503"/>
    <cellStyle name="Финансовый 2 2 2 2 4" xfId="21504"/>
    <cellStyle name="Финансовый 2 2 2 2 5" xfId="21505"/>
    <cellStyle name="Финансовый 2 2 2 2 5 2" xfId="21506"/>
    <cellStyle name="Финансовый 2 2 2 2 5 3" xfId="21507"/>
    <cellStyle name="Финансовый 2 2 2 2 5 4" xfId="21508"/>
    <cellStyle name="Финансовый 2 2 2 2 5 5" xfId="21509"/>
    <cellStyle name="Финансовый 2 2 2 2 6" xfId="21510"/>
    <cellStyle name="Финансовый 2 2 2 2 7" xfId="21511"/>
    <cellStyle name="Финансовый 2 2 2 2 8" xfId="21512"/>
    <cellStyle name="Финансовый 2 2 2 2 9" xfId="21513"/>
    <cellStyle name="Финансовый 2 2 2 20" xfId="21514"/>
    <cellStyle name="Финансовый 2 2 2 21" xfId="21515"/>
    <cellStyle name="Финансовый 2 2 2 3" xfId="21516"/>
    <cellStyle name="Финансовый 2 2 2 3 10" xfId="21517"/>
    <cellStyle name="Финансовый 2 2 2 3 11" xfId="21518"/>
    <cellStyle name="Финансовый 2 2 2 3 12" xfId="21519"/>
    <cellStyle name="Финансовый 2 2 2 3 2" xfId="21520"/>
    <cellStyle name="Финансовый 2 2 2 3 2 10" xfId="21521"/>
    <cellStyle name="Финансовый 2 2 2 3 2 11" xfId="21522"/>
    <cellStyle name="Финансовый 2 2 2 3 2 12" xfId="21523"/>
    <cellStyle name="Финансовый 2 2 2 3 2 2" xfId="21524"/>
    <cellStyle name="Финансовый 2 2 2 3 2 2 2" xfId="21525"/>
    <cellStyle name="Финансовый 2 2 2 3 2 2 3" xfId="21526"/>
    <cellStyle name="Финансовый 2 2 2 3 2 2 4" xfId="21527"/>
    <cellStyle name="Финансовый 2 2 2 3 2 2 5" xfId="21528"/>
    <cellStyle name="Финансовый 2 2 2 3 2 2 6" xfId="21529"/>
    <cellStyle name="Финансовый 2 2 2 3 2 2 7" xfId="21530"/>
    <cellStyle name="Финансовый 2 2 2 3 2 2 8" xfId="21531"/>
    <cellStyle name="Финансовый 2 2 2 3 2 2 9" xfId="21532"/>
    <cellStyle name="Финансовый 2 2 2 3 2 3" xfId="21533"/>
    <cellStyle name="Финансовый 2 2 2 3 2 3 2" xfId="21534"/>
    <cellStyle name="Финансовый 2 2 2 3 2 3 3" xfId="21535"/>
    <cellStyle name="Финансовый 2 2 2 3 2 3 4" xfId="21536"/>
    <cellStyle name="Финансовый 2 2 2 3 2 3 5" xfId="21537"/>
    <cellStyle name="Финансовый 2 2 2 3 2 3 6" xfId="21538"/>
    <cellStyle name="Финансовый 2 2 2 3 2 3 7" xfId="21539"/>
    <cellStyle name="Финансовый 2 2 2 3 2 3 8" xfId="21540"/>
    <cellStyle name="Финансовый 2 2 2 3 2 3 9" xfId="21541"/>
    <cellStyle name="Финансовый 2 2 2 3 2 4" xfId="21542"/>
    <cellStyle name="Финансовый 2 2 2 3 2 4 2" xfId="21543"/>
    <cellStyle name="Финансовый 2 2 2 3 2 4 3" xfId="21544"/>
    <cellStyle name="Финансовый 2 2 2 3 2 4 4" xfId="21545"/>
    <cellStyle name="Финансовый 2 2 2 3 2 4 5" xfId="21546"/>
    <cellStyle name="Финансовый 2 2 2 3 2 4 6" xfId="21547"/>
    <cellStyle name="Финансовый 2 2 2 3 2 4 7" xfId="21548"/>
    <cellStyle name="Финансовый 2 2 2 3 2 4 8" xfId="21549"/>
    <cellStyle name="Финансовый 2 2 2 3 2 4 9" xfId="21550"/>
    <cellStyle name="Финансовый 2 2 2 3 2 5" xfId="21551"/>
    <cellStyle name="Финансовый 2 2 2 3 2 6" xfId="21552"/>
    <cellStyle name="Финансовый 2 2 2 3 2 7" xfId="21553"/>
    <cellStyle name="Финансовый 2 2 2 3 2 8" xfId="21554"/>
    <cellStyle name="Финансовый 2 2 2 3 2 9" xfId="21555"/>
    <cellStyle name="Финансовый 2 2 2 3 3" xfId="21556"/>
    <cellStyle name="Финансовый 2 2 2 3 3 10" xfId="21557"/>
    <cellStyle name="Финансовый 2 2 2 3 3 11" xfId="21558"/>
    <cellStyle name="Финансовый 2 2 2 3 3 2" xfId="21559"/>
    <cellStyle name="Финансовый 2 2 2 3 3 2 2" xfId="21560"/>
    <cellStyle name="Финансовый 2 2 2 3 3 2 3" xfId="21561"/>
    <cellStyle name="Финансовый 2 2 2 3 3 2 4" xfId="21562"/>
    <cellStyle name="Финансовый 2 2 2 3 3 2 5" xfId="21563"/>
    <cellStyle name="Финансовый 2 2 2 3 3 2 6" xfId="21564"/>
    <cellStyle name="Финансовый 2 2 2 3 3 2 7" xfId="21565"/>
    <cellStyle name="Финансовый 2 2 2 3 3 2 8" xfId="21566"/>
    <cellStyle name="Финансовый 2 2 2 3 3 2 9" xfId="21567"/>
    <cellStyle name="Финансовый 2 2 2 3 3 3" xfId="21568"/>
    <cellStyle name="Финансовый 2 2 2 3 3 3 2" xfId="21569"/>
    <cellStyle name="Финансовый 2 2 2 3 3 3 3" xfId="21570"/>
    <cellStyle name="Финансовый 2 2 2 3 3 3 4" xfId="21571"/>
    <cellStyle name="Финансовый 2 2 2 3 3 3 5" xfId="21572"/>
    <cellStyle name="Финансовый 2 2 2 3 3 3 6" xfId="21573"/>
    <cellStyle name="Финансовый 2 2 2 3 3 3 7" xfId="21574"/>
    <cellStyle name="Финансовый 2 2 2 3 3 3 8" xfId="21575"/>
    <cellStyle name="Финансовый 2 2 2 3 3 3 9" xfId="21576"/>
    <cellStyle name="Финансовый 2 2 2 3 3 4" xfId="21577"/>
    <cellStyle name="Финансовый 2 2 2 3 3 5" xfId="21578"/>
    <cellStyle name="Финансовый 2 2 2 3 3 6" xfId="21579"/>
    <cellStyle name="Финансовый 2 2 2 3 3 7" xfId="21580"/>
    <cellStyle name="Финансовый 2 2 2 3 3 8" xfId="21581"/>
    <cellStyle name="Финансовый 2 2 2 3 3 9" xfId="21582"/>
    <cellStyle name="Финансовый 2 2 2 3 4" xfId="21583"/>
    <cellStyle name="Финансовый 2 2 2 3 4 2" xfId="21584"/>
    <cellStyle name="Финансовый 2 2 2 3 4 3" xfId="21585"/>
    <cellStyle name="Финансовый 2 2 2 3 4 4" xfId="21586"/>
    <cellStyle name="Финансовый 2 2 2 3 4 5" xfId="21587"/>
    <cellStyle name="Финансовый 2 2 2 3 4 6" xfId="21588"/>
    <cellStyle name="Финансовый 2 2 2 3 4 7" xfId="21589"/>
    <cellStyle name="Финансовый 2 2 2 3 4 8" xfId="21590"/>
    <cellStyle name="Финансовый 2 2 2 3 4 9" xfId="21591"/>
    <cellStyle name="Финансовый 2 2 2 3 5" xfId="21592"/>
    <cellStyle name="Финансовый 2 2 2 3 6" xfId="21593"/>
    <cellStyle name="Финансовый 2 2 2 3 7" xfId="21594"/>
    <cellStyle name="Финансовый 2 2 2 3 8" xfId="21595"/>
    <cellStyle name="Финансовый 2 2 2 3 9" xfId="21596"/>
    <cellStyle name="Финансовый 2 2 2 4" xfId="21597"/>
    <cellStyle name="Финансовый 2 2 2 4 10" xfId="21598"/>
    <cellStyle name="Финансовый 2 2 2 4 11" xfId="21599"/>
    <cellStyle name="Финансовый 2 2 2 4 12" xfId="21600"/>
    <cellStyle name="Финансовый 2 2 2 4 2" xfId="21601"/>
    <cellStyle name="Финансовый 2 2 2 4 2 10" xfId="21602"/>
    <cellStyle name="Финансовый 2 2 2 4 2 11" xfId="21603"/>
    <cellStyle name="Финансовый 2 2 2 4 2 12" xfId="21604"/>
    <cellStyle name="Финансовый 2 2 2 4 2 2" xfId="21605"/>
    <cellStyle name="Финансовый 2 2 2 4 2 2 2" xfId="21606"/>
    <cellStyle name="Финансовый 2 2 2 4 2 2 3" xfId="21607"/>
    <cellStyle name="Финансовый 2 2 2 4 2 2 4" xfId="21608"/>
    <cellStyle name="Финансовый 2 2 2 4 2 2 5" xfId="21609"/>
    <cellStyle name="Финансовый 2 2 2 4 2 2 6" xfId="21610"/>
    <cellStyle name="Финансовый 2 2 2 4 2 2 7" xfId="21611"/>
    <cellStyle name="Финансовый 2 2 2 4 2 2 8" xfId="21612"/>
    <cellStyle name="Финансовый 2 2 2 4 2 2 9" xfId="21613"/>
    <cellStyle name="Финансовый 2 2 2 4 2 3" xfId="21614"/>
    <cellStyle name="Финансовый 2 2 2 4 2 3 2" xfId="21615"/>
    <cellStyle name="Финансовый 2 2 2 4 2 3 3" xfId="21616"/>
    <cellStyle name="Финансовый 2 2 2 4 2 3 4" xfId="21617"/>
    <cellStyle name="Финансовый 2 2 2 4 2 3 5" xfId="21618"/>
    <cellStyle name="Финансовый 2 2 2 4 2 3 6" xfId="21619"/>
    <cellStyle name="Финансовый 2 2 2 4 2 3 7" xfId="21620"/>
    <cellStyle name="Финансовый 2 2 2 4 2 3 8" xfId="21621"/>
    <cellStyle name="Финансовый 2 2 2 4 2 3 9" xfId="21622"/>
    <cellStyle name="Финансовый 2 2 2 4 2 4" xfId="21623"/>
    <cellStyle name="Финансовый 2 2 2 4 2 4 2" xfId="21624"/>
    <cellStyle name="Финансовый 2 2 2 4 2 4 3" xfId="21625"/>
    <cellStyle name="Финансовый 2 2 2 4 2 4 4" xfId="21626"/>
    <cellStyle name="Финансовый 2 2 2 4 2 4 5" xfId="21627"/>
    <cellStyle name="Финансовый 2 2 2 4 2 4 6" xfId="21628"/>
    <cellStyle name="Финансовый 2 2 2 4 2 4 7" xfId="21629"/>
    <cellStyle name="Финансовый 2 2 2 4 2 4 8" xfId="21630"/>
    <cellStyle name="Финансовый 2 2 2 4 2 4 9" xfId="21631"/>
    <cellStyle name="Финансовый 2 2 2 4 2 5" xfId="21632"/>
    <cellStyle name="Финансовый 2 2 2 4 2 6" xfId="21633"/>
    <cellStyle name="Финансовый 2 2 2 4 2 7" xfId="21634"/>
    <cellStyle name="Финансовый 2 2 2 4 2 8" xfId="21635"/>
    <cellStyle name="Финансовый 2 2 2 4 2 9" xfId="21636"/>
    <cellStyle name="Финансовый 2 2 2 4 3" xfId="21637"/>
    <cellStyle name="Финансовый 2 2 2 4 3 10" xfId="21638"/>
    <cellStyle name="Финансовый 2 2 2 4 3 11" xfId="21639"/>
    <cellStyle name="Финансовый 2 2 2 4 3 2" xfId="21640"/>
    <cellStyle name="Финансовый 2 2 2 4 3 2 2" xfId="21641"/>
    <cellStyle name="Финансовый 2 2 2 4 3 2 3" xfId="21642"/>
    <cellStyle name="Финансовый 2 2 2 4 3 2 4" xfId="21643"/>
    <cellStyle name="Финансовый 2 2 2 4 3 2 5" xfId="21644"/>
    <cellStyle name="Финансовый 2 2 2 4 3 2 6" xfId="21645"/>
    <cellStyle name="Финансовый 2 2 2 4 3 2 7" xfId="21646"/>
    <cellStyle name="Финансовый 2 2 2 4 3 2 8" xfId="21647"/>
    <cellStyle name="Финансовый 2 2 2 4 3 2 9" xfId="21648"/>
    <cellStyle name="Финансовый 2 2 2 4 3 3" xfId="21649"/>
    <cellStyle name="Финансовый 2 2 2 4 3 3 2" xfId="21650"/>
    <cellStyle name="Финансовый 2 2 2 4 3 3 3" xfId="21651"/>
    <cellStyle name="Финансовый 2 2 2 4 3 3 4" xfId="21652"/>
    <cellStyle name="Финансовый 2 2 2 4 3 3 5" xfId="21653"/>
    <cellStyle name="Финансовый 2 2 2 4 3 3 6" xfId="21654"/>
    <cellStyle name="Финансовый 2 2 2 4 3 3 7" xfId="21655"/>
    <cellStyle name="Финансовый 2 2 2 4 3 3 8" xfId="21656"/>
    <cellStyle name="Финансовый 2 2 2 4 3 3 9" xfId="21657"/>
    <cellStyle name="Финансовый 2 2 2 4 3 4" xfId="21658"/>
    <cellStyle name="Финансовый 2 2 2 4 3 5" xfId="21659"/>
    <cellStyle name="Финансовый 2 2 2 4 3 6" xfId="21660"/>
    <cellStyle name="Финансовый 2 2 2 4 3 7" xfId="21661"/>
    <cellStyle name="Финансовый 2 2 2 4 3 8" xfId="21662"/>
    <cellStyle name="Финансовый 2 2 2 4 3 9" xfId="21663"/>
    <cellStyle name="Финансовый 2 2 2 4 4" xfId="21664"/>
    <cellStyle name="Финансовый 2 2 2 4 4 2" xfId="21665"/>
    <cellStyle name="Финансовый 2 2 2 4 4 3" xfId="21666"/>
    <cellStyle name="Финансовый 2 2 2 4 4 4" xfId="21667"/>
    <cellStyle name="Финансовый 2 2 2 4 4 5" xfId="21668"/>
    <cellStyle name="Финансовый 2 2 2 4 4 6" xfId="21669"/>
    <cellStyle name="Финансовый 2 2 2 4 4 7" xfId="21670"/>
    <cellStyle name="Финансовый 2 2 2 4 4 8" xfId="21671"/>
    <cellStyle name="Финансовый 2 2 2 4 4 9" xfId="21672"/>
    <cellStyle name="Финансовый 2 2 2 4 5" xfId="21673"/>
    <cellStyle name="Финансовый 2 2 2 4 6" xfId="21674"/>
    <cellStyle name="Финансовый 2 2 2 4 7" xfId="21675"/>
    <cellStyle name="Финансовый 2 2 2 4 8" xfId="21676"/>
    <cellStyle name="Финансовый 2 2 2 4 9" xfId="21677"/>
    <cellStyle name="Финансовый 2 2 2 5" xfId="21678"/>
    <cellStyle name="Финансовый 2 2 2 5 10" xfId="21679"/>
    <cellStyle name="Финансовый 2 2 2 5 11" xfId="21680"/>
    <cellStyle name="Финансовый 2 2 2 5 12" xfId="21681"/>
    <cellStyle name="Финансовый 2 2 2 5 2" xfId="21682"/>
    <cellStyle name="Финансовый 2 2 2 5 2 10" xfId="21683"/>
    <cellStyle name="Финансовый 2 2 2 5 2 11" xfId="21684"/>
    <cellStyle name="Финансовый 2 2 2 5 2 12" xfId="21685"/>
    <cellStyle name="Финансовый 2 2 2 5 2 2" xfId="21686"/>
    <cellStyle name="Финансовый 2 2 2 5 2 2 2" xfId="21687"/>
    <cellStyle name="Финансовый 2 2 2 5 2 2 3" xfId="21688"/>
    <cellStyle name="Финансовый 2 2 2 5 2 2 4" xfId="21689"/>
    <cellStyle name="Финансовый 2 2 2 5 2 2 5" xfId="21690"/>
    <cellStyle name="Финансовый 2 2 2 5 2 2 6" xfId="21691"/>
    <cellStyle name="Финансовый 2 2 2 5 2 2 7" xfId="21692"/>
    <cellStyle name="Финансовый 2 2 2 5 2 2 8" xfId="21693"/>
    <cellStyle name="Финансовый 2 2 2 5 2 2 9" xfId="21694"/>
    <cellStyle name="Финансовый 2 2 2 5 2 3" xfId="21695"/>
    <cellStyle name="Финансовый 2 2 2 5 2 3 2" xfId="21696"/>
    <cellStyle name="Финансовый 2 2 2 5 2 3 3" xfId="21697"/>
    <cellStyle name="Финансовый 2 2 2 5 2 3 4" xfId="21698"/>
    <cellStyle name="Финансовый 2 2 2 5 2 3 5" xfId="21699"/>
    <cellStyle name="Финансовый 2 2 2 5 2 3 6" xfId="21700"/>
    <cellStyle name="Финансовый 2 2 2 5 2 3 7" xfId="21701"/>
    <cellStyle name="Финансовый 2 2 2 5 2 3 8" xfId="21702"/>
    <cellStyle name="Финансовый 2 2 2 5 2 3 9" xfId="21703"/>
    <cellStyle name="Финансовый 2 2 2 5 2 4" xfId="21704"/>
    <cellStyle name="Финансовый 2 2 2 5 2 4 2" xfId="21705"/>
    <cellStyle name="Финансовый 2 2 2 5 2 4 3" xfId="21706"/>
    <cellStyle name="Финансовый 2 2 2 5 2 4 4" xfId="21707"/>
    <cellStyle name="Финансовый 2 2 2 5 2 4 5" xfId="21708"/>
    <cellStyle name="Финансовый 2 2 2 5 2 4 6" xfId="21709"/>
    <cellStyle name="Финансовый 2 2 2 5 2 4 7" xfId="21710"/>
    <cellStyle name="Финансовый 2 2 2 5 2 4 8" xfId="21711"/>
    <cellStyle name="Финансовый 2 2 2 5 2 4 9" xfId="21712"/>
    <cellStyle name="Финансовый 2 2 2 5 2 5" xfId="21713"/>
    <cellStyle name="Финансовый 2 2 2 5 2 6" xfId="21714"/>
    <cellStyle name="Финансовый 2 2 2 5 2 7" xfId="21715"/>
    <cellStyle name="Финансовый 2 2 2 5 2 8" xfId="21716"/>
    <cellStyle name="Финансовый 2 2 2 5 2 9" xfId="21717"/>
    <cellStyle name="Финансовый 2 2 2 5 3" xfId="21718"/>
    <cellStyle name="Финансовый 2 2 2 5 3 10" xfId="21719"/>
    <cellStyle name="Финансовый 2 2 2 5 3 11" xfId="21720"/>
    <cellStyle name="Финансовый 2 2 2 5 3 2" xfId="21721"/>
    <cellStyle name="Финансовый 2 2 2 5 3 2 2" xfId="21722"/>
    <cellStyle name="Финансовый 2 2 2 5 3 2 3" xfId="21723"/>
    <cellStyle name="Финансовый 2 2 2 5 3 2 4" xfId="21724"/>
    <cellStyle name="Финансовый 2 2 2 5 3 2 5" xfId="21725"/>
    <cellStyle name="Финансовый 2 2 2 5 3 2 6" xfId="21726"/>
    <cellStyle name="Финансовый 2 2 2 5 3 2 7" xfId="21727"/>
    <cellStyle name="Финансовый 2 2 2 5 3 2 8" xfId="21728"/>
    <cellStyle name="Финансовый 2 2 2 5 3 2 9" xfId="21729"/>
    <cellStyle name="Финансовый 2 2 2 5 3 3" xfId="21730"/>
    <cellStyle name="Финансовый 2 2 2 5 3 3 2" xfId="21731"/>
    <cellStyle name="Финансовый 2 2 2 5 3 3 3" xfId="21732"/>
    <cellStyle name="Финансовый 2 2 2 5 3 3 4" xfId="21733"/>
    <cellStyle name="Финансовый 2 2 2 5 3 3 5" xfId="21734"/>
    <cellStyle name="Финансовый 2 2 2 5 3 3 6" xfId="21735"/>
    <cellStyle name="Финансовый 2 2 2 5 3 3 7" xfId="21736"/>
    <cellStyle name="Финансовый 2 2 2 5 3 3 8" xfId="21737"/>
    <cellStyle name="Финансовый 2 2 2 5 3 3 9" xfId="21738"/>
    <cellStyle name="Финансовый 2 2 2 5 3 4" xfId="21739"/>
    <cellStyle name="Финансовый 2 2 2 5 3 5" xfId="21740"/>
    <cellStyle name="Финансовый 2 2 2 5 3 6" xfId="21741"/>
    <cellStyle name="Финансовый 2 2 2 5 3 7" xfId="21742"/>
    <cellStyle name="Финансовый 2 2 2 5 3 8" xfId="21743"/>
    <cellStyle name="Финансовый 2 2 2 5 3 9" xfId="21744"/>
    <cellStyle name="Финансовый 2 2 2 5 4" xfId="21745"/>
    <cellStyle name="Финансовый 2 2 2 5 4 2" xfId="21746"/>
    <cellStyle name="Финансовый 2 2 2 5 4 3" xfId="21747"/>
    <cellStyle name="Финансовый 2 2 2 5 4 4" xfId="21748"/>
    <cellStyle name="Финансовый 2 2 2 5 4 5" xfId="21749"/>
    <cellStyle name="Финансовый 2 2 2 5 4 6" xfId="21750"/>
    <cellStyle name="Финансовый 2 2 2 5 4 7" xfId="21751"/>
    <cellStyle name="Финансовый 2 2 2 5 4 8" xfId="21752"/>
    <cellStyle name="Финансовый 2 2 2 5 4 9" xfId="21753"/>
    <cellStyle name="Финансовый 2 2 2 5 5" xfId="21754"/>
    <cellStyle name="Финансовый 2 2 2 5 6" xfId="21755"/>
    <cellStyle name="Финансовый 2 2 2 5 7" xfId="21756"/>
    <cellStyle name="Финансовый 2 2 2 5 8" xfId="21757"/>
    <cellStyle name="Финансовый 2 2 2 5 9" xfId="21758"/>
    <cellStyle name="Финансовый 2 2 2 6" xfId="21759"/>
    <cellStyle name="Финансовый 2 2 2 6 10" xfId="21760"/>
    <cellStyle name="Финансовый 2 2 2 6 11" xfId="21761"/>
    <cellStyle name="Финансовый 2 2 2 6 12" xfId="21762"/>
    <cellStyle name="Финансовый 2 2 2 6 2" xfId="21763"/>
    <cellStyle name="Финансовый 2 2 2 6 2 10" xfId="21764"/>
    <cellStyle name="Финансовый 2 2 2 6 2 11" xfId="21765"/>
    <cellStyle name="Финансовый 2 2 2 6 2 12" xfId="21766"/>
    <cellStyle name="Финансовый 2 2 2 6 2 2" xfId="21767"/>
    <cellStyle name="Финансовый 2 2 2 6 2 2 2" xfId="21768"/>
    <cellStyle name="Финансовый 2 2 2 6 2 2 3" xfId="21769"/>
    <cellStyle name="Финансовый 2 2 2 6 2 2 4" xfId="21770"/>
    <cellStyle name="Финансовый 2 2 2 6 2 2 5" xfId="21771"/>
    <cellStyle name="Финансовый 2 2 2 6 2 2 6" xfId="21772"/>
    <cellStyle name="Финансовый 2 2 2 6 2 2 7" xfId="21773"/>
    <cellStyle name="Финансовый 2 2 2 6 2 2 8" xfId="21774"/>
    <cellStyle name="Финансовый 2 2 2 6 2 2 9" xfId="21775"/>
    <cellStyle name="Финансовый 2 2 2 6 2 3" xfId="21776"/>
    <cellStyle name="Финансовый 2 2 2 6 2 3 2" xfId="21777"/>
    <cellStyle name="Финансовый 2 2 2 6 2 3 3" xfId="21778"/>
    <cellStyle name="Финансовый 2 2 2 6 2 3 4" xfId="21779"/>
    <cellStyle name="Финансовый 2 2 2 6 2 3 5" xfId="21780"/>
    <cellStyle name="Финансовый 2 2 2 6 2 3 6" xfId="21781"/>
    <cellStyle name="Финансовый 2 2 2 6 2 3 7" xfId="21782"/>
    <cellStyle name="Финансовый 2 2 2 6 2 3 8" xfId="21783"/>
    <cellStyle name="Финансовый 2 2 2 6 2 3 9" xfId="21784"/>
    <cellStyle name="Финансовый 2 2 2 6 2 4" xfId="21785"/>
    <cellStyle name="Финансовый 2 2 2 6 2 4 2" xfId="21786"/>
    <cellStyle name="Финансовый 2 2 2 6 2 4 3" xfId="21787"/>
    <cellStyle name="Финансовый 2 2 2 6 2 4 4" xfId="21788"/>
    <cellStyle name="Финансовый 2 2 2 6 2 4 5" xfId="21789"/>
    <cellStyle name="Финансовый 2 2 2 6 2 4 6" xfId="21790"/>
    <cellStyle name="Финансовый 2 2 2 6 2 4 7" xfId="21791"/>
    <cellStyle name="Финансовый 2 2 2 6 2 4 8" xfId="21792"/>
    <cellStyle name="Финансовый 2 2 2 6 2 4 9" xfId="21793"/>
    <cellStyle name="Финансовый 2 2 2 6 2 5" xfId="21794"/>
    <cellStyle name="Финансовый 2 2 2 6 2 6" xfId="21795"/>
    <cellStyle name="Финансовый 2 2 2 6 2 7" xfId="21796"/>
    <cellStyle name="Финансовый 2 2 2 6 2 8" xfId="21797"/>
    <cellStyle name="Финансовый 2 2 2 6 2 9" xfId="21798"/>
    <cellStyle name="Финансовый 2 2 2 6 3" xfId="21799"/>
    <cellStyle name="Финансовый 2 2 2 6 3 10" xfId="21800"/>
    <cellStyle name="Финансовый 2 2 2 6 3 11" xfId="21801"/>
    <cellStyle name="Финансовый 2 2 2 6 3 2" xfId="21802"/>
    <cellStyle name="Финансовый 2 2 2 6 3 2 2" xfId="21803"/>
    <cellStyle name="Финансовый 2 2 2 6 3 2 3" xfId="21804"/>
    <cellStyle name="Финансовый 2 2 2 6 3 2 4" xfId="21805"/>
    <cellStyle name="Финансовый 2 2 2 6 3 2 5" xfId="21806"/>
    <cellStyle name="Финансовый 2 2 2 6 3 2 6" xfId="21807"/>
    <cellStyle name="Финансовый 2 2 2 6 3 2 7" xfId="21808"/>
    <cellStyle name="Финансовый 2 2 2 6 3 2 8" xfId="21809"/>
    <cellStyle name="Финансовый 2 2 2 6 3 2 9" xfId="21810"/>
    <cellStyle name="Финансовый 2 2 2 6 3 3" xfId="21811"/>
    <cellStyle name="Финансовый 2 2 2 6 3 3 2" xfId="21812"/>
    <cellStyle name="Финансовый 2 2 2 6 3 3 3" xfId="21813"/>
    <cellStyle name="Финансовый 2 2 2 6 3 3 4" xfId="21814"/>
    <cellStyle name="Финансовый 2 2 2 6 3 3 5" xfId="21815"/>
    <cellStyle name="Финансовый 2 2 2 6 3 3 6" xfId="21816"/>
    <cellStyle name="Финансовый 2 2 2 6 3 3 7" xfId="21817"/>
    <cellStyle name="Финансовый 2 2 2 6 3 3 8" xfId="21818"/>
    <cellStyle name="Финансовый 2 2 2 6 3 3 9" xfId="21819"/>
    <cellStyle name="Финансовый 2 2 2 6 3 4" xfId="21820"/>
    <cellStyle name="Финансовый 2 2 2 6 3 5" xfId="21821"/>
    <cellStyle name="Финансовый 2 2 2 6 3 6" xfId="21822"/>
    <cellStyle name="Финансовый 2 2 2 6 3 7" xfId="21823"/>
    <cellStyle name="Финансовый 2 2 2 6 3 8" xfId="21824"/>
    <cellStyle name="Финансовый 2 2 2 6 3 9" xfId="21825"/>
    <cellStyle name="Финансовый 2 2 2 6 4" xfId="21826"/>
    <cellStyle name="Финансовый 2 2 2 6 4 2" xfId="21827"/>
    <cellStyle name="Финансовый 2 2 2 6 4 3" xfId="21828"/>
    <cellStyle name="Финансовый 2 2 2 6 4 4" xfId="21829"/>
    <cellStyle name="Финансовый 2 2 2 6 4 5" xfId="21830"/>
    <cellStyle name="Финансовый 2 2 2 6 4 6" xfId="21831"/>
    <cellStyle name="Финансовый 2 2 2 6 4 7" xfId="21832"/>
    <cellStyle name="Финансовый 2 2 2 6 4 8" xfId="21833"/>
    <cellStyle name="Финансовый 2 2 2 6 4 9" xfId="21834"/>
    <cellStyle name="Финансовый 2 2 2 6 5" xfId="21835"/>
    <cellStyle name="Финансовый 2 2 2 6 6" xfId="21836"/>
    <cellStyle name="Финансовый 2 2 2 6 7" xfId="21837"/>
    <cellStyle name="Финансовый 2 2 2 6 8" xfId="21838"/>
    <cellStyle name="Финансовый 2 2 2 6 9" xfId="21839"/>
    <cellStyle name="Финансовый 2 2 2 7" xfId="21840"/>
    <cellStyle name="Финансовый 2 2 2 7 10" xfId="21841"/>
    <cellStyle name="Финансовый 2 2 2 7 11" xfId="21842"/>
    <cellStyle name="Финансовый 2 2 2 7 12" xfId="21843"/>
    <cellStyle name="Финансовый 2 2 2 7 2" xfId="21844"/>
    <cellStyle name="Финансовый 2 2 2 7 2 10" xfId="21845"/>
    <cellStyle name="Финансовый 2 2 2 7 2 11" xfId="21846"/>
    <cellStyle name="Финансовый 2 2 2 7 2 12" xfId="21847"/>
    <cellStyle name="Финансовый 2 2 2 7 2 2" xfId="21848"/>
    <cellStyle name="Финансовый 2 2 2 7 2 2 2" xfId="21849"/>
    <cellStyle name="Финансовый 2 2 2 7 2 2 3" xfId="21850"/>
    <cellStyle name="Финансовый 2 2 2 7 2 2 4" xfId="21851"/>
    <cellStyle name="Финансовый 2 2 2 7 2 2 5" xfId="21852"/>
    <cellStyle name="Финансовый 2 2 2 7 2 2 6" xfId="21853"/>
    <cellStyle name="Финансовый 2 2 2 7 2 2 7" xfId="21854"/>
    <cellStyle name="Финансовый 2 2 2 7 2 2 8" xfId="21855"/>
    <cellStyle name="Финансовый 2 2 2 7 2 2 9" xfId="21856"/>
    <cellStyle name="Финансовый 2 2 2 7 2 3" xfId="21857"/>
    <cellStyle name="Финансовый 2 2 2 7 2 3 2" xfId="21858"/>
    <cellStyle name="Финансовый 2 2 2 7 2 3 3" xfId="21859"/>
    <cellStyle name="Финансовый 2 2 2 7 2 3 4" xfId="21860"/>
    <cellStyle name="Финансовый 2 2 2 7 2 3 5" xfId="21861"/>
    <cellStyle name="Финансовый 2 2 2 7 2 3 6" xfId="21862"/>
    <cellStyle name="Финансовый 2 2 2 7 2 3 7" xfId="21863"/>
    <cellStyle name="Финансовый 2 2 2 7 2 3 8" xfId="21864"/>
    <cellStyle name="Финансовый 2 2 2 7 2 3 9" xfId="21865"/>
    <cellStyle name="Финансовый 2 2 2 7 2 4" xfId="21866"/>
    <cellStyle name="Финансовый 2 2 2 7 2 4 2" xfId="21867"/>
    <cellStyle name="Финансовый 2 2 2 7 2 4 3" xfId="21868"/>
    <cellStyle name="Финансовый 2 2 2 7 2 4 4" xfId="21869"/>
    <cellStyle name="Финансовый 2 2 2 7 2 4 5" xfId="21870"/>
    <cellStyle name="Финансовый 2 2 2 7 2 4 6" xfId="21871"/>
    <cellStyle name="Финансовый 2 2 2 7 2 4 7" xfId="21872"/>
    <cellStyle name="Финансовый 2 2 2 7 2 4 8" xfId="21873"/>
    <cellStyle name="Финансовый 2 2 2 7 2 4 9" xfId="21874"/>
    <cellStyle name="Финансовый 2 2 2 7 2 5" xfId="21875"/>
    <cellStyle name="Финансовый 2 2 2 7 2 6" xfId="21876"/>
    <cellStyle name="Финансовый 2 2 2 7 2 7" xfId="21877"/>
    <cellStyle name="Финансовый 2 2 2 7 2 8" xfId="21878"/>
    <cellStyle name="Финансовый 2 2 2 7 2 9" xfId="21879"/>
    <cellStyle name="Финансовый 2 2 2 7 3" xfId="21880"/>
    <cellStyle name="Финансовый 2 2 2 7 3 10" xfId="21881"/>
    <cellStyle name="Финансовый 2 2 2 7 3 11" xfId="21882"/>
    <cellStyle name="Финансовый 2 2 2 7 3 2" xfId="21883"/>
    <cellStyle name="Финансовый 2 2 2 7 3 2 2" xfId="21884"/>
    <cellStyle name="Финансовый 2 2 2 7 3 2 3" xfId="21885"/>
    <cellStyle name="Финансовый 2 2 2 7 3 2 4" xfId="21886"/>
    <cellStyle name="Финансовый 2 2 2 7 3 2 5" xfId="21887"/>
    <cellStyle name="Финансовый 2 2 2 7 3 2 6" xfId="21888"/>
    <cellStyle name="Финансовый 2 2 2 7 3 2 7" xfId="21889"/>
    <cellStyle name="Финансовый 2 2 2 7 3 2 8" xfId="21890"/>
    <cellStyle name="Финансовый 2 2 2 7 3 2 9" xfId="21891"/>
    <cellStyle name="Финансовый 2 2 2 7 3 3" xfId="21892"/>
    <cellStyle name="Финансовый 2 2 2 7 3 3 2" xfId="21893"/>
    <cellStyle name="Финансовый 2 2 2 7 3 3 3" xfId="21894"/>
    <cellStyle name="Финансовый 2 2 2 7 3 3 4" xfId="21895"/>
    <cellStyle name="Финансовый 2 2 2 7 3 3 5" xfId="21896"/>
    <cellStyle name="Финансовый 2 2 2 7 3 3 6" xfId="21897"/>
    <cellStyle name="Финансовый 2 2 2 7 3 3 7" xfId="21898"/>
    <cellStyle name="Финансовый 2 2 2 7 3 3 8" xfId="21899"/>
    <cellStyle name="Финансовый 2 2 2 7 3 3 9" xfId="21900"/>
    <cellStyle name="Финансовый 2 2 2 7 3 4" xfId="21901"/>
    <cellStyle name="Финансовый 2 2 2 7 3 5" xfId="21902"/>
    <cellStyle name="Финансовый 2 2 2 7 3 6" xfId="21903"/>
    <cellStyle name="Финансовый 2 2 2 7 3 7" xfId="21904"/>
    <cellStyle name="Финансовый 2 2 2 7 3 8" xfId="21905"/>
    <cellStyle name="Финансовый 2 2 2 7 3 9" xfId="21906"/>
    <cellStyle name="Финансовый 2 2 2 7 4" xfId="21907"/>
    <cellStyle name="Финансовый 2 2 2 7 4 2" xfId="21908"/>
    <cellStyle name="Финансовый 2 2 2 7 4 3" xfId="21909"/>
    <cellStyle name="Финансовый 2 2 2 7 4 4" xfId="21910"/>
    <cellStyle name="Финансовый 2 2 2 7 4 5" xfId="21911"/>
    <cellStyle name="Финансовый 2 2 2 7 4 6" xfId="21912"/>
    <cellStyle name="Финансовый 2 2 2 7 4 7" xfId="21913"/>
    <cellStyle name="Финансовый 2 2 2 7 4 8" xfId="21914"/>
    <cellStyle name="Финансовый 2 2 2 7 4 9" xfId="21915"/>
    <cellStyle name="Финансовый 2 2 2 7 5" xfId="21916"/>
    <cellStyle name="Финансовый 2 2 2 7 6" xfId="21917"/>
    <cellStyle name="Финансовый 2 2 2 7 7" xfId="21918"/>
    <cellStyle name="Финансовый 2 2 2 7 8" xfId="21919"/>
    <cellStyle name="Финансовый 2 2 2 7 9" xfId="21920"/>
    <cellStyle name="Финансовый 2 2 2 8" xfId="21921"/>
    <cellStyle name="Финансовый 2 2 2 8 10" xfId="21922"/>
    <cellStyle name="Финансовый 2 2 2 8 11" xfId="21923"/>
    <cellStyle name="Финансовый 2 2 2 8 12" xfId="21924"/>
    <cellStyle name="Финансовый 2 2 2 8 2" xfId="21925"/>
    <cellStyle name="Финансовый 2 2 2 8 2 10" xfId="21926"/>
    <cellStyle name="Финансовый 2 2 2 8 2 11" xfId="21927"/>
    <cellStyle name="Финансовый 2 2 2 8 2 12" xfId="21928"/>
    <cellStyle name="Финансовый 2 2 2 8 2 2" xfId="21929"/>
    <cellStyle name="Финансовый 2 2 2 8 2 2 2" xfId="21930"/>
    <cellStyle name="Финансовый 2 2 2 8 2 2 3" xfId="21931"/>
    <cellStyle name="Финансовый 2 2 2 8 2 2 4" xfId="21932"/>
    <cellStyle name="Финансовый 2 2 2 8 2 2 5" xfId="21933"/>
    <cellStyle name="Финансовый 2 2 2 8 2 2 6" xfId="21934"/>
    <cellStyle name="Финансовый 2 2 2 8 2 2 7" xfId="21935"/>
    <cellStyle name="Финансовый 2 2 2 8 2 2 8" xfId="21936"/>
    <cellStyle name="Финансовый 2 2 2 8 2 2 9" xfId="21937"/>
    <cellStyle name="Финансовый 2 2 2 8 2 3" xfId="21938"/>
    <cellStyle name="Финансовый 2 2 2 8 2 3 2" xfId="21939"/>
    <cellStyle name="Финансовый 2 2 2 8 2 3 3" xfId="21940"/>
    <cellStyle name="Финансовый 2 2 2 8 2 3 4" xfId="21941"/>
    <cellStyle name="Финансовый 2 2 2 8 2 3 5" xfId="21942"/>
    <cellStyle name="Финансовый 2 2 2 8 2 3 6" xfId="21943"/>
    <cellStyle name="Финансовый 2 2 2 8 2 3 7" xfId="21944"/>
    <cellStyle name="Финансовый 2 2 2 8 2 3 8" xfId="21945"/>
    <cellStyle name="Финансовый 2 2 2 8 2 3 9" xfId="21946"/>
    <cellStyle name="Финансовый 2 2 2 8 2 4" xfId="21947"/>
    <cellStyle name="Финансовый 2 2 2 8 2 4 2" xfId="21948"/>
    <cellStyle name="Финансовый 2 2 2 8 2 4 3" xfId="21949"/>
    <cellStyle name="Финансовый 2 2 2 8 2 4 4" xfId="21950"/>
    <cellStyle name="Финансовый 2 2 2 8 2 4 5" xfId="21951"/>
    <cellStyle name="Финансовый 2 2 2 8 2 4 6" xfId="21952"/>
    <cellStyle name="Финансовый 2 2 2 8 2 4 7" xfId="21953"/>
    <cellStyle name="Финансовый 2 2 2 8 2 4 8" xfId="21954"/>
    <cellStyle name="Финансовый 2 2 2 8 2 4 9" xfId="21955"/>
    <cellStyle name="Финансовый 2 2 2 8 2 5" xfId="21956"/>
    <cellStyle name="Финансовый 2 2 2 8 2 6" xfId="21957"/>
    <cellStyle name="Финансовый 2 2 2 8 2 7" xfId="21958"/>
    <cellStyle name="Финансовый 2 2 2 8 2 8" xfId="21959"/>
    <cellStyle name="Финансовый 2 2 2 8 2 9" xfId="21960"/>
    <cellStyle name="Финансовый 2 2 2 8 3" xfId="21961"/>
    <cellStyle name="Финансовый 2 2 2 8 3 10" xfId="21962"/>
    <cellStyle name="Финансовый 2 2 2 8 3 11" xfId="21963"/>
    <cellStyle name="Финансовый 2 2 2 8 3 2" xfId="21964"/>
    <cellStyle name="Финансовый 2 2 2 8 3 2 2" xfId="21965"/>
    <cellStyle name="Финансовый 2 2 2 8 3 2 3" xfId="21966"/>
    <cellStyle name="Финансовый 2 2 2 8 3 2 4" xfId="21967"/>
    <cellStyle name="Финансовый 2 2 2 8 3 2 5" xfId="21968"/>
    <cellStyle name="Финансовый 2 2 2 8 3 2 6" xfId="21969"/>
    <cellStyle name="Финансовый 2 2 2 8 3 2 7" xfId="21970"/>
    <cellStyle name="Финансовый 2 2 2 8 3 2 8" xfId="21971"/>
    <cellStyle name="Финансовый 2 2 2 8 3 2 9" xfId="21972"/>
    <cellStyle name="Финансовый 2 2 2 8 3 3" xfId="21973"/>
    <cellStyle name="Финансовый 2 2 2 8 3 3 2" xfId="21974"/>
    <cellStyle name="Финансовый 2 2 2 8 3 3 3" xfId="21975"/>
    <cellStyle name="Финансовый 2 2 2 8 3 3 4" xfId="21976"/>
    <cellStyle name="Финансовый 2 2 2 8 3 3 5" xfId="21977"/>
    <cellStyle name="Финансовый 2 2 2 8 3 3 6" xfId="21978"/>
    <cellStyle name="Финансовый 2 2 2 8 3 3 7" xfId="21979"/>
    <cellStyle name="Финансовый 2 2 2 8 3 3 8" xfId="21980"/>
    <cellStyle name="Финансовый 2 2 2 8 3 3 9" xfId="21981"/>
    <cellStyle name="Финансовый 2 2 2 8 3 4" xfId="21982"/>
    <cellStyle name="Финансовый 2 2 2 8 3 5" xfId="21983"/>
    <cellStyle name="Финансовый 2 2 2 8 3 6" xfId="21984"/>
    <cellStyle name="Финансовый 2 2 2 8 3 7" xfId="21985"/>
    <cellStyle name="Финансовый 2 2 2 8 3 8" xfId="21986"/>
    <cellStyle name="Финансовый 2 2 2 8 3 9" xfId="21987"/>
    <cellStyle name="Финансовый 2 2 2 8 4" xfId="21988"/>
    <cellStyle name="Финансовый 2 2 2 8 4 2" xfId="21989"/>
    <cellStyle name="Финансовый 2 2 2 8 4 3" xfId="21990"/>
    <cellStyle name="Финансовый 2 2 2 8 4 4" xfId="21991"/>
    <cellStyle name="Финансовый 2 2 2 8 4 5" xfId="21992"/>
    <cellStyle name="Финансовый 2 2 2 8 4 6" xfId="21993"/>
    <cellStyle name="Финансовый 2 2 2 8 4 7" xfId="21994"/>
    <cellStyle name="Финансовый 2 2 2 8 4 8" xfId="21995"/>
    <cellStyle name="Финансовый 2 2 2 8 4 9" xfId="21996"/>
    <cellStyle name="Финансовый 2 2 2 8 5" xfId="21997"/>
    <cellStyle name="Финансовый 2 2 2 8 6" xfId="21998"/>
    <cellStyle name="Финансовый 2 2 2 8 7" xfId="21999"/>
    <cellStyle name="Финансовый 2 2 2 8 8" xfId="22000"/>
    <cellStyle name="Финансовый 2 2 2 8 9" xfId="22001"/>
    <cellStyle name="Финансовый 2 2 2 9" xfId="22002"/>
    <cellStyle name="Финансовый 2 2 2 9 10" xfId="22003"/>
    <cellStyle name="Финансовый 2 2 2 9 11" xfId="22004"/>
    <cellStyle name="Финансовый 2 2 2 9 12" xfId="22005"/>
    <cellStyle name="Финансовый 2 2 2 9 2" xfId="22006"/>
    <cellStyle name="Финансовый 2 2 2 9 2 10" xfId="22007"/>
    <cellStyle name="Финансовый 2 2 2 9 2 11" xfId="22008"/>
    <cellStyle name="Финансовый 2 2 2 9 2 12" xfId="22009"/>
    <cellStyle name="Финансовый 2 2 2 9 2 2" xfId="22010"/>
    <cellStyle name="Финансовый 2 2 2 9 2 2 2" xfId="22011"/>
    <cellStyle name="Финансовый 2 2 2 9 2 2 3" xfId="22012"/>
    <cellStyle name="Финансовый 2 2 2 9 2 2 4" xfId="22013"/>
    <cellStyle name="Финансовый 2 2 2 9 2 2 5" xfId="22014"/>
    <cellStyle name="Финансовый 2 2 2 9 2 2 6" xfId="22015"/>
    <cellStyle name="Финансовый 2 2 2 9 2 2 7" xfId="22016"/>
    <cellStyle name="Финансовый 2 2 2 9 2 2 8" xfId="22017"/>
    <cellStyle name="Финансовый 2 2 2 9 2 2 9" xfId="22018"/>
    <cellStyle name="Финансовый 2 2 2 9 2 3" xfId="22019"/>
    <cellStyle name="Финансовый 2 2 2 9 2 3 2" xfId="22020"/>
    <cellStyle name="Финансовый 2 2 2 9 2 3 3" xfId="22021"/>
    <cellStyle name="Финансовый 2 2 2 9 2 3 4" xfId="22022"/>
    <cellStyle name="Финансовый 2 2 2 9 2 3 5" xfId="22023"/>
    <cellStyle name="Финансовый 2 2 2 9 2 3 6" xfId="22024"/>
    <cellStyle name="Финансовый 2 2 2 9 2 3 7" xfId="22025"/>
    <cellStyle name="Финансовый 2 2 2 9 2 3 8" xfId="22026"/>
    <cellStyle name="Финансовый 2 2 2 9 2 3 9" xfId="22027"/>
    <cellStyle name="Финансовый 2 2 2 9 2 4" xfId="22028"/>
    <cellStyle name="Финансовый 2 2 2 9 2 4 2" xfId="22029"/>
    <cellStyle name="Финансовый 2 2 2 9 2 4 3" xfId="22030"/>
    <cellStyle name="Финансовый 2 2 2 9 2 4 4" xfId="22031"/>
    <cellStyle name="Финансовый 2 2 2 9 2 4 5" xfId="22032"/>
    <cellStyle name="Финансовый 2 2 2 9 2 4 6" xfId="22033"/>
    <cellStyle name="Финансовый 2 2 2 9 2 4 7" xfId="22034"/>
    <cellStyle name="Финансовый 2 2 2 9 2 4 8" xfId="22035"/>
    <cellStyle name="Финансовый 2 2 2 9 2 4 9" xfId="22036"/>
    <cellStyle name="Финансовый 2 2 2 9 2 5" xfId="22037"/>
    <cellStyle name="Финансовый 2 2 2 9 2 6" xfId="22038"/>
    <cellStyle name="Финансовый 2 2 2 9 2 7" xfId="22039"/>
    <cellStyle name="Финансовый 2 2 2 9 2 8" xfId="22040"/>
    <cellStyle name="Финансовый 2 2 2 9 2 9" xfId="22041"/>
    <cellStyle name="Финансовый 2 2 2 9 3" xfId="22042"/>
    <cellStyle name="Финансовый 2 2 2 9 3 10" xfId="22043"/>
    <cellStyle name="Финансовый 2 2 2 9 3 11" xfId="22044"/>
    <cellStyle name="Финансовый 2 2 2 9 3 2" xfId="22045"/>
    <cellStyle name="Финансовый 2 2 2 9 3 2 2" xfId="22046"/>
    <cellStyle name="Финансовый 2 2 2 9 3 2 3" xfId="22047"/>
    <cellStyle name="Финансовый 2 2 2 9 3 2 4" xfId="22048"/>
    <cellStyle name="Финансовый 2 2 2 9 3 2 5" xfId="22049"/>
    <cellStyle name="Финансовый 2 2 2 9 3 2 6" xfId="22050"/>
    <cellStyle name="Финансовый 2 2 2 9 3 2 7" xfId="22051"/>
    <cellStyle name="Финансовый 2 2 2 9 3 2 8" xfId="22052"/>
    <cellStyle name="Финансовый 2 2 2 9 3 2 9" xfId="22053"/>
    <cellStyle name="Финансовый 2 2 2 9 3 3" xfId="22054"/>
    <cellStyle name="Финансовый 2 2 2 9 3 3 2" xfId="22055"/>
    <cellStyle name="Финансовый 2 2 2 9 3 3 3" xfId="22056"/>
    <cellStyle name="Финансовый 2 2 2 9 3 3 4" xfId="22057"/>
    <cellStyle name="Финансовый 2 2 2 9 3 3 5" xfId="22058"/>
    <cellStyle name="Финансовый 2 2 2 9 3 3 6" xfId="22059"/>
    <cellStyle name="Финансовый 2 2 2 9 3 3 7" xfId="22060"/>
    <cellStyle name="Финансовый 2 2 2 9 3 3 8" xfId="22061"/>
    <cellStyle name="Финансовый 2 2 2 9 3 3 9" xfId="22062"/>
    <cellStyle name="Финансовый 2 2 2 9 3 4" xfId="22063"/>
    <cellStyle name="Финансовый 2 2 2 9 3 5" xfId="22064"/>
    <cellStyle name="Финансовый 2 2 2 9 3 6" xfId="22065"/>
    <cellStyle name="Финансовый 2 2 2 9 3 7" xfId="22066"/>
    <cellStyle name="Финансовый 2 2 2 9 3 8" xfId="22067"/>
    <cellStyle name="Финансовый 2 2 2 9 3 9" xfId="22068"/>
    <cellStyle name="Финансовый 2 2 2 9 4" xfId="22069"/>
    <cellStyle name="Финансовый 2 2 2 9 4 2" xfId="22070"/>
    <cellStyle name="Финансовый 2 2 2 9 4 3" xfId="22071"/>
    <cellStyle name="Финансовый 2 2 2 9 4 4" xfId="22072"/>
    <cellStyle name="Финансовый 2 2 2 9 4 5" xfId="22073"/>
    <cellStyle name="Финансовый 2 2 2 9 4 6" xfId="22074"/>
    <cellStyle name="Финансовый 2 2 2 9 4 7" xfId="22075"/>
    <cellStyle name="Финансовый 2 2 2 9 4 8" xfId="22076"/>
    <cellStyle name="Финансовый 2 2 2 9 4 9" xfId="22077"/>
    <cellStyle name="Финансовый 2 2 2 9 5" xfId="22078"/>
    <cellStyle name="Финансовый 2 2 2 9 6" xfId="22079"/>
    <cellStyle name="Финансовый 2 2 2 9 7" xfId="22080"/>
    <cellStyle name="Финансовый 2 2 2 9 8" xfId="22081"/>
    <cellStyle name="Финансовый 2 2 2 9 9" xfId="22082"/>
    <cellStyle name="Финансовый 2 2 20" xfId="22083"/>
    <cellStyle name="Финансовый 2 2 20 10" xfId="22084"/>
    <cellStyle name="Финансовый 2 2 20 11" xfId="22085"/>
    <cellStyle name="Финансовый 2 2 20 12" xfId="22086"/>
    <cellStyle name="Финансовый 2 2 20 2" xfId="22087"/>
    <cellStyle name="Финансовый 2 2 20 2 10" xfId="22088"/>
    <cellStyle name="Финансовый 2 2 20 2 11" xfId="22089"/>
    <cellStyle name="Финансовый 2 2 20 2 12" xfId="22090"/>
    <cellStyle name="Финансовый 2 2 20 2 2" xfId="22091"/>
    <cellStyle name="Финансовый 2 2 20 2 2 2" xfId="22092"/>
    <cellStyle name="Финансовый 2 2 20 2 2 3" xfId="22093"/>
    <cellStyle name="Финансовый 2 2 20 2 2 4" xfId="22094"/>
    <cellStyle name="Финансовый 2 2 20 2 2 5" xfId="22095"/>
    <cellStyle name="Финансовый 2 2 20 2 2 6" xfId="22096"/>
    <cellStyle name="Финансовый 2 2 20 2 2 7" xfId="22097"/>
    <cellStyle name="Финансовый 2 2 20 2 2 8" xfId="22098"/>
    <cellStyle name="Финансовый 2 2 20 2 2 9" xfId="22099"/>
    <cellStyle name="Финансовый 2 2 20 2 3" xfId="22100"/>
    <cellStyle name="Финансовый 2 2 20 2 3 2" xfId="22101"/>
    <cellStyle name="Финансовый 2 2 20 2 3 3" xfId="22102"/>
    <cellStyle name="Финансовый 2 2 20 2 3 4" xfId="22103"/>
    <cellStyle name="Финансовый 2 2 20 2 3 5" xfId="22104"/>
    <cellStyle name="Финансовый 2 2 20 2 3 6" xfId="22105"/>
    <cellStyle name="Финансовый 2 2 20 2 3 7" xfId="22106"/>
    <cellStyle name="Финансовый 2 2 20 2 3 8" xfId="22107"/>
    <cellStyle name="Финансовый 2 2 20 2 3 9" xfId="22108"/>
    <cellStyle name="Финансовый 2 2 20 2 4" xfId="22109"/>
    <cellStyle name="Финансовый 2 2 20 2 4 2" xfId="22110"/>
    <cellStyle name="Финансовый 2 2 20 2 4 3" xfId="22111"/>
    <cellStyle name="Финансовый 2 2 20 2 4 4" xfId="22112"/>
    <cellStyle name="Финансовый 2 2 20 2 4 5" xfId="22113"/>
    <cellStyle name="Финансовый 2 2 20 2 4 6" xfId="22114"/>
    <cellStyle name="Финансовый 2 2 20 2 4 7" xfId="22115"/>
    <cellStyle name="Финансовый 2 2 20 2 4 8" xfId="22116"/>
    <cellStyle name="Финансовый 2 2 20 2 4 9" xfId="22117"/>
    <cellStyle name="Финансовый 2 2 20 2 5" xfId="22118"/>
    <cellStyle name="Финансовый 2 2 20 2 6" xfId="22119"/>
    <cellStyle name="Финансовый 2 2 20 2 7" xfId="22120"/>
    <cellStyle name="Финансовый 2 2 20 2 8" xfId="22121"/>
    <cellStyle name="Финансовый 2 2 20 2 9" xfId="22122"/>
    <cellStyle name="Финансовый 2 2 20 3" xfId="22123"/>
    <cellStyle name="Финансовый 2 2 20 3 10" xfId="22124"/>
    <cellStyle name="Финансовый 2 2 20 3 11" xfId="22125"/>
    <cellStyle name="Финансовый 2 2 20 3 2" xfId="22126"/>
    <cellStyle name="Финансовый 2 2 20 3 2 2" xfId="22127"/>
    <cellStyle name="Финансовый 2 2 20 3 2 3" xfId="22128"/>
    <cellStyle name="Финансовый 2 2 20 3 2 4" xfId="22129"/>
    <cellStyle name="Финансовый 2 2 20 3 2 5" xfId="22130"/>
    <cellStyle name="Финансовый 2 2 20 3 2 6" xfId="22131"/>
    <cellStyle name="Финансовый 2 2 20 3 2 7" xfId="22132"/>
    <cellStyle name="Финансовый 2 2 20 3 2 8" xfId="22133"/>
    <cellStyle name="Финансовый 2 2 20 3 2 9" xfId="22134"/>
    <cellStyle name="Финансовый 2 2 20 3 3" xfId="22135"/>
    <cellStyle name="Финансовый 2 2 20 3 3 2" xfId="22136"/>
    <cellStyle name="Финансовый 2 2 20 3 3 3" xfId="22137"/>
    <cellStyle name="Финансовый 2 2 20 3 3 4" xfId="22138"/>
    <cellStyle name="Финансовый 2 2 20 3 3 5" xfId="22139"/>
    <cellStyle name="Финансовый 2 2 20 3 3 6" xfId="22140"/>
    <cellStyle name="Финансовый 2 2 20 3 3 7" xfId="22141"/>
    <cellStyle name="Финансовый 2 2 20 3 3 8" xfId="22142"/>
    <cellStyle name="Финансовый 2 2 20 3 3 9" xfId="22143"/>
    <cellStyle name="Финансовый 2 2 20 3 4" xfId="22144"/>
    <cellStyle name="Финансовый 2 2 20 3 5" xfId="22145"/>
    <cellStyle name="Финансовый 2 2 20 3 6" xfId="22146"/>
    <cellStyle name="Финансовый 2 2 20 3 7" xfId="22147"/>
    <cellStyle name="Финансовый 2 2 20 3 8" xfId="22148"/>
    <cellStyle name="Финансовый 2 2 20 3 9" xfId="22149"/>
    <cellStyle name="Финансовый 2 2 20 4" xfId="22150"/>
    <cellStyle name="Финансовый 2 2 20 4 2" xfId="22151"/>
    <cellStyle name="Финансовый 2 2 20 4 3" xfId="22152"/>
    <cellStyle name="Финансовый 2 2 20 4 4" xfId="22153"/>
    <cellStyle name="Финансовый 2 2 20 4 5" xfId="22154"/>
    <cellStyle name="Финансовый 2 2 20 4 6" xfId="22155"/>
    <cellStyle name="Финансовый 2 2 20 4 7" xfId="22156"/>
    <cellStyle name="Финансовый 2 2 20 4 8" xfId="22157"/>
    <cellStyle name="Финансовый 2 2 20 4 9" xfId="22158"/>
    <cellStyle name="Финансовый 2 2 20 5" xfId="22159"/>
    <cellStyle name="Финансовый 2 2 20 6" xfId="22160"/>
    <cellStyle name="Финансовый 2 2 20 7" xfId="22161"/>
    <cellStyle name="Финансовый 2 2 20 8" xfId="22162"/>
    <cellStyle name="Финансовый 2 2 20 9" xfId="22163"/>
    <cellStyle name="Финансовый 2 2 21" xfId="22164"/>
    <cellStyle name="Финансовый 2 2 21 10" xfId="22165"/>
    <cellStyle name="Финансовый 2 2 21 11" xfId="22166"/>
    <cellStyle name="Финансовый 2 2 21 12" xfId="22167"/>
    <cellStyle name="Финансовый 2 2 21 2" xfId="22168"/>
    <cellStyle name="Финансовый 2 2 21 2 10" xfId="22169"/>
    <cellStyle name="Финансовый 2 2 21 2 11" xfId="22170"/>
    <cellStyle name="Финансовый 2 2 21 2 12" xfId="22171"/>
    <cellStyle name="Финансовый 2 2 21 2 2" xfId="22172"/>
    <cellStyle name="Финансовый 2 2 21 2 2 2" xfId="22173"/>
    <cellStyle name="Финансовый 2 2 21 2 2 3" xfId="22174"/>
    <cellStyle name="Финансовый 2 2 21 2 2 4" xfId="22175"/>
    <cellStyle name="Финансовый 2 2 21 2 2 5" xfId="22176"/>
    <cellStyle name="Финансовый 2 2 21 2 2 6" xfId="22177"/>
    <cellStyle name="Финансовый 2 2 21 2 2 7" xfId="22178"/>
    <cellStyle name="Финансовый 2 2 21 2 2 8" xfId="22179"/>
    <cellStyle name="Финансовый 2 2 21 2 2 9" xfId="22180"/>
    <cellStyle name="Финансовый 2 2 21 2 3" xfId="22181"/>
    <cellStyle name="Финансовый 2 2 21 2 3 2" xfId="22182"/>
    <cellStyle name="Финансовый 2 2 21 2 3 3" xfId="22183"/>
    <cellStyle name="Финансовый 2 2 21 2 3 4" xfId="22184"/>
    <cellStyle name="Финансовый 2 2 21 2 3 5" xfId="22185"/>
    <cellStyle name="Финансовый 2 2 21 2 3 6" xfId="22186"/>
    <cellStyle name="Финансовый 2 2 21 2 3 7" xfId="22187"/>
    <cellStyle name="Финансовый 2 2 21 2 3 8" xfId="22188"/>
    <cellStyle name="Финансовый 2 2 21 2 3 9" xfId="22189"/>
    <cellStyle name="Финансовый 2 2 21 2 4" xfId="22190"/>
    <cellStyle name="Финансовый 2 2 21 2 4 2" xfId="22191"/>
    <cellStyle name="Финансовый 2 2 21 2 4 3" xfId="22192"/>
    <cellStyle name="Финансовый 2 2 21 2 4 4" xfId="22193"/>
    <cellStyle name="Финансовый 2 2 21 2 4 5" xfId="22194"/>
    <cellStyle name="Финансовый 2 2 21 2 4 6" xfId="22195"/>
    <cellStyle name="Финансовый 2 2 21 2 4 7" xfId="22196"/>
    <cellStyle name="Финансовый 2 2 21 2 4 8" xfId="22197"/>
    <cellStyle name="Финансовый 2 2 21 2 4 9" xfId="22198"/>
    <cellStyle name="Финансовый 2 2 21 2 5" xfId="22199"/>
    <cellStyle name="Финансовый 2 2 21 2 6" xfId="22200"/>
    <cellStyle name="Финансовый 2 2 21 2 7" xfId="22201"/>
    <cellStyle name="Финансовый 2 2 21 2 8" xfId="22202"/>
    <cellStyle name="Финансовый 2 2 21 2 9" xfId="22203"/>
    <cellStyle name="Финансовый 2 2 21 3" xfId="22204"/>
    <cellStyle name="Финансовый 2 2 21 3 10" xfId="22205"/>
    <cellStyle name="Финансовый 2 2 21 3 11" xfId="22206"/>
    <cellStyle name="Финансовый 2 2 21 3 2" xfId="22207"/>
    <cellStyle name="Финансовый 2 2 21 3 2 2" xfId="22208"/>
    <cellStyle name="Финансовый 2 2 21 3 2 3" xfId="22209"/>
    <cellStyle name="Финансовый 2 2 21 3 2 4" xfId="22210"/>
    <cellStyle name="Финансовый 2 2 21 3 2 5" xfId="22211"/>
    <cellStyle name="Финансовый 2 2 21 3 2 6" xfId="22212"/>
    <cellStyle name="Финансовый 2 2 21 3 2 7" xfId="22213"/>
    <cellStyle name="Финансовый 2 2 21 3 2 8" xfId="22214"/>
    <cellStyle name="Финансовый 2 2 21 3 2 9" xfId="22215"/>
    <cellStyle name="Финансовый 2 2 21 3 3" xfId="22216"/>
    <cellStyle name="Финансовый 2 2 21 3 3 2" xfId="22217"/>
    <cellStyle name="Финансовый 2 2 21 3 3 3" xfId="22218"/>
    <cellStyle name="Финансовый 2 2 21 3 3 4" xfId="22219"/>
    <cellStyle name="Финансовый 2 2 21 3 3 5" xfId="22220"/>
    <cellStyle name="Финансовый 2 2 21 3 3 6" xfId="22221"/>
    <cellStyle name="Финансовый 2 2 21 3 3 7" xfId="22222"/>
    <cellStyle name="Финансовый 2 2 21 3 3 8" xfId="22223"/>
    <cellStyle name="Финансовый 2 2 21 3 3 9" xfId="22224"/>
    <cellStyle name="Финансовый 2 2 21 3 4" xfId="22225"/>
    <cellStyle name="Финансовый 2 2 21 3 5" xfId="22226"/>
    <cellStyle name="Финансовый 2 2 21 3 6" xfId="22227"/>
    <cellStyle name="Финансовый 2 2 21 3 7" xfId="22228"/>
    <cellStyle name="Финансовый 2 2 21 3 8" xfId="22229"/>
    <cellStyle name="Финансовый 2 2 21 3 9" xfId="22230"/>
    <cellStyle name="Финансовый 2 2 21 4" xfId="22231"/>
    <cellStyle name="Финансовый 2 2 21 4 2" xfId="22232"/>
    <cellStyle name="Финансовый 2 2 21 4 3" xfId="22233"/>
    <cellStyle name="Финансовый 2 2 21 4 4" xfId="22234"/>
    <cellStyle name="Финансовый 2 2 21 4 5" xfId="22235"/>
    <cellStyle name="Финансовый 2 2 21 4 6" xfId="22236"/>
    <cellStyle name="Финансовый 2 2 21 4 7" xfId="22237"/>
    <cellStyle name="Финансовый 2 2 21 4 8" xfId="22238"/>
    <cellStyle name="Финансовый 2 2 21 4 9" xfId="22239"/>
    <cellStyle name="Финансовый 2 2 21 5" xfId="22240"/>
    <cellStyle name="Финансовый 2 2 21 6" xfId="22241"/>
    <cellStyle name="Финансовый 2 2 21 7" xfId="22242"/>
    <cellStyle name="Финансовый 2 2 21 8" xfId="22243"/>
    <cellStyle name="Финансовый 2 2 21 9" xfId="22244"/>
    <cellStyle name="Финансовый 2 2 22" xfId="22245"/>
    <cellStyle name="Финансовый 2 2 22 2" xfId="22246"/>
    <cellStyle name="Финансовый 2 2 22 3" xfId="22247"/>
    <cellStyle name="Финансовый 2 2 23" xfId="22248"/>
    <cellStyle name="Финансовый 2 2 24" xfId="22249"/>
    <cellStyle name="Финансовый 2 2 24 2" xfId="22250"/>
    <cellStyle name="Финансовый 2 2 24 3" xfId="22251"/>
    <cellStyle name="Финансовый 2 2 24 4" xfId="22252"/>
    <cellStyle name="Финансовый 2 2 24 5" xfId="22253"/>
    <cellStyle name="Финансовый 2 2 25" xfId="22254"/>
    <cellStyle name="Финансовый 2 2 26" xfId="22255"/>
    <cellStyle name="Финансовый 2 2 27" xfId="22256"/>
    <cellStyle name="Финансовый 2 2 28" xfId="22257"/>
    <cellStyle name="Финансовый 2 2 3" xfId="22258"/>
    <cellStyle name="Финансовый 2 2 3 2" xfId="22259"/>
    <cellStyle name="Финансовый 2 2 3 2 2" xfId="22260"/>
    <cellStyle name="Финансовый 2 2 3 2 3" xfId="22261"/>
    <cellStyle name="Финансовый 2 2 3 3" xfId="22262"/>
    <cellStyle name="Финансовый 2 2 3 4" xfId="22263"/>
    <cellStyle name="Финансовый 2 2 3 4 2" xfId="22264"/>
    <cellStyle name="Финансовый 2 2 3 4 3" xfId="22265"/>
    <cellStyle name="Финансовый 2 2 3 4 4" xfId="22266"/>
    <cellStyle name="Финансовый 2 2 3 4 5" xfId="22267"/>
    <cellStyle name="Финансовый 2 2 3 5" xfId="22268"/>
    <cellStyle name="Финансовый 2 2 3 6" xfId="22269"/>
    <cellStyle name="Финансовый 2 2 3 7" xfId="22270"/>
    <cellStyle name="Финансовый 2 2 3 8" xfId="22271"/>
    <cellStyle name="Финансовый 2 2 4" xfId="22272"/>
    <cellStyle name="Финансовый 2 2 4 2" xfId="22273"/>
    <cellStyle name="Финансовый 2 2 4 2 2" xfId="22274"/>
    <cellStyle name="Финансовый 2 2 4 2 3" xfId="22275"/>
    <cellStyle name="Финансовый 2 2 4 3" xfId="22276"/>
    <cellStyle name="Финансовый 2 2 4 4" xfId="22277"/>
    <cellStyle name="Финансовый 2 2 4 4 2" xfId="22278"/>
    <cellStyle name="Финансовый 2 2 4 4 3" xfId="22279"/>
    <cellStyle name="Финансовый 2 2 4 4 4" xfId="22280"/>
    <cellStyle name="Финансовый 2 2 4 4 5" xfId="22281"/>
    <cellStyle name="Финансовый 2 2 4 5" xfId="22282"/>
    <cellStyle name="Финансовый 2 2 4 6" xfId="22283"/>
    <cellStyle name="Финансовый 2 2 4 7" xfId="22284"/>
    <cellStyle name="Финансовый 2 2 4 8" xfId="22285"/>
    <cellStyle name="Финансовый 2 2 5" xfId="22286"/>
    <cellStyle name="Финансовый 2 2 5 2" xfId="22287"/>
    <cellStyle name="Финансовый 2 2 5 2 2" xfId="22288"/>
    <cellStyle name="Финансовый 2 2 5 2 3" xfId="22289"/>
    <cellStyle name="Финансовый 2 2 5 3" xfId="22290"/>
    <cellStyle name="Финансовый 2 2 5 4" xfId="22291"/>
    <cellStyle name="Финансовый 2 2 5 4 2" xfId="22292"/>
    <cellStyle name="Финансовый 2 2 5 4 3" xfId="22293"/>
    <cellStyle name="Финансовый 2 2 5 4 4" xfId="22294"/>
    <cellStyle name="Финансовый 2 2 5 4 5" xfId="22295"/>
    <cellStyle name="Финансовый 2 2 5 5" xfId="22296"/>
    <cellStyle name="Финансовый 2 2 5 6" xfId="22297"/>
    <cellStyle name="Финансовый 2 2 5 7" xfId="22298"/>
    <cellStyle name="Финансовый 2 2 5 8" xfId="22299"/>
    <cellStyle name="Финансовый 2 2 6" xfId="22300"/>
    <cellStyle name="Финансовый 2 2 6 2" xfId="22301"/>
    <cellStyle name="Финансовый 2 2 6 2 2" xfId="22302"/>
    <cellStyle name="Финансовый 2 2 6 2 3" xfId="22303"/>
    <cellStyle name="Финансовый 2 2 6 3" xfId="22304"/>
    <cellStyle name="Финансовый 2 2 6 4" xfId="22305"/>
    <cellStyle name="Финансовый 2 2 6 4 2" xfId="22306"/>
    <cellStyle name="Финансовый 2 2 6 4 3" xfId="22307"/>
    <cellStyle name="Финансовый 2 2 6 4 4" xfId="22308"/>
    <cellStyle name="Финансовый 2 2 6 4 5" xfId="22309"/>
    <cellStyle name="Финансовый 2 2 6 5" xfId="22310"/>
    <cellStyle name="Финансовый 2 2 6 6" xfId="22311"/>
    <cellStyle name="Финансовый 2 2 6 7" xfId="22312"/>
    <cellStyle name="Финансовый 2 2 6 8" xfId="22313"/>
    <cellStyle name="Финансовый 2 2 7" xfId="22314"/>
    <cellStyle name="Финансовый 2 2 7 2" xfId="22315"/>
    <cellStyle name="Финансовый 2 2 7 2 2" xfId="22316"/>
    <cellStyle name="Финансовый 2 2 7 2 3" xfId="22317"/>
    <cellStyle name="Финансовый 2 2 7 3" xfId="22318"/>
    <cellStyle name="Финансовый 2 2 7 4" xfId="22319"/>
    <cellStyle name="Финансовый 2 2 7 4 2" xfId="22320"/>
    <cellStyle name="Финансовый 2 2 7 4 3" xfId="22321"/>
    <cellStyle name="Финансовый 2 2 7 4 4" xfId="22322"/>
    <cellStyle name="Финансовый 2 2 7 4 5" xfId="22323"/>
    <cellStyle name="Финансовый 2 2 7 5" xfId="22324"/>
    <cellStyle name="Финансовый 2 2 7 6" xfId="22325"/>
    <cellStyle name="Финансовый 2 2 7 7" xfId="22326"/>
    <cellStyle name="Финансовый 2 2 7 8" xfId="22327"/>
    <cellStyle name="Финансовый 2 2 8" xfId="22328"/>
    <cellStyle name="Финансовый 2 2 8 2" xfId="22329"/>
    <cellStyle name="Финансовый 2 2 8 2 2" xfId="22330"/>
    <cellStyle name="Финансовый 2 2 8 2 3" xfId="22331"/>
    <cellStyle name="Финансовый 2 2 8 3" xfId="22332"/>
    <cellStyle name="Финансовый 2 2 8 4" xfId="22333"/>
    <cellStyle name="Финансовый 2 2 8 4 2" xfId="22334"/>
    <cellStyle name="Финансовый 2 2 8 4 3" xfId="22335"/>
    <cellStyle name="Финансовый 2 2 8 4 4" xfId="22336"/>
    <cellStyle name="Финансовый 2 2 8 4 5" xfId="22337"/>
    <cellStyle name="Финансовый 2 2 8 5" xfId="22338"/>
    <cellStyle name="Финансовый 2 2 8 6" xfId="22339"/>
    <cellStyle name="Финансовый 2 2 8 7" xfId="22340"/>
    <cellStyle name="Финансовый 2 2 8 8" xfId="22341"/>
    <cellStyle name="Финансовый 2 2 9" xfId="22342"/>
    <cellStyle name="Финансовый 2 2 9 2" xfId="22343"/>
    <cellStyle name="Финансовый 2 2 9 2 2" xfId="22344"/>
    <cellStyle name="Финансовый 2 2 9 2 3" xfId="22345"/>
    <cellStyle name="Финансовый 2 2 9 3" xfId="22346"/>
    <cellStyle name="Финансовый 2 2 9 4" xfId="22347"/>
    <cellStyle name="Финансовый 2 2 9 4 2" xfId="22348"/>
    <cellStyle name="Финансовый 2 2 9 4 3" xfId="22349"/>
    <cellStyle name="Финансовый 2 2 9 4 4" xfId="22350"/>
    <cellStyle name="Финансовый 2 2 9 4 5" xfId="22351"/>
    <cellStyle name="Финансовый 2 2 9 5" xfId="22352"/>
    <cellStyle name="Финансовый 2 2 9 6" xfId="22353"/>
    <cellStyle name="Финансовый 2 2 9 7" xfId="22354"/>
    <cellStyle name="Финансовый 2 2 9 8" xfId="22355"/>
    <cellStyle name="Финансовый 2 20" xfId="22356"/>
    <cellStyle name="Финансовый 2 20 2" xfId="22357"/>
    <cellStyle name="Финансовый 2 20 2 2" xfId="22358"/>
    <cellStyle name="Финансовый 2 20 2 3" xfId="22359"/>
    <cellStyle name="Финансовый 2 20 3" xfId="22360"/>
    <cellStyle name="Финансовый 2 20 4" xfId="22361"/>
    <cellStyle name="Финансовый 2 20 4 2" xfId="22362"/>
    <cellStyle name="Финансовый 2 20 4 3" xfId="22363"/>
    <cellStyle name="Финансовый 2 20 4 4" xfId="22364"/>
    <cellStyle name="Финансовый 2 20 4 5" xfId="22365"/>
    <cellStyle name="Финансовый 2 20 5" xfId="22366"/>
    <cellStyle name="Финансовый 2 20 6" xfId="22367"/>
    <cellStyle name="Финансовый 2 20 7" xfId="22368"/>
    <cellStyle name="Финансовый 2 20 8" xfId="22369"/>
    <cellStyle name="Финансовый 2 21" xfId="22370"/>
    <cellStyle name="Финансовый 2 21 2" xfId="22371"/>
    <cellStyle name="Финансовый 2 21 2 2" xfId="22372"/>
    <cellStyle name="Финансовый 2 21 2 3" xfId="22373"/>
    <cellStyle name="Финансовый 2 21 3" xfId="22374"/>
    <cellStyle name="Финансовый 2 21 4" xfId="22375"/>
    <cellStyle name="Финансовый 2 21 4 2" xfId="22376"/>
    <cellStyle name="Финансовый 2 21 4 3" xfId="22377"/>
    <cellStyle name="Финансовый 2 21 4 4" xfId="22378"/>
    <cellStyle name="Финансовый 2 21 4 5" xfId="22379"/>
    <cellStyle name="Финансовый 2 21 5" xfId="22380"/>
    <cellStyle name="Финансовый 2 21 6" xfId="22381"/>
    <cellStyle name="Финансовый 2 21 7" xfId="22382"/>
    <cellStyle name="Финансовый 2 21 8" xfId="22383"/>
    <cellStyle name="Финансовый 2 22" xfId="22384"/>
    <cellStyle name="Финансовый 2 22 2" xfId="22385"/>
    <cellStyle name="Финансовый 2 22 2 2" xfId="22386"/>
    <cellStyle name="Финансовый 2 22 2 3" xfId="22387"/>
    <cellStyle name="Финансовый 2 22 3" xfId="22388"/>
    <cellStyle name="Финансовый 2 22 4" xfId="22389"/>
    <cellStyle name="Финансовый 2 22 4 2" xfId="22390"/>
    <cellStyle name="Финансовый 2 22 4 3" xfId="22391"/>
    <cellStyle name="Финансовый 2 22 4 4" xfId="22392"/>
    <cellStyle name="Финансовый 2 22 4 5" xfId="22393"/>
    <cellStyle name="Финансовый 2 22 5" xfId="22394"/>
    <cellStyle name="Финансовый 2 22 6" xfId="22395"/>
    <cellStyle name="Финансовый 2 22 7" xfId="22396"/>
    <cellStyle name="Финансовый 2 22 8" xfId="22397"/>
    <cellStyle name="Финансовый 2 23" xfId="22398"/>
    <cellStyle name="Финансовый 2 23 2" xfId="22399"/>
    <cellStyle name="Финансовый 2 23 2 2" xfId="22400"/>
    <cellStyle name="Финансовый 2 23 2 3" xfId="22401"/>
    <cellStyle name="Финансовый 2 23 3" xfId="22402"/>
    <cellStyle name="Финансовый 2 23 4" xfId="22403"/>
    <cellStyle name="Финансовый 2 23 4 2" xfId="22404"/>
    <cellStyle name="Финансовый 2 23 4 3" xfId="22405"/>
    <cellStyle name="Финансовый 2 23 4 4" xfId="22406"/>
    <cellStyle name="Финансовый 2 23 4 5" xfId="22407"/>
    <cellStyle name="Финансовый 2 23 5" xfId="22408"/>
    <cellStyle name="Финансовый 2 23 6" xfId="22409"/>
    <cellStyle name="Финансовый 2 23 7" xfId="22410"/>
    <cellStyle name="Финансовый 2 23 8" xfId="22411"/>
    <cellStyle name="Финансовый 2 24" xfId="22412"/>
    <cellStyle name="Финансовый 2 24 10" xfId="22413"/>
    <cellStyle name="Финансовый 2 24 11" xfId="22414"/>
    <cellStyle name="Финансовый 2 24 12" xfId="22415"/>
    <cellStyle name="Финансовый 2 24 2" xfId="22416"/>
    <cellStyle name="Финансовый 2 24 2 10" xfId="22417"/>
    <cellStyle name="Финансовый 2 24 2 11" xfId="22418"/>
    <cellStyle name="Финансовый 2 24 2 12" xfId="22419"/>
    <cellStyle name="Финансовый 2 24 2 2" xfId="22420"/>
    <cellStyle name="Финансовый 2 24 2 2 2" xfId="22421"/>
    <cellStyle name="Финансовый 2 24 2 2 3" xfId="22422"/>
    <cellStyle name="Финансовый 2 24 2 2 4" xfId="22423"/>
    <cellStyle name="Финансовый 2 24 2 2 5" xfId="22424"/>
    <cellStyle name="Финансовый 2 24 2 2 6" xfId="22425"/>
    <cellStyle name="Финансовый 2 24 2 2 7" xfId="22426"/>
    <cellStyle name="Финансовый 2 24 2 2 8" xfId="22427"/>
    <cellStyle name="Финансовый 2 24 2 2 9" xfId="22428"/>
    <cellStyle name="Финансовый 2 24 2 3" xfId="22429"/>
    <cellStyle name="Финансовый 2 24 2 3 2" xfId="22430"/>
    <cellStyle name="Финансовый 2 24 2 3 3" xfId="22431"/>
    <cellStyle name="Финансовый 2 24 2 3 4" xfId="22432"/>
    <cellStyle name="Финансовый 2 24 2 3 5" xfId="22433"/>
    <cellStyle name="Финансовый 2 24 2 3 6" xfId="22434"/>
    <cellStyle name="Финансовый 2 24 2 3 7" xfId="22435"/>
    <cellStyle name="Финансовый 2 24 2 3 8" xfId="22436"/>
    <cellStyle name="Финансовый 2 24 2 3 9" xfId="22437"/>
    <cellStyle name="Финансовый 2 24 2 4" xfId="22438"/>
    <cellStyle name="Финансовый 2 24 2 4 2" xfId="22439"/>
    <cellStyle name="Финансовый 2 24 2 4 3" xfId="22440"/>
    <cellStyle name="Финансовый 2 24 2 4 4" xfId="22441"/>
    <cellStyle name="Финансовый 2 24 2 4 5" xfId="22442"/>
    <cellStyle name="Финансовый 2 24 2 4 6" xfId="22443"/>
    <cellStyle name="Финансовый 2 24 2 4 7" xfId="22444"/>
    <cellStyle name="Финансовый 2 24 2 4 8" xfId="22445"/>
    <cellStyle name="Финансовый 2 24 2 4 9" xfId="22446"/>
    <cellStyle name="Финансовый 2 24 2 5" xfId="22447"/>
    <cellStyle name="Финансовый 2 24 2 6" xfId="22448"/>
    <cellStyle name="Финансовый 2 24 2 7" xfId="22449"/>
    <cellStyle name="Финансовый 2 24 2 8" xfId="22450"/>
    <cellStyle name="Финансовый 2 24 2 9" xfId="22451"/>
    <cellStyle name="Финансовый 2 24 3" xfId="22452"/>
    <cellStyle name="Финансовый 2 24 3 10" xfId="22453"/>
    <cellStyle name="Финансовый 2 24 3 11" xfId="22454"/>
    <cellStyle name="Финансовый 2 24 3 2" xfId="22455"/>
    <cellStyle name="Финансовый 2 24 3 2 2" xfId="22456"/>
    <cellStyle name="Финансовый 2 24 3 2 3" xfId="22457"/>
    <cellStyle name="Финансовый 2 24 3 2 4" xfId="22458"/>
    <cellStyle name="Финансовый 2 24 3 2 5" xfId="22459"/>
    <cellStyle name="Финансовый 2 24 3 2 6" xfId="22460"/>
    <cellStyle name="Финансовый 2 24 3 2 7" xfId="22461"/>
    <cellStyle name="Финансовый 2 24 3 2 8" xfId="22462"/>
    <cellStyle name="Финансовый 2 24 3 2 9" xfId="22463"/>
    <cellStyle name="Финансовый 2 24 3 3" xfId="22464"/>
    <cellStyle name="Финансовый 2 24 3 3 2" xfId="22465"/>
    <cellStyle name="Финансовый 2 24 3 3 3" xfId="22466"/>
    <cellStyle name="Финансовый 2 24 3 3 4" xfId="22467"/>
    <cellStyle name="Финансовый 2 24 3 3 5" xfId="22468"/>
    <cellStyle name="Финансовый 2 24 3 3 6" xfId="22469"/>
    <cellStyle name="Финансовый 2 24 3 3 7" xfId="22470"/>
    <cellStyle name="Финансовый 2 24 3 3 8" xfId="22471"/>
    <cellStyle name="Финансовый 2 24 3 3 9" xfId="22472"/>
    <cellStyle name="Финансовый 2 24 3 4" xfId="22473"/>
    <cellStyle name="Финансовый 2 24 3 5" xfId="22474"/>
    <cellStyle name="Финансовый 2 24 3 6" xfId="22475"/>
    <cellStyle name="Финансовый 2 24 3 7" xfId="22476"/>
    <cellStyle name="Финансовый 2 24 3 8" xfId="22477"/>
    <cellStyle name="Финансовый 2 24 3 9" xfId="22478"/>
    <cellStyle name="Финансовый 2 24 4" xfId="22479"/>
    <cellStyle name="Финансовый 2 24 4 2" xfId="22480"/>
    <cellStyle name="Финансовый 2 24 4 3" xfId="22481"/>
    <cellStyle name="Финансовый 2 24 4 4" xfId="22482"/>
    <cellStyle name="Финансовый 2 24 4 5" xfId="22483"/>
    <cellStyle name="Финансовый 2 24 4 6" xfId="22484"/>
    <cellStyle name="Финансовый 2 24 4 7" xfId="22485"/>
    <cellStyle name="Финансовый 2 24 4 8" xfId="22486"/>
    <cellStyle name="Финансовый 2 24 4 9" xfId="22487"/>
    <cellStyle name="Финансовый 2 24 5" xfId="22488"/>
    <cellStyle name="Финансовый 2 24 6" xfId="22489"/>
    <cellStyle name="Финансовый 2 24 7" xfId="22490"/>
    <cellStyle name="Финансовый 2 24 8" xfId="22491"/>
    <cellStyle name="Финансовый 2 24 9" xfId="22492"/>
    <cellStyle name="Финансовый 2 25" xfId="22493"/>
    <cellStyle name="Финансовый 2 25 10" xfId="22494"/>
    <cellStyle name="Финансовый 2 25 11" xfId="22495"/>
    <cellStyle name="Финансовый 2 25 12" xfId="22496"/>
    <cellStyle name="Финансовый 2 25 2" xfId="22497"/>
    <cellStyle name="Финансовый 2 25 2 10" xfId="22498"/>
    <cellStyle name="Финансовый 2 25 2 11" xfId="22499"/>
    <cellStyle name="Финансовый 2 25 2 12" xfId="22500"/>
    <cellStyle name="Финансовый 2 25 2 2" xfId="22501"/>
    <cellStyle name="Финансовый 2 25 2 2 2" xfId="22502"/>
    <cellStyle name="Финансовый 2 25 2 2 3" xfId="22503"/>
    <cellStyle name="Финансовый 2 25 2 2 4" xfId="22504"/>
    <cellStyle name="Финансовый 2 25 2 2 5" xfId="22505"/>
    <cellStyle name="Финансовый 2 25 2 2 6" xfId="22506"/>
    <cellStyle name="Финансовый 2 25 2 2 7" xfId="22507"/>
    <cellStyle name="Финансовый 2 25 2 2 8" xfId="22508"/>
    <cellStyle name="Финансовый 2 25 2 2 9" xfId="22509"/>
    <cellStyle name="Финансовый 2 25 2 3" xfId="22510"/>
    <cellStyle name="Финансовый 2 25 2 3 2" xfId="22511"/>
    <cellStyle name="Финансовый 2 25 2 3 3" xfId="22512"/>
    <cellStyle name="Финансовый 2 25 2 3 4" xfId="22513"/>
    <cellStyle name="Финансовый 2 25 2 3 5" xfId="22514"/>
    <cellStyle name="Финансовый 2 25 2 3 6" xfId="22515"/>
    <cellStyle name="Финансовый 2 25 2 3 7" xfId="22516"/>
    <cellStyle name="Финансовый 2 25 2 3 8" xfId="22517"/>
    <cellStyle name="Финансовый 2 25 2 3 9" xfId="22518"/>
    <cellStyle name="Финансовый 2 25 2 4" xfId="22519"/>
    <cellStyle name="Финансовый 2 25 2 4 2" xfId="22520"/>
    <cellStyle name="Финансовый 2 25 2 4 3" xfId="22521"/>
    <cellStyle name="Финансовый 2 25 2 4 4" xfId="22522"/>
    <cellStyle name="Финансовый 2 25 2 4 5" xfId="22523"/>
    <cellStyle name="Финансовый 2 25 2 4 6" xfId="22524"/>
    <cellStyle name="Финансовый 2 25 2 4 7" xfId="22525"/>
    <cellStyle name="Финансовый 2 25 2 4 8" xfId="22526"/>
    <cellStyle name="Финансовый 2 25 2 4 9" xfId="22527"/>
    <cellStyle name="Финансовый 2 25 2 5" xfId="22528"/>
    <cellStyle name="Финансовый 2 25 2 6" xfId="22529"/>
    <cellStyle name="Финансовый 2 25 2 7" xfId="22530"/>
    <cellStyle name="Финансовый 2 25 2 8" xfId="22531"/>
    <cellStyle name="Финансовый 2 25 2 9" xfId="22532"/>
    <cellStyle name="Финансовый 2 25 3" xfId="22533"/>
    <cellStyle name="Финансовый 2 25 3 10" xfId="22534"/>
    <cellStyle name="Финансовый 2 25 3 11" xfId="22535"/>
    <cellStyle name="Финансовый 2 25 3 2" xfId="22536"/>
    <cellStyle name="Финансовый 2 25 3 2 2" xfId="22537"/>
    <cellStyle name="Финансовый 2 25 3 2 3" xfId="22538"/>
    <cellStyle name="Финансовый 2 25 3 2 4" xfId="22539"/>
    <cellStyle name="Финансовый 2 25 3 2 5" xfId="22540"/>
    <cellStyle name="Финансовый 2 25 3 2 6" xfId="22541"/>
    <cellStyle name="Финансовый 2 25 3 2 7" xfId="22542"/>
    <cellStyle name="Финансовый 2 25 3 2 8" xfId="22543"/>
    <cellStyle name="Финансовый 2 25 3 2 9" xfId="22544"/>
    <cellStyle name="Финансовый 2 25 3 3" xfId="22545"/>
    <cellStyle name="Финансовый 2 25 3 3 2" xfId="22546"/>
    <cellStyle name="Финансовый 2 25 3 3 3" xfId="22547"/>
    <cellStyle name="Финансовый 2 25 3 3 4" xfId="22548"/>
    <cellStyle name="Финансовый 2 25 3 3 5" xfId="22549"/>
    <cellStyle name="Финансовый 2 25 3 3 6" xfId="22550"/>
    <cellStyle name="Финансовый 2 25 3 3 7" xfId="22551"/>
    <cellStyle name="Финансовый 2 25 3 3 8" xfId="22552"/>
    <cellStyle name="Финансовый 2 25 3 3 9" xfId="22553"/>
    <cellStyle name="Финансовый 2 25 3 4" xfId="22554"/>
    <cellStyle name="Финансовый 2 25 3 5" xfId="22555"/>
    <cellStyle name="Финансовый 2 25 3 6" xfId="22556"/>
    <cellStyle name="Финансовый 2 25 3 7" xfId="22557"/>
    <cellStyle name="Финансовый 2 25 3 8" xfId="22558"/>
    <cellStyle name="Финансовый 2 25 3 9" xfId="22559"/>
    <cellStyle name="Финансовый 2 25 4" xfId="22560"/>
    <cellStyle name="Финансовый 2 25 4 2" xfId="22561"/>
    <cellStyle name="Финансовый 2 25 4 3" xfId="22562"/>
    <cellStyle name="Финансовый 2 25 4 4" xfId="22563"/>
    <cellStyle name="Финансовый 2 25 4 5" xfId="22564"/>
    <cellStyle name="Финансовый 2 25 4 6" xfId="22565"/>
    <cellStyle name="Финансовый 2 25 4 7" xfId="22566"/>
    <cellStyle name="Финансовый 2 25 4 8" xfId="22567"/>
    <cellStyle name="Финансовый 2 25 4 9" xfId="22568"/>
    <cellStyle name="Финансовый 2 25 5" xfId="22569"/>
    <cellStyle name="Финансовый 2 25 6" xfId="22570"/>
    <cellStyle name="Финансовый 2 25 7" xfId="22571"/>
    <cellStyle name="Финансовый 2 25 8" xfId="22572"/>
    <cellStyle name="Финансовый 2 25 9" xfId="22573"/>
    <cellStyle name="Финансовый 2 26" xfId="22574"/>
    <cellStyle name="Финансовый 2 26 2" xfId="22575"/>
    <cellStyle name="Финансовый 2 26 3" xfId="22576"/>
    <cellStyle name="Финансовый 2 27" xfId="22577"/>
    <cellStyle name="Финансовый 2 28" xfId="22578"/>
    <cellStyle name="Финансовый 2 28 2" xfId="22579"/>
    <cellStyle name="Финансовый 2 28 3" xfId="22580"/>
    <cellStyle name="Финансовый 2 28 4" xfId="22581"/>
    <cellStyle name="Финансовый 2 28 5" xfId="22582"/>
    <cellStyle name="Финансовый 2 29" xfId="22583"/>
    <cellStyle name="Финансовый 2 29 2" xfId="22584"/>
    <cellStyle name="Финансовый 2 29 3" xfId="22585"/>
    <cellStyle name="Финансовый 2 29 4" xfId="22586"/>
    <cellStyle name="Финансовый 2 29 5" xfId="22587"/>
    <cellStyle name="Финансовый 2 3" xfId="22588"/>
    <cellStyle name="Финансовый 2 3 2" xfId="22589"/>
    <cellStyle name="Финансовый 2 3 2 2" xfId="22590"/>
    <cellStyle name="Финансовый 2 3 2 3" xfId="22591"/>
    <cellStyle name="Финансовый 2 3 3" xfId="22592"/>
    <cellStyle name="Финансовый 2 3 4" xfId="22593"/>
    <cellStyle name="Финансовый 2 3 4 2" xfId="22594"/>
    <cellStyle name="Финансовый 2 3 4 3" xfId="22595"/>
    <cellStyle name="Финансовый 2 3 4 4" xfId="22596"/>
    <cellStyle name="Финансовый 2 3 4 5" xfId="22597"/>
    <cellStyle name="Финансовый 2 3 5" xfId="22598"/>
    <cellStyle name="Финансовый 2 3 6" xfId="22599"/>
    <cellStyle name="Финансовый 2 3 7" xfId="22600"/>
    <cellStyle name="Финансовый 2 3 8" xfId="22601"/>
    <cellStyle name="Финансовый 2 30" xfId="22602"/>
    <cellStyle name="Финансовый 2 31" xfId="22603"/>
    <cellStyle name="Финансовый 2 32" xfId="22604"/>
    <cellStyle name="Финансовый 2 33" xfId="22605"/>
    <cellStyle name="Финансовый 2 34" xfId="22606"/>
    <cellStyle name="Финансовый 2 4" xfId="22607"/>
    <cellStyle name="Финансовый 2 4 2" xfId="22608"/>
    <cellStyle name="Финансовый 2 4 2 2" xfId="22609"/>
    <cellStyle name="Финансовый 2 4 2 3" xfId="22610"/>
    <cellStyle name="Финансовый 2 4 3" xfId="22611"/>
    <cellStyle name="Финансовый 2 4 4" xfId="22612"/>
    <cellStyle name="Финансовый 2 4 4 2" xfId="22613"/>
    <cellStyle name="Финансовый 2 4 4 3" xfId="22614"/>
    <cellStyle name="Финансовый 2 4 4 4" xfId="22615"/>
    <cellStyle name="Финансовый 2 4 4 5" xfId="22616"/>
    <cellStyle name="Финансовый 2 4 5" xfId="22617"/>
    <cellStyle name="Финансовый 2 4 6" xfId="22618"/>
    <cellStyle name="Финансовый 2 4 7" xfId="22619"/>
    <cellStyle name="Финансовый 2 4 8" xfId="22620"/>
    <cellStyle name="Финансовый 2 5" xfId="22621"/>
    <cellStyle name="Финансовый 2 5 2" xfId="22622"/>
    <cellStyle name="Финансовый 2 5 2 2" xfId="22623"/>
    <cellStyle name="Финансовый 2 5 2 3" xfId="22624"/>
    <cellStyle name="Финансовый 2 5 3" xfId="22625"/>
    <cellStyle name="Финансовый 2 5 4" xfId="22626"/>
    <cellStyle name="Финансовый 2 5 4 2" xfId="22627"/>
    <cellStyle name="Финансовый 2 5 4 3" xfId="22628"/>
    <cellStyle name="Финансовый 2 5 4 4" xfId="22629"/>
    <cellStyle name="Финансовый 2 5 4 5" xfId="22630"/>
    <cellStyle name="Финансовый 2 5 5" xfId="22631"/>
    <cellStyle name="Финансовый 2 5 6" xfId="22632"/>
    <cellStyle name="Финансовый 2 5 7" xfId="22633"/>
    <cellStyle name="Финансовый 2 5 8" xfId="22634"/>
    <cellStyle name="Финансовый 2 6" xfId="22635"/>
    <cellStyle name="Финансовый 2 6 2" xfId="22636"/>
    <cellStyle name="Финансовый 2 6 2 2" xfId="22637"/>
    <cellStyle name="Финансовый 2 6 2 3" xfId="22638"/>
    <cellStyle name="Финансовый 2 6 3" xfId="22639"/>
    <cellStyle name="Финансовый 2 6 4" xfId="22640"/>
    <cellStyle name="Финансовый 2 6 4 2" xfId="22641"/>
    <cellStyle name="Финансовый 2 6 4 3" xfId="22642"/>
    <cellStyle name="Финансовый 2 6 4 4" xfId="22643"/>
    <cellStyle name="Финансовый 2 6 4 5" xfId="22644"/>
    <cellStyle name="Финансовый 2 6 5" xfId="22645"/>
    <cellStyle name="Финансовый 2 6 6" xfId="22646"/>
    <cellStyle name="Финансовый 2 6 7" xfId="22647"/>
    <cellStyle name="Финансовый 2 6 8" xfId="22648"/>
    <cellStyle name="Финансовый 2 7" xfId="22649"/>
    <cellStyle name="Финансовый 2 7 10" xfId="22650"/>
    <cellStyle name="Финансовый 2 7 11" xfId="22651"/>
    <cellStyle name="Финансовый 2 7 12" xfId="22652"/>
    <cellStyle name="Финансовый 2 7 2" xfId="22653"/>
    <cellStyle name="Финансовый 2 7 2 10" xfId="22654"/>
    <cellStyle name="Финансовый 2 7 2 11" xfId="22655"/>
    <cellStyle name="Финансовый 2 7 2 12" xfId="22656"/>
    <cellStyle name="Финансовый 2 7 2 2" xfId="22657"/>
    <cellStyle name="Финансовый 2 7 2 2 2" xfId="22658"/>
    <cellStyle name="Финансовый 2 7 2 2 3" xfId="22659"/>
    <cellStyle name="Финансовый 2 7 2 2 4" xfId="22660"/>
    <cellStyle name="Финансовый 2 7 2 2 5" xfId="22661"/>
    <cellStyle name="Финансовый 2 7 2 2 6" xfId="22662"/>
    <cellStyle name="Финансовый 2 7 2 2 7" xfId="22663"/>
    <cellStyle name="Финансовый 2 7 2 2 8" xfId="22664"/>
    <cellStyle name="Финансовый 2 7 2 2 9" xfId="22665"/>
    <cellStyle name="Финансовый 2 7 2 3" xfId="22666"/>
    <cellStyle name="Финансовый 2 7 2 3 2" xfId="22667"/>
    <cellStyle name="Финансовый 2 7 2 3 3" xfId="22668"/>
    <cellStyle name="Финансовый 2 7 2 3 4" xfId="22669"/>
    <cellStyle name="Финансовый 2 7 2 3 5" xfId="22670"/>
    <cellStyle name="Финансовый 2 7 2 3 6" xfId="22671"/>
    <cellStyle name="Финансовый 2 7 2 3 7" xfId="22672"/>
    <cellStyle name="Финансовый 2 7 2 3 8" xfId="22673"/>
    <cellStyle name="Финансовый 2 7 2 3 9" xfId="22674"/>
    <cellStyle name="Финансовый 2 7 2 4" xfId="22675"/>
    <cellStyle name="Финансовый 2 7 2 4 2" xfId="22676"/>
    <cellStyle name="Финансовый 2 7 2 4 3" xfId="22677"/>
    <cellStyle name="Финансовый 2 7 2 4 4" xfId="22678"/>
    <cellStyle name="Финансовый 2 7 2 4 5" xfId="22679"/>
    <cellStyle name="Финансовый 2 7 2 4 6" xfId="22680"/>
    <cellStyle name="Финансовый 2 7 2 4 7" xfId="22681"/>
    <cellStyle name="Финансовый 2 7 2 4 8" xfId="22682"/>
    <cellStyle name="Финансовый 2 7 2 4 9" xfId="22683"/>
    <cellStyle name="Финансовый 2 7 2 5" xfId="22684"/>
    <cellStyle name="Финансовый 2 7 2 6" xfId="22685"/>
    <cellStyle name="Финансовый 2 7 2 7" xfId="22686"/>
    <cellStyle name="Финансовый 2 7 2 8" xfId="22687"/>
    <cellStyle name="Финансовый 2 7 2 9" xfId="22688"/>
    <cellStyle name="Финансовый 2 7 3" xfId="22689"/>
    <cellStyle name="Финансовый 2 7 3 10" xfId="22690"/>
    <cellStyle name="Финансовый 2 7 3 11" xfId="22691"/>
    <cellStyle name="Финансовый 2 7 3 2" xfId="22692"/>
    <cellStyle name="Финансовый 2 7 3 2 2" xfId="22693"/>
    <cellStyle name="Финансовый 2 7 3 2 3" xfId="22694"/>
    <cellStyle name="Финансовый 2 7 3 2 4" xfId="22695"/>
    <cellStyle name="Финансовый 2 7 3 2 5" xfId="22696"/>
    <cellStyle name="Финансовый 2 7 3 2 6" xfId="22697"/>
    <cellStyle name="Финансовый 2 7 3 2 7" xfId="22698"/>
    <cellStyle name="Финансовый 2 7 3 2 8" xfId="22699"/>
    <cellStyle name="Финансовый 2 7 3 2 9" xfId="22700"/>
    <cellStyle name="Финансовый 2 7 3 3" xfId="22701"/>
    <cellStyle name="Финансовый 2 7 3 3 2" xfId="22702"/>
    <cellStyle name="Финансовый 2 7 3 3 3" xfId="22703"/>
    <cellStyle name="Финансовый 2 7 3 3 4" xfId="22704"/>
    <cellStyle name="Финансовый 2 7 3 3 5" xfId="22705"/>
    <cellStyle name="Финансовый 2 7 3 3 6" xfId="22706"/>
    <cellStyle name="Финансовый 2 7 3 3 7" xfId="22707"/>
    <cellStyle name="Финансовый 2 7 3 3 8" xfId="22708"/>
    <cellStyle name="Финансовый 2 7 3 3 9" xfId="22709"/>
    <cellStyle name="Финансовый 2 7 3 4" xfId="22710"/>
    <cellStyle name="Финансовый 2 7 3 5" xfId="22711"/>
    <cellStyle name="Финансовый 2 7 3 6" xfId="22712"/>
    <cellStyle name="Финансовый 2 7 3 7" xfId="22713"/>
    <cellStyle name="Финансовый 2 7 3 8" xfId="22714"/>
    <cellStyle name="Финансовый 2 7 3 9" xfId="22715"/>
    <cellStyle name="Финансовый 2 7 4" xfId="22716"/>
    <cellStyle name="Финансовый 2 7 4 2" xfId="22717"/>
    <cellStyle name="Финансовый 2 7 4 3" xfId="22718"/>
    <cellStyle name="Финансовый 2 7 4 4" xfId="22719"/>
    <cellStyle name="Финансовый 2 7 4 5" xfId="22720"/>
    <cellStyle name="Финансовый 2 7 4 6" xfId="22721"/>
    <cellStyle name="Финансовый 2 7 4 7" xfId="22722"/>
    <cellStyle name="Финансовый 2 7 4 8" xfId="22723"/>
    <cellStyle name="Финансовый 2 7 4 9" xfId="22724"/>
    <cellStyle name="Финансовый 2 7 5" xfId="22725"/>
    <cellStyle name="Финансовый 2 7 6" xfId="22726"/>
    <cellStyle name="Финансовый 2 7 7" xfId="22727"/>
    <cellStyle name="Финансовый 2 7 8" xfId="22728"/>
    <cellStyle name="Финансовый 2 7 9" xfId="22729"/>
    <cellStyle name="Финансовый 2 8" xfId="22730"/>
    <cellStyle name="Финансовый 2 8 10" xfId="22731"/>
    <cellStyle name="Финансовый 2 8 11" xfId="22732"/>
    <cellStyle name="Финансовый 2 8 12" xfId="22733"/>
    <cellStyle name="Финансовый 2 8 2" xfId="22734"/>
    <cellStyle name="Финансовый 2 8 2 10" xfId="22735"/>
    <cellStyle name="Финансовый 2 8 2 11" xfId="22736"/>
    <cellStyle name="Финансовый 2 8 2 12" xfId="22737"/>
    <cellStyle name="Финансовый 2 8 2 2" xfId="22738"/>
    <cellStyle name="Финансовый 2 8 2 2 2" xfId="22739"/>
    <cellStyle name="Финансовый 2 8 2 2 3" xfId="22740"/>
    <cellStyle name="Финансовый 2 8 2 2 4" xfId="22741"/>
    <cellStyle name="Финансовый 2 8 2 2 5" xfId="22742"/>
    <cellStyle name="Финансовый 2 8 2 2 6" xfId="22743"/>
    <cellStyle name="Финансовый 2 8 2 2 7" xfId="22744"/>
    <cellStyle name="Финансовый 2 8 2 2 8" xfId="22745"/>
    <cellStyle name="Финансовый 2 8 2 2 9" xfId="22746"/>
    <cellStyle name="Финансовый 2 8 2 3" xfId="22747"/>
    <cellStyle name="Финансовый 2 8 2 3 2" xfId="22748"/>
    <cellStyle name="Финансовый 2 8 2 3 3" xfId="22749"/>
    <cellStyle name="Финансовый 2 8 2 3 4" xfId="22750"/>
    <cellStyle name="Финансовый 2 8 2 3 5" xfId="22751"/>
    <cellStyle name="Финансовый 2 8 2 3 6" xfId="22752"/>
    <cellStyle name="Финансовый 2 8 2 3 7" xfId="22753"/>
    <cellStyle name="Финансовый 2 8 2 3 8" xfId="22754"/>
    <cellStyle name="Финансовый 2 8 2 3 9" xfId="22755"/>
    <cellStyle name="Финансовый 2 8 2 4" xfId="22756"/>
    <cellStyle name="Финансовый 2 8 2 4 2" xfId="22757"/>
    <cellStyle name="Финансовый 2 8 2 4 3" xfId="22758"/>
    <cellStyle name="Финансовый 2 8 2 4 4" xfId="22759"/>
    <cellStyle name="Финансовый 2 8 2 4 5" xfId="22760"/>
    <cellStyle name="Финансовый 2 8 2 4 6" xfId="22761"/>
    <cellStyle name="Финансовый 2 8 2 4 7" xfId="22762"/>
    <cellStyle name="Финансовый 2 8 2 4 8" xfId="22763"/>
    <cellStyle name="Финансовый 2 8 2 4 9" xfId="22764"/>
    <cellStyle name="Финансовый 2 8 2 5" xfId="22765"/>
    <cellStyle name="Финансовый 2 8 2 6" xfId="22766"/>
    <cellStyle name="Финансовый 2 8 2 7" xfId="22767"/>
    <cellStyle name="Финансовый 2 8 2 8" xfId="22768"/>
    <cellStyle name="Финансовый 2 8 2 9" xfId="22769"/>
    <cellStyle name="Финансовый 2 8 3" xfId="22770"/>
    <cellStyle name="Финансовый 2 8 3 10" xfId="22771"/>
    <cellStyle name="Финансовый 2 8 3 11" xfId="22772"/>
    <cellStyle name="Финансовый 2 8 3 2" xfId="22773"/>
    <cellStyle name="Финансовый 2 8 3 2 2" xfId="22774"/>
    <cellStyle name="Финансовый 2 8 3 2 3" xfId="22775"/>
    <cellStyle name="Финансовый 2 8 3 2 4" xfId="22776"/>
    <cellStyle name="Финансовый 2 8 3 2 5" xfId="22777"/>
    <cellStyle name="Финансовый 2 8 3 2 6" xfId="22778"/>
    <cellStyle name="Финансовый 2 8 3 2 7" xfId="22779"/>
    <cellStyle name="Финансовый 2 8 3 2 8" xfId="22780"/>
    <cellStyle name="Финансовый 2 8 3 2 9" xfId="22781"/>
    <cellStyle name="Финансовый 2 8 3 3" xfId="22782"/>
    <cellStyle name="Финансовый 2 8 3 3 2" xfId="22783"/>
    <cellStyle name="Финансовый 2 8 3 3 3" xfId="22784"/>
    <cellStyle name="Финансовый 2 8 3 3 4" xfId="22785"/>
    <cellStyle name="Финансовый 2 8 3 3 5" xfId="22786"/>
    <cellStyle name="Финансовый 2 8 3 3 6" xfId="22787"/>
    <cellStyle name="Финансовый 2 8 3 3 7" xfId="22788"/>
    <cellStyle name="Финансовый 2 8 3 3 8" xfId="22789"/>
    <cellStyle name="Финансовый 2 8 3 3 9" xfId="22790"/>
    <cellStyle name="Финансовый 2 8 3 4" xfId="22791"/>
    <cellStyle name="Финансовый 2 8 3 5" xfId="22792"/>
    <cellStyle name="Финансовый 2 8 3 6" xfId="22793"/>
    <cellStyle name="Финансовый 2 8 3 7" xfId="22794"/>
    <cellStyle name="Финансовый 2 8 3 8" xfId="22795"/>
    <cellStyle name="Финансовый 2 8 3 9" xfId="22796"/>
    <cellStyle name="Финансовый 2 8 4" xfId="22797"/>
    <cellStyle name="Финансовый 2 8 4 2" xfId="22798"/>
    <cellStyle name="Финансовый 2 8 4 3" xfId="22799"/>
    <cellStyle name="Финансовый 2 8 4 4" xfId="22800"/>
    <cellStyle name="Финансовый 2 8 4 5" xfId="22801"/>
    <cellStyle name="Финансовый 2 8 4 6" xfId="22802"/>
    <cellStyle name="Финансовый 2 8 4 7" xfId="22803"/>
    <cellStyle name="Финансовый 2 8 4 8" xfId="22804"/>
    <cellStyle name="Финансовый 2 8 4 9" xfId="22805"/>
    <cellStyle name="Финансовый 2 8 5" xfId="22806"/>
    <cellStyle name="Финансовый 2 8 6" xfId="22807"/>
    <cellStyle name="Финансовый 2 8 7" xfId="22808"/>
    <cellStyle name="Финансовый 2 8 8" xfId="22809"/>
    <cellStyle name="Финансовый 2 8 9" xfId="22810"/>
    <cellStyle name="Финансовый 2 9" xfId="22811"/>
    <cellStyle name="Финансовый 2 9 10" xfId="22812"/>
    <cellStyle name="Финансовый 2 9 11" xfId="22813"/>
    <cellStyle name="Финансовый 2 9 12" xfId="22814"/>
    <cellStyle name="Финансовый 2 9 2" xfId="22815"/>
    <cellStyle name="Финансовый 2 9 2 10" xfId="22816"/>
    <cellStyle name="Финансовый 2 9 2 11" xfId="22817"/>
    <cellStyle name="Финансовый 2 9 2 12" xfId="22818"/>
    <cellStyle name="Финансовый 2 9 2 2" xfId="22819"/>
    <cellStyle name="Финансовый 2 9 2 2 2" xfId="22820"/>
    <cellStyle name="Финансовый 2 9 2 2 3" xfId="22821"/>
    <cellStyle name="Финансовый 2 9 2 2 4" xfId="22822"/>
    <cellStyle name="Финансовый 2 9 2 2 5" xfId="22823"/>
    <cellStyle name="Финансовый 2 9 2 2 6" xfId="22824"/>
    <cellStyle name="Финансовый 2 9 2 2 7" xfId="22825"/>
    <cellStyle name="Финансовый 2 9 2 2 8" xfId="22826"/>
    <cellStyle name="Финансовый 2 9 2 2 9" xfId="22827"/>
    <cellStyle name="Финансовый 2 9 2 3" xfId="22828"/>
    <cellStyle name="Финансовый 2 9 2 3 2" xfId="22829"/>
    <cellStyle name="Финансовый 2 9 2 3 3" xfId="22830"/>
    <cellStyle name="Финансовый 2 9 2 3 4" xfId="22831"/>
    <cellStyle name="Финансовый 2 9 2 3 5" xfId="22832"/>
    <cellStyle name="Финансовый 2 9 2 3 6" xfId="22833"/>
    <cellStyle name="Финансовый 2 9 2 3 7" xfId="22834"/>
    <cellStyle name="Финансовый 2 9 2 3 8" xfId="22835"/>
    <cellStyle name="Финансовый 2 9 2 3 9" xfId="22836"/>
    <cellStyle name="Финансовый 2 9 2 4" xfId="22837"/>
    <cellStyle name="Финансовый 2 9 2 4 2" xfId="22838"/>
    <cellStyle name="Финансовый 2 9 2 4 3" xfId="22839"/>
    <cellStyle name="Финансовый 2 9 2 4 4" xfId="22840"/>
    <cellStyle name="Финансовый 2 9 2 4 5" xfId="22841"/>
    <cellStyle name="Финансовый 2 9 2 4 6" xfId="22842"/>
    <cellStyle name="Финансовый 2 9 2 4 7" xfId="22843"/>
    <cellStyle name="Финансовый 2 9 2 4 8" xfId="22844"/>
    <cellStyle name="Финансовый 2 9 2 4 9" xfId="22845"/>
    <cellStyle name="Финансовый 2 9 2 5" xfId="22846"/>
    <cellStyle name="Финансовый 2 9 2 6" xfId="22847"/>
    <cellStyle name="Финансовый 2 9 2 7" xfId="22848"/>
    <cellStyle name="Финансовый 2 9 2 8" xfId="22849"/>
    <cellStyle name="Финансовый 2 9 2 9" xfId="22850"/>
    <cellStyle name="Финансовый 2 9 3" xfId="22851"/>
    <cellStyle name="Финансовый 2 9 3 10" xfId="22852"/>
    <cellStyle name="Финансовый 2 9 3 11" xfId="22853"/>
    <cellStyle name="Финансовый 2 9 3 2" xfId="22854"/>
    <cellStyle name="Финансовый 2 9 3 2 2" xfId="22855"/>
    <cellStyle name="Финансовый 2 9 3 2 3" xfId="22856"/>
    <cellStyle name="Финансовый 2 9 3 2 4" xfId="22857"/>
    <cellStyle name="Финансовый 2 9 3 2 5" xfId="22858"/>
    <cellStyle name="Финансовый 2 9 3 2 6" xfId="22859"/>
    <cellStyle name="Финансовый 2 9 3 2 7" xfId="22860"/>
    <cellStyle name="Финансовый 2 9 3 2 8" xfId="22861"/>
    <cellStyle name="Финансовый 2 9 3 2 9" xfId="22862"/>
    <cellStyle name="Финансовый 2 9 3 3" xfId="22863"/>
    <cellStyle name="Финансовый 2 9 3 3 2" xfId="22864"/>
    <cellStyle name="Финансовый 2 9 3 3 3" xfId="22865"/>
    <cellStyle name="Финансовый 2 9 3 3 4" xfId="22866"/>
    <cellStyle name="Финансовый 2 9 3 3 5" xfId="22867"/>
    <cellStyle name="Финансовый 2 9 3 3 6" xfId="22868"/>
    <cellStyle name="Финансовый 2 9 3 3 7" xfId="22869"/>
    <cellStyle name="Финансовый 2 9 3 3 8" xfId="22870"/>
    <cellStyle name="Финансовый 2 9 3 3 9" xfId="22871"/>
    <cellStyle name="Финансовый 2 9 3 4" xfId="22872"/>
    <cellStyle name="Финансовый 2 9 3 5" xfId="22873"/>
    <cellStyle name="Финансовый 2 9 3 6" xfId="22874"/>
    <cellStyle name="Финансовый 2 9 3 7" xfId="22875"/>
    <cellStyle name="Финансовый 2 9 3 8" xfId="22876"/>
    <cellStyle name="Финансовый 2 9 3 9" xfId="22877"/>
    <cellStyle name="Финансовый 2 9 4" xfId="22878"/>
    <cellStyle name="Финансовый 2 9 4 2" xfId="22879"/>
    <cellStyle name="Финансовый 2 9 4 3" xfId="22880"/>
    <cellStyle name="Финансовый 2 9 4 4" xfId="22881"/>
    <cellStyle name="Финансовый 2 9 4 5" xfId="22882"/>
    <cellStyle name="Финансовый 2 9 4 6" xfId="22883"/>
    <cellStyle name="Финансовый 2 9 4 7" xfId="22884"/>
    <cellStyle name="Финансовый 2 9 4 8" xfId="22885"/>
    <cellStyle name="Финансовый 2 9 4 9" xfId="22886"/>
    <cellStyle name="Финансовый 2 9 5" xfId="22887"/>
    <cellStyle name="Финансовый 2 9 6" xfId="22888"/>
    <cellStyle name="Финансовый 2 9 7" xfId="22889"/>
    <cellStyle name="Финансовый 2 9 8" xfId="22890"/>
    <cellStyle name="Финансовый 2 9 9" xfId="22891"/>
    <cellStyle name="Финансовый 3" xfId="22892"/>
    <cellStyle name="Финансовый 3 10" xfId="22893"/>
    <cellStyle name="Финансовый 3 10 2" xfId="22894"/>
    <cellStyle name="Финансовый 3 10 2 2" xfId="22895"/>
    <cellStyle name="Финансовый 3 10 2 3" xfId="22896"/>
    <cellStyle name="Финансовый 3 10 3" xfId="22897"/>
    <cellStyle name="Финансовый 3 10 4" xfId="22898"/>
    <cellStyle name="Финансовый 3 10 4 2" xfId="22899"/>
    <cellStyle name="Финансовый 3 10 4 3" xfId="22900"/>
    <cellStyle name="Финансовый 3 10 4 4" xfId="22901"/>
    <cellStyle name="Финансовый 3 10 4 5" xfId="22902"/>
    <cellStyle name="Финансовый 3 10 5" xfId="22903"/>
    <cellStyle name="Финансовый 3 10 6" xfId="22904"/>
    <cellStyle name="Финансовый 3 10 7" xfId="22905"/>
    <cellStyle name="Финансовый 3 10 8" xfId="22906"/>
    <cellStyle name="Финансовый 3 11" xfId="22907"/>
    <cellStyle name="Финансовый 3 11 10" xfId="22908"/>
    <cellStyle name="Финансовый 3 11 11" xfId="22909"/>
    <cellStyle name="Финансовый 3 11 12" xfId="22910"/>
    <cellStyle name="Финансовый 3 11 2" xfId="22911"/>
    <cellStyle name="Финансовый 3 11 2 2" xfId="22912"/>
    <cellStyle name="Финансовый 3 11 2 3" xfId="22913"/>
    <cellStyle name="Финансовый 3 11 2 4" xfId="22914"/>
    <cellStyle name="Финансовый 3 11 2 5" xfId="22915"/>
    <cellStyle name="Финансовый 3 11 2 6" xfId="22916"/>
    <cellStyle name="Финансовый 3 11 2 7" xfId="22917"/>
    <cellStyle name="Финансовый 3 11 2 8" xfId="22918"/>
    <cellStyle name="Финансовый 3 11 2 9" xfId="22919"/>
    <cellStyle name="Финансовый 3 11 3" xfId="22920"/>
    <cellStyle name="Финансовый 3 11 3 2" xfId="22921"/>
    <cellStyle name="Финансовый 3 11 3 3" xfId="22922"/>
    <cellStyle name="Финансовый 3 11 3 4" xfId="22923"/>
    <cellStyle name="Финансовый 3 11 3 5" xfId="22924"/>
    <cellStyle name="Финансовый 3 11 3 6" xfId="22925"/>
    <cellStyle name="Финансовый 3 11 3 7" xfId="22926"/>
    <cellStyle name="Финансовый 3 11 3 8" xfId="22927"/>
    <cellStyle name="Финансовый 3 11 3 9" xfId="22928"/>
    <cellStyle name="Финансовый 3 11 4" xfId="22929"/>
    <cellStyle name="Финансовый 3 11 4 2" xfId="22930"/>
    <cellStyle name="Финансовый 3 11 4 3" xfId="22931"/>
    <cellStyle name="Финансовый 3 11 4 4" xfId="22932"/>
    <cellStyle name="Финансовый 3 11 4 5" xfId="22933"/>
    <cellStyle name="Финансовый 3 11 4 6" xfId="22934"/>
    <cellStyle name="Финансовый 3 11 4 7" xfId="22935"/>
    <cellStyle name="Финансовый 3 11 4 8" xfId="22936"/>
    <cellStyle name="Финансовый 3 11 4 9" xfId="22937"/>
    <cellStyle name="Финансовый 3 11 5" xfId="22938"/>
    <cellStyle name="Финансовый 3 11 6" xfId="22939"/>
    <cellStyle name="Финансовый 3 11 7" xfId="22940"/>
    <cellStyle name="Финансовый 3 11 8" xfId="22941"/>
    <cellStyle name="Финансовый 3 11 9" xfId="22942"/>
    <cellStyle name="Финансовый 3 12" xfId="22943"/>
    <cellStyle name="Финансовый 3 12 10" xfId="22944"/>
    <cellStyle name="Финансовый 3 12 11" xfId="22945"/>
    <cellStyle name="Финансовый 3 12 2" xfId="22946"/>
    <cellStyle name="Финансовый 3 12 2 2" xfId="22947"/>
    <cellStyle name="Финансовый 3 12 2 3" xfId="22948"/>
    <cellStyle name="Финансовый 3 12 2 4" xfId="22949"/>
    <cellStyle name="Финансовый 3 12 2 5" xfId="22950"/>
    <cellStyle name="Финансовый 3 12 2 6" xfId="22951"/>
    <cellStyle name="Финансовый 3 12 2 7" xfId="22952"/>
    <cellStyle name="Финансовый 3 12 2 8" xfId="22953"/>
    <cellStyle name="Финансовый 3 12 2 9" xfId="22954"/>
    <cellStyle name="Финансовый 3 12 3" xfId="22955"/>
    <cellStyle name="Финансовый 3 12 3 2" xfId="22956"/>
    <cellStyle name="Финансовый 3 12 3 3" xfId="22957"/>
    <cellStyle name="Финансовый 3 12 3 4" xfId="22958"/>
    <cellStyle name="Финансовый 3 12 3 5" xfId="22959"/>
    <cellStyle name="Финансовый 3 12 3 6" xfId="22960"/>
    <cellStyle name="Финансовый 3 12 3 7" xfId="22961"/>
    <cellStyle name="Финансовый 3 12 3 8" xfId="22962"/>
    <cellStyle name="Финансовый 3 12 3 9" xfId="22963"/>
    <cellStyle name="Финансовый 3 12 4" xfId="22964"/>
    <cellStyle name="Финансовый 3 12 5" xfId="22965"/>
    <cellStyle name="Финансовый 3 12 6" xfId="22966"/>
    <cellStyle name="Финансовый 3 12 7" xfId="22967"/>
    <cellStyle name="Финансовый 3 12 8" xfId="22968"/>
    <cellStyle name="Финансовый 3 12 9" xfId="22969"/>
    <cellStyle name="Финансовый 3 13" xfId="22970"/>
    <cellStyle name="Финансовый 3 13 2" xfId="22971"/>
    <cellStyle name="Финансовый 3 13 3" xfId="22972"/>
    <cellStyle name="Финансовый 3 13 4" xfId="22973"/>
    <cellStyle name="Финансовый 3 13 5" xfId="22974"/>
    <cellStyle name="Финансовый 3 13 6" xfId="22975"/>
    <cellStyle name="Финансовый 3 13 7" xfId="22976"/>
    <cellStyle name="Финансовый 3 13 8" xfId="22977"/>
    <cellStyle name="Финансовый 3 13 9" xfId="22978"/>
    <cellStyle name="Финансовый 3 14" xfId="22979"/>
    <cellStyle name="Финансовый 3 15" xfId="22980"/>
    <cellStyle name="Финансовый 3 16" xfId="22981"/>
    <cellStyle name="Финансовый 3 17" xfId="22982"/>
    <cellStyle name="Финансовый 3 18" xfId="22983"/>
    <cellStyle name="Финансовый 3 19" xfId="22984"/>
    <cellStyle name="Финансовый 3 2" xfId="22985"/>
    <cellStyle name="Финансовый 3 2 2" xfId="22986"/>
    <cellStyle name="Финансовый 3 2 2 2" xfId="22987"/>
    <cellStyle name="Финансовый 3 2 2 3" xfId="22988"/>
    <cellStyle name="Финансовый 3 2 3" xfId="22989"/>
    <cellStyle name="Финансовый 3 2 4" xfId="22990"/>
    <cellStyle name="Финансовый 3 2 4 2" xfId="22991"/>
    <cellStyle name="Финансовый 3 2 4 3" xfId="22992"/>
    <cellStyle name="Финансовый 3 2 4 4" xfId="22993"/>
    <cellStyle name="Финансовый 3 2 4 5" xfId="22994"/>
    <cellStyle name="Финансовый 3 2 5" xfId="22995"/>
    <cellStyle name="Финансовый 3 2 6" xfId="22996"/>
    <cellStyle name="Финансовый 3 2 7" xfId="22997"/>
    <cellStyle name="Финансовый 3 2 8" xfId="22998"/>
    <cellStyle name="Финансовый 3 20" xfId="22999"/>
    <cellStyle name="Финансовый 3 21" xfId="23000"/>
    <cellStyle name="Финансовый 3 3" xfId="23001"/>
    <cellStyle name="Финансовый 3 3 2" xfId="23002"/>
    <cellStyle name="Финансовый 3 3 2 2" xfId="23003"/>
    <cellStyle name="Финансовый 3 3 2 3" xfId="23004"/>
    <cellStyle name="Финансовый 3 3 3" xfId="23005"/>
    <cellStyle name="Финансовый 3 3 4" xfId="23006"/>
    <cellStyle name="Финансовый 3 3 4 2" xfId="23007"/>
    <cellStyle name="Финансовый 3 3 4 3" xfId="23008"/>
    <cellStyle name="Финансовый 3 3 4 4" xfId="23009"/>
    <cellStyle name="Финансовый 3 3 4 5" xfId="23010"/>
    <cellStyle name="Финансовый 3 3 5" xfId="23011"/>
    <cellStyle name="Финансовый 3 3 6" xfId="23012"/>
    <cellStyle name="Финансовый 3 3 7" xfId="23013"/>
    <cellStyle name="Финансовый 3 3 8" xfId="23014"/>
    <cellStyle name="Финансовый 3 4" xfId="23015"/>
    <cellStyle name="Финансовый 3 4 2" xfId="23016"/>
    <cellStyle name="Финансовый 3 4 2 2" xfId="23017"/>
    <cellStyle name="Финансовый 3 4 2 3" xfId="23018"/>
    <cellStyle name="Финансовый 3 4 3" xfId="23019"/>
    <cellStyle name="Финансовый 3 4 4" xfId="23020"/>
    <cellStyle name="Финансовый 3 4 4 2" xfId="23021"/>
    <cellStyle name="Финансовый 3 4 4 3" xfId="23022"/>
    <cellStyle name="Финансовый 3 4 4 4" xfId="23023"/>
    <cellStyle name="Финансовый 3 4 4 5" xfId="23024"/>
    <cellStyle name="Финансовый 3 4 5" xfId="23025"/>
    <cellStyle name="Финансовый 3 4 6" xfId="23026"/>
    <cellStyle name="Финансовый 3 4 7" xfId="23027"/>
    <cellStyle name="Финансовый 3 4 8" xfId="23028"/>
    <cellStyle name="Финансовый 3 5" xfId="23029"/>
    <cellStyle name="Финансовый 3 5 2" xfId="23030"/>
    <cellStyle name="Финансовый 3 5 2 2" xfId="23031"/>
    <cellStyle name="Финансовый 3 5 2 3" xfId="23032"/>
    <cellStyle name="Финансовый 3 5 3" xfId="23033"/>
    <cellStyle name="Финансовый 3 5 4" xfId="23034"/>
    <cellStyle name="Финансовый 3 5 4 2" xfId="23035"/>
    <cellStyle name="Финансовый 3 5 4 3" xfId="23036"/>
    <cellStyle name="Финансовый 3 5 4 4" xfId="23037"/>
    <cellStyle name="Финансовый 3 5 4 5" xfId="23038"/>
    <cellStyle name="Финансовый 3 5 5" xfId="23039"/>
    <cellStyle name="Финансовый 3 5 6" xfId="23040"/>
    <cellStyle name="Финансовый 3 5 7" xfId="23041"/>
    <cellStyle name="Финансовый 3 5 8" xfId="23042"/>
    <cellStyle name="Финансовый 3 6" xfId="23043"/>
    <cellStyle name="Финансовый 3 6 2" xfId="23044"/>
    <cellStyle name="Финансовый 3 6 2 2" xfId="23045"/>
    <cellStyle name="Финансовый 3 6 2 3" xfId="23046"/>
    <cellStyle name="Финансовый 3 6 3" xfId="23047"/>
    <cellStyle name="Финансовый 3 6 4" xfId="23048"/>
    <cellStyle name="Финансовый 3 6 4 2" xfId="23049"/>
    <cellStyle name="Финансовый 3 6 4 3" xfId="23050"/>
    <cellStyle name="Финансовый 3 6 4 4" xfId="23051"/>
    <cellStyle name="Финансовый 3 6 4 5" xfId="23052"/>
    <cellStyle name="Финансовый 3 6 5" xfId="23053"/>
    <cellStyle name="Финансовый 3 6 6" xfId="23054"/>
    <cellStyle name="Финансовый 3 6 7" xfId="23055"/>
    <cellStyle name="Финансовый 3 6 8" xfId="23056"/>
    <cellStyle name="Финансовый 3 7" xfId="23057"/>
    <cellStyle name="Финансовый 3 7 2" xfId="23058"/>
    <cellStyle name="Финансовый 3 7 2 2" xfId="23059"/>
    <cellStyle name="Финансовый 3 7 2 3" xfId="23060"/>
    <cellStyle name="Финансовый 3 7 3" xfId="23061"/>
    <cellStyle name="Финансовый 3 7 4" xfId="23062"/>
    <cellStyle name="Финансовый 3 7 4 2" xfId="23063"/>
    <cellStyle name="Финансовый 3 7 4 3" xfId="23064"/>
    <cellStyle name="Финансовый 3 7 4 4" xfId="23065"/>
    <cellStyle name="Финансовый 3 7 4 5" xfId="23066"/>
    <cellStyle name="Финансовый 3 7 5" xfId="23067"/>
    <cellStyle name="Финансовый 3 7 6" xfId="23068"/>
    <cellStyle name="Финансовый 3 7 7" xfId="23069"/>
    <cellStyle name="Финансовый 3 7 8" xfId="23070"/>
    <cellStyle name="Финансовый 3 8" xfId="23071"/>
    <cellStyle name="Финансовый 3 8 2" xfId="23072"/>
    <cellStyle name="Финансовый 3 8 2 2" xfId="23073"/>
    <cellStyle name="Финансовый 3 8 2 3" xfId="23074"/>
    <cellStyle name="Финансовый 3 8 3" xfId="23075"/>
    <cellStyle name="Финансовый 3 8 4" xfId="23076"/>
    <cellStyle name="Финансовый 3 8 4 2" xfId="23077"/>
    <cellStyle name="Финансовый 3 8 4 3" xfId="23078"/>
    <cellStyle name="Финансовый 3 8 4 4" xfId="23079"/>
    <cellStyle name="Финансовый 3 8 4 5" xfId="23080"/>
    <cellStyle name="Финансовый 3 8 5" xfId="23081"/>
    <cellStyle name="Финансовый 3 8 6" xfId="23082"/>
    <cellStyle name="Финансовый 3 8 7" xfId="23083"/>
    <cellStyle name="Финансовый 3 8 8" xfId="23084"/>
    <cellStyle name="Финансовый 3 9" xfId="23085"/>
    <cellStyle name="Финансовый 3 9 2" xfId="23086"/>
    <cellStyle name="Финансовый 3 9 2 2" xfId="23087"/>
    <cellStyle name="Финансовый 3 9 2 3" xfId="23088"/>
    <cellStyle name="Финансовый 3 9 3" xfId="23089"/>
    <cellStyle name="Финансовый 3 9 4" xfId="23090"/>
    <cellStyle name="Финансовый 3 9 4 2" xfId="23091"/>
    <cellStyle name="Финансовый 3 9 4 3" xfId="23092"/>
    <cellStyle name="Финансовый 3 9 4 4" xfId="23093"/>
    <cellStyle name="Финансовый 3 9 4 5" xfId="23094"/>
    <cellStyle name="Финансовый 3 9 5" xfId="23095"/>
    <cellStyle name="Финансовый 3 9 6" xfId="23096"/>
    <cellStyle name="Финансовый 3 9 7" xfId="23097"/>
    <cellStyle name="Финансовый 3 9 8" xfId="23098"/>
    <cellStyle name="Финансовый 4" xfId="23099"/>
    <cellStyle name="Финансовый 4 2" xfId="23100"/>
    <cellStyle name="Финансовый 4 2 2" xfId="23101"/>
    <cellStyle name="Финансовый 4 2 2 2" xfId="23102"/>
    <cellStyle name="Финансовый 4 2 2 3" xfId="23103"/>
    <cellStyle name="Финансовый 4 2 3" xfId="23104"/>
    <cellStyle name="Финансовый 4 2 4" xfId="23105"/>
    <cellStyle name="Финансовый 4 3" xfId="23106"/>
    <cellStyle name="Финансовый 4 4" xfId="23107"/>
    <cellStyle name="Финансовый 4 5" xfId="23108"/>
    <cellStyle name="Финансовый 4 6" xfId="23109"/>
    <cellStyle name="Финансовый 5" xfId="23110"/>
    <cellStyle name="Финансовый 5 10" xfId="23111"/>
    <cellStyle name="Финансовый 5 11" xfId="23112"/>
    <cellStyle name="Финансовый 5 12" xfId="23113"/>
    <cellStyle name="Финансовый 5 2" xfId="23114"/>
    <cellStyle name="Финансовый 5 2 10" xfId="23115"/>
    <cellStyle name="Финансовый 5 2 11" xfId="23116"/>
    <cellStyle name="Финансовый 5 2 12" xfId="23117"/>
    <cellStyle name="Финансовый 5 2 2" xfId="23118"/>
    <cellStyle name="Финансовый 5 2 2 2" xfId="23119"/>
    <cellStyle name="Финансовый 5 2 2 3" xfId="23120"/>
    <cellStyle name="Финансовый 5 2 2 4" xfId="23121"/>
    <cellStyle name="Финансовый 5 2 2 5" xfId="23122"/>
    <cellStyle name="Финансовый 5 2 2 6" xfId="23123"/>
    <cellStyle name="Финансовый 5 2 2 7" xfId="23124"/>
    <cellStyle name="Финансовый 5 2 2 8" xfId="23125"/>
    <cellStyle name="Финансовый 5 2 2 9" xfId="23126"/>
    <cellStyle name="Финансовый 5 2 3" xfId="23127"/>
    <cellStyle name="Финансовый 5 2 3 2" xfId="23128"/>
    <cellStyle name="Финансовый 5 2 3 3" xfId="23129"/>
    <cellStyle name="Финансовый 5 2 3 4" xfId="23130"/>
    <cellStyle name="Финансовый 5 2 3 5" xfId="23131"/>
    <cellStyle name="Финансовый 5 2 3 6" xfId="23132"/>
    <cellStyle name="Финансовый 5 2 3 7" xfId="23133"/>
    <cellStyle name="Финансовый 5 2 3 8" xfId="23134"/>
    <cellStyle name="Финансовый 5 2 3 9" xfId="23135"/>
    <cellStyle name="Финансовый 5 2 4" xfId="23136"/>
    <cellStyle name="Финансовый 5 2 4 2" xfId="23137"/>
    <cellStyle name="Финансовый 5 2 4 3" xfId="23138"/>
    <cellStyle name="Финансовый 5 2 4 4" xfId="23139"/>
    <cellStyle name="Финансовый 5 2 4 5" xfId="23140"/>
    <cellStyle name="Финансовый 5 2 4 6" xfId="23141"/>
    <cellStyle name="Финансовый 5 2 4 7" xfId="23142"/>
    <cellStyle name="Финансовый 5 2 4 8" xfId="23143"/>
    <cellStyle name="Финансовый 5 2 4 9" xfId="23144"/>
    <cellStyle name="Финансовый 5 2 5" xfId="23145"/>
    <cellStyle name="Финансовый 5 2 6" xfId="23146"/>
    <cellStyle name="Финансовый 5 2 7" xfId="23147"/>
    <cellStyle name="Финансовый 5 2 8" xfId="23148"/>
    <cellStyle name="Финансовый 5 2 9" xfId="23149"/>
    <cellStyle name="Финансовый 5 3" xfId="23150"/>
    <cellStyle name="Финансовый 5 3 10" xfId="23151"/>
    <cellStyle name="Финансовый 5 3 11" xfId="23152"/>
    <cellStyle name="Финансовый 5 3 2" xfId="23153"/>
    <cellStyle name="Финансовый 5 3 2 2" xfId="23154"/>
    <cellStyle name="Финансовый 5 3 2 3" xfId="23155"/>
    <cellStyle name="Финансовый 5 3 2 4" xfId="23156"/>
    <cellStyle name="Финансовый 5 3 2 5" xfId="23157"/>
    <cellStyle name="Финансовый 5 3 2 6" xfId="23158"/>
    <cellStyle name="Финансовый 5 3 2 7" xfId="23159"/>
    <cellStyle name="Финансовый 5 3 2 8" xfId="23160"/>
    <cellStyle name="Финансовый 5 3 2 9" xfId="23161"/>
    <cellStyle name="Финансовый 5 3 3" xfId="23162"/>
    <cellStyle name="Финансовый 5 3 3 2" xfId="23163"/>
    <cellStyle name="Финансовый 5 3 3 3" xfId="23164"/>
    <cellStyle name="Финансовый 5 3 3 4" xfId="23165"/>
    <cellStyle name="Финансовый 5 3 3 5" xfId="23166"/>
    <cellStyle name="Финансовый 5 3 3 6" xfId="23167"/>
    <cellStyle name="Финансовый 5 3 3 7" xfId="23168"/>
    <cellStyle name="Финансовый 5 3 3 8" xfId="23169"/>
    <cellStyle name="Финансовый 5 3 3 9" xfId="23170"/>
    <cellStyle name="Финансовый 5 3 4" xfId="23171"/>
    <cellStyle name="Финансовый 5 3 5" xfId="23172"/>
    <cellStyle name="Финансовый 5 3 6" xfId="23173"/>
    <cellStyle name="Финансовый 5 3 7" xfId="23174"/>
    <cellStyle name="Финансовый 5 3 8" xfId="23175"/>
    <cellStyle name="Финансовый 5 3 9" xfId="23176"/>
    <cellStyle name="Финансовый 5 4" xfId="23177"/>
    <cellStyle name="Финансовый 5 4 2" xfId="23178"/>
    <cellStyle name="Финансовый 5 4 3" xfId="23179"/>
    <cellStyle name="Финансовый 5 4 4" xfId="23180"/>
    <cellStyle name="Финансовый 5 4 5" xfId="23181"/>
    <cellStyle name="Финансовый 5 4 6" xfId="23182"/>
    <cellStyle name="Финансовый 5 4 7" xfId="23183"/>
    <cellStyle name="Финансовый 5 4 8" xfId="23184"/>
    <cellStyle name="Финансовый 5 4 9" xfId="23185"/>
    <cellStyle name="Финансовый 5 5" xfId="23186"/>
    <cellStyle name="Финансовый 5 6" xfId="23187"/>
    <cellStyle name="Финансовый 5 7" xfId="23188"/>
    <cellStyle name="Финансовый 5 8" xfId="23189"/>
    <cellStyle name="Финансовый 5 9" xfId="23190"/>
    <cellStyle name="Финансовый 6" xfId="23191"/>
    <cellStyle name="Финансовый 6 10" xfId="23192"/>
    <cellStyle name="Финансовый 6 11" xfId="23193"/>
    <cellStyle name="Финансовый 6 12" xfId="23194"/>
    <cellStyle name="Финансовый 6 2" xfId="23195"/>
    <cellStyle name="Финансовый 6 2 10" xfId="23196"/>
    <cellStyle name="Финансовый 6 2 11" xfId="23197"/>
    <cellStyle name="Финансовый 6 2 12" xfId="23198"/>
    <cellStyle name="Финансовый 6 2 2" xfId="23199"/>
    <cellStyle name="Финансовый 6 2 2 2" xfId="23200"/>
    <cellStyle name="Финансовый 6 2 2 3" xfId="23201"/>
    <cellStyle name="Финансовый 6 2 2 4" xfId="23202"/>
    <cellStyle name="Финансовый 6 2 2 5" xfId="23203"/>
    <cellStyle name="Финансовый 6 2 2 6" xfId="23204"/>
    <cellStyle name="Финансовый 6 2 2 7" xfId="23205"/>
    <cellStyle name="Финансовый 6 2 2 8" xfId="23206"/>
    <cellStyle name="Финансовый 6 2 2 9" xfId="23207"/>
    <cellStyle name="Финансовый 6 2 3" xfId="23208"/>
    <cellStyle name="Финансовый 6 2 3 2" xfId="23209"/>
    <cellStyle name="Финансовый 6 2 3 3" xfId="23210"/>
    <cellStyle name="Финансовый 6 2 3 4" xfId="23211"/>
    <cellStyle name="Финансовый 6 2 3 5" xfId="23212"/>
    <cellStyle name="Финансовый 6 2 3 6" xfId="23213"/>
    <cellStyle name="Финансовый 6 2 3 7" xfId="23214"/>
    <cellStyle name="Финансовый 6 2 3 8" xfId="23215"/>
    <cellStyle name="Финансовый 6 2 3 9" xfId="23216"/>
    <cellStyle name="Финансовый 6 2 4" xfId="23217"/>
    <cellStyle name="Финансовый 6 2 4 2" xfId="23218"/>
    <cellStyle name="Финансовый 6 2 4 3" xfId="23219"/>
    <cellStyle name="Финансовый 6 2 4 4" xfId="23220"/>
    <cellStyle name="Финансовый 6 2 4 5" xfId="23221"/>
    <cellStyle name="Финансовый 6 2 4 6" xfId="23222"/>
    <cellStyle name="Финансовый 6 2 4 7" xfId="23223"/>
    <cellStyle name="Финансовый 6 2 4 8" xfId="23224"/>
    <cellStyle name="Финансовый 6 2 4 9" xfId="23225"/>
    <cellStyle name="Финансовый 6 2 5" xfId="23226"/>
    <cellStyle name="Финансовый 6 2 6" xfId="23227"/>
    <cellStyle name="Финансовый 6 2 7" xfId="23228"/>
    <cellStyle name="Финансовый 6 2 8" xfId="23229"/>
    <cellStyle name="Финансовый 6 2 9" xfId="23230"/>
    <cellStyle name="Финансовый 6 3" xfId="23231"/>
    <cellStyle name="Финансовый 6 3 10" xfId="23232"/>
    <cellStyle name="Финансовый 6 3 11" xfId="23233"/>
    <cellStyle name="Финансовый 6 3 2" xfId="23234"/>
    <cellStyle name="Финансовый 6 3 2 2" xfId="23235"/>
    <cellStyle name="Финансовый 6 3 2 3" xfId="23236"/>
    <cellStyle name="Финансовый 6 3 2 4" xfId="23237"/>
    <cellStyle name="Финансовый 6 3 2 5" xfId="23238"/>
    <cellStyle name="Финансовый 6 3 2 6" xfId="23239"/>
    <cellStyle name="Финансовый 6 3 2 7" xfId="23240"/>
    <cellStyle name="Финансовый 6 3 2 8" xfId="23241"/>
    <cellStyle name="Финансовый 6 3 2 9" xfId="23242"/>
    <cellStyle name="Финансовый 6 3 3" xfId="23243"/>
    <cellStyle name="Финансовый 6 3 3 2" xfId="23244"/>
    <cellStyle name="Финансовый 6 3 3 3" xfId="23245"/>
    <cellStyle name="Финансовый 6 3 3 4" xfId="23246"/>
    <cellStyle name="Финансовый 6 3 3 5" xfId="23247"/>
    <cellStyle name="Финансовый 6 3 3 6" xfId="23248"/>
    <cellStyle name="Финансовый 6 3 3 7" xfId="23249"/>
    <cellStyle name="Финансовый 6 3 3 8" xfId="23250"/>
    <cellStyle name="Финансовый 6 3 3 9" xfId="23251"/>
    <cellStyle name="Финансовый 6 3 4" xfId="23252"/>
    <cellStyle name="Финансовый 6 3 5" xfId="23253"/>
    <cellStyle name="Финансовый 6 3 6" xfId="23254"/>
    <cellStyle name="Финансовый 6 3 7" xfId="23255"/>
    <cellStyle name="Финансовый 6 3 8" xfId="23256"/>
    <cellStyle name="Финансовый 6 3 9" xfId="23257"/>
    <cellStyle name="Финансовый 6 4" xfId="23258"/>
    <cellStyle name="Финансовый 6 4 2" xfId="23259"/>
    <cellStyle name="Финансовый 6 4 3" xfId="23260"/>
    <cellStyle name="Финансовый 6 4 4" xfId="23261"/>
    <cellStyle name="Финансовый 6 4 5" xfId="23262"/>
    <cellStyle name="Финансовый 6 4 6" xfId="23263"/>
    <cellStyle name="Финансовый 6 4 7" xfId="23264"/>
    <cellStyle name="Финансовый 6 4 8" xfId="23265"/>
    <cellStyle name="Финансовый 6 4 9" xfId="23266"/>
    <cellStyle name="Финансовый 6 5" xfId="23267"/>
    <cellStyle name="Финансовый 6 6" xfId="23268"/>
    <cellStyle name="Финансовый 6 7" xfId="23269"/>
    <cellStyle name="Финансовый 6 8" xfId="23270"/>
    <cellStyle name="Финансовый 6 9" xfId="23271"/>
    <cellStyle name="Финансовый 7" xfId="23272"/>
    <cellStyle name="Финансовый 7 10" xfId="23273"/>
    <cellStyle name="Финансовый 7 11" xfId="23274"/>
    <cellStyle name="Финансовый 7 12" xfId="23275"/>
    <cellStyle name="Финансовый 7 2" xfId="23276"/>
    <cellStyle name="Финансовый 7 2 10" xfId="23277"/>
    <cellStyle name="Финансовый 7 2 11" xfId="23278"/>
    <cellStyle name="Финансовый 7 2 12" xfId="23279"/>
    <cellStyle name="Финансовый 7 2 2" xfId="23280"/>
    <cellStyle name="Финансовый 7 2 2 2" xfId="23281"/>
    <cellStyle name="Финансовый 7 2 2 3" xfId="23282"/>
    <cellStyle name="Финансовый 7 2 2 4" xfId="23283"/>
    <cellStyle name="Финансовый 7 2 2 5" xfId="23284"/>
    <cellStyle name="Финансовый 7 2 2 6" xfId="23285"/>
    <cellStyle name="Финансовый 7 2 2 7" xfId="23286"/>
    <cellStyle name="Финансовый 7 2 2 8" xfId="23287"/>
    <cellStyle name="Финансовый 7 2 2 9" xfId="23288"/>
    <cellStyle name="Финансовый 7 2 3" xfId="23289"/>
    <cellStyle name="Финансовый 7 2 3 2" xfId="23290"/>
    <cellStyle name="Финансовый 7 2 3 3" xfId="23291"/>
    <cellStyle name="Финансовый 7 2 3 4" xfId="23292"/>
    <cellStyle name="Финансовый 7 2 3 5" xfId="23293"/>
    <cellStyle name="Финансовый 7 2 3 6" xfId="23294"/>
    <cellStyle name="Финансовый 7 2 3 7" xfId="23295"/>
    <cellStyle name="Финансовый 7 2 3 8" xfId="23296"/>
    <cellStyle name="Финансовый 7 2 3 9" xfId="23297"/>
    <cellStyle name="Финансовый 7 2 4" xfId="23298"/>
    <cellStyle name="Финансовый 7 2 4 2" xfId="23299"/>
    <cellStyle name="Финансовый 7 2 4 3" xfId="23300"/>
    <cellStyle name="Финансовый 7 2 4 4" xfId="23301"/>
    <cellStyle name="Финансовый 7 2 4 5" xfId="23302"/>
    <cellStyle name="Финансовый 7 2 4 6" xfId="23303"/>
    <cellStyle name="Финансовый 7 2 4 7" xfId="23304"/>
    <cellStyle name="Финансовый 7 2 4 8" xfId="23305"/>
    <cellStyle name="Финансовый 7 2 4 9" xfId="23306"/>
    <cellStyle name="Финансовый 7 2 5" xfId="23307"/>
    <cellStyle name="Финансовый 7 2 6" xfId="23308"/>
    <cellStyle name="Финансовый 7 2 7" xfId="23309"/>
    <cellStyle name="Финансовый 7 2 8" xfId="23310"/>
    <cellStyle name="Финансовый 7 2 9" xfId="23311"/>
    <cellStyle name="Финансовый 7 3" xfId="23312"/>
    <cellStyle name="Финансовый 7 3 10" xfId="23313"/>
    <cellStyle name="Финансовый 7 3 11" xfId="23314"/>
    <cellStyle name="Финансовый 7 3 2" xfId="23315"/>
    <cellStyle name="Финансовый 7 3 2 2" xfId="23316"/>
    <cellStyle name="Финансовый 7 3 2 3" xfId="23317"/>
    <cellStyle name="Финансовый 7 3 2 4" xfId="23318"/>
    <cellStyle name="Финансовый 7 3 2 5" xfId="23319"/>
    <cellStyle name="Финансовый 7 3 2 6" xfId="23320"/>
    <cellStyle name="Финансовый 7 3 2 7" xfId="23321"/>
    <cellStyle name="Финансовый 7 3 2 8" xfId="23322"/>
    <cellStyle name="Финансовый 7 3 2 9" xfId="23323"/>
    <cellStyle name="Финансовый 7 3 3" xfId="23324"/>
    <cellStyle name="Финансовый 7 3 3 2" xfId="23325"/>
    <cellStyle name="Финансовый 7 3 3 3" xfId="23326"/>
    <cellStyle name="Финансовый 7 3 3 4" xfId="23327"/>
    <cellStyle name="Финансовый 7 3 3 5" xfId="23328"/>
    <cellStyle name="Финансовый 7 3 3 6" xfId="23329"/>
    <cellStyle name="Финансовый 7 3 3 7" xfId="23330"/>
    <cellStyle name="Финансовый 7 3 3 8" xfId="23331"/>
    <cellStyle name="Финансовый 7 3 3 9" xfId="23332"/>
    <cellStyle name="Финансовый 7 3 4" xfId="23333"/>
    <cellStyle name="Финансовый 7 3 5" xfId="23334"/>
    <cellStyle name="Финансовый 7 3 6" xfId="23335"/>
    <cellStyle name="Финансовый 7 3 7" xfId="23336"/>
    <cellStyle name="Финансовый 7 3 8" xfId="23337"/>
    <cellStyle name="Финансовый 7 3 9" xfId="23338"/>
    <cellStyle name="Финансовый 7 4" xfId="23339"/>
    <cellStyle name="Финансовый 7 4 2" xfId="23340"/>
    <cellStyle name="Финансовый 7 4 3" xfId="23341"/>
    <cellStyle name="Финансовый 7 4 4" xfId="23342"/>
    <cellStyle name="Финансовый 7 4 5" xfId="23343"/>
    <cellStyle name="Финансовый 7 4 6" xfId="23344"/>
    <cellStyle name="Финансовый 7 4 7" xfId="23345"/>
    <cellStyle name="Финансовый 7 4 8" xfId="23346"/>
    <cellStyle name="Финансовый 7 4 9" xfId="23347"/>
    <cellStyle name="Финансовый 7 5" xfId="23348"/>
    <cellStyle name="Финансовый 7 6" xfId="23349"/>
    <cellStyle name="Финансовый 7 7" xfId="23350"/>
    <cellStyle name="Финансовый 7 8" xfId="23351"/>
    <cellStyle name="Финансовый 7 9" xfId="23352"/>
    <cellStyle name="Финансовый 8" xfId="23353"/>
    <cellStyle name="Финансовый 8 10" xfId="23354"/>
    <cellStyle name="Финансовый 8 11" xfId="23355"/>
    <cellStyle name="Финансовый 8 12" xfId="23356"/>
    <cellStyle name="Финансовый 8 2" xfId="23357"/>
    <cellStyle name="Финансовый 8 2 10" xfId="23358"/>
    <cellStyle name="Финансовый 8 2 11" xfId="23359"/>
    <cellStyle name="Финансовый 8 2 12" xfId="23360"/>
    <cellStyle name="Финансовый 8 2 2" xfId="23361"/>
    <cellStyle name="Финансовый 8 2 2 2" xfId="23362"/>
    <cellStyle name="Финансовый 8 2 2 3" xfId="23363"/>
    <cellStyle name="Финансовый 8 2 2 4" xfId="23364"/>
    <cellStyle name="Финансовый 8 2 2 5" xfId="23365"/>
    <cellStyle name="Финансовый 8 2 2 6" xfId="23366"/>
    <cellStyle name="Финансовый 8 2 2 7" xfId="23367"/>
    <cellStyle name="Финансовый 8 2 2 8" xfId="23368"/>
    <cellStyle name="Финансовый 8 2 2 9" xfId="23369"/>
    <cellStyle name="Финансовый 8 2 3" xfId="23370"/>
    <cellStyle name="Финансовый 8 2 3 2" xfId="23371"/>
    <cellStyle name="Финансовый 8 2 3 3" xfId="23372"/>
    <cellStyle name="Финансовый 8 2 3 4" xfId="23373"/>
    <cellStyle name="Финансовый 8 2 3 5" xfId="23374"/>
    <cellStyle name="Финансовый 8 2 3 6" xfId="23375"/>
    <cellStyle name="Финансовый 8 2 3 7" xfId="23376"/>
    <cellStyle name="Финансовый 8 2 3 8" xfId="23377"/>
    <cellStyle name="Финансовый 8 2 3 9" xfId="23378"/>
    <cellStyle name="Финансовый 8 2 4" xfId="23379"/>
    <cellStyle name="Финансовый 8 2 4 2" xfId="23380"/>
    <cellStyle name="Финансовый 8 2 4 3" xfId="23381"/>
    <cellStyle name="Финансовый 8 2 4 4" xfId="23382"/>
    <cellStyle name="Финансовый 8 2 4 5" xfId="23383"/>
    <cellStyle name="Финансовый 8 2 4 6" xfId="23384"/>
    <cellStyle name="Финансовый 8 2 4 7" xfId="23385"/>
    <cellStyle name="Финансовый 8 2 4 8" xfId="23386"/>
    <cellStyle name="Финансовый 8 2 4 9" xfId="23387"/>
    <cellStyle name="Финансовый 8 2 5" xfId="23388"/>
    <cellStyle name="Финансовый 8 2 6" xfId="23389"/>
    <cellStyle name="Финансовый 8 2 7" xfId="23390"/>
    <cellStyle name="Финансовый 8 2 8" xfId="23391"/>
    <cellStyle name="Финансовый 8 2 9" xfId="23392"/>
    <cellStyle name="Финансовый 8 3" xfId="23393"/>
    <cellStyle name="Финансовый 8 3 10" xfId="23394"/>
    <cellStyle name="Финансовый 8 3 11" xfId="23395"/>
    <cellStyle name="Финансовый 8 3 2" xfId="23396"/>
    <cellStyle name="Финансовый 8 3 2 2" xfId="23397"/>
    <cellStyle name="Финансовый 8 3 2 3" xfId="23398"/>
    <cellStyle name="Финансовый 8 3 2 4" xfId="23399"/>
    <cellStyle name="Финансовый 8 3 2 5" xfId="23400"/>
    <cellStyle name="Финансовый 8 3 2 6" xfId="23401"/>
    <cellStyle name="Финансовый 8 3 2 7" xfId="23402"/>
    <cellStyle name="Финансовый 8 3 2 8" xfId="23403"/>
    <cellStyle name="Финансовый 8 3 2 9" xfId="23404"/>
    <cellStyle name="Финансовый 8 3 3" xfId="23405"/>
    <cellStyle name="Финансовый 8 3 3 2" xfId="23406"/>
    <cellStyle name="Финансовый 8 3 3 3" xfId="23407"/>
    <cellStyle name="Финансовый 8 3 3 4" xfId="23408"/>
    <cellStyle name="Финансовый 8 3 3 5" xfId="23409"/>
    <cellStyle name="Финансовый 8 3 3 6" xfId="23410"/>
    <cellStyle name="Финансовый 8 3 3 7" xfId="23411"/>
    <cellStyle name="Финансовый 8 3 3 8" xfId="23412"/>
    <cellStyle name="Финансовый 8 3 3 9" xfId="23413"/>
    <cellStyle name="Финансовый 8 3 4" xfId="23414"/>
    <cellStyle name="Финансовый 8 3 5" xfId="23415"/>
    <cellStyle name="Финансовый 8 3 6" xfId="23416"/>
    <cellStyle name="Финансовый 8 3 7" xfId="23417"/>
    <cellStyle name="Финансовый 8 3 8" xfId="23418"/>
    <cellStyle name="Финансовый 8 3 9" xfId="23419"/>
    <cellStyle name="Финансовый 8 4" xfId="23420"/>
    <cellStyle name="Финансовый 8 4 2" xfId="23421"/>
    <cellStyle name="Финансовый 8 4 3" xfId="23422"/>
    <cellStyle name="Финансовый 8 4 4" xfId="23423"/>
    <cellStyle name="Финансовый 8 4 5" xfId="23424"/>
    <cellStyle name="Финансовый 8 4 6" xfId="23425"/>
    <cellStyle name="Финансовый 8 4 7" xfId="23426"/>
    <cellStyle name="Финансовый 8 4 8" xfId="23427"/>
    <cellStyle name="Финансовый 8 4 9" xfId="23428"/>
    <cellStyle name="Финансовый 8 5" xfId="23429"/>
    <cellStyle name="Финансовый 8 6" xfId="23430"/>
    <cellStyle name="Финансовый 8 7" xfId="23431"/>
    <cellStyle name="Финансовый 8 8" xfId="23432"/>
    <cellStyle name="Финансовый 8 9" xfId="23433"/>
    <cellStyle name="Финансовый 9" xfId="23434"/>
    <cellStyle name="Финансовый 9 10" xfId="23435"/>
    <cellStyle name="Финансовый 9 11" xfId="23436"/>
    <cellStyle name="Финансовый 9 12" xfId="23437"/>
    <cellStyle name="Финансовый 9 2" xfId="23438"/>
    <cellStyle name="Финансовый 9 2 10" xfId="23439"/>
    <cellStyle name="Финансовый 9 2 11" xfId="23440"/>
    <cellStyle name="Финансовый 9 2 12" xfId="23441"/>
    <cellStyle name="Финансовый 9 2 2" xfId="23442"/>
    <cellStyle name="Финансовый 9 2 2 2" xfId="23443"/>
    <cellStyle name="Финансовый 9 2 2 3" xfId="23444"/>
    <cellStyle name="Финансовый 9 2 2 4" xfId="23445"/>
    <cellStyle name="Финансовый 9 2 2 5" xfId="23446"/>
    <cellStyle name="Финансовый 9 2 2 6" xfId="23447"/>
    <cellStyle name="Финансовый 9 2 2 7" xfId="23448"/>
    <cellStyle name="Финансовый 9 2 2 8" xfId="23449"/>
    <cellStyle name="Финансовый 9 2 2 9" xfId="23450"/>
    <cellStyle name="Финансовый 9 2 3" xfId="23451"/>
    <cellStyle name="Финансовый 9 2 3 2" xfId="23452"/>
    <cellStyle name="Финансовый 9 2 3 3" xfId="23453"/>
    <cellStyle name="Финансовый 9 2 3 4" xfId="23454"/>
    <cellStyle name="Финансовый 9 2 3 5" xfId="23455"/>
    <cellStyle name="Финансовый 9 2 3 6" xfId="23456"/>
    <cellStyle name="Финансовый 9 2 3 7" xfId="23457"/>
    <cellStyle name="Финансовый 9 2 3 8" xfId="23458"/>
    <cellStyle name="Финансовый 9 2 3 9" xfId="23459"/>
    <cellStyle name="Финансовый 9 2 4" xfId="23460"/>
    <cellStyle name="Финансовый 9 2 4 2" xfId="23461"/>
    <cellStyle name="Финансовый 9 2 4 3" xfId="23462"/>
    <cellStyle name="Финансовый 9 2 4 4" xfId="23463"/>
    <cellStyle name="Финансовый 9 2 4 5" xfId="23464"/>
    <cellStyle name="Финансовый 9 2 4 6" xfId="23465"/>
    <cellStyle name="Финансовый 9 2 4 7" xfId="23466"/>
    <cellStyle name="Финансовый 9 2 4 8" xfId="23467"/>
    <cellStyle name="Финансовый 9 2 4 9" xfId="23468"/>
    <cellStyle name="Финансовый 9 2 5" xfId="23469"/>
    <cellStyle name="Финансовый 9 2 6" xfId="23470"/>
    <cellStyle name="Финансовый 9 2 7" xfId="23471"/>
    <cellStyle name="Финансовый 9 2 8" xfId="23472"/>
    <cellStyle name="Финансовый 9 2 9" xfId="23473"/>
    <cellStyle name="Финансовый 9 3" xfId="23474"/>
    <cellStyle name="Финансовый 9 3 10" xfId="23475"/>
    <cellStyle name="Финансовый 9 3 11" xfId="23476"/>
    <cellStyle name="Финансовый 9 3 2" xfId="23477"/>
    <cellStyle name="Финансовый 9 3 2 2" xfId="23478"/>
    <cellStyle name="Финансовый 9 3 2 3" xfId="23479"/>
    <cellStyle name="Финансовый 9 3 2 4" xfId="23480"/>
    <cellStyle name="Финансовый 9 3 2 5" xfId="23481"/>
    <cellStyle name="Финансовый 9 3 2 6" xfId="23482"/>
    <cellStyle name="Финансовый 9 3 2 7" xfId="23483"/>
    <cellStyle name="Финансовый 9 3 2 8" xfId="23484"/>
    <cellStyle name="Финансовый 9 3 2 9" xfId="23485"/>
    <cellStyle name="Финансовый 9 3 3" xfId="23486"/>
    <cellStyle name="Финансовый 9 3 3 2" xfId="23487"/>
    <cellStyle name="Финансовый 9 3 3 3" xfId="23488"/>
    <cellStyle name="Финансовый 9 3 3 4" xfId="23489"/>
    <cellStyle name="Финансовый 9 3 3 5" xfId="23490"/>
    <cellStyle name="Финансовый 9 3 3 6" xfId="23491"/>
    <cellStyle name="Финансовый 9 3 3 7" xfId="23492"/>
    <cellStyle name="Финансовый 9 3 3 8" xfId="23493"/>
    <cellStyle name="Финансовый 9 3 3 9" xfId="23494"/>
    <cellStyle name="Финансовый 9 3 4" xfId="23495"/>
    <cellStyle name="Финансовый 9 3 5" xfId="23496"/>
    <cellStyle name="Финансовый 9 3 6" xfId="23497"/>
    <cellStyle name="Финансовый 9 3 7" xfId="23498"/>
    <cellStyle name="Финансовый 9 3 8" xfId="23499"/>
    <cellStyle name="Финансовый 9 3 9" xfId="23500"/>
    <cellStyle name="Финансовый 9 4" xfId="23501"/>
    <cellStyle name="Финансовый 9 4 2" xfId="23502"/>
    <cellStyle name="Финансовый 9 4 3" xfId="23503"/>
    <cellStyle name="Финансовый 9 4 4" xfId="23504"/>
    <cellStyle name="Финансовый 9 4 5" xfId="23505"/>
    <cellStyle name="Финансовый 9 4 6" xfId="23506"/>
    <cellStyle name="Финансовый 9 4 7" xfId="23507"/>
    <cellStyle name="Финансовый 9 4 8" xfId="23508"/>
    <cellStyle name="Финансовый 9 4 9" xfId="23509"/>
    <cellStyle name="Финансовый 9 5" xfId="23510"/>
    <cellStyle name="Финансовый 9 6" xfId="23511"/>
    <cellStyle name="Финансовый 9 7" xfId="23512"/>
    <cellStyle name="Финансовый 9 8" xfId="23513"/>
    <cellStyle name="Финансовый 9 9" xfId="23514"/>
    <cellStyle name="Хороший 2" xfId="23515"/>
    <cellStyle name="Хороший 2 10" xfId="23516"/>
    <cellStyle name="Хороший 2 10 2" xfId="23517"/>
    <cellStyle name="Хороший 2 10 3" xfId="23518"/>
    <cellStyle name="Хороший 2 10 4" xfId="23519"/>
    <cellStyle name="Хороший 2 10 5" xfId="23520"/>
    <cellStyle name="Хороший 2 11" xfId="23521"/>
    <cellStyle name="Хороший 2 12" xfId="23522"/>
    <cellStyle name="Хороший 2 13" xfId="23523"/>
    <cellStyle name="Хороший 2 14" xfId="23524"/>
    <cellStyle name="Хороший 2 2" xfId="23525"/>
    <cellStyle name="Хороший 2 2 2" xfId="23526"/>
    <cellStyle name="Хороший 2 2 2 2" xfId="23527"/>
    <cellStyle name="Хороший 2 2 2 2 2" xfId="23528"/>
    <cellStyle name="Хороший 2 2 2 2 3" xfId="23529"/>
    <cellStyle name="Хороший 2 2 2 2 4" xfId="23530"/>
    <cellStyle name="Хороший 2 2 2 2 5" xfId="23531"/>
    <cellStyle name="Хороший 2 2 2 2 6" xfId="23532"/>
    <cellStyle name="Хороший 2 2 2 3" xfId="23533"/>
    <cellStyle name="Хороший 2 2 2 3 2" xfId="23534"/>
    <cellStyle name="Хороший 2 2 2 3 3" xfId="23535"/>
    <cellStyle name="Хороший 2 2 2 3 4" xfId="23536"/>
    <cellStyle name="Хороший 2 2 2 3 5" xfId="23537"/>
    <cellStyle name="Хороший 2 2 2 3 6" xfId="23538"/>
    <cellStyle name="Хороший 2 2 2 4" xfId="23539"/>
    <cellStyle name="Хороший 2 2 2 5" xfId="23540"/>
    <cellStyle name="Хороший 2 2 2 6" xfId="23541"/>
    <cellStyle name="Хороший 2 2 2 7" xfId="23542"/>
    <cellStyle name="Хороший 2 2 2 8" xfId="23543"/>
    <cellStyle name="Хороший 2 2 3" xfId="23544"/>
    <cellStyle name="Хороший 2 2 3 2" xfId="23545"/>
    <cellStyle name="Хороший 2 2 3 3" xfId="23546"/>
    <cellStyle name="Хороший 2 2 3 4" xfId="23547"/>
    <cellStyle name="Хороший 2 2 3 5" xfId="23548"/>
    <cellStyle name="Хороший 2 2 3 6" xfId="23549"/>
    <cellStyle name="Хороший 2 2 4" xfId="23550"/>
    <cellStyle name="Хороший 2 2 4 2" xfId="23551"/>
    <cellStyle name="Хороший 2 2 4 3" xfId="23552"/>
    <cellStyle name="Хороший 2 2 4 4" xfId="23553"/>
    <cellStyle name="Хороший 2 2 4 5" xfId="23554"/>
    <cellStyle name="Хороший 2 2 5" xfId="23555"/>
    <cellStyle name="Хороший 2 2 6" xfId="23556"/>
    <cellStyle name="Хороший 2 2 7" xfId="23557"/>
    <cellStyle name="Хороший 2 2 8" xfId="23558"/>
    <cellStyle name="Хороший 2 3" xfId="23559"/>
    <cellStyle name="Хороший 2 3 2" xfId="23560"/>
    <cellStyle name="Хороший 2 3 2 2" xfId="23561"/>
    <cellStyle name="Хороший 2 3 2 2 2" xfId="23562"/>
    <cellStyle name="Хороший 2 3 2 2 3" xfId="23563"/>
    <cellStyle name="Хороший 2 3 2 2 4" xfId="23564"/>
    <cellStyle name="Хороший 2 3 2 2 5" xfId="23565"/>
    <cellStyle name="Хороший 2 3 2 2 6" xfId="23566"/>
    <cellStyle name="Хороший 2 3 2 3" xfId="23567"/>
    <cellStyle name="Хороший 2 3 2 3 2" xfId="23568"/>
    <cellStyle name="Хороший 2 3 2 3 3" xfId="23569"/>
    <cellStyle name="Хороший 2 3 2 3 4" xfId="23570"/>
    <cellStyle name="Хороший 2 3 2 3 5" xfId="23571"/>
    <cellStyle name="Хороший 2 3 2 3 6" xfId="23572"/>
    <cellStyle name="Хороший 2 3 2 4" xfId="23573"/>
    <cellStyle name="Хороший 2 3 2 5" xfId="23574"/>
    <cellStyle name="Хороший 2 3 2 6" xfId="23575"/>
    <cellStyle name="Хороший 2 3 2 7" xfId="23576"/>
    <cellStyle name="Хороший 2 3 2 8" xfId="23577"/>
    <cellStyle name="Хороший 2 3 3" xfId="23578"/>
    <cellStyle name="Хороший 2 3 3 2" xfId="23579"/>
    <cellStyle name="Хороший 2 3 3 3" xfId="23580"/>
    <cellStyle name="Хороший 2 3 3 4" xfId="23581"/>
    <cellStyle name="Хороший 2 3 3 5" xfId="23582"/>
    <cellStyle name="Хороший 2 3 3 6" xfId="23583"/>
    <cellStyle name="Хороший 2 3 4" xfId="23584"/>
    <cellStyle name="Хороший 2 3 4 2" xfId="23585"/>
    <cellStyle name="Хороший 2 3 4 3" xfId="23586"/>
    <cellStyle name="Хороший 2 3 4 4" xfId="23587"/>
    <cellStyle name="Хороший 2 3 4 5" xfId="23588"/>
    <cellStyle name="Хороший 2 3 5" xfId="23589"/>
    <cellStyle name="Хороший 2 3 6" xfId="23590"/>
    <cellStyle name="Хороший 2 3 7" xfId="23591"/>
    <cellStyle name="Хороший 2 3 8" xfId="23592"/>
    <cellStyle name="Хороший 2 4" xfId="23593"/>
    <cellStyle name="Хороший 2 4 2" xfId="23594"/>
    <cellStyle name="Хороший 2 4 2 2" xfId="23595"/>
    <cellStyle name="Хороший 2 4 2 2 2" xfId="23596"/>
    <cellStyle name="Хороший 2 4 2 2 3" xfId="23597"/>
    <cellStyle name="Хороший 2 4 2 2 4" xfId="23598"/>
    <cellStyle name="Хороший 2 4 2 2 5" xfId="23599"/>
    <cellStyle name="Хороший 2 4 2 2 6" xfId="23600"/>
    <cellStyle name="Хороший 2 4 2 3" xfId="23601"/>
    <cellStyle name="Хороший 2 4 2 3 2" xfId="23602"/>
    <cellStyle name="Хороший 2 4 2 3 3" xfId="23603"/>
    <cellStyle name="Хороший 2 4 2 3 4" xfId="23604"/>
    <cellStyle name="Хороший 2 4 2 3 5" xfId="23605"/>
    <cellStyle name="Хороший 2 4 2 3 6" xfId="23606"/>
    <cellStyle name="Хороший 2 4 2 4" xfId="23607"/>
    <cellStyle name="Хороший 2 4 2 5" xfId="23608"/>
    <cellStyle name="Хороший 2 4 2 6" xfId="23609"/>
    <cellStyle name="Хороший 2 4 2 7" xfId="23610"/>
    <cellStyle name="Хороший 2 4 2 8" xfId="23611"/>
    <cellStyle name="Хороший 2 4 3" xfId="23612"/>
    <cellStyle name="Хороший 2 4 3 2" xfId="23613"/>
    <cellStyle name="Хороший 2 4 3 3" xfId="23614"/>
    <cellStyle name="Хороший 2 4 3 4" xfId="23615"/>
    <cellStyle name="Хороший 2 4 3 5" xfId="23616"/>
    <cellStyle name="Хороший 2 4 3 6" xfId="23617"/>
    <cellStyle name="Хороший 2 4 4" xfId="23618"/>
    <cellStyle name="Хороший 2 4 4 2" xfId="23619"/>
    <cellStyle name="Хороший 2 4 4 3" xfId="23620"/>
    <cellStyle name="Хороший 2 4 4 4" xfId="23621"/>
    <cellStyle name="Хороший 2 4 4 5" xfId="23622"/>
    <cellStyle name="Хороший 2 4 5" xfId="23623"/>
    <cellStyle name="Хороший 2 4 6" xfId="23624"/>
    <cellStyle name="Хороший 2 4 7" xfId="23625"/>
    <cellStyle name="Хороший 2 4 8" xfId="23626"/>
    <cellStyle name="Хороший 2 5" xfId="23627"/>
    <cellStyle name="Хороший 2 5 2" xfId="23628"/>
    <cellStyle name="Хороший 2 5 2 2" xfId="23629"/>
    <cellStyle name="Хороший 2 5 2 2 2" xfId="23630"/>
    <cellStyle name="Хороший 2 5 2 2 3" xfId="23631"/>
    <cellStyle name="Хороший 2 5 2 2 4" xfId="23632"/>
    <cellStyle name="Хороший 2 5 2 2 5" xfId="23633"/>
    <cellStyle name="Хороший 2 5 2 2 6" xfId="23634"/>
    <cellStyle name="Хороший 2 5 2 3" xfId="23635"/>
    <cellStyle name="Хороший 2 5 2 3 2" xfId="23636"/>
    <cellStyle name="Хороший 2 5 2 3 3" xfId="23637"/>
    <cellStyle name="Хороший 2 5 2 3 4" xfId="23638"/>
    <cellStyle name="Хороший 2 5 2 3 5" xfId="23639"/>
    <cellStyle name="Хороший 2 5 2 3 6" xfId="23640"/>
    <cellStyle name="Хороший 2 5 2 4" xfId="23641"/>
    <cellStyle name="Хороший 2 5 2 5" xfId="23642"/>
    <cellStyle name="Хороший 2 5 2 6" xfId="23643"/>
    <cellStyle name="Хороший 2 5 2 7" xfId="23644"/>
    <cellStyle name="Хороший 2 5 2 8" xfId="23645"/>
    <cellStyle name="Хороший 2 5 3" xfId="23646"/>
    <cellStyle name="Хороший 2 5 3 2" xfId="23647"/>
    <cellStyle name="Хороший 2 5 3 3" xfId="23648"/>
    <cellStyle name="Хороший 2 5 3 4" xfId="23649"/>
    <cellStyle name="Хороший 2 5 3 5" xfId="23650"/>
    <cellStyle name="Хороший 2 5 3 6" xfId="23651"/>
    <cellStyle name="Хороший 2 5 4" xfId="23652"/>
    <cellStyle name="Хороший 2 5 4 2" xfId="23653"/>
    <cellStyle name="Хороший 2 5 4 3" xfId="23654"/>
    <cellStyle name="Хороший 2 5 4 4" xfId="23655"/>
    <cellStyle name="Хороший 2 5 4 5" xfId="23656"/>
    <cellStyle name="Хороший 2 5 5" xfId="23657"/>
    <cellStyle name="Хороший 2 5 6" xfId="23658"/>
    <cellStyle name="Хороший 2 5 7" xfId="23659"/>
    <cellStyle name="Хороший 2 5 8" xfId="23660"/>
    <cellStyle name="Хороший 2 6" xfId="23661"/>
    <cellStyle name="Хороший 2 6 2" xfId="23662"/>
    <cellStyle name="Хороший 2 6 2 2" xfId="23663"/>
    <cellStyle name="Хороший 2 6 2 2 2" xfId="23664"/>
    <cellStyle name="Хороший 2 6 2 2 3" xfId="23665"/>
    <cellStyle name="Хороший 2 6 2 2 4" xfId="23666"/>
    <cellStyle name="Хороший 2 6 2 2 5" xfId="23667"/>
    <cellStyle name="Хороший 2 6 2 2 6" xfId="23668"/>
    <cellStyle name="Хороший 2 6 2 3" xfId="23669"/>
    <cellStyle name="Хороший 2 6 2 3 2" xfId="23670"/>
    <cellStyle name="Хороший 2 6 2 3 3" xfId="23671"/>
    <cellStyle name="Хороший 2 6 2 3 4" xfId="23672"/>
    <cellStyle name="Хороший 2 6 2 3 5" xfId="23673"/>
    <cellStyle name="Хороший 2 6 2 3 6" xfId="23674"/>
    <cellStyle name="Хороший 2 6 2 4" xfId="23675"/>
    <cellStyle name="Хороший 2 6 2 5" xfId="23676"/>
    <cellStyle name="Хороший 2 6 2 6" xfId="23677"/>
    <cellStyle name="Хороший 2 6 2 7" xfId="23678"/>
    <cellStyle name="Хороший 2 6 2 8" xfId="23679"/>
    <cellStyle name="Хороший 2 6 3" xfId="23680"/>
    <cellStyle name="Хороший 2 6 3 2" xfId="23681"/>
    <cellStyle name="Хороший 2 6 3 3" xfId="23682"/>
    <cellStyle name="Хороший 2 6 3 4" xfId="23683"/>
    <cellStyle name="Хороший 2 6 3 5" xfId="23684"/>
    <cellStyle name="Хороший 2 6 3 6" xfId="23685"/>
    <cellStyle name="Хороший 2 6 4" xfId="23686"/>
    <cellStyle name="Хороший 2 6 4 2" xfId="23687"/>
    <cellStyle name="Хороший 2 6 4 3" xfId="23688"/>
    <cellStyle name="Хороший 2 6 4 4" xfId="23689"/>
    <cellStyle name="Хороший 2 6 4 5" xfId="23690"/>
    <cellStyle name="Хороший 2 6 5" xfId="23691"/>
    <cellStyle name="Хороший 2 6 6" xfId="23692"/>
    <cellStyle name="Хороший 2 6 7" xfId="23693"/>
    <cellStyle name="Хороший 2 6 8" xfId="23694"/>
    <cellStyle name="Хороший 2 7" xfId="23695"/>
    <cellStyle name="Хороший 2 7 2" xfId="23696"/>
    <cellStyle name="Хороший 2 7 2 2" xfId="23697"/>
    <cellStyle name="Хороший 2 7 2 3" xfId="23698"/>
    <cellStyle name="Хороший 2 7 3" xfId="23699"/>
    <cellStyle name="Хороший 2 7 4" xfId="23700"/>
    <cellStyle name="Хороший 2 7 4 2" xfId="23701"/>
    <cellStyle name="Хороший 2 7 4 3" xfId="23702"/>
    <cellStyle name="Хороший 2 7 4 4" xfId="23703"/>
    <cellStyle name="Хороший 2 7 4 5" xfId="23704"/>
    <cellStyle name="Хороший 2 7 5" xfId="23705"/>
    <cellStyle name="Хороший 2 7 6" xfId="23706"/>
    <cellStyle name="Хороший 2 7 7" xfId="23707"/>
    <cellStyle name="Хороший 2 7 8" xfId="23708"/>
    <cellStyle name="Хороший 2 8" xfId="23709"/>
    <cellStyle name="Хороший 2 8 2" xfId="23710"/>
    <cellStyle name="Хороший 2 8 2 2" xfId="23711"/>
    <cellStyle name="Хороший 2 8 2 3" xfId="23712"/>
    <cellStyle name="Хороший 2 8 2 4" xfId="23713"/>
    <cellStyle name="Хороший 2 8 2 5" xfId="23714"/>
    <cellStyle name="Хороший 2 8 2 6" xfId="23715"/>
    <cellStyle name="Хороший 2 8 3" xfId="23716"/>
    <cellStyle name="Хороший 2 8 3 2" xfId="23717"/>
    <cellStyle name="Хороший 2 8 3 3" xfId="23718"/>
    <cellStyle name="Хороший 2 8 3 4" xfId="23719"/>
    <cellStyle name="Хороший 2 8 3 5" xfId="23720"/>
    <cellStyle name="Хороший 2 8 3 6" xfId="23721"/>
    <cellStyle name="Хороший 2 8 4" xfId="23722"/>
    <cellStyle name="Хороший 2 8 5" xfId="23723"/>
    <cellStyle name="Хороший 2 8 6" xfId="23724"/>
    <cellStyle name="Хороший 2 8 7" xfId="23725"/>
    <cellStyle name="Хороший 2 8 8" xfId="23726"/>
    <cellStyle name="Хороший 2 9" xfId="23727"/>
    <cellStyle name="Хороший 2 9 2" xfId="23728"/>
    <cellStyle name="Хороший 2 9 3" xfId="23729"/>
    <cellStyle name="Хороший 2 9 4" xfId="23730"/>
    <cellStyle name="Хороший 2 9 5" xfId="23731"/>
    <cellStyle name="Хороший 2 9 6" xfId="23732"/>
    <cellStyle name="Хороший 3" xfId="23733"/>
    <cellStyle name="Хороший 3 2" xfId="23734"/>
    <cellStyle name="Хороший 3 2 2" xfId="23735"/>
    <cellStyle name="Хороший 3 2 2 2" xfId="23736"/>
    <cellStyle name="Хороший 3 2 2 3" xfId="23737"/>
    <cellStyle name="Хороший 3 2 2 4" xfId="23738"/>
    <cellStyle name="Хороший 3 2 2 5" xfId="23739"/>
    <cellStyle name="Хороший 3 2 2 6" xfId="23740"/>
    <cellStyle name="Хороший 3 2 3" xfId="23741"/>
    <cellStyle name="Хороший 3 2 3 2" xfId="23742"/>
    <cellStyle name="Хороший 3 2 3 3" xfId="23743"/>
    <cellStyle name="Хороший 3 2 3 4" xfId="23744"/>
    <cellStyle name="Хороший 3 2 3 5" xfId="23745"/>
    <cellStyle name="Хороший 3 2 3 6" xfId="23746"/>
    <cellStyle name="Хороший 3 2 4" xfId="23747"/>
    <cellStyle name="Хороший 3 2 5" xfId="23748"/>
    <cellStyle name="Хороший 3 2 6" xfId="23749"/>
    <cellStyle name="Хороший 3 2 7" xfId="23750"/>
    <cellStyle name="Хороший 3 2 8" xfId="23751"/>
    <cellStyle name="Хороший 3 3" xfId="23752"/>
    <cellStyle name="Хороший 3 3 2" xfId="23753"/>
    <cellStyle name="Хороший 3 3 3" xfId="23754"/>
    <cellStyle name="Хороший 3 3 4" xfId="23755"/>
    <cellStyle name="Хороший 3 3 5" xfId="23756"/>
    <cellStyle name="Хороший 3 3 6" xfId="23757"/>
    <cellStyle name="Хороший 3 4" xfId="23758"/>
    <cellStyle name="Хороший 3 4 2" xfId="23759"/>
    <cellStyle name="Хороший 3 4 3" xfId="23760"/>
    <cellStyle name="Хороший 3 4 4" xfId="23761"/>
    <cellStyle name="Хороший 3 4 5" xfId="23762"/>
    <cellStyle name="Хороший 3 5" xfId="23763"/>
    <cellStyle name="Хороший 3 6" xfId="23764"/>
    <cellStyle name="Хороший 3 7" xfId="23765"/>
    <cellStyle name="Хороший 3 8" xfId="23766"/>
    <cellStyle name="Хороший 4" xfId="23767"/>
    <cellStyle name="Хороший 4 2" xfId="23768"/>
    <cellStyle name="Хороший 4 2 2" xfId="23769"/>
    <cellStyle name="Хороший 4 2 2 2" xfId="23770"/>
    <cellStyle name="Хороший 4 2 2 3" xfId="23771"/>
    <cellStyle name="Хороший 4 2 2 4" xfId="23772"/>
    <cellStyle name="Хороший 4 2 2 5" xfId="23773"/>
    <cellStyle name="Хороший 4 2 2 6" xfId="23774"/>
    <cellStyle name="Хороший 4 2 3" xfId="23775"/>
    <cellStyle name="Хороший 4 2 3 2" xfId="23776"/>
    <cellStyle name="Хороший 4 2 3 3" xfId="23777"/>
    <cellStyle name="Хороший 4 2 3 4" xfId="23778"/>
    <cellStyle name="Хороший 4 2 3 5" xfId="23779"/>
    <cellStyle name="Хороший 4 2 3 6" xfId="23780"/>
    <cellStyle name="Хороший 4 2 4" xfId="23781"/>
    <cellStyle name="Хороший 4 2 5" xfId="23782"/>
    <cellStyle name="Хороший 4 2 6" xfId="23783"/>
    <cellStyle name="Хороший 4 2 7" xfId="23784"/>
    <cellStyle name="Хороший 4 2 8" xfId="23785"/>
    <cellStyle name="Хороший 4 3" xfId="23786"/>
    <cellStyle name="Хороший 4 3 2" xfId="23787"/>
    <cellStyle name="Хороший 4 3 3" xfId="23788"/>
    <cellStyle name="Хороший 4 3 4" xfId="23789"/>
    <cellStyle name="Хороший 4 3 5" xfId="23790"/>
    <cellStyle name="Хороший 4 3 6" xfId="23791"/>
    <cellStyle name="Хороший 4 4" xfId="23792"/>
    <cellStyle name="Хороший 4 4 2" xfId="23793"/>
    <cellStyle name="Хороший 4 4 3" xfId="23794"/>
    <cellStyle name="Хороший 4 4 4" xfId="23795"/>
    <cellStyle name="Хороший 4 4 5" xfId="23796"/>
    <cellStyle name="Хороший 4 5" xfId="23797"/>
    <cellStyle name="Хороший 4 6" xfId="23798"/>
    <cellStyle name="Хороший 4 7" xfId="23799"/>
    <cellStyle name="Хороший 4 8" xfId="23800"/>
    <cellStyle name="Хороший 5" xfId="23801"/>
    <cellStyle name="Хороший 5 2" xfId="23802"/>
    <cellStyle name="Хороший 5 2 2" xfId="23803"/>
    <cellStyle name="Хороший 5 2 2 2" xfId="23804"/>
    <cellStyle name="Хороший 5 2 2 3" xfId="23805"/>
    <cellStyle name="Хороший 5 2 2 4" xfId="23806"/>
    <cellStyle name="Хороший 5 2 2 5" xfId="23807"/>
    <cellStyle name="Хороший 5 2 2 6" xfId="23808"/>
    <cellStyle name="Хороший 5 2 3" xfId="23809"/>
    <cellStyle name="Хороший 5 2 3 2" xfId="23810"/>
    <cellStyle name="Хороший 5 2 3 3" xfId="23811"/>
    <cellStyle name="Хороший 5 2 3 4" xfId="23812"/>
    <cellStyle name="Хороший 5 2 3 5" xfId="23813"/>
    <cellStyle name="Хороший 5 2 3 6" xfId="23814"/>
    <cellStyle name="Хороший 5 2 4" xfId="23815"/>
    <cellStyle name="Хороший 5 2 5" xfId="23816"/>
    <cellStyle name="Хороший 5 2 6" xfId="23817"/>
    <cellStyle name="Хороший 5 2 7" xfId="23818"/>
    <cellStyle name="Хороший 5 2 8" xfId="23819"/>
    <cellStyle name="Хороший 5 3" xfId="23820"/>
    <cellStyle name="Хороший 5 3 2" xfId="23821"/>
    <cellStyle name="Хороший 5 3 3" xfId="23822"/>
    <cellStyle name="Хороший 5 3 4" xfId="23823"/>
    <cellStyle name="Хороший 5 3 5" xfId="23824"/>
    <cellStyle name="Хороший 5 3 6" xfId="23825"/>
    <cellStyle name="Хороший 5 4" xfId="23826"/>
    <cellStyle name="Хороший 5 4 2" xfId="23827"/>
    <cellStyle name="Хороший 5 4 3" xfId="23828"/>
    <cellStyle name="Хороший 5 4 4" xfId="23829"/>
    <cellStyle name="Хороший 5 4 5" xfId="23830"/>
    <cellStyle name="Хороший 5 5" xfId="23831"/>
    <cellStyle name="Хороший 5 6" xfId="23832"/>
    <cellStyle name="Хороший 5 7" xfId="23833"/>
    <cellStyle name="Хороший 5 8" xfId="23834"/>
  </cellStyles>
  <dxfs count="5">
    <dxf>
      <fill>
        <patternFill patternType="solid">
          <fgColor indexed="5"/>
          <bgColor indexed="64"/>
        </patternFill>
      </fill>
    </dxf>
    <dxf>
      <fill>
        <patternFill patternType="solid">
          <fgColor indexed="5"/>
          <bgColor indexed="64"/>
        </patternFill>
      </fill>
    </dxf>
    <dxf>
      <fill>
        <patternFill patternType="solid">
          <fgColor indexed="5"/>
          <bgColor indexed="64"/>
        </patternFill>
      </fill>
    </dxf>
    <dxf>
      <fill>
        <patternFill patternType="solid">
          <fgColor indexed="5"/>
          <bgColor indexed="64"/>
        </patternFill>
      </fill>
    </dxf>
    <dxf>
      <fill>
        <patternFill patternType="solid">
          <fgColor indexed="5"/>
          <bgColor indexed="64"/>
        </patternFill>
      </fill>
    </dxf>
  </dxfs>
  <tableStyles count="0" defaultTableStyle="TableStyleMedium2" defaultPivotStyle="PivotStyleLight16"/>
  <colors>
    <mruColors>
      <color rgb="FFFF00FF"/>
      <color rgb="FFF1AB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9.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isuk\Downloads\Users\sedletskaya\Desktop\&#1084;&#1086;&#1077;%20&#1082;&#1086;&#1088;&#1088;&#1077;&#1082;&#1090;&#1080;&#1088;&#1086;&#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suk\Downloads\Users\sedletskaya\Desktop\&#1056;&#1045;&#1044;&#1040;&#1050;&#1062;&#1048;&#1071;%20&#1057;&#1054;&#1043;&#1051;&#1040;&#1057;&#1054;&#1042;&#1040;&#1053;&#1053;&#1040;&#1071;%20&#1050;&#1054;&#1056;&#1056;&#1045;&#1050;&#1058;&#1048;&#1056;&#1054;&#1042;&#1050;&#1040;_29%2001%202021%20(3)%20(2)%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uk\Downloads\User\IOGV11\Public\&#1043;&#1054;&#1057;&#1059;&#1044;&#1040;&#1056;&#1057;&#1058;&#1042;&#1045;&#1053;&#1053;&#1040;&#1071;%20&#1055;&#1056;&#1054;&#1043;&#1056;&#1040;&#1052;&#1052;&#1040;\3)%20&#1087;&#1088;&#1086;&#1077;&#1082;&#1090;%20&#1080;&#1079;&#1084;&#1077;&#1085;&#1077;&#1085;&#1080;&#1081;%20&#1074;%20&#1043;&#1055;\&#1055;&#1083;&#1072;&#1085;%20&#1056;&#1077;&#1072;&#1083;&#1080;&#1079;&#1072;&#1094;&#1080;&#1080;%20&#1043;&#1055;%202019-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suk\Downloads\Users\sedletskaya\Desktop\&#1041;&#1070;&#1044;&#1046;&#1045;&#1058;%20&#1053;&#1040;%2022-24\&#1054;&#1041;&#1066;&#1045;&#1050;&#1058;&#1067;%20&#1053;&#1040;&#1064;&#1048;%20&#1042;%20&#1050;&#1059;&#1051;&#1048;&#1050;&#1054;&#1042;&#1054;&#104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suk\Downloads\Users\sedletskaya\Downloads\&#1055;&#1083;&#1072;&#1085;%20&#1088;&#1077;&#1072;&#1083;&#1080;&#1079;&#1072;&#1094;&#1080;&#1080;%20&#1043;&#1055;%202021-2025_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suk\Downloads\&#1052;&#1048;&#1053;&#1057;&#1058;&#1056;&#1054;&#1049;\!_&#1055;&#1083;&#1072;&#1085;%20&#1088;&#1077;&#1072;&#1083;&#1080;&#1079;&#1072;&#1094;&#1080;&#1080;%20&#1043;&#1055;_794_523824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suk\Downloads\!_&#1055;&#1083;&#1072;&#1085;%20&#1088;&#1077;&#1072;&#1083;&#1080;&#1079;&#1072;&#1094;&#1080;&#1080;%20&#1043;&#1055;_794_962_&#1055;&#105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suk\Downloads\3_&#1052;&#1080;&#1085;&#1089;&#1087;&#1086;&#1088;&#1090;_&#1055;&#1083;&#1072;&#1085;%20&#1088;&#1077;&#1072;&#1083;&#1080;&#1079;&#1072;&#1094;&#1080;&#1080;%20&#1043;&#1055;_%2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suk\Downloads\&#1055;&#1083;&#1072;&#1085;%20&#1085;&#1086;&#1074;.&#1088;&#1077;&#1076;.%20&#1074;&#1088;-4694110_&#1050;&#1054;&#1052;&#1060;%20&#1046;&#1048;&#1051;&#1068;&#1045;_&#1057;&#1054;&#1055;&#1050;&#104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sheetDataSet>
      <sheetData sheetId="0">
        <row r="99">
          <cell r="M99">
            <v>74268313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2)"/>
    </sheetNames>
    <sheetDataSet>
      <sheetData sheetId="0">
        <row r="46">
          <cell r="O46">
            <v>338852100</v>
          </cell>
        </row>
        <row r="48">
          <cell r="R48">
            <v>520528000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16-18"/>
      <sheetName val="5. Фин уч"/>
      <sheetName val="c учетом УС"/>
      <sheetName val="8 План16-19 (2)"/>
      <sheetName val=" 3.ОМ 16-19"/>
      <sheetName val="Изменения 2017 Минфин"/>
      <sheetName val="8 План18-20-1"/>
      <sheetName val="8 План18-20-2"/>
      <sheetName val="10в Справка ОКС 18.03.19"/>
      <sheetName val="8 План16-20"/>
      <sheetName val="4.ОКС"/>
      <sheetName val="Пр ГП 19-20"/>
      <sheetName val="8 План19-21-1"/>
      <sheetName val="8 План18-20-5"/>
      <sheetName val="10в Справка ОКС"/>
      <sheetName val="Сводная"/>
      <sheetName val="9. План 21-25"/>
      <sheetName val="10в. Спр ОКС"/>
      <sheetName val="4. ОКС 16-19-3"/>
      <sheetName val="Пр8 16-19 (2)"/>
      <sheetName val="для счета"/>
      <sheetName val="10а. Спр пок  "/>
      <sheetName val="Пр10б. Справка"/>
      <sheetName val="Пр ГП 19-20 (2)"/>
      <sheetName val="Пр 10в ОК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7">
          <cell r="E17">
            <v>40585.5</v>
          </cell>
        </row>
        <row r="107">
          <cell r="E107">
            <v>17843.7</v>
          </cell>
          <cell r="F107">
            <v>17843.7</v>
          </cell>
          <cell r="G107">
            <v>0</v>
          </cell>
          <cell r="H107">
            <v>0</v>
          </cell>
          <cell r="I107">
            <v>0</v>
          </cell>
        </row>
        <row r="108">
          <cell r="E108">
            <v>11236.2</v>
          </cell>
          <cell r="F108">
            <v>11236.2</v>
          </cell>
          <cell r="G108">
            <v>0</v>
          </cell>
          <cell r="H108">
            <v>0</v>
          </cell>
          <cell r="I108">
            <v>0</v>
          </cell>
        </row>
        <row r="109">
          <cell r="E109">
            <v>6607.5</v>
          </cell>
          <cell r="F109">
            <v>6607.5</v>
          </cell>
          <cell r="G109">
            <v>0</v>
          </cell>
          <cell r="H109">
            <v>0</v>
          </cell>
          <cell r="I109">
            <v>0</v>
          </cell>
        </row>
        <row r="110">
          <cell r="E110">
            <v>34180.699999999997</v>
          </cell>
          <cell r="F110">
            <v>31423.599999999999</v>
          </cell>
          <cell r="G110">
            <v>0</v>
          </cell>
          <cell r="H110">
            <v>2757.1</v>
          </cell>
          <cell r="I110">
            <v>0</v>
          </cell>
        </row>
        <row r="111">
          <cell r="E111">
            <v>0</v>
          </cell>
          <cell r="F111">
            <v>0</v>
          </cell>
          <cell r="G111">
            <v>0</v>
          </cell>
          <cell r="H111">
            <v>0</v>
          </cell>
          <cell r="I111">
            <v>0</v>
          </cell>
        </row>
        <row r="112">
          <cell r="E112">
            <v>34180.699999999997</v>
          </cell>
          <cell r="F112">
            <v>31423.599999999999</v>
          </cell>
          <cell r="G112">
            <v>0</v>
          </cell>
          <cell r="H112">
            <v>2757.1</v>
          </cell>
          <cell r="I112">
            <v>0</v>
          </cell>
        </row>
        <row r="113">
          <cell r="E113">
            <v>872992.5</v>
          </cell>
          <cell r="F113">
            <v>858107.2</v>
          </cell>
          <cell r="G113">
            <v>14885.3</v>
          </cell>
          <cell r="H113">
            <v>0</v>
          </cell>
          <cell r="I113">
            <v>0</v>
          </cell>
        </row>
        <row r="114">
          <cell r="E114">
            <v>380552</v>
          </cell>
          <cell r="F114">
            <v>371642.4</v>
          </cell>
          <cell r="G114">
            <v>8909.6</v>
          </cell>
          <cell r="H114">
            <v>0</v>
          </cell>
          <cell r="I114">
            <v>0</v>
          </cell>
        </row>
        <row r="115">
          <cell r="E115">
            <v>492440.5</v>
          </cell>
          <cell r="F115">
            <v>486464.8</v>
          </cell>
          <cell r="G115">
            <v>5975.7</v>
          </cell>
          <cell r="H115">
            <v>0</v>
          </cell>
          <cell r="I115">
            <v>0</v>
          </cell>
        </row>
        <row r="116">
          <cell r="E116">
            <v>8000</v>
          </cell>
          <cell r="F116">
            <v>8000</v>
          </cell>
          <cell r="G116">
            <v>0</v>
          </cell>
          <cell r="H116">
            <v>0</v>
          </cell>
          <cell r="I116">
            <v>0</v>
          </cell>
        </row>
        <row r="117">
          <cell r="E117">
            <v>0</v>
          </cell>
          <cell r="F117">
            <v>0</v>
          </cell>
          <cell r="G117">
            <v>0</v>
          </cell>
          <cell r="H117">
            <v>0</v>
          </cell>
          <cell r="I117">
            <v>0</v>
          </cell>
        </row>
        <row r="118">
          <cell r="E118">
            <v>8000</v>
          </cell>
          <cell r="F118">
            <v>8000</v>
          </cell>
          <cell r="G118">
            <v>0</v>
          </cell>
          <cell r="H118">
            <v>0</v>
          </cell>
          <cell r="I118">
            <v>0</v>
          </cell>
        </row>
        <row r="233">
          <cell r="E233">
            <v>1574730.5</v>
          </cell>
          <cell r="F233">
            <v>566358</v>
          </cell>
          <cell r="G233">
            <v>822432.8</v>
          </cell>
          <cell r="H233">
            <v>149939.70000000001</v>
          </cell>
          <cell r="I233">
            <v>36000</v>
          </cell>
        </row>
        <row r="234">
          <cell r="E234">
            <v>609120.5</v>
          </cell>
          <cell r="F234">
            <v>201683.10000000003</v>
          </cell>
          <cell r="G234">
            <v>312087.3</v>
          </cell>
          <cell r="H234">
            <v>67050.100000000006</v>
          </cell>
          <cell r="I234">
            <v>28300</v>
          </cell>
        </row>
        <row r="242">
          <cell r="E242">
            <v>401380.4</v>
          </cell>
          <cell r="F242">
            <v>178341.40000000002</v>
          </cell>
          <cell r="G242">
            <v>223039</v>
          </cell>
          <cell r="H242">
            <v>0</v>
          </cell>
          <cell r="I242">
            <v>0</v>
          </cell>
        </row>
        <row r="243">
          <cell r="E243">
            <v>88528.6</v>
          </cell>
          <cell r="F243">
            <v>68528.600000000006</v>
          </cell>
          <cell r="G243">
            <v>20000</v>
          </cell>
          <cell r="H243">
            <v>0</v>
          </cell>
          <cell r="I243">
            <v>0</v>
          </cell>
        </row>
        <row r="244">
          <cell r="E244">
            <v>312851.8</v>
          </cell>
          <cell r="F244">
            <v>109812.8</v>
          </cell>
          <cell r="G244">
            <v>203039</v>
          </cell>
          <cell r="H244">
            <v>0</v>
          </cell>
          <cell r="I244">
            <v>0</v>
          </cell>
        </row>
        <row r="272">
          <cell r="E272">
            <v>77051.199999999997</v>
          </cell>
          <cell r="F272">
            <v>77051.199999999997</v>
          </cell>
          <cell r="G272">
            <v>0</v>
          </cell>
          <cell r="H272">
            <v>0</v>
          </cell>
          <cell r="I272">
            <v>0</v>
          </cell>
        </row>
        <row r="273">
          <cell r="E273">
            <v>29163.3</v>
          </cell>
          <cell r="F273">
            <v>29163.3</v>
          </cell>
          <cell r="G273">
            <v>0</v>
          </cell>
          <cell r="H273">
            <v>0</v>
          </cell>
          <cell r="I273">
            <v>0</v>
          </cell>
        </row>
        <row r="274">
          <cell r="E274">
            <v>47887.9</v>
          </cell>
          <cell r="F274">
            <v>47887.9</v>
          </cell>
          <cell r="G274">
            <v>0</v>
          </cell>
          <cell r="H274">
            <v>0</v>
          </cell>
          <cell r="I274">
            <v>0</v>
          </cell>
        </row>
        <row r="275">
          <cell r="E275">
            <v>77051.199999999997</v>
          </cell>
          <cell r="F275">
            <v>77051.199999999997</v>
          </cell>
          <cell r="G275">
            <v>0</v>
          </cell>
          <cell r="H275">
            <v>0</v>
          </cell>
          <cell r="I275">
            <v>0</v>
          </cell>
        </row>
        <row r="276">
          <cell r="E276">
            <v>29163.3</v>
          </cell>
          <cell r="F276">
            <v>29163.3</v>
          </cell>
          <cell r="G276">
            <v>0</v>
          </cell>
          <cell r="H276">
            <v>0</v>
          </cell>
          <cell r="I276">
            <v>0</v>
          </cell>
        </row>
        <row r="277">
          <cell r="E277">
            <v>47887.9</v>
          </cell>
          <cell r="F277">
            <v>47887.9</v>
          </cell>
          <cell r="G277">
            <v>0</v>
          </cell>
          <cell r="H277">
            <v>0</v>
          </cell>
          <cell r="I277">
            <v>0</v>
          </cell>
        </row>
        <row r="278">
          <cell r="E278">
            <v>77051.199999999997</v>
          </cell>
          <cell r="F278">
            <v>77051.199999999997</v>
          </cell>
          <cell r="G278">
            <v>0</v>
          </cell>
          <cell r="H278">
            <v>0</v>
          </cell>
          <cell r="I278">
            <v>0</v>
          </cell>
        </row>
        <row r="279">
          <cell r="E279">
            <v>29163.3</v>
          </cell>
          <cell r="F279">
            <v>29163.3</v>
          </cell>
          <cell r="G279">
            <v>0</v>
          </cell>
          <cell r="H279">
            <v>0</v>
          </cell>
          <cell r="I279">
            <v>0</v>
          </cell>
        </row>
        <row r="280">
          <cell r="E280">
            <v>47887.9</v>
          </cell>
          <cell r="F280">
            <v>47887.9</v>
          </cell>
          <cell r="G280">
            <v>0</v>
          </cell>
          <cell r="H280">
            <v>0</v>
          </cell>
          <cell r="I280">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Документ"/>
    </sheetNames>
    <sheetDataSet>
      <sheetData sheetId="0" refreshError="1">
        <row r="110">
          <cell r="L110">
            <v>67171.717171717173</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ОКС"/>
      <sheetName val="План 21-25"/>
      <sheetName val="План реализации _ 10"/>
      <sheetName val="Роспись Минстрой"/>
      <sheetName val=" 6.ОМ"/>
      <sheetName val="Лист1"/>
      <sheetName val="10а. Спр пок  "/>
      <sheetName val="Пр10б. Справка"/>
      <sheetName val="План 21-25_9"/>
      <sheetName val="ГП РФ"/>
      <sheetName val="Пр 10в ОКС"/>
      <sheetName val="План 21-25_8 (2)"/>
      <sheetName val="План 21-25_7 (2)"/>
    </sheetNames>
    <sheetDataSet>
      <sheetData sheetId="0" refreshError="1"/>
      <sheetData sheetId="1" refreshError="1"/>
      <sheetData sheetId="2">
        <row r="240">
          <cell r="G240">
            <v>0</v>
          </cell>
          <cell r="I240">
            <v>0</v>
          </cell>
        </row>
        <row r="243">
          <cell r="G243">
            <v>0</v>
          </cell>
          <cell r="I243">
            <v>0</v>
          </cell>
        </row>
        <row r="244">
          <cell r="F244">
            <v>0</v>
          </cell>
          <cell r="G244">
            <v>0</v>
          </cell>
          <cell r="H244">
            <v>0</v>
          </cell>
          <cell r="I244">
            <v>0</v>
          </cell>
        </row>
        <row r="245">
          <cell r="F245">
            <v>0</v>
          </cell>
          <cell r="G245">
            <v>0</v>
          </cell>
          <cell r="H245">
            <v>0</v>
          </cell>
          <cell r="I245">
            <v>0</v>
          </cell>
        </row>
        <row r="247">
          <cell r="F247">
            <v>31280.92</v>
          </cell>
          <cell r="G247">
            <v>0</v>
          </cell>
          <cell r="H247">
            <v>9716.3539187418082</v>
          </cell>
          <cell r="I247">
            <v>0</v>
          </cell>
        </row>
        <row r="248">
          <cell r="F248">
            <v>0</v>
          </cell>
          <cell r="G248">
            <v>0</v>
          </cell>
          <cell r="H248">
            <v>0</v>
          </cell>
          <cell r="I248">
            <v>0</v>
          </cell>
        </row>
        <row r="249">
          <cell r="F249">
            <v>0</v>
          </cell>
          <cell r="G249">
            <v>0</v>
          </cell>
          <cell r="H249">
            <v>0</v>
          </cell>
          <cell r="I249">
            <v>0</v>
          </cell>
        </row>
        <row r="250">
          <cell r="F250">
            <v>0</v>
          </cell>
          <cell r="G250">
            <v>0</v>
          </cell>
          <cell r="H250">
            <v>0</v>
          </cell>
          <cell r="I250">
            <v>0</v>
          </cell>
        </row>
        <row r="251">
          <cell r="F251">
            <v>0</v>
          </cell>
          <cell r="G251">
            <v>0</v>
          </cell>
          <cell r="H251">
            <v>0</v>
          </cell>
          <cell r="I251">
            <v>0</v>
          </cell>
        </row>
        <row r="253">
          <cell r="G253">
            <v>0</v>
          </cell>
          <cell r="I253">
            <v>0</v>
          </cell>
        </row>
        <row r="265">
          <cell r="F265">
            <v>7970.9</v>
          </cell>
          <cell r="G265">
            <v>0</v>
          </cell>
          <cell r="H265">
            <v>2475.9</v>
          </cell>
          <cell r="I265">
            <v>0</v>
          </cell>
        </row>
        <row r="266">
          <cell r="G266">
            <v>0</v>
          </cell>
          <cell r="I266">
            <v>0</v>
          </cell>
        </row>
        <row r="267">
          <cell r="F267">
            <v>0</v>
          </cell>
          <cell r="G267">
            <v>0</v>
          </cell>
          <cell r="H267">
            <v>0</v>
          </cell>
          <cell r="I267">
            <v>0</v>
          </cell>
        </row>
        <row r="268">
          <cell r="F268">
            <v>0</v>
          </cell>
          <cell r="G268">
            <v>0</v>
          </cell>
          <cell r="H268">
            <v>0</v>
          </cell>
          <cell r="I268">
            <v>0</v>
          </cell>
        </row>
        <row r="269">
          <cell r="F269">
            <v>0</v>
          </cell>
          <cell r="G269">
            <v>0</v>
          </cell>
          <cell r="H269">
            <v>0</v>
          </cell>
          <cell r="I269">
            <v>0</v>
          </cell>
        </row>
        <row r="274">
          <cell r="G274">
            <v>0</v>
          </cell>
          <cell r="I274">
            <v>0</v>
          </cell>
        </row>
        <row r="280">
          <cell r="G280">
            <v>0</v>
          </cell>
          <cell r="I280">
            <v>0</v>
          </cell>
        </row>
        <row r="281">
          <cell r="G281">
            <v>0</v>
          </cell>
          <cell r="I281">
            <v>0</v>
          </cell>
        </row>
        <row r="282">
          <cell r="G282">
            <v>0</v>
          </cell>
          <cell r="I282">
            <v>0</v>
          </cell>
        </row>
        <row r="283">
          <cell r="G283">
            <v>0</v>
          </cell>
          <cell r="I283">
            <v>0</v>
          </cell>
        </row>
        <row r="284">
          <cell r="F284">
            <v>0</v>
          </cell>
          <cell r="G284">
            <v>0</v>
          </cell>
          <cell r="H284">
            <v>0</v>
          </cell>
          <cell r="I284">
            <v>0</v>
          </cell>
        </row>
        <row r="286">
          <cell r="G286">
            <v>0</v>
          </cell>
          <cell r="I286">
            <v>0</v>
          </cell>
        </row>
        <row r="287">
          <cell r="G287">
            <v>0</v>
          </cell>
          <cell r="I287">
            <v>0</v>
          </cell>
        </row>
        <row r="288">
          <cell r="G288">
            <v>0</v>
          </cell>
          <cell r="I288">
            <v>0</v>
          </cell>
        </row>
        <row r="289">
          <cell r="G289">
            <v>0</v>
          </cell>
          <cell r="I289">
            <v>0</v>
          </cell>
        </row>
        <row r="290">
          <cell r="F290">
            <v>6000</v>
          </cell>
          <cell r="G290">
            <v>0</v>
          </cell>
          <cell r="H290">
            <v>0</v>
          </cell>
          <cell r="I290">
            <v>0</v>
          </cell>
        </row>
        <row r="292">
          <cell r="G292">
            <v>0</v>
          </cell>
          <cell r="I292">
            <v>0</v>
          </cell>
        </row>
        <row r="293">
          <cell r="G293">
            <v>0</v>
          </cell>
          <cell r="I293">
            <v>0</v>
          </cell>
        </row>
        <row r="294">
          <cell r="G294">
            <v>0</v>
          </cell>
          <cell r="I294">
            <v>0</v>
          </cell>
        </row>
        <row r="295">
          <cell r="G295">
            <v>0</v>
          </cell>
          <cell r="I295">
            <v>0</v>
          </cell>
        </row>
        <row r="296">
          <cell r="F296">
            <v>0</v>
          </cell>
          <cell r="G296">
            <v>0</v>
          </cell>
          <cell r="H296">
            <v>0</v>
          </cell>
          <cell r="I296">
            <v>0</v>
          </cell>
        </row>
        <row r="298">
          <cell r="G298">
            <v>0</v>
          </cell>
          <cell r="I298">
            <v>0</v>
          </cell>
        </row>
        <row r="299">
          <cell r="G299">
            <v>0</v>
          </cell>
          <cell r="I299">
            <v>0</v>
          </cell>
        </row>
        <row r="300">
          <cell r="G300">
            <v>0</v>
          </cell>
          <cell r="I300">
            <v>0</v>
          </cell>
        </row>
        <row r="301">
          <cell r="G301">
            <v>0</v>
          </cell>
          <cell r="I301">
            <v>0</v>
          </cell>
        </row>
        <row r="302">
          <cell r="F302">
            <v>0</v>
          </cell>
          <cell r="G302">
            <v>0</v>
          </cell>
          <cell r="H302">
            <v>0</v>
          </cell>
          <cell r="I302">
            <v>0</v>
          </cell>
        </row>
        <row r="304">
          <cell r="G304">
            <v>0</v>
          </cell>
          <cell r="I304">
            <v>0</v>
          </cell>
        </row>
        <row r="305">
          <cell r="G305">
            <v>0</v>
          </cell>
          <cell r="I305">
            <v>0</v>
          </cell>
        </row>
        <row r="306">
          <cell r="G306">
            <v>0</v>
          </cell>
          <cell r="I306">
            <v>0</v>
          </cell>
        </row>
        <row r="307">
          <cell r="G307">
            <v>0</v>
          </cell>
          <cell r="I307">
            <v>0</v>
          </cell>
        </row>
        <row r="308">
          <cell r="F308">
            <v>0</v>
          </cell>
          <cell r="G308">
            <v>0</v>
          </cell>
          <cell r="H308">
            <v>0</v>
          </cell>
          <cell r="I308">
            <v>0</v>
          </cell>
        </row>
        <row r="310">
          <cell r="G310">
            <v>0</v>
          </cell>
          <cell r="I310">
            <v>0</v>
          </cell>
        </row>
        <row r="311">
          <cell r="G311">
            <v>0</v>
          </cell>
          <cell r="I311">
            <v>0</v>
          </cell>
        </row>
        <row r="312">
          <cell r="G312">
            <v>0</v>
          </cell>
          <cell r="I312">
            <v>0</v>
          </cell>
        </row>
        <row r="313">
          <cell r="G313">
            <v>0</v>
          </cell>
          <cell r="I313">
            <v>0</v>
          </cell>
        </row>
        <row r="314">
          <cell r="F314">
            <v>0</v>
          </cell>
          <cell r="G314">
            <v>0</v>
          </cell>
          <cell r="H314">
            <v>0</v>
          </cell>
          <cell r="I314">
            <v>0</v>
          </cell>
        </row>
        <row r="316">
          <cell r="G316">
            <v>0</v>
          </cell>
          <cell r="I316">
            <v>0</v>
          </cell>
        </row>
        <row r="317">
          <cell r="G317">
            <v>0</v>
          </cell>
          <cell r="I317">
            <v>0</v>
          </cell>
        </row>
        <row r="318">
          <cell r="G318">
            <v>0</v>
          </cell>
          <cell r="I318">
            <v>0</v>
          </cell>
        </row>
        <row r="319">
          <cell r="G319">
            <v>0</v>
          </cell>
          <cell r="I319">
            <v>0</v>
          </cell>
        </row>
        <row r="320">
          <cell r="F320">
            <v>0</v>
          </cell>
          <cell r="G320">
            <v>0</v>
          </cell>
          <cell r="H320">
            <v>0</v>
          </cell>
          <cell r="I320">
            <v>0</v>
          </cell>
        </row>
        <row r="322">
          <cell r="G322">
            <v>0</v>
          </cell>
          <cell r="I322">
            <v>0</v>
          </cell>
        </row>
        <row r="323">
          <cell r="G323">
            <v>0</v>
          </cell>
          <cell r="I323">
            <v>0</v>
          </cell>
        </row>
        <row r="324">
          <cell r="G324">
            <v>0</v>
          </cell>
          <cell r="I324">
            <v>0</v>
          </cell>
        </row>
        <row r="325">
          <cell r="G325">
            <v>0</v>
          </cell>
          <cell r="I325">
            <v>0</v>
          </cell>
        </row>
        <row r="326">
          <cell r="F326">
            <v>0</v>
          </cell>
          <cell r="G326">
            <v>0</v>
          </cell>
          <cell r="H326">
            <v>0</v>
          </cell>
          <cell r="I326">
            <v>0</v>
          </cell>
        </row>
        <row r="328">
          <cell r="G328">
            <v>0</v>
          </cell>
          <cell r="I328">
            <v>0</v>
          </cell>
        </row>
        <row r="329">
          <cell r="G329">
            <v>0</v>
          </cell>
          <cell r="I329">
            <v>0</v>
          </cell>
        </row>
        <row r="330">
          <cell r="G330">
            <v>0</v>
          </cell>
          <cell r="I330">
            <v>0</v>
          </cell>
        </row>
        <row r="331">
          <cell r="G331">
            <v>0</v>
          </cell>
          <cell r="I331">
            <v>0</v>
          </cell>
        </row>
        <row r="332">
          <cell r="F332">
            <v>0</v>
          </cell>
          <cell r="G332">
            <v>0</v>
          </cell>
          <cell r="H332">
            <v>0</v>
          </cell>
          <cell r="I332">
            <v>0</v>
          </cell>
        </row>
        <row r="379">
          <cell r="E379">
            <v>94465.110319999992</v>
          </cell>
          <cell r="F379">
            <v>5458.1035300000003</v>
          </cell>
          <cell r="G379">
            <v>88723.845570000005</v>
          </cell>
          <cell r="H379">
            <v>283.16122000000001</v>
          </cell>
          <cell r="I379">
            <v>0</v>
          </cell>
        </row>
        <row r="380">
          <cell r="E380">
            <v>191987.67543</v>
          </cell>
          <cell r="F380">
            <v>151477.97514</v>
          </cell>
          <cell r="G380">
            <v>32529.403040000001</v>
          </cell>
          <cell r="H380">
            <v>7980.2972499999996</v>
          </cell>
          <cell r="I380">
            <v>0</v>
          </cell>
        </row>
        <row r="385">
          <cell r="E385">
            <v>179685.52267000001</v>
          </cell>
          <cell r="F385">
            <v>10382.057000000001</v>
          </cell>
          <cell r="G385">
            <v>168764.85443000001</v>
          </cell>
          <cell r="H385">
            <v>538.61123999999995</v>
          </cell>
          <cell r="I385">
            <v>0</v>
          </cell>
        </row>
        <row r="386">
          <cell r="E386">
            <v>224331.25976000002</v>
          </cell>
          <cell r="F386">
            <v>132368.91179000001</v>
          </cell>
          <cell r="G386">
            <v>84981.896959999998</v>
          </cell>
          <cell r="H386">
            <v>6980.4510099999998</v>
          </cell>
          <cell r="I386">
            <v>0</v>
          </cell>
        </row>
        <row r="393">
          <cell r="F393">
            <v>7725.3</v>
          </cell>
          <cell r="H393">
            <v>406.59473684210525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1-25"/>
      <sheetName val="Роспись Минстрой"/>
      <sheetName val="План реализации _ 10"/>
      <sheetName val="План реализации _ 11"/>
      <sheetName val="Пр10б. Справка 11"/>
      <sheetName val="4.ОКС_2"/>
      <sheetName val="Справка 6б"/>
      <sheetName val="План реализации 13"/>
      <sheetName val="План реализации 14"/>
      <sheetName val="Справка 11 в"/>
      <sheetName val="Лист1"/>
      <sheetName val="10а. Спр пок  "/>
      <sheetName val="План 21-25_9"/>
      <sheetName val="ГП РФ"/>
      <sheetName val="Пр 10в ОКС"/>
      <sheetName val="План 21-25_8 (2)"/>
      <sheetName val="962-ПП"/>
      <sheetName val="6_ОМ_01_2024"/>
      <sheetName val="5092197"/>
      <sheetName val="СТАРЫЙ"/>
      <sheetName val="НОВЫЙ_МИНСТРОЙ"/>
      <sheetName val="Пр 11б. Справка"/>
      <sheetName val="6.ОМ"/>
      <sheetName val="Справка_Минэнерго"/>
      <sheetName val="ОМ_минэнерго"/>
      <sheetName val="План_минэн."/>
      <sheetName val="План_нов_ред.минэ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89">
          <cell r="E689">
            <v>1965199.79856</v>
          </cell>
          <cell r="F689">
            <v>1667880.05856</v>
          </cell>
          <cell r="G689">
            <v>297319.74</v>
          </cell>
          <cell r="H689">
            <v>0</v>
          </cell>
          <cell r="I689">
            <v>0</v>
          </cell>
        </row>
        <row r="690">
          <cell r="E690">
            <v>0</v>
          </cell>
          <cell r="F690">
            <v>0</v>
          </cell>
          <cell r="G690">
            <v>0</v>
          </cell>
          <cell r="H690">
            <v>0</v>
          </cell>
          <cell r="I690">
            <v>0</v>
          </cell>
        </row>
        <row r="691">
          <cell r="E691">
            <v>0</v>
          </cell>
          <cell r="F691">
            <v>0</v>
          </cell>
          <cell r="G691">
            <v>0</v>
          </cell>
          <cell r="H691">
            <v>0</v>
          </cell>
          <cell r="I691">
            <v>0</v>
          </cell>
        </row>
        <row r="692">
          <cell r="E692">
            <v>381844.82530999999</v>
          </cell>
          <cell r="F692">
            <v>84525.085309999995</v>
          </cell>
          <cell r="G692">
            <v>297319.74</v>
          </cell>
          <cell r="H692">
            <v>0</v>
          </cell>
          <cell r="I692">
            <v>0</v>
          </cell>
        </row>
        <row r="693">
          <cell r="E693">
            <v>1101184.97325</v>
          </cell>
          <cell r="H693">
            <v>0</v>
          </cell>
          <cell r="I693">
            <v>0</v>
          </cell>
        </row>
        <row r="694">
          <cell r="E694">
            <v>482170</v>
          </cell>
          <cell r="F694">
            <v>482170</v>
          </cell>
          <cell r="G694">
            <v>0</v>
          </cell>
          <cell r="H694">
            <v>0</v>
          </cell>
          <cell r="I694">
            <v>0</v>
          </cell>
        </row>
        <row r="696">
          <cell r="E696">
            <v>0</v>
          </cell>
          <cell r="F696">
            <v>0</v>
          </cell>
          <cell r="G696">
            <v>0</v>
          </cell>
          <cell r="H696">
            <v>0</v>
          </cell>
          <cell r="I696">
            <v>0</v>
          </cell>
        </row>
        <row r="697">
          <cell r="E697">
            <v>0</v>
          </cell>
          <cell r="F697">
            <v>0</v>
          </cell>
          <cell r="G697">
            <v>0</v>
          </cell>
          <cell r="H697">
            <v>0</v>
          </cell>
          <cell r="I697">
            <v>0</v>
          </cell>
        </row>
        <row r="698">
          <cell r="E698">
            <v>265001.71531</v>
          </cell>
          <cell r="F698">
            <v>84525.085309999995</v>
          </cell>
          <cell r="G698">
            <v>180476.63</v>
          </cell>
          <cell r="H698">
            <v>0</v>
          </cell>
          <cell r="I698">
            <v>0</v>
          </cell>
        </row>
        <row r="699">
          <cell r="E699">
            <v>619014.97325000004</v>
          </cell>
          <cell r="H699">
            <v>0</v>
          </cell>
          <cell r="I699">
            <v>0</v>
          </cell>
        </row>
        <row r="700">
          <cell r="E700">
            <v>0</v>
          </cell>
          <cell r="F700">
            <v>0</v>
          </cell>
          <cell r="G700">
            <v>0</v>
          </cell>
          <cell r="H700">
            <v>0</v>
          </cell>
          <cell r="I700">
            <v>0</v>
          </cell>
        </row>
        <row r="701">
          <cell r="E701">
            <v>249780</v>
          </cell>
          <cell r="F701">
            <v>184340</v>
          </cell>
          <cell r="G701">
            <v>65440</v>
          </cell>
          <cell r="H701">
            <v>0</v>
          </cell>
          <cell r="I701">
            <v>0</v>
          </cell>
        </row>
        <row r="702">
          <cell r="E702">
            <v>0</v>
          </cell>
          <cell r="F702">
            <v>0</v>
          </cell>
          <cell r="G702">
            <v>0</v>
          </cell>
          <cell r="H702">
            <v>0</v>
          </cell>
          <cell r="I702">
            <v>0</v>
          </cell>
        </row>
        <row r="703">
          <cell r="E703">
            <v>0</v>
          </cell>
          <cell r="F703">
            <v>0</v>
          </cell>
          <cell r="G703">
            <v>0</v>
          </cell>
          <cell r="H703">
            <v>0</v>
          </cell>
          <cell r="I703">
            <v>0</v>
          </cell>
        </row>
        <row r="704">
          <cell r="E704">
            <v>65440</v>
          </cell>
          <cell r="F704">
            <v>0</v>
          </cell>
          <cell r="G704">
            <v>65440</v>
          </cell>
          <cell r="H704">
            <v>0</v>
          </cell>
          <cell r="I704">
            <v>0</v>
          </cell>
        </row>
        <row r="705">
          <cell r="E705">
            <v>92170</v>
          </cell>
          <cell r="F705">
            <v>92170</v>
          </cell>
          <cell r="G705">
            <v>0</v>
          </cell>
          <cell r="H705">
            <v>0</v>
          </cell>
          <cell r="I705">
            <v>0</v>
          </cell>
        </row>
        <row r="706">
          <cell r="E706">
            <v>92170</v>
          </cell>
          <cell r="F706">
            <v>92170</v>
          </cell>
          <cell r="G706">
            <v>0</v>
          </cell>
          <cell r="H706">
            <v>0</v>
          </cell>
          <cell r="I706">
            <v>0</v>
          </cell>
        </row>
        <row r="707">
          <cell r="E707">
            <v>831403.11</v>
          </cell>
          <cell r="F707">
            <v>780000</v>
          </cell>
          <cell r="G707">
            <v>51403.11</v>
          </cell>
          <cell r="H707">
            <v>0</v>
          </cell>
          <cell r="I707">
            <v>0</v>
          </cell>
        </row>
        <row r="708">
          <cell r="E708">
            <v>0</v>
          </cell>
          <cell r="F708">
            <v>0</v>
          </cell>
          <cell r="G708">
            <v>0</v>
          </cell>
          <cell r="H708">
            <v>0</v>
          </cell>
          <cell r="I708">
            <v>0</v>
          </cell>
        </row>
        <row r="709">
          <cell r="E709">
            <v>0</v>
          </cell>
          <cell r="F709">
            <v>0</v>
          </cell>
          <cell r="G709">
            <v>0</v>
          </cell>
          <cell r="H709">
            <v>0</v>
          </cell>
          <cell r="I709">
            <v>0</v>
          </cell>
        </row>
        <row r="710">
          <cell r="E710">
            <v>51403.11</v>
          </cell>
          <cell r="F710">
            <v>0</v>
          </cell>
          <cell r="G710">
            <v>51403.11</v>
          </cell>
          <cell r="H710">
            <v>0</v>
          </cell>
          <cell r="I710">
            <v>0</v>
          </cell>
        </row>
        <row r="711">
          <cell r="E711">
            <v>390000</v>
          </cell>
          <cell r="F711">
            <v>390000</v>
          </cell>
          <cell r="G711">
            <v>0</v>
          </cell>
          <cell r="H711">
            <v>0</v>
          </cell>
          <cell r="I711">
            <v>0</v>
          </cell>
        </row>
        <row r="712">
          <cell r="E712">
            <v>390000</v>
          </cell>
          <cell r="F712">
            <v>390000</v>
          </cell>
          <cell r="G712">
            <v>0</v>
          </cell>
          <cell r="H712">
            <v>0</v>
          </cell>
          <cell r="I712">
            <v>0</v>
          </cell>
        </row>
      </sheetData>
      <sheetData sheetId="20"/>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1-25"/>
      <sheetName val="Роспись Минстрой"/>
      <sheetName val="План реализации _ 10"/>
      <sheetName val="План реализации _ 11"/>
      <sheetName val="Пр10б. Справка 11"/>
      <sheetName val="4.ОКС_2"/>
      <sheetName val="Справка 6б"/>
      <sheetName val="План реализации 13"/>
      <sheetName val="План реализации 14"/>
      <sheetName val="Справка 11 в"/>
      <sheetName val="Лист1"/>
      <sheetName val="10а. Спр пок  "/>
      <sheetName val="План 21-25_9"/>
      <sheetName val="ГП РФ"/>
      <sheetName val="Пр 10в ОКС"/>
      <sheetName val="План 21-25_8 (2)"/>
      <sheetName val="_6_ОМ"/>
      <sheetName val="5092197"/>
      <sheetName val="СТАРЫЙ"/>
      <sheetName val="НОВЫЙ"/>
      <sheetName val="Пр 11б. Справка"/>
      <sheetName val="6.ОМ"/>
      <sheetName val="Справка_Минэнерго"/>
      <sheetName val="ОМ_минэнерго"/>
      <sheetName val="План_минэн."/>
      <sheetName val="План_нов_ред.минэн."/>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89">
          <cell r="E689">
            <v>1965199.79856</v>
          </cell>
          <cell r="F689">
            <v>1667880.05856</v>
          </cell>
          <cell r="G689">
            <v>297319.74</v>
          </cell>
          <cell r="H689">
            <v>0</v>
          </cell>
          <cell r="I689">
            <v>0</v>
          </cell>
        </row>
        <row r="690">
          <cell r="E690">
            <v>0</v>
          </cell>
          <cell r="F690">
            <v>0</v>
          </cell>
          <cell r="G690">
            <v>0</v>
          </cell>
          <cell r="H690">
            <v>0</v>
          </cell>
          <cell r="I690">
            <v>0</v>
          </cell>
        </row>
        <row r="691">
          <cell r="E691">
            <v>0</v>
          </cell>
          <cell r="F691">
            <v>0</v>
          </cell>
          <cell r="G691">
            <v>0</v>
          </cell>
          <cell r="H691">
            <v>0</v>
          </cell>
          <cell r="I691">
            <v>0</v>
          </cell>
        </row>
        <row r="692">
          <cell r="E692">
            <v>381844.82530999999</v>
          </cell>
          <cell r="F692">
            <v>84525.085309999995</v>
          </cell>
          <cell r="G692">
            <v>297319.74</v>
          </cell>
          <cell r="H692">
            <v>0</v>
          </cell>
          <cell r="I692">
            <v>0</v>
          </cell>
        </row>
        <row r="693">
          <cell r="E693">
            <v>1101184.97325</v>
          </cell>
          <cell r="F693">
            <v>1101184.97325</v>
          </cell>
          <cell r="G693">
            <v>0</v>
          </cell>
          <cell r="H693">
            <v>0</v>
          </cell>
          <cell r="I693">
            <v>0</v>
          </cell>
        </row>
        <row r="694">
          <cell r="E694">
            <v>482170</v>
          </cell>
          <cell r="F694">
            <v>482170</v>
          </cell>
          <cell r="G694">
            <v>0</v>
          </cell>
          <cell r="H694">
            <v>0</v>
          </cell>
          <cell r="I694">
            <v>0</v>
          </cell>
        </row>
        <row r="695">
          <cell r="E695">
            <v>884016.68856000004</v>
          </cell>
          <cell r="F695">
            <v>703540.05856000003</v>
          </cell>
          <cell r="G695">
            <v>180476.63</v>
          </cell>
          <cell r="H695">
            <v>0</v>
          </cell>
          <cell r="I695">
            <v>0</v>
          </cell>
        </row>
        <row r="696">
          <cell r="E696">
            <v>0</v>
          </cell>
          <cell r="F696">
            <v>0</v>
          </cell>
          <cell r="G696">
            <v>0</v>
          </cell>
          <cell r="H696">
            <v>0</v>
          </cell>
          <cell r="I696">
            <v>0</v>
          </cell>
        </row>
        <row r="697">
          <cell r="E697">
            <v>0</v>
          </cell>
          <cell r="F697">
            <v>0</v>
          </cell>
          <cell r="G697">
            <v>0</v>
          </cell>
          <cell r="H697">
            <v>0</v>
          </cell>
          <cell r="I697">
            <v>0</v>
          </cell>
        </row>
        <row r="698">
          <cell r="E698">
            <v>265001.71531</v>
          </cell>
          <cell r="F698">
            <v>84525.085309999995</v>
          </cell>
          <cell r="G698">
            <v>180476.63</v>
          </cell>
          <cell r="H698">
            <v>0</v>
          </cell>
          <cell r="I698">
            <v>0</v>
          </cell>
        </row>
        <row r="699">
          <cell r="E699">
            <v>619014.97325000004</v>
          </cell>
          <cell r="F699">
            <v>619014.97325000004</v>
          </cell>
          <cell r="G699">
            <v>0</v>
          </cell>
          <cell r="H699">
            <v>0</v>
          </cell>
          <cell r="I699">
            <v>0</v>
          </cell>
        </row>
        <row r="700">
          <cell r="E700">
            <v>0</v>
          </cell>
          <cell r="F700">
            <v>0</v>
          </cell>
          <cell r="G700">
            <v>0</v>
          </cell>
          <cell r="H700">
            <v>0</v>
          </cell>
          <cell r="I700">
            <v>0</v>
          </cell>
        </row>
        <row r="701">
          <cell r="E701">
            <v>249780</v>
          </cell>
          <cell r="F701">
            <v>184340</v>
          </cell>
          <cell r="G701">
            <v>65440</v>
          </cell>
          <cell r="H701">
            <v>0</v>
          </cell>
          <cell r="I701">
            <v>0</v>
          </cell>
        </row>
        <row r="702">
          <cell r="E702">
            <v>0</v>
          </cell>
          <cell r="F702">
            <v>0</v>
          </cell>
          <cell r="G702">
            <v>0</v>
          </cell>
          <cell r="H702">
            <v>0</v>
          </cell>
          <cell r="I702">
            <v>0</v>
          </cell>
        </row>
        <row r="703">
          <cell r="E703">
            <v>0</v>
          </cell>
          <cell r="F703">
            <v>0</v>
          </cell>
          <cell r="G703">
            <v>0</v>
          </cell>
          <cell r="H703">
            <v>0</v>
          </cell>
          <cell r="I703">
            <v>0</v>
          </cell>
        </row>
        <row r="704">
          <cell r="E704">
            <v>65440</v>
          </cell>
          <cell r="F704">
            <v>0</v>
          </cell>
          <cell r="G704">
            <v>65440</v>
          </cell>
          <cell r="H704">
            <v>0</v>
          </cell>
          <cell r="I704">
            <v>0</v>
          </cell>
        </row>
        <row r="705">
          <cell r="E705">
            <v>92170</v>
          </cell>
          <cell r="F705">
            <v>92170</v>
          </cell>
          <cell r="G705">
            <v>0</v>
          </cell>
          <cell r="H705">
            <v>0</v>
          </cell>
          <cell r="I705">
            <v>0</v>
          </cell>
        </row>
        <row r="706">
          <cell r="E706">
            <v>92170</v>
          </cell>
          <cell r="F706">
            <v>92170</v>
          </cell>
          <cell r="G706">
            <v>0</v>
          </cell>
          <cell r="H706">
            <v>0</v>
          </cell>
          <cell r="I706">
            <v>0</v>
          </cell>
        </row>
        <row r="707">
          <cell r="E707">
            <v>831403.11</v>
          </cell>
          <cell r="F707">
            <v>780000</v>
          </cell>
          <cell r="G707">
            <v>51403.11</v>
          </cell>
          <cell r="H707">
            <v>0</v>
          </cell>
          <cell r="I707">
            <v>0</v>
          </cell>
        </row>
        <row r="708">
          <cell r="E708">
            <v>0</v>
          </cell>
          <cell r="F708">
            <v>0</v>
          </cell>
          <cell r="G708">
            <v>0</v>
          </cell>
          <cell r="H708">
            <v>0</v>
          </cell>
          <cell r="I708">
            <v>0</v>
          </cell>
        </row>
        <row r="709">
          <cell r="E709">
            <v>0</v>
          </cell>
          <cell r="F709">
            <v>0</v>
          </cell>
          <cell r="G709">
            <v>0</v>
          </cell>
          <cell r="H709">
            <v>0</v>
          </cell>
          <cell r="I709">
            <v>0</v>
          </cell>
        </row>
        <row r="710">
          <cell r="E710">
            <v>51403.11</v>
          </cell>
          <cell r="F710">
            <v>0</v>
          </cell>
          <cell r="G710">
            <v>51403.11</v>
          </cell>
          <cell r="H710">
            <v>0</v>
          </cell>
          <cell r="I710">
            <v>0</v>
          </cell>
        </row>
        <row r="711">
          <cell r="E711">
            <v>390000</v>
          </cell>
          <cell r="F711">
            <v>390000</v>
          </cell>
          <cell r="G711">
            <v>0</v>
          </cell>
          <cell r="H711">
            <v>0</v>
          </cell>
          <cell r="I711">
            <v>0</v>
          </cell>
        </row>
        <row r="712">
          <cell r="E712">
            <v>390000</v>
          </cell>
          <cell r="F712">
            <v>390000</v>
          </cell>
          <cell r="G712">
            <v>0</v>
          </cell>
          <cell r="H712">
            <v>0</v>
          </cell>
          <cell r="I712">
            <v>0</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21-25"/>
      <sheetName val="Роспись Минстрой"/>
      <sheetName val="План реализации _ 10"/>
      <sheetName val="План реализации _ 11"/>
      <sheetName val="Пр10б. Справка 11"/>
      <sheetName val="4.ОКС_2"/>
      <sheetName val="Справка 6б"/>
      <sheetName val="План реализации 13"/>
      <sheetName val="План реализации 14"/>
      <sheetName val="Справка 11 в"/>
      <sheetName val="Лист1"/>
      <sheetName val="10а. Спр пок  "/>
      <sheetName val="План 21-25_9"/>
      <sheetName val="ГП РФ"/>
      <sheetName val="Пр 10в ОКС"/>
      <sheetName val="План 21-25_8 (2)"/>
      <sheetName val="новый"/>
      <sheetName val="дейст"/>
      <sheetName val="Пр 11б. Справка"/>
      <sheetName val="6.ОМ"/>
      <sheetName val="Справка_Минэнерго"/>
      <sheetName val="ОМ_минэнерго"/>
      <sheetName val="План_минэн."/>
      <sheetName val="План_нов_ред.минэн."/>
      <sheetName val="_6_ОМ"/>
      <sheetName val="4 раздел"/>
      <sheetName val="11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ов.ред."/>
      <sheetName val="Справка"/>
    </sheetNames>
    <sheetDataSet>
      <sheetData sheetId="0">
        <row r="808">
          <cell r="B808" t="str">
            <v>Финансовое обеспечение затрат организациям в связи с производством (реализацией) тепловой энергии потребителям по регулируемым тарифам на территории Мурманской области</v>
          </cell>
        </row>
      </sheetData>
      <sheetData sheetId="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pageSetUpPr fitToPage="1"/>
  </sheetPr>
  <dimension ref="A1:K238"/>
  <sheetViews>
    <sheetView topLeftCell="A22" zoomScale="150" workbookViewId="0">
      <selection activeCell="J173" sqref="J173:J178"/>
    </sheetView>
  </sheetViews>
  <sheetFormatPr defaultRowHeight="15" outlineLevelRow="1" x14ac:dyDescent="0.25"/>
  <cols>
    <col min="1" max="1" width="5.5703125" customWidth="1"/>
    <col min="2" max="2" width="31.7109375" customWidth="1"/>
    <col min="3" max="4" width="8.85546875" customWidth="1"/>
    <col min="5" max="5" width="10" customWidth="1"/>
    <col min="6" max="6" width="10.42578125" customWidth="1"/>
    <col min="7" max="7" width="10.28515625" customWidth="1"/>
    <col min="8" max="8" width="7.85546875" customWidth="1"/>
    <col min="9" max="9" width="9.7109375" customWidth="1"/>
    <col min="10" max="10" width="34" customWidth="1"/>
    <col min="11" max="11" width="17" customWidth="1"/>
    <col min="14" max="14" width="13" customWidth="1"/>
  </cols>
  <sheetData>
    <row r="1" spans="1:11" ht="15.75" customHeight="1" x14ac:dyDescent="0.25">
      <c r="A1" s="107" t="s">
        <v>0</v>
      </c>
      <c r="B1" s="107"/>
      <c r="C1" s="107"/>
      <c r="D1" s="107"/>
      <c r="E1" s="107"/>
      <c r="F1" s="107"/>
      <c r="G1" s="107"/>
      <c r="H1" s="107"/>
      <c r="I1" s="107"/>
      <c r="J1" s="107"/>
      <c r="K1" s="107"/>
    </row>
    <row r="2" spans="1:11" x14ac:dyDescent="0.25">
      <c r="A2" s="107"/>
      <c r="B2" s="107"/>
      <c r="C2" s="107"/>
      <c r="D2" s="107"/>
      <c r="E2" s="107"/>
      <c r="F2" s="107"/>
      <c r="G2" s="107"/>
      <c r="H2" s="107"/>
      <c r="I2" s="107"/>
      <c r="J2" s="107"/>
      <c r="K2" s="107"/>
    </row>
    <row r="3" spans="1:11" ht="15" customHeight="1" x14ac:dyDescent="0.25">
      <c r="A3" s="107" t="s">
        <v>1</v>
      </c>
      <c r="B3" s="107" t="s">
        <v>2</v>
      </c>
      <c r="C3" s="107" t="s">
        <v>3</v>
      </c>
      <c r="D3" s="107" t="s">
        <v>4</v>
      </c>
      <c r="E3" s="107"/>
      <c r="F3" s="107"/>
      <c r="G3" s="107"/>
      <c r="H3" s="107"/>
      <c r="I3" s="107"/>
      <c r="J3" s="107" t="s">
        <v>5</v>
      </c>
      <c r="K3" s="107" t="s">
        <v>6</v>
      </c>
    </row>
    <row r="4" spans="1:11" ht="36.75" customHeight="1" x14ac:dyDescent="0.25">
      <c r="A4" s="107"/>
      <c r="B4" s="107"/>
      <c r="C4" s="107"/>
      <c r="D4" t="s">
        <v>7</v>
      </c>
      <c r="E4" t="s">
        <v>8</v>
      </c>
      <c r="F4" t="s">
        <v>9</v>
      </c>
      <c r="G4" t="s">
        <v>10</v>
      </c>
      <c r="H4" t="s">
        <v>11</v>
      </c>
      <c r="I4" t="s">
        <v>12</v>
      </c>
      <c r="J4" s="107"/>
      <c r="K4" s="107"/>
    </row>
    <row r="5" spans="1:11" ht="15" customHeight="1" x14ac:dyDescent="0.25">
      <c r="A5" s="107"/>
      <c r="B5" s="107" t="s">
        <v>13</v>
      </c>
      <c r="C5" s="107" t="s">
        <v>14</v>
      </c>
      <c r="D5" t="s">
        <v>8</v>
      </c>
      <c r="E5">
        <f t="shared" ref="E5:E34" si="0">SUM(F5:I5)</f>
        <v>5104126.2959200004</v>
      </c>
      <c r="F5">
        <f>SUM(F6:F10)</f>
        <v>4508958.1452000001</v>
      </c>
      <c r="G5">
        <f>SUM(G6:G10)</f>
        <v>575512.10000000009</v>
      </c>
      <c r="H5">
        <f>SUM(H6:H10)</f>
        <v>19656.050719999999</v>
      </c>
      <c r="I5">
        <f>SUM(I6:I10)</f>
        <v>0</v>
      </c>
      <c r="J5" s="107"/>
      <c r="K5" s="107" t="s">
        <v>15</v>
      </c>
    </row>
    <row r="6" spans="1:11" x14ac:dyDescent="0.25">
      <c r="A6" s="107"/>
      <c r="B6" s="107"/>
      <c r="C6" s="107"/>
      <c r="D6">
        <v>2021</v>
      </c>
      <c r="E6">
        <f t="shared" si="0"/>
        <v>1206094.8519100002</v>
      </c>
      <c r="F6">
        <f>F24+F84+F156+F222</f>
        <v>902500.64945000014</v>
      </c>
      <c r="G6">
        <f t="shared" ref="F6:G10" si="1">G24+G84+G156+G222</f>
        <v>298898.90000000002</v>
      </c>
      <c r="H6">
        <f>H12+H18</f>
        <v>4695.3024599999999</v>
      </c>
      <c r="I6">
        <f t="shared" ref="I6:I10" si="2">I24+I84+I156+I222</f>
        <v>0</v>
      </c>
      <c r="J6" s="107"/>
      <c r="K6" s="107"/>
    </row>
    <row r="7" spans="1:11" x14ac:dyDescent="0.25">
      <c r="A7" s="107"/>
      <c r="B7" s="107"/>
      <c r="C7" s="107"/>
      <c r="D7">
        <v>2022</v>
      </c>
      <c r="E7">
        <f t="shared" si="0"/>
        <v>1265502.97496</v>
      </c>
      <c r="F7">
        <f t="shared" si="1"/>
        <v>1119400.5267</v>
      </c>
      <c r="G7">
        <f t="shared" si="1"/>
        <v>131141.70000000001</v>
      </c>
      <c r="H7">
        <f t="shared" ref="H7:H10" si="3">H25+H85+H157+H223</f>
        <v>14960.74826</v>
      </c>
      <c r="I7">
        <f t="shared" si="2"/>
        <v>0</v>
      </c>
      <c r="J7" s="107"/>
      <c r="K7" s="107"/>
    </row>
    <row r="8" spans="1:11" x14ac:dyDescent="0.25">
      <c r="A8" s="107"/>
      <c r="B8" s="107"/>
      <c r="C8" s="107"/>
      <c r="D8">
        <v>2023</v>
      </c>
      <c r="E8">
        <f t="shared" si="0"/>
        <v>983138.71160000004</v>
      </c>
      <c r="F8">
        <f t="shared" si="1"/>
        <v>837667.21160000004</v>
      </c>
      <c r="G8">
        <f t="shared" si="1"/>
        <v>145471.5</v>
      </c>
      <c r="H8">
        <f t="shared" si="3"/>
        <v>0</v>
      </c>
      <c r="I8">
        <f t="shared" si="2"/>
        <v>0</v>
      </c>
      <c r="J8" s="107"/>
      <c r="K8" s="107"/>
    </row>
    <row r="9" spans="1:11" x14ac:dyDescent="0.25">
      <c r="A9" s="107"/>
      <c r="B9" s="107"/>
      <c r="C9" s="107"/>
      <c r="D9">
        <v>2024</v>
      </c>
      <c r="E9">
        <f t="shared" si="0"/>
        <v>829941.89545000007</v>
      </c>
      <c r="F9">
        <f t="shared" si="1"/>
        <v>829941.89545000007</v>
      </c>
      <c r="G9">
        <f t="shared" si="1"/>
        <v>0</v>
      </c>
      <c r="H9">
        <f t="shared" si="3"/>
        <v>0</v>
      </c>
      <c r="I9">
        <f t="shared" si="2"/>
        <v>0</v>
      </c>
      <c r="J9" s="107"/>
      <c r="K9" s="107"/>
    </row>
    <row r="10" spans="1:11"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1" x14ac:dyDescent="0.25">
      <c r="A11" s="107"/>
      <c r="B11" s="107" t="s">
        <v>16</v>
      </c>
      <c r="C11" s="107" t="s">
        <v>14</v>
      </c>
      <c r="D11" t="s">
        <v>8</v>
      </c>
      <c r="E11">
        <f t="shared" si="0"/>
        <v>4267805.1085900003</v>
      </c>
      <c r="F11">
        <f>SUM(F12:F16)</f>
        <v>4192656.9785900004</v>
      </c>
      <c r="G11">
        <f>SUM(G12:G16)</f>
        <v>73121.100000000006</v>
      </c>
      <c r="H11">
        <f>SUM(H12:H16)</f>
        <v>2027.03</v>
      </c>
      <c r="I11">
        <f>SUM(I12:I16)</f>
        <v>0</v>
      </c>
      <c r="J11" s="107"/>
      <c r="K11" s="107" t="s">
        <v>17</v>
      </c>
    </row>
    <row r="12" spans="1:11" x14ac:dyDescent="0.25">
      <c r="A12" s="107"/>
      <c r="B12" s="107"/>
      <c r="C12" s="107"/>
      <c r="D12">
        <v>2021</v>
      </c>
      <c r="E12">
        <f>E24+E84+E174+E198+E222</f>
        <v>917473.9189200002</v>
      </c>
      <c r="F12">
        <f>F24+F84+F174+F198+F222</f>
        <v>877771.6889200001</v>
      </c>
      <c r="G12">
        <f>G24+G84+G174+G198+G222</f>
        <v>37675.200000000004</v>
      </c>
      <c r="H12">
        <f>H24+H84+H174+H198+H222</f>
        <v>2027.03</v>
      </c>
      <c r="I12">
        <f t="shared" ref="F12:I16" si="4">I6-I18</f>
        <v>0</v>
      </c>
      <c r="J12" s="107"/>
      <c r="K12" s="107"/>
    </row>
    <row r="13" spans="1:11" x14ac:dyDescent="0.25">
      <c r="A13" s="107"/>
      <c r="B13" s="107"/>
      <c r="C13" s="107"/>
      <c r="D13">
        <v>2022</v>
      </c>
      <c r="E13">
        <f t="shared" si="0"/>
        <v>852919.03977000003</v>
      </c>
      <c r="F13">
        <f t="shared" si="4"/>
        <v>835553.63977000001</v>
      </c>
      <c r="G13">
        <f t="shared" si="4"/>
        <v>17365.400000000009</v>
      </c>
      <c r="H13">
        <f t="shared" si="4"/>
        <v>0</v>
      </c>
      <c r="I13">
        <f t="shared" si="4"/>
        <v>0</v>
      </c>
      <c r="J13" s="107"/>
      <c r="K13" s="107"/>
    </row>
    <row r="14" spans="1:11" x14ac:dyDescent="0.25">
      <c r="A14" s="107"/>
      <c r="B14" s="107"/>
      <c r="C14" s="107"/>
      <c r="D14">
        <v>2023</v>
      </c>
      <c r="E14">
        <f t="shared" si="0"/>
        <v>848022.39245000004</v>
      </c>
      <c r="F14">
        <f t="shared" si="4"/>
        <v>829941.89245000004</v>
      </c>
      <c r="G14">
        <f t="shared" si="4"/>
        <v>18080.5</v>
      </c>
      <c r="H14">
        <f t="shared" si="4"/>
        <v>0</v>
      </c>
      <c r="I14">
        <f t="shared" si="4"/>
        <v>0</v>
      </c>
      <c r="J14" s="107"/>
      <c r="K14" s="107"/>
    </row>
    <row r="15" spans="1:11" x14ac:dyDescent="0.25">
      <c r="A15" s="107"/>
      <c r="B15" s="107"/>
      <c r="C15" s="107"/>
      <c r="D15">
        <v>2024</v>
      </c>
      <c r="E15">
        <f t="shared" si="0"/>
        <v>829941.89545000007</v>
      </c>
      <c r="F15">
        <f t="shared" si="4"/>
        <v>829941.89545000007</v>
      </c>
      <c r="G15">
        <f t="shared" si="4"/>
        <v>0</v>
      </c>
      <c r="H15">
        <f t="shared" si="4"/>
        <v>0</v>
      </c>
      <c r="I15">
        <f t="shared" si="4"/>
        <v>0</v>
      </c>
      <c r="J15" s="107"/>
      <c r="K15" s="107"/>
    </row>
    <row r="16" spans="1:11" x14ac:dyDescent="0.25">
      <c r="A16" s="107"/>
      <c r="B16" s="107"/>
      <c r="C16" s="107"/>
      <c r="D16">
        <v>2025</v>
      </c>
      <c r="E16">
        <f t="shared" si="0"/>
        <v>819447.86199999996</v>
      </c>
      <c r="F16">
        <f t="shared" si="4"/>
        <v>819447.86199999996</v>
      </c>
      <c r="G16">
        <f t="shared" si="4"/>
        <v>0</v>
      </c>
      <c r="H16">
        <f t="shared" si="4"/>
        <v>0</v>
      </c>
      <c r="I16">
        <f t="shared" si="4"/>
        <v>0</v>
      </c>
      <c r="J16" s="107"/>
      <c r="K16" s="107"/>
    </row>
    <row r="17" spans="1:11" x14ac:dyDescent="0.25">
      <c r="A17" s="107"/>
      <c r="B17" s="107" t="s">
        <v>18</v>
      </c>
      <c r="C17" s="107" t="s">
        <v>19</v>
      </c>
      <c r="D17" t="s">
        <v>8</v>
      </c>
      <c r="E17">
        <f t="shared" si="0"/>
        <v>836321.18732999999</v>
      </c>
      <c r="F17">
        <f>SUM(F18:F22)</f>
        <v>316301.16661000001</v>
      </c>
      <c r="G17">
        <f>SUM(G18:G22)</f>
        <v>502391</v>
      </c>
      <c r="H17">
        <f>SUM(H18:H22)</f>
        <v>17629.02072</v>
      </c>
      <c r="I17">
        <f>SUM(I18:I22)</f>
        <v>0</v>
      </c>
      <c r="J17" s="107"/>
      <c r="K17" s="107" t="s">
        <v>20</v>
      </c>
    </row>
    <row r="18" spans="1:11" x14ac:dyDescent="0.25">
      <c r="A18" s="107"/>
      <c r="B18" s="107"/>
      <c r="C18" s="107"/>
      <c r="D18">
        <v>2021</v>
      </c>
      <c r="E18">
        <f t="shared" si="0"/>
        <v>288620.93299</v>
      </c>
      <c r="F18">
        <f t="shared" ref="F18:I22" si="5">F204+F210+F168+F216</f>
        <v>24728.96053</v>
      </c>
      <c r="G18">
        <f t="shared" si="5"/>
        <v>261223.7</v>
      </c>
      <c r="H18">
        <f t="shared" si="5"/>
        <v>2668.2724600000001</v>
      </c>
      <c r="I18">
        <f t="shared" si="5"/>
        <v>0</v>
      </c>
      <c r="J18" s="107"/>
      <c r="K18" s="107"/>
    </row>
    <row r="19" spans="1:11" x14ac:dyDescent="0.25">
      <c r="A19" s="107"/>
      <c r="B19" s="107"/>
      <c r="C19" s="107"/>
      <c r="D19">
        <v>2022</v>
      </c>
      <c r="E19">
        <f t="shared" si="0"/>
        <v>412583.93519000005</v>
      </c>
      <c r="F19">
        <f t="shared" si="5"/>
        <v>283846.88693000004</v>
      </c>
      <c r="G19">
        <f t="shared" si="5"/>
        <v>113776.3</v>
      </c>
      <c r="H19">
        <f t="shared" si="5"/>
        <v>14960.74826</v>
      </c>
      <c r="I19">
        <f t="shared" si="5"/>
        <v>0</v>
      </c>
      <c r="J19" s="107"/>
      <c r="K19" s="107"/>
    </row>
    <row r="20" spans="1:11" x14ac:dyDescent="0.25">
      <c r="A20" s="107"/>
      <c r="B20" s="107"/>
      <c r="C20" s="107"/>
      <c r="D20">
        <v>2023</v>
      </c>
      <c r="E20">
        <f t="shared" si="0"/>
        <v>135116.31915</v>
      </c>
      <c r="F20">
        <f t="shared" si="5"/>
        <v>7725.3191500000003</v>
      </c>
      <c r="G20">
        <f t="shared" si="5"/>
        <v>127391</v>
      </c>
      <c r="H20">
        <f t="shared" si="5"/>
        <v>0</v>
      </c>
      <c r="I20">
        <f t="shared" si="5"/>
        <v>0</v>
      </c>
      <c r="J20" s="107"/>
      <c r="K20" s="107"/>
    </row>
    <row r="21" spans="1:11" x14ac:dyDescent="0.25">
      <c r="A21" s="107"/>
      <c r="B21" s="107"/>
      <c r="C21" s="107"/>
      <c r="D21">
        <v>2024</v>
      </c>
      <c r="E21">
        <f t="shared" si="0"/>
        <v>0</v>
      </c>
      <c r="F21">
        <f t="shared" si="5"/>
        <v>0</v>
      </c>
      <c r="G21">
        <f t="shared" si="5"/>
        <v>0</v>
      </c>
      <c r="H21">
        <f t="shared" si="5"/>
        <v>0</v>
      </c>
      <c r="I21">
        <f t="shared" si="5"/>
        <v>0</v>
      </c>
      <c r="J21" s="107"/>
      <c r="K21" s="107"/>
    </row>
    <row r="22" spans="1:11" x14ac:dyDescent="0.25">
      <c r="A22" s="107"/>
      <c r="B22" s="107"/>
      <c r="C22" s="107"/>
      <c r="D22">
        <v>2025</v>
      </c>
      <c r="E22">
        <f t="shared" si="0"/>
        <v>0</v>
      </c>
      <c r="F22">
        <f t="shared" si="5"/>
        <v>0</v>
      </c>
      <c r="G22">
        <f t="shared" si="5"/>
        <v>0</v>
      </c>
      <c r="H22">
        <f t="shared" si="5"/>
        <v>0</v>
      </c>
      <c r="I22">
        <f t="shared" si="5"/>
        <v>0</v>
      </c>
      <c r="J22" s="107"/>
      <c r="K22" s="107"/>
    </row>
    <row r="23" spans="1:11" ht="15" customHeight="1" x14ac:dyDescent="0.25">
      <c r="A23" s="107">
        <v>1</v>
      </c>
      <c r="B23" s="107" t="s">
        <v>21</v>
      </c>
      <c r="C23" s="107" t="s">
        <v>14</v>
      </c>
      <c r="D23" t="s">
        <v>8</v>
      </c>
      <c r="E23">
        <f t="shared" si="0"/>
        <v>193877.68931000002</v>
      </c>
      <c r="F23">
        <f>SUM(F24:F28)</f>
        <v>188973.58931000001</v>
      </c>
      <c r="G23">
        <f>SUM(G24:G28)</f>
        <v>4904.1000000000004</v>
      </c>
      <c r="H23">
        <f>SUM(H24:H28)</f>
        <v>0</v>
      </c>
      <c r="I23">
        <f>SUM(I24:I28)</f>
        <v>0</v>
      </c>
      <c r="J23" s="107"/>
      <c r="K23" s="107" t="s">
        <v>22</v>
      </c>
    </row>
    <row r="24" spans="1:11" x14ac:dyDescent="0.25">
      <c r="A24" s="107"/>
      <c r="B24" s="107"/>
      <c r="C24" s="107"/>
      <c r="D24">
        <v>2021</v>
      </c>
      <c r="E24">
        <f t="shared" si="0"/>
        <v>58984.41807</v>
      </c>
      <c r="F24">
        <f>F30+F42+F60</f>
        <v>57717.018069999998</v>
      </c>
      <c r="G24">
        <f t="shared" ref="F24:I28" si="6">G30+G42+G60</f>
        <v>1267.4000000000001</v>
      </c>
      <c r="H24">
        <f t="shared" si="6"/>
        <v>0</v>
      </c>
      <c r="I24">
        <f t="shared" si="6"/>
        <v>0</v>
      </c>
      <c r="J24" s="107"/>
      <c r="K24" s="107"/>
    </row>
    <row r="25" spans="1:11" x14ac:dyDescent="0.25">
      <c r="A25" s="107"/>
      <c r="B25" s="107"/>
      <c r="C25" s="107"/>
      <c r="D25">
        <v>2022</v>
      </c>
      <c r="E25">
        <f t="shared" si="0"/>
        <v>35570.269139999997</v>
      </c>
      <c r="F25">
        <f t="shared" si="6"/>
        <v>33752.169139999998</v>
      </c>
      <c r="G25">
        <f t="shared" si="6"/>
        <v>1818.1</v>
      </c>
      <c r="H25">
        <f t="shared" si="6"/>
        <v>0</v>
      </c>
      <c r="I25">
        <f t="shared" si="6"/>
        <v>0</v>
      </c>
      <c r="J25" s="107"/>
      <c r="K25" s="107"/>
    </row>
    <row r="26" spans="1:11" x14ac:dyDescent="0.25">
      <c r="A26" s="107"/>
      <c r="B26" s="107"/>
      <c r="C26" s="107"/>
      <c r="D26">
        <v>2023</v>
      </c>
      <c r="E26">
        <f t="shared" si="0"/>
        <v>35570.801050000002</v>
      </c>
      <c r="F26">
        <f t="shared" si="6"/>
        <v>33752.201050000003</v>
      </c>
      <c r="G26">
        <f t="shared" si="6"/>
        <v>1818.6</v>
      </c>
      <c r="H26">
        <f t="shared" si="6"/>
        <v>0</v>
      </c>
      <c r="I26">
        <f t="shared" si="6"/>
        <v>0</v>
      </c>
      <c r="J26" s="107"/>
      <c r="K26" s="107"/>
    </row>
    <row r="27" spans="1:11" x14ac:dyDescent="0.25">
      <c r="A27" s="107"/>
      <c r="B27" s="107"/>
      <c r="C27" s="107"/>
      <c r="D27">
        <v>2024</v>
      </c>
      <c r="E27">
        <f t="shared" si="0"/>
        <v>33752.201050000003</v>
      </c>
      <c r="F27">
        <f t="shared" si="6"/>
        <v>33752.201050000003</v>
      </c>
      <c r="G27">
        <f t="shared" si="6"/>
        <v>0</v>
      </c>
      <c r="H27">
        <f t="shared" si="6"/>
        <v>0</v>
      </c>
      <c r="I27">
        <f t="shared" si="6"/>
        <v>0</v>
      </c>
      <c r="J27" s="107"/>
      <c r="K27" s="107"/>
    </row>
    <row r="28" spans="1:11" x14ac:dyDescent="0.25">
      <c r="A28" s="107"/>
      <c r="B28" s="107"/>
      <c r="C28" s="107"/>
      <c r="D28">
        <v>2025</v>
      </c>
      <c r="E28">
        <f t="shared" si="0"/>
        <v>30000</v>
      </c>
      <c r="F28">
        <f t="shared" si="6"/>
        <v>30000</v>
      </c>
      <c r="G28">
        <f t="shared" si="6"/>
        <v>0</v>
      </c>
      <c r="H28">
        <f t="shared" si="6"/>
        <v>0</v>
      </c>
      <c r="I28">
        <f t="shared" si="6"/>
        <v>0</v>
      </c>
      <c r="J28" s="107"/>
      <c r="K28" s="107"/>
    </row>
    <row r="29" spans="1:11" x14ac:dyDescent="0.25">
      <c r="A29" s="107" t="s">
        <v>23</v>
      </c>
      <c r="B29" s="107" t="s">
        <v>24</v>
      </c>
      <c r="C29" s="107" t="s">
        <v>14</v>
      </c>
      <c r="D29" t="s">
        <v>8</v>
      </c>
      <c r="E29">
        <f t="shared" si="0"/>
        <v>16000</v>
      </c>
      <c r="F29">
        <f>SUM(F30:F34)</f>
        <v>16000</v>
      </c>
      <c r="G29">
        <f>SUM(G30:G34)</f>
        <v>0</v>
      </c>
      <c r="H29">
        <f>SUM(H30:H34)</f>
        <v>0</v>
      </c>
      <c r="I29">
        <f>SUM(I30:I34)</f>
        <v>0</v>
      </c>
      <c r="J29" s="107" t="s">
        <v>25</v>
      </c>
      <c r="K29" s="107" t="s">
        <v>26</v>
      </c>
    </row>
    <row r="30" spans="1:11" x14ac:dyDescent="0.25">
      <c r="A30" s="107"/>
      <c r="B30" s="107"/>
      <c r="C30" s="107"/>
      <c r="D30">
        <v>2021</v>
      </c>
      <c r="E30">
        <f t="shared" si="0"/>
        <v>16000</v>
      </c>
      <c r="F30">
        <f t="shared" ref="F30:I34" si="7">F36</f>
        <v>16000</v>
      </c>
      <c r="G30">
        <f t="shared" si="7"/>
        <v>0</v>
      </c>
      <c r="H30">
        <f t="shared" si="7"/>
        <v>0</v>
      </c>
      <c r="I30">
        <f t="shared" si="7"/>
        <v>0</v>
      </c>
      <c r="J30" s="107"/>
      <c r="K30" s="107"/>
    </row>
    <row r="31" spans="1:11" x14ac:dyDescent="0.25">
      <c r="A31" s="107"/>
      <c r="B31" s="107"/>
      <c r="C31" s="107"/>
      <c r="D31">
        <v>2022</v>
      </c>
      <c r="E31">
        <f t="shared" si="0"/>
        <v>0</v>
      </c>
      <c r="F31">
        <f t="shared" si="7"/>
        <v>0</v>
      </c>
      <c r="G31">
        <f t="shared" si="7"/>
        <v>0</v>
      </c>
      <c r="H31">
        <f t="shared" si="7"/>
        <v>0</v>
      </c>
      <c r="I31">
        <f t="shared" si="7"/>
        <v>0</v>
      </c>
      <c r="J31" s="107"/>
      <c r="K31" s="107"/>
    </row>
    <row r="32" spans="1:11" x14ac:dyDescent="0.25">
      <c r="A32" s="107"/>
      <c r="B32" s="107"/>
      <c r="C32" s="107"/>
      <c r="D32">
        <v>2023</v>
      </c>
      <c r="E32">
        <f t="shared" si="0"/>
        <v>0</v>
      </c>
      <c r="F32">
        <f t="shared" si="7"/>
        <v>0</v>
      </c>
      <c r="G32">
        <f t="shared" si="7"/>
        <v>0</v>
      </c>
      <c r="H32">
        <f t="shared" si="7"/>
        <v>0</v>
      </c>
      <c r="I32">
        <f t="shared" si="7"/>
        <v>0</v>
      </c>
      <c r="J32" s="107"/>
      <c r="K32" s="107"/>
    </row>
    <row r="33" spans="1:11" x14ac:dyDescent="0.25">
      <c r="A33" s="107"/>
      <c r="B33" s="107"/>
      <c r="C33" s="107"/>
      <c r="D33">
        <v>2024</v>
      </c>
      <c r="E33">
        <f t="shared" si="0"/>
        <v>0</v>
      </c>
      <c r="F33">
        <f t="shared" si="7"/>
        <v>0</v>
      </c>
      <c r="G33">
        <f t="shared" si="7"/>
        <v>0</v>
      </c>
      <c r="H33">
        <f t="shared" si="7"/>
        <v>0</v>
      </c>
      <c r="I33">
        <f t="shared" si="7"/>
        <v>0</v>
      </c>
      <c r="J33" s="107"/>
      <c r="K33" s="107"/>
    </row>
    <row r="34" spans="1:11" x14ac:dyDescent="0.25">
      <c r="A34" s="107"/>
      <c r="B34" s="107"/>
      <c r="C34" s="107"/>
      <c r="D34">
        <v>2025</v>
      </c>
      <c r="E34">
        <f t="shared" si="0"/>
        <v>0</v>
      </c>
      <c r="F34">
        <f t="shared" si="7"/>
        <v>0</v>
      </c>
      <c r="G34">
        <f>G40</f>
        <v>0</v>
      </c>
      <c r="H34">
        <f>H40</f>
        <v>0</v>
      </c>
      <c r="I34">
        <f>I40</f>
        <v>0</v>
      </c>
      <c r="J34" s="107"/>
      <c r="K34" s="107"/>
    </row>
    <row r="35" spans="1:11" x14ac:dyDescent="0.25">
      <c r="A35" s="107" t="s">
        <v>27</v>
      </c>
      <c r="B35" s="107" t="s">
        <v>28</v>
      </c>
      <c r="C35" s="107">
        <v>2021</v>
      </c>
      <c r="D35" t="s">
        <v>8</v>
      </c>
      <c r="E35">
        <f>SUM(E36:E40)</f>
        <v>16000</v>
      </c>
      <c r="F35">
        <f>SUM(F36:F40)</f>
        <v>16000</v>
      </c>
      <c r="G35">
        <f>SUM(G36:G40)</f>
        <v>0</v>
      </c>
      <c r="H35">
        <f>SUM(H36:H40)</f>
        <v>0</v>
      </c>
      <c r="I35">
        <f>SUM(I36:I40)</f>
        <v>0</v>
      </c>
      <c r="J35" s="107" t="s">
        <v>29</v>
      </c>
      <c r="K35" s="107" t="s">
        <v>26</v>
      </c>
    </row>
    <row r="36" spans="1:11" x14ac:dyDescent="0.25">
      <c r="A36" s="107"/>
      <c r="B36" s="107"/>
      <c r="C36" s="107"/>
      <c r="D36">
        <v>2021</v>
      </c>
      <c r="E36">
        <f>SUM(F36:I36)</f>
        <v>16000</v>
      </c>
      <c r="F36">
        <v>16000</v>
      </c>
      <c r="G36">
        <v>0</v>
      </c>
      <c r="H36">
        <v>0</v>
      </c>
      <c r="I36">
        <v>0</v>
      </c>
      <c r="J36" s="107"/>
      <c r="K36" s="107"/>
    </row>
    <row r="37" spans="1:11" x14ac:dyDescent="0.25">
      <c r="A37" s="107"/>
      <c r="B37" s="107"/>
      <c r="C37" s="107"/>
      <c r="D37">
        <v>2022</v>
      </c>
      <c r="E37">
        <v>0</v>
      </c>
      <c r="F37">
        <v>0</v>
      </c>
      <c r="G37">
        <v>0</v>
      </c>
      <c r="H37">
        <v>0</v>
      </c>
      <c r="I37">
        <v>0</v>
      </c>
      <c r="J37" s="107"/>
      <c r="K37" s="107"/>
    </row>
    <row r="38" spans="1:11" x14ac:dyDescent="0.25">
      <c r="A38" s="107"/>
      <c r="B38" s="107"/>
      <c r="C38" s="107"/>
      <c r="D38">
        <v>2023</v>
      </c>
      <c r="E38">
        <v>0</v>
      </c>
      <c r="F38">
        <v>0</v>
      </c>
      <c r="G38">
        <v>0</v>
      </c>
      <c r="H38">
        <v>0</v>
      </c>
      <c r="I38">
        <v>0</v>
      </c>
      <c r="J38" s="107"/>
      <c r="K38" s="107"/>
    </row>
    <row r="39" spans="1:11" x14ac:dyDescent="0.25">
      <c r="A39" s="107"/>
      <c r="B39" s="107"/>
      <c r="C39" s="107"/>
      <c r="D39">
        <v>2024</v>
      </c>
      <c r="E39">
        <v>0</v>
      </c>
      <c r="F39">
        <v>0</v>
      </c>
      <c r="G39">
        <v>0</v>
      </c>
      <c r="H39">
        <v>0</v>
      </c>
      <c r="I39">
        <v>0</v>
      </c>
      <c r="J39" s="107"/>
      <c r="K39" s="107"/>
    </row>
    <row r="40" spans="1:11" x14ac:dyDescent="0.25">
      <c r="A40" s="107"/>
      <c r="B40" s="107"/>
      <c r="C40" s="107"/>
      <c r="D40">
        <v>2025</v>
      </c>
      <c r="E40">
        <v>0</v>
      </c>
      <c r="F40">
        <v>0</v>
      </c>
      <c r="G40">
        <v>0</v>
      </c>
      <c r="H40">
        <v>0</v>
      </c>
      <c r="I40">
        <v>0</v>
      </c>
      <c r="J40" s="107"/>
      <c r="K40" s="107"/>
    </row>
    <row r="41" spans="1:11" x14ac:dyDescent="0.25">
      <c r="A41" s="107" t="s">
        <v>30</v>
      </c>
      <c r="B41" s="107" t="s">
        <v>31</v>
      </c>
      <c r="C41" s="107" t="s">
        <v>14</v>
      </c>
      <c r="D41" t="s">
        <v>8</v>
      </c>
      <c r="E41">
        <f t="shared" ref="E41:E52" si="8">SUM(F41:I41)</f>
        <v>158000</v>
      </c>
      <c r="F41">
        <f>SUM(F42:F46)</f>
        <v>158000</v>
      </c>
      <c r="G41">
        <f>SUM(G42:G46)</f>
        <v>0</v>
      </c>
      <c r="H41">
        <f>SUM(H42:H46)</f>
        <v>0</v>
      </c>
      <c r="I41">
        <f>SUM(I42:I46)</f>
        <v>0</v>
      </c>
      <c r="J41" s="107" t="s">
        <v>32</v>
      </c>
      <c r="K41" s="107" t="s">
        <v>17</v>
      </c>
    </row>
    <row r="42" spans="1:11" x14ac:dyDescent="0.25">
      <c r="A42" s="107"/>
      <c r="B42" s="107"/>
      <c r="C42" s="107"/>
      <c r="D42">
        <v>2021</v>
      </c>
      <c r="E42">
        <f t="shared" si="8"/>
        <v>38000</v>
      </c>
      <c r="F42">
        <f t="shared" ref="F42:I46" si="9">F48+F54</f>
        <v>38000</v>
      </c>
      <c r="G42">
        <f t="shared" si="9"/>
        <v>0</v>
      </c>
      <c r="H42">
        <f t="shared" si="9"/>
        <v>0</v>
      </c>
      <c r="I42">
        <f t="shared" si="9"/>
        <v>0</v>
      </c>
      <c r="J42" s="107"/>
      <c r="K42" s="107"/>
    </row>
    <row r="43" spans="1:11" x14ac:dyDescent="0.25">
      <c r="A43" s="107"/>
      <c r="B43" s="107"/>
      <c r="C43" s="107"/>
      <c r="D43">
        <v>2022</v>
      </c>
      <c r="E43">
        <f t="shared" si="8"/>
        <v>30000</v>
      </c>
      <c r="F43">
        <f t="shared" si="9"/>
        <v>30000</v>
      </c>
      <c r="G43">
        <f t="shared" si="9"/>
        <v>0</v>
      </c>
      <c r="H43">
        <f t="shared" si="9"/>
        <v>0</v>
      </c>
      <c r="I43">
        <f t="shared" si="9"/>
        <v>0</v>
      </c>
      <c r="J43" s="107"/>
      <c r="K43" s="107"/>
    </row>
    <row r="44" spans="1:11" x14ac:dyDescent="0.25">
      <c r="A44" s="107"/>
      <c r="B44" s="107"/>
      <c r="C44" s="107"/>
      <c r="D44">
        <v>2023</v>
      </c>
      <c r="E44">
        <f t="shared" si="8"/>
        <v>30000</v>
      </c>
      <c r="F44">
        <f t="shared" si="9"/>
        <v>30000</v>
      </c>
      <c r="G44">
        <f t="shared" si="9"/>
        <v>0</v>
      </c>
      <c r="H44">
        <f t="shared" si="9"/>
        <v>0</v>
      </c>
      <c r="I44">
        <f t="shared" si="9"/>
        <v>0</v>
      </c>
      <c r="J44" s="107"/>
      <c r="K44" s="107"/>
    </row>
    <row r="45" spans="1:11" x14ac:dyDescent="0.25">
      <c r="A45" s="107"/>
      <c r="B45" s="107"/>
      <c r="C45" s="107"/>
      <c r="D45">
        <v>2024</v>
      </c>
      <c r="E45">
        <f t="shared" si="8"/>
        <v>30000</v>
      </c>
      <c r="F45">
        <f t="shared" si="9"/>
        <v>30000</v>
      </c>
      <c r="G45">
        <f t="shared" si="9"/>
        <v>0</v>
      </c>
      <c r="H45">
        <f t="shared" si="9"/>
        <v>0</v>
      </c>
      <c r="I45">
        <f t="shared" si="9"/>
        <v>0</v>
      </c>
      <c r="J45" s="107"/>
      <c r="K45" s="107"/>
    </row>
    <row r="46" spans="1:11" x14ac:dyDescent="0.25">
      <c r="A46" s="107"/>
      <c r="B46" s="107"/>
      <c r="C46" s="107"/>
      <c r="D46">
        <v>2025</v>
      </c>
      <c r="E46">
        <f t="shared" si="8"/>
        <v>30000</v>
      </c>
      <c r="F46">
        <f t="shared" si="9"/>
        <v>30000</v>
      </c>
      <c r="G46">
        <f>G52+-G58</f>
        <v>0</v>
      </c>
      <c r="H46">
        <f>H52+H58</f>
        <v>0</v>
      </c>
      <c r="I46">
        <f>SUM(I52+I58)</f>
        <v>0</v>
      </c>
      <c r="J46" s="107"/>
      <c r="K46" s="107"/>
    </row>
    <row r="47" spans="1:11" x14ac:dyDescent="0.25">
      <c r="A47" s="107" t="s">
        <v>33</v>
      </c>
      <c r="B47" s="107" t="s">
        <v>34</v>
      </c>
      <c r="C47" s="107" t="s">
        <v>14</v>
      </c>
      <c r="D47" t="s">
        <v>8</v>
      </c>
      <c r="E47">
        <f t="shared" si="8"/>
        <v>150000</v>
      </c>
      <c r="F47">
        <f>SUM(F48:F52)</f>
        <v>150000</v>
      </c>
      <c r="G47">
        <f>SUM(G48:G52)</f>
        <v>0</v>
      </c>
      <c r="H47">
        <f>SUM(H48:H52)</f>
        <v>0</v>
      </c>
      <c r="I47">
        <f>SUM(I48:I52)</f>
        <v>0</v>
      </c>
      <c r="J47" s="107" t="s">
        <v>35</v>
      </c>
      <c r="K47" s="107" t="s">
        <v>17</v>
      </c>
    </row>
    <row r="48" spans="1:11" x14ac:dyDescent="0.25">
      <c r="A48" s="107"/>
      <c r="B48" s="107"/>
      <c r="C48" s="107"/>
      <c r="D48">
        <v>2021</v>
      </c>
      <c r="E48">
        <f t="shared" si="8"/>
        <v>30000</v>
      </c>
      <c r="F48">
        <v>30000</v>
      </c>
      <c r="G48">
        <v>0</v>
      </c>
      <c r="H48">
        <v>0</v>
      </c>
      <c r="I48">
        <v>0</v>
      </c>
      <c r="J48" s="107"/>
      <c r="K48" s="107"/>
    </row>
    <row r="49" spans="1:11" x14ac:dyDescent="0.25">
      <c r="A49" s="107"/>
      <c r="B49" s="107"/>
      <c r="C49" s="107"/>
      <c r="D49">
        <v>2022</v>
      </c>
      <c r="E49">
        <f t="shared" si="8"/>
        <v>30000</v>
      </c>
      <c r="F49">
        <v>30000</v>
      </c>
      <c r="G49">
        <v>0</v>
      </c>
      <c r="H49">
        <v>0</v>
      </c>
      <c r="I49">
        <v>0</v>
      </c>
      <c r="J49" s="107"/>
      <c r="K49" s="107"/>
    </row>
    <row r="50" spans="1:11" x14ac:dyDescent="0.25">
      <c r="A50" s="107"/>
      <c r="B50" s="107"/>
      <c r="C50" s="107"/>
      <c r="D50">
        <v>2023</v>
      </c>
      <c r="E50">
        <f t="shared" si="8"/>
        <v>30000</v>
      </c>
      <c r="F50">
        <v>30000</v>
      </c>
      <c r="G50">
        <v>0</v>
      </c>
      <c r="H50">
        <v>0</v>
      </c>
      <c r="I50">
        <v>0</v>
      </c>
      <c r="J50" s="107"/>
      <c r="K50" s="107"/>
    </row>
    <row r="51" spans="1:11" x14ac:dyDescent="0.25">
      <c r="A51" s="107"/>
      <c r="B51" s="107"/>
      <c r="C51" s="107"/>
      <c r="D51">
        <v>2024</v>
      </c>
      <c r="E51">
        <f t="shared" si="8"/>
        <v>30000</v>
      </c>
      <c r="F51">
        <v>30000</v>
      </c>
      <c r="G51">
        <v>0</v>
      </c>
      <c r="H51">
        <v>0</v>
      </c>
      <c r="I51">
        <v>0</v>
      </c>
      <c r="J51" s="107"/>
      <c r="K51" s="107"/>
    </row>
    <row r="52" spans="1:11" x14ac:dyDescent="0.25">
      <c r="A52" s="107"/>
      <c r="B52" s="107"/>
      <c r="C52" s="107"/>
      <c r="D52">
        <v>2025</v>
      </c>
      <c r="E52">
        <f t="shared" si="8"/>
        <v>30000</v>
      </c>
      <c r="F52">
        <v>30000</v>
      </c>
      <c r="G52">
        <v>0</v>
      </c>
      <c r="H52">
        <v>0</v>
      </c>
      <c r="I52">
        <v>0</v>
      </c>
      <c r="J52" s="107"/>
      <c r="K52" s="107"/>
    </row>
    <row r="53" spans="1:11" ht="13.5" customHeight="1" outlineLevel="1" x14ac:dyDescent="0.25">
      <c r="A53" s="107" t="s">
        <v>36</v>
      </c>
      <c r="B53" s="107" t="s">
        <v>37</v>
      </c>
      <c r="C53" s="107">
        <v>2021</v>
      </c>
      <c r="D53" t="s">
        <v>8</v>
      </c>
      <c r="E53">
        <f>SUM(E54:E58)</f>
        <v>8000</v>
      </c>
      <c r="F53">
        <f>SUM(F54:F58)</f>
        <v>8000</v>
      </c>
      <c r="G53">
        <f>SUM(G54:G58)</f>
        <v>0</v>
      </c>
      <c r="H53">
        <f>SUM(H54:H58)</f>
        <v>0</v>
      </c>
      <c r="I53">
        <f>SUM(I54:I58)</f>
        <v>0</v>
      </c>
      <c r="J53" s="107" t="s">
        <v>38</v>
      </c>
      <c r="K53" s="107" t="s">
        <v>17</v>
      </c>
    </row>
    <row r="54" spans="1:11" ht="13.5" customHeight="1" outlineLevel="1" x14ac:dyDescent="0.25">
      <c r="A54" s="107"/>
      <c r="B54" s="107"/>
      <c r="C54" s="107"/>
      <c r="D54">
        <v>2021</v>
      </c>
      <c r="E54">
        <f t="shared" ref="E54:E117" si="10">SUM(F54:I54)</f>
        <v>8000</v>
      </c>
      <c r="F54">
        <v>8000</v>
      </c>
      <c r="G54">
        <v>0</v>
      </c>
      <c r="H54">
        <v>0</v>
      </c>
      <c r="I54">
        <v>0</v>
      </c>
      <c r="J54" s="107"/>
      <c r="K54" s="107"/>
    </row>
    <row r="55" spans="1:11" ht="13.5" customHeight="1" outlineLevel="1" x14ac:dyDescent="0.25">
      <c r="A55" s="107"/>
      <c r="B55" s="107"/>
      <c r="C55" s="107"/>
      <c r="D55">
        <v>2022</v>
      </c>
      <c r="E55">
        <f t="shared" si="10"/>
        <v>0</v>
      </c>
      <c r="F55">
        <v>0</v>
      </c>
      <c r="G55">
        <v>0</v>
      </c>
      <c r="H55">
        <v>0</v>
      </c>
      <c r="I55">
        <v>0</v>
      </c>
      <c r="J55" s="107"/>
      <c r="K55" s="107"/>
    </row>
    <row r="56" spans="1:11" ht="13.5" customHeight="1" outlineLevel="1" x14ac:dyDescent="0.25">
      <c r="A56" s="107"/>
      <c r="B56" s="107"/>
      <c r="C56" s="107"/>
      <c r="D56">
        <v>2023</v>
      </c>
      <c r="E56">
        <f t="shared" si="10"/>
        <v>0</v>
      </c>
      <c r="F56">
        <v>0</v>
      </c>
      <c r="G56">
        <v>0</v>
      </c>
      <c r="H56">
        <v>0</v>
      </c>
      <c r="I56">
        <v>0</v>
      </c>
      <c r="J56" s="107"/>
      <c r="K56" s="107"/>
    </row>
    <row r="57" spans="1:11" ht="13.5" customHeight="1" outlineLevel="1" x14ac:dyDescent="0.25">
      <c r="A57" s="107"/>
      <c r="B57" s="107"/>
      <c r="C57" s="107"/>
      <c r="D57">
        <v>2024</v>
      </c>
      <c r="E57">
        <f t="shared" si="10"/>
        <v>0</v>
      </c>
      <c r="F57">
        <v>0</v>
      </c>
      <c r="G57">
        <v>0</v>
      </c>
      <c r="H57">
        <v>0</v>
      </c>
      <c r="I57">
        <v>0</v>
      </c>
      <c r="J57" s="107"/>
      <c r="K57" s="107"/>
    </row>
    <row r="58" spans="1:11" ht="13.5" customHeight="1" outlineLevel="1" x14ac:dyDescent="0.25">
      <c r="A58" s="107"/>
      <c r="B58" s="107"/>
      <c r="C58" s="107"/>
      <c r="D58">
        <v>2025</v>
      </c>
      <c r="E58">
        <f t="shared" si="10"/>
        <v>0</v>
      </c>
      <c r="F58">
        <v>0</v>
      </c>
      <c r="G58">
        <v>0</v>
      </c>
      <c r="H58">
        <v>0</v>
      </c>
      <c r="I58">
        <v>0</v>
      </c>
      <c r="J58" s="107"/>
      <c r="K58" s="107"/>
    </row>
    <row r="59" spans="1:11" ht="15" customHeight="1" outlineLevel="1" x14ac:dyDescent="0.25">
      <c r="A59" s="107" t="s">
        <v>39</v>
      </c>
      <c r="B59" s="107" t="s">
        <v>40</v>
      </c>
      <c r="C59" s="107" t="s">
        <v>41</v>
      </c>
      <c r="D59" t="s">
        <v>8</v>
      </c>
      <c r="E59">
        <f t="shared" si="10"/>
        <v>19877.689310000002</v>
      </c>
      <c r="F59">
        <f>SUM(F60:F64)</f>
        <v>14973.589309999999</v>
      </c>
      <c r="G59">
        <f>SUM(G60:G64)</f>
        <v>4904.1000000000004</v>
      </c>
      <c r="H59">
        <f>SUM(H60:H64)</f>
        <v>0</v>
      </c>
      <c r="I59">
        <f>SUM(I60:I64)</f>
        <v>0</v>
      </c>
      <c r="J59" s="107" t="s">
        <v>42</v>
      </c>
      <c r="K59" s="107" t="s">
        <v>43</v>
      </c>
    </row>
    <row r="60" spans="1:11" outlineLevel="1" x14ac:dyDescent="0.25">
      <c r="A60" s="107"/>
      <c r="B60" s="107"/>
      <c r="C60" s="107"/>
      <c r="D60">
        <v>2021</v>
      </c>
      <c r="E60">
        <f t="shared" si="10"/>
        <v>4984.4180699999997</v>
      </c>
      <c r="F60">
        <f>F72+F78+F66</f>
        <v>3717.0180700000001</v>
      </c>
      <c r="G60">
        <f t="shared" ref="F60:I64" si="11">G72+G78+G66</f>
        <v>1267.4000000000001</v>
      </c>
      <c r="H60">
        <f t="shared" si="11"/>
        <v>0</v>
      </c>
      <c r="I60">
        <f t="shared" si="11"/>
        <v>0</v>
      </c>
      <c r="J60" s="107"/>
      <c r="K60" s="107"/>
    </row>
    <row r="61" spans="1:11" outlineLevel="1" x14ac:dyDescent="0.25">
      <c r="A61" s="107"/>
      <c r="B61" s="107"/>
      <c r="C61" s="107"/>
      <c r="D61">
        <v>2022</v>
      </c>
      <c r="E61">
        <f t="shared" si="10"/>
        <v>5570.2691400000003</v>
      </c>
      <c r="F61">
        <f t="shared" si="11"/>
        <v>3752.1691400000004</v>
      </c>
      <c r="G61">
        <f t="shared" si="11"/>
        <v>1818.1</v>
      </c>
      <c r="H61">
        <f t="shared" si="11"/>
        <v>0</v>
      </c>
      <c r="I61">
        <f t="shared" si="11"/>
        <v>0</v>
      </c>
      <c r="J61" s="107"/>
      <c r="K61" s="107"/>
    </row>
    <row r="62" spans="1:11" outlineLevel="1" x14ac:dyDescent="0.25">
      <c r="A62" s="107"/>
      <c r="B62" s="107"/>
      <c r="C62" s="107"/>
      <c r="D62">
        <v>2023</v>
      </c>
      <c r="E62">
        <f t="shared" si="10"/>
        <v>5570.80105</v>
      </c>
      <c r="F62">
        <f t="shared" ref="F62:F63" si="12">F74+F80+F68</f>
        <v>3752.2010500000001</v>
      </c>
      <c r="G62">
        <f t="shared" si="11"/>
        <v>1818.6</v>
      </c>
      <c r="H62">
        <f t="shared" si="11"/>
        <v>0</v>
      </c>
      <c r="I62">
        <f t="shared" si="11"/>
        <v>0</v>
      </c>
      <c r="J62" s="107"/>
      <c r="K62" s="107"/>
    </row>
    <row r="63" spans="1:11" outlineLevel="1" x14ac:dyDescent="0.25">
      <c r="A63" s="107"/>
      <c r="B63" s="107"/>
      <c r="C63" s="107"/>
      <c r="D63">
        <v>2024</v>
      </c>
      <c r="E63">
        <f t="shared" si="10"/>
        <v>3752.2010500000001</v>
      </c>
      <c r="F63">
        <f t="shared" si="12"/>
        <v>3752.2010500000001</v>
      </c>
      <c r="G63">
        <f t="shared" si="11"/>
        <v>0</v>
      </c>
      <c r="H63">
        <f t="shared" si="11"/>
        <v>0</v>
      </c>
      <c r="I63">
        <f t="shared" si="11"/>
        <v>0</v>
      </c>
      <c r="J63" s="107"/>
      <c r="K63" s="107"/>
    </row>
    <row r="64" spans="1:11" outlineLevel="1" x14ac:dyDescent="0.25">
      <c r="A64" s="107"/>
      <c r="B64" s="107"/>
      <c r="C64" s="107"/>
      <c r="D64">
        <v>2025</v>
      </c>
      <c r="E64">
        <f t="shared" si="10"/>
        <v>0</v>
      </c>
      <c r="F64">
        <f t="shared" si="11"/>
        <v>0</v>
      </c>
      <c r="G64">
        <f t="shared" si="11"/>
        <v>0</v>
      </c>
      <c r="H64">
        <f t="shared" si="11"/>
        <v>0</v>
      </c>
      <c r="I64">
        <f t="shared" si="11"/>
        <v>0</v>
      </c>
      <c r="J64" s="107"/>
      <c r="K64" s="107"/>
    </row>
    <row r="65" spans="1:11" outlineLevel="1" x14ac:dyDescent="0.25">
      <c r="A65" s="107" t="s">
        <v>44</v>
      </c>
      <c r="B65" s="107" t="s">
        <v>45</v>
      </c>
      <c r="C65" s="107" t="s">
        <v>41</v>
      </c>
      <c r="D65" t="s">
        <v>8</v>
      </c>
      <c r="E65">
        <f t="shared" si="10"/>
        <v>5333.2085100000004</v>
      </c>
      <c r="F65">
        <f>SUM(F66:F70)</f>
        <v>429.10850999999997</v>
      </c>
      <c r="G65">
        <f>SUM(G66:G70)</f>
        <v>4904.1000000000004</v>
      </c>
      <c r="H65">
        <f>SUM(H66:H70)</f>
        <v>0</v>
      </c>
      <c r="I65">
        <f>SUM(I66:I70)</f>
        <v>0</v>
      </c>
      <c r="J65" s="107" t="s">
        <v>46</v>
      </c>
      <c r="K65" s="107" t="s">
        <v>47</v>
      </c>
    </row>
    <row r="66" spans="1:11" outlineLevel="1" x14ac:dyDescent="0.25">
      <c r="A66" s="107"/>
      <c r="B66" s="107"/>
      <c r="C66" s="107"/>
      <c r="D66">
        <v>2021</v>
      </c>
      <c r="E66">
        <f t="shared" si="10"/>
        <v>1348.2978700000001</v>
      </c>
      <c r="F66">
        <v>80.897869999999998</v>
      </c>
      <c r="G66">
        <v>1267.4000000000001</v>
      </c>
      <c r="H66">
        <v>0</v>
      </c>
      <c r="I66">
        <v>0</v>
      </c>
      <c r="J66" s="107"/>
      <c r="K66" s="107"/>
    </row>
    <row r="67" spans="1:11" outlineLevel="1" x14ac:dyDescent="0.25">
      <c r="A67" s="107"/>
      <c r="B67" s="107"/>
      <c r="C67" s="107"/>
      <c r="D67">
        <v>2022</v>
      </c>
      <c r="E67">
        <f t="shared" si="10"/>
        <v>1934.1489399999998</v>
      </c>
      <c r="F67">
        <v>116.04894</v>
      </c>
      <c r="G67">
        <v>1818.1</v>
      </c>
      <c r="H67">
        <v>0</v>
      </c>
      <c r="I67">
        <v>0</v>
      </c>
      <c r="J67" s="107"/>
      <c r="K67" s="107"/>
    </row>
    <row r="68" spans="1:11" outlineLevel="1" x14ac:dyDescent="0.25">
      <c r="A68" s="107"/>
      <c r="B68" s="107"/>
      <c r="C68" s="107"/>
      <c r="D68">
        <v>2023</v>
      </c>
      <c r="E68">
        <f t="shared" si="10"/>
        <v>1934.68085</v>
      </c>
      <c r="F68">
        <v>116.08085</v>
      </c>
      <c r="G68">
        <v>1818.6</v>
      </c>
      <c r="H68">
        <v>0</v>
      </c>
      <c r="I68">
        <v>0</v>
      </c>
      <c r="J68" s="107"/>
      <c r="K68" s="107"/>
    </row>
    <row r="69" spans="1:11" outlineLevel="1" x14ac:dyDescent="0.25">
      <c r="A69" s="107"/>
      <c r="B69" s="107"/>
      <c r="C69" s="107"/>
      <c r="D69">
        <v>2024</v>
      </c>
      <c r="E69">
        <f t="shared" si="10"/>
        <v>116.08085</v>
      </c>
      <c r="F69">
        <v>116.08085</v>
      </c>
      <c r="G69">
        <v>0</v>
      </c>
      <c r="H69">
        <v>0</v>
      </c>
      <c r="I69">
        <v>0</v>
      </c>
      <c r="J69" s="107"/>
      <c r="K69" s="107"/>
    </row>
    <row r="70" spans="1:11" outlineLevel="1" x14ac:dyDescent="0.25">
      <c r="A70" s="107"/>
      <c r="B70" s="107"/>
      <c r="C70" s="107"/>
      <c r="D70">
        <v>2025</v>
      </c>
      <c r="E70">
        <f t="shared" si="10"/>
        <v>0</v>
      </c>
      <c r="F70">
        <v>0</v>
      </c>
      <c r="G70">
        <v>0</v>
      </c>
      <c r="H70">
        <v>0</v>
      </c>
      <c r="I70">
        <v>0</v>
      </c>
      <c r="J70" s="107"/>
      <c r="K70" s="107"/>
    </row>
    <row r="71" spans="1:11" ht="15" customHeight="1" outlineLevel="1" x14ac:dyDescent="0.25">
      <c r="A71" s="107" t="s">
        <v>48</v>
      </c>
      <c r="B71" s="107" t="s">
        <v>49</v>
      </c>
      <c r="C71" s="107" t="s">
        <v>41</v>
      </c>
      <c r="D71" t="s">
        <v>8</v>
      </c>
      <c r="E71">
        <f t="shared" si="10"/>
        <v>6544.4808000000003</v>
      </c>
      <c r="F71">
        <f>SUM(F72:F76)</f>
        <v>6544.4808000000003</v>
      </c>
      <c r="G71">
        <f>SUM(G72:G76)</f>
        <v>0</v>
      </c>
      <c r="H71">
        <f>SUM(H72:H76)</f>
        <v>0</v>
      </c>
      <c r="I71">
        <f>SUM(I72:I76)</f>
        <v>0</v>
      </c>
      <c r="J71" s="107" t="s">
        <v>50</v>
      </c>
      <c r="K71" s="107" t="s">
        <v>17</v>
      </c>
    </row>
    <row r="72" spans="1:11" outlineLevel="1" x14ac:dyDescent="0.25">
      <c r="A72" s="107"/>
      <c r="B72" s="107"/>
      <c r="C72" s="107"/>
      <c r="D72">
        <v>2021</v>
      </c>
      <c r="E72">
        <f t="shared" si="10"/>
        <v>1636.1202000000001</v>
      </c>
      <c r="F72">
        <v>1636.1202000000001</v>
      </c>
      <c r="G72">
        <v>0</v>
      </c>
      <c r="H72">
        <v>0</v>
      </c>
      <c r="I72">
        <v>0</v>
      </c>
      <c r="J72" s="107"/>
      <c r="K72" s="107"/>
    </row>
    <row r="73" spans="1:11" outlineLevel="1" x14ac:dyDescent="0.25">
      <c r="A73" s="107"/>
      <c r="B73" s="107"/>
      <c r="C73" s="107"/>
      <c r="D73">
        <v>2022</v>
      </c>
      <c r="E73">
        <f t="shared" si="10"/>
        <v>1636.1202000000001</v>
      </c>
      <c r="F73">
        <v>1636.1202000000001</v>
      </c>
      <c r="G73">
        <v>0</v>
      </c>
      <c r="H73">
        <v>0</v>
      </c>
      <c r="I73">
        <v>0</v>
      </c>
      <c r="J73" s="107"/>
      <c r="K73" s="107"/>
    </row>
    <row r="74" spans="1:11" outlineLevel="1" x14ac:dyDescent="0.25">
      <c r="A74" s="107"/>
      <c r="B74" s="107"/>
      <c r="C74" s="107"/>
      <c r="D74">
        <v>2023</v>
      </c>
      <c r="E74">
        <f t="shared" si="10"/>
        <v>1636.1202000000001</v>
      </c>
      <c r="F74">
        <v>1636.1202000000001</v>
      </c>
      <c r="G74">
        <v>0</v>
      </c>
      <c r="H74">
        <v>0</v>
      </c>
      <c r="I74">
        <v>0</v>
      </c>
      <c r="J74" s="107"/>
      <c r="K74" s="107"/>
    </row>
    <row r="75" spans="1:11" outlineLevel="1" x14ac:dyDescent="0.25">
      <c r="A75" s="107"/>
      <c r="B75" s="107"/>
      <c r="C75" s="107"/>
      <c r="D75">
        <v>2024</v>
      </c>
      <c r="E75">
        <f t="shared" si="10"/>
        <v>1636.1202000000001</v>
      </c>
      <c r="F75">
        <v>1636.1202000000001</v>
      </c>
      <c r="G75">
        <v>0</v>
      </c>
      <c r="H75">
        <v>0</v>
      </c>
      <c r="I75">
        <v>0</v>
      </c>
      <c r="J75" s="107"/>
      <c r="K75" s="107"/>
    </row>
    <row r="76" spans="1:11" outlineLevel="1" x14ac:dyDescent="0.25">
      <c r="A76" s="107"/>
      <c r="B76" s="107"/>
      <c r="C76" s="107"/>
      <c r="D76">
        <v>2025</v>
      </c>
      <c r="E76">
        <f t="shared" si="10"/>
        <v>0</v>
      </c>
      <c r="F76">
        <v>0</v>
      </c>
      <c r="G76">
        <v>0</v>
      </c>
      <c r="H76">
        <v>0</v>
      </c>
      <c r="I76">
        <v>0</v>
      </c>
      <c r="J76" s="107"/>
      <c r="K76" s="107"/>
    </row>
    <row r="77" spans="1:11" ht="13.5" customHeight="1" outlineLevel="1" x14ac:dyDescent="0.25">
      <c r="A77" s="107" t="s">
        <v>51</v>
      </c>
      <c r="B77" s="107" t="s">
        <v>52</v>
      </c>
      <c r="C77" s="107" t="s">
        <v>41</v>
      </c>
      <c r="D77" t="s">
        <v>8</v>
      </c>
      <c r="E77">
        <f t="shared" si="10"/>
        <v>8000</v>
      </c>
      <c r="F77">
        <f>SUM(F78:F82)</f>
        <v>8000</v>
      </c>
      <c r="G77">
        <f>SUM(G78:G82)</f>
        <v>0</v>
      </c>
      <c r="H77">
        <f>SUM(H78:H82)</f>
        <v>0</v>
      </c>
      <c r="I77">
        <f>SUM(I78:I82)</f>
        <v>0</v>
      </c>
      <c r="J77" s="107" t="s">
        <v>53</v>
      </c>
      <c r="K77" s="107" t="s">
        <v>17</v>
      </c>
    </row>
    <row r="78" spans="1:11" ht="13.5" customHeight="1" outlineLevel="1" x14ac:dyDescent="0.25">
      <c r="A78" s="107"/>
      <c r="B78" s="107"/>
      <c r="C78" s="107"/>
      <c r="D78">
        <v>2021</v>
      </c>
      <c r="E78">
        <f t="shared" si="10"/>
        <v>2000</v>
      </c>
      <c r="F78">
        <v>2000</v>
      </c>
      <c r="G78">
        <v>0</v>
      </c>
      <c r="H78">
        <v>0</v>
      </c>
      <c r="I78">
        <v>0</v>
      </c>
      <c r="J78" s="107"/>
      <c r="K78" s="107"/>
    </row>
    <row r="79" spans="1:11" ht="13.5" customHeight="1" outlineLevel="1" x14ac:dyDescent="0.25">
      <c r="A79" s="107"/>
      <c r="B79" s="107"/>
      <c r="C79" s="107"/>
      <c r="D79">
        <v>2022</v>
      </c>
      <c r="E79">
        <f t="shared" si="10"/>
        <v>2000</v>
      </c>
      <c r="F79">
        <v>2000</v>
      </c>
      <c r="G79">
        <v>0</v>
      </c>
      <c r="H79">
        <v>0</v>
      </c>
      <c r="I79">
        <v>0</v>
      </c>
      <c r="J79" s="107"/>
      <c r="K79" s="107"/>
    </row>
    <row r="80" spans="1:11" ht="13.5" customHeight="1" outlineLevel="1" x14ac:dyDescent="0.25">
      <c r="A80" s="107"/>
      <c r="B80" s="107"/>
      <c r="C80" s="107"/>
      <c r="D80">
        <v>2023</v>
      </c>
      <c r="E80">
        <f t="shared" si="10"/>
        <v>2000</v>
      </c>
      <c r="F80">
        <v>2000</v>
      </c>
      <c r="G80">
        <v>0</v>
      </c>
      <c r="H80">
        <v>0</v>
      </c>
      <c r="I80">
        <v>0</v>
      </c>
      <c r="J80" s="107"/>
      <c r="K80" s="107"/>
    </row>
    <row r="81" spans="1:11" ht="13.5" customHeight="1" outlineLevel="1" x14ac:dyDescent="0.25">
      <c r="A81" s="107"/>
      <c r="B81" s="107"/>
      <c r="C81" s="107"/>
      <c r="D81">
        <v>2024</v>
      </c>
      <c r="E81">
        <f t="shared" si="10"/>
        <v>2000</v>
      </c>
      <c r="F81">
        <v>2000</v>
      </c>
      <c r="G81">
        <v>0</v>
      </c>
      <c r="H81">
        <v>0</v>
      </c>
      <c r="I81">
        <v>0</v>
      </c>
      <c r="J81" s="107"/>
      <c r="K81" s="107"/>
    </row>
    <row r="82" spans="1:11" ht="13.5" customHeight="1" outlineLevel="1" x14ac:dyDescent="0.25">
      <c r="A82" s="107"/>
      <c r="B82" s="107"/>
      <c r="C82" s="107"/>
      <c r="D82">
        <v>2025</v>
      </c>
      <c r="E82">
        <f t="shared" si="10"/>
        <v>0</v>
      </c>
      <c r="F82">
        <v>0</v>
      </c>
      <c r="G82">
        <v>0</v>
      </c>
      <c r="H82">
        <v>0</v>
      </c>
      <c r="I82">
        <v>0</v>
      </c>
      <c r="J82" s="107"/>
      <c r="K82" s="107"/>
    </row>
    <row r="83" spans="1:11" ht="15" customHeight="1" x14ac:dyDescent="0.25">
      <c r="A83" s="107" t="s">
        <v>54</v>
      </c>
      <c r="B83" s="107" t="s">
        <v>55</v>
      </c>
      <c r="C83" s="107" t="s">
        <v>14</v>
      </c>
      <c r="D83" t="s">
        <v>8</v>
      </c>
      <c r="E83">
        <f t="shared" si="10"/>
        <v>3763567.5842800001</v>
      </c>
      <c r="F83">
        <f>SUM(F84:F88)</f>
        <v>3695350.5842800001</v>
      </c>
      <c r="G83">
        <f>SUM(G84:G88)</f>
        <v>68217</v>
      </c>
      <c r="H83">
        <f>SUM(H84:H88)</f>
        <v>0</v>
      </c>
      <c r="I83">
        <f>SUM(I84:I88)</f>
        <v>0</v>
      </c>
      <c r="J83" s="107"/>
      <c r="K83" s="107" t="s">
        <v>43</v>
      </c>
    </row>
    <row r="84" spans="1:11" x14ac:dyDescent="0.25">
      <c r="A84" s="107"/>
      <c r="B84" s="107"/>
      <c r="C84" s="107"/>
      <c r="D84">
        <v>2021</v>
      </c>
      <c r="E84">
        <f t="shared" si="10"/>
        <v>771953.30185000016</v>
      </c>
      <c r="F84">
        <f>F90+F126+F138</f>
        <v>735545.50185000012</v>
      </c>
      <c r="G84">
        <f t="shared" ref="F84:I88" si="13">G90+G126+G138</f>
        <v>36407.800000000003</v>
      </c>
      <c r="H84">
        <f t="shared" si="13"/>
        <v>0</v>
      </c>
      <c r="I84">
        <f t="shared" si="13"/>
        <v>0</v>
      </c>
      <c r="J84" s="107"/>
      <c r="K84" s="107"/>
    </row>
    <row r="85" spans="1:11" x14ac:dyDescent="0.25">
      <c r="A85" s="107"/>
      <c r="B85" s="107"/>
      <c r="C85" s="107"/>
      <c r="D85">
        <v>2022</v>
      </c>
      <c r="E85">
        <f t="shared" si="10"/>
        <v>760380.36163000006</v>
      </c>
      <c r="F85">
        <f t="shared" si="13"/>
        <v>744833.06163000001</v>
      </c>
      <c r="G85">
        <f t="shared" si="13"/>
        <v>15547.3</v>
      </c>
      <c r="H85">
        <f t="shared" si="13"/>
        <v>0</v>
      </c>
      <c r="I85">
        <f t="shared" si="13"/>
        <v>0</v>
      </c>
      <c r="J85" s="107"/>
      <c r="K85" s="107"/>
    </row>
    <row r="86" spans="1:11" x14ac:dyDescent="0.25">
      <c r="A86" s="107"/>
      <c r="B86" s="107"/>
      <c r="C86" s="107"/>
      <c r="D86">
        <v>2023</v>
      </c>
      <c r="E86">
        <f t="shared" si="10"/>
        <v>755483.18240000005</v>
      </c>
      <c r="F86">
        <f t="shared" si="13"/>
        <v>739221.28240000003</v>
      </c>
      <c r="G86">
        <f t="shared" si="13"/>
        <v>16261.9</v>
      </c>
      <c r="H86">
        <f t="shared" si="13"/>
        <v>0</v>
      </c>
      <c r="I86">
        <f t="shared" si="13"/>
        <v>0</v>
      </c>
      <c r="J86" s="107"/>
      <c r="K86" s="107"/>
    </row>
    <row r="87" spans="1:11" x14ac:dyDescent="0.25">
      <c r="A87" s="107"/>
      <c r="B87" s="107"/>
      <c r="C87" s="107"/>
      <c r="D87">
        <v>2024</v>
      </c>
      <c r="E87">
        <f t="shared" si="10"/>
        <v>739221.28540000005</v>
      </c>
      <c r="F87">
        <f t="shared" si="13"/>
        <v>739221.28540000005</v>
      </c>
      <c r="G87">
        <f t="shared" si="13"/>
        <v>0</v>
      </c>
      <c r="H87">
        <f t="shared" si="13"/>
        <v>0</v>
      </c>
      <c r="I87">
        <f t="shared" si="13"/>
        <v>0</v>
      </c>
      <c r="J87" s="107"/>
      <c r="K87" s="107"/>
    </row>
    <row r="88" spans="1:11" x14ac:dyDescent="0.25">
      <c r="A88" s="107"/>
      <c r="B88" s="107"/>
      <c r="C88" s="107"/>
      <c r="D88">
        <v>2025</v>
      </c>
      <c r="E88">
        <f t="shared" si="10"/>
        <v>736529.45299999998</v>
      </c>
      <c r="F88">
        <f t="shared" si="13"/>
        <v>736529.45299999998</v>
      </c>
      <c r="G88">
        <f t="shared" si="13"/>
        <v>0</v>
      </c>
      <c r="H88">
        <f t="shared" si="13"/>
        <v>0</v>
      </c>
      <c r="I88">
        <f t="shared" si="13"/>
        <v>0</v>
      </c>
      <c r="J88" s="107"/>
      <c r="K88" s="107"/>
    </row>
    <row r="89" spans="1:11" ht="13.5" customHeight="1" outlineLevel="1" x14ac:dyDescent="0.25">
      <c r="A89" s="107" t="s">
        <v>56</v>
      </c>
      <c r="B89" s="107" t="s">
        <v>57</v>
      </c>
      <c r="C89" s="107" t="s">
        <v>14</v>
      </c>
      <c r="D89" t="s">
        <v>8</v>
      </c>
      <c r="E89">
        <f t="shared" si="10"/>
        <v>3677035.2259600004</v>
      </c>
      <c r="F89">
        <f>SUM(F90:F94)</f>
        <v>3677035.2259600004</v>
      </c>
      <c r="G89">
        <f>SUM(G90:G94)</f>
        <v>0</v>
      </c>
      <c r="H89">
        <f>SUM(H90:H94)</f>
        <v>0</v>
      </c>
      <c r="I89">
        <f>SUM(I90:I94)</f>
        <v>0</v>
      </c>
      <c r="J89" s="107" t="s">
        <v>58</v>
      </c>
      <c r="K89" s="107" t="s">
        <v>59</v>
      </c>
    </row>
    <row r="90" spans="1:11" ht="13.5" customHeight="1" outlineLevel="1" x14ac:dyDescent="0.25">
      <c r="A90" s="107"/>
      <c r="B90" s="107"/>
      <c r="C90" s="107"/>
      <c r="D90">
        <v>2021</v>
      </c>
      <c r="E90">
        <f t="shared" si="10"/>
        <v>725260.01896000013</v>
      </c>
      <c r="F90">
        <f t="shared" ref="F90:I94" si="14">F96+F102+F108+F114+F120</f>
        <v>725260.01896000013</v>
      </c>
      <c r="G90">
        <f t="shared" si="14"/>
        <v>0</v>
      </c>
      <c r="H90">
        <f t="shared" si="14"/>
        <v>0</v>
      </c>
      <c r="I90">
        <f t="shared" si="14"/>
        <v>0</v>
      </c>
      <c r="J90" s="107"/>
      <c r="K90" s="107"/>
    </row>
    <row r="91" spans="1:11" ht="13.5" customHeight="1" outlineLevel="1" x14ac:dyDescent="0.25">
      <c r="A91" s="107"/>
      <c r="B91" s="107"/>
      <c r="C91" s="107"/>
      <c r="D91">
        <v>2022</v>
      </c>
      <c r="E91">
        <f t="shared" si="10"/>
        <v>742186.84499999997</v>
      </c>
      <c r="F91">
        <f t="shared" si="14"/>
        <v>742186.84499999997</v>
      </c>
      <c r="G91">
        <f t="shared" si="14"/>
        <v>0</v>
      </c>
      <c r="H91">
        <f t="shared" si="14"/>
        <v>0</v>
      </c>
      <c r="I91">
        <f t="shared" si="14"/>
        <v>0</v>
      </c>
      <c r="J91" s="107"/>
      <c r="K91" s="107"/>
    </row>
    <row r="92" spans="1:11" ht="13.5" customHeight="1" outlineLevel="1" x14ac:dyDescent="0.25">
      <c r="A92" s="107"/>
      <c r="B92" s="107"/>
      <c r="C92" s="107"/>
      <c r="D92">
        <v>2023</v>
      </c>
      <c r="E92">
        <f t="shared" si="10"/>
        <v>736529.45299999998</v>
      </c>
      <c r="F92">
        <f t="shared" si="14"/>
        <v>736529.45299999998</v>
      </c>
      <c r="G92">
        <f t="shared" si="14"/>
        <v>0</v>
      </c>
      <c r="H92">
        <f t="shared" si="14"/>
        <v>0</v>
      </c>
      <c r="I92">
        <f t="shared" si="14"/>
        <v>0</v>
      </c>
      <c r="J92" s="107"/>
      <c r="K92" s="107"/>
    </row>
    <row r="93" spans="1:11" ht="13.5" customHeight="1" outlineLevel="1" x14ac:dyDescent="0.25">
      <c r="A93" s="107"/>
      <c r="B93" s="107"/>
      <c r="C93" s="107"/>
      <c r="D93">
        <v>2024</v>
      </c>
      <c r="E93">
        <f t="shared" si="10"/>
        <v>736529.45600000001</v>
      </c>
      <c r="F93">
        <f t="shared" si="14"/>
        <v>736529.45600000001</v>
      </c>
      <c r="G93">
        <f t="shared" si="14"/>
        <v>0</v>
      </c>
      <c r="H93">
        <f t="shared" si="14"/>
        <v>0</v>
      </c>
      <c r="I93">
        <f t="shared" si="14"/>
        <v>0</v>
      </c>
      <c r="J93" s="107"/>
      <c r="K93" s="107"/>
    </row>
    <row r="94" spans="1:11" ht="13.5" customHeight="1" outlineLevel="1" x14ac:dyDescent="0.25">
      <c r="A94" s="107"/>
      <c r="B94" s="107"/>
      <c r="C94" s="107"/>
      <c r="D94">
        <v>2025</v>
      </c>
      <c r="E94">
        <f t="shared" si="10"/>
        <v>736529.45299999998</v>
      </c>
      <c r="F94">
        <f t="shared" si="14"/>
        <v>736529.45299999998</v>
      </c>
      <c r="G94">
        <f t="shared" si="14"/>
        <v>0</v>
      </c>
      <c r="H94">
        <f t="shared" si="14"/>
        <v>0</v>
      </c>
      <c r="I94">
        <f t="shared" si="14"/>
        <v>0</v>
      </c>
      <c r="J94" s="107"/>
      <c r="K94" s="107"/>
    </row>
    <row r="95" spans="1:11" ht="13.5" customHeight="1" outlineLevel="1" x14ac:dyDescent="0.25">
      <c r="A95" s="107" t="s">
        <v>60</v>
      </c>
      <c r="B95" s="107" t="s">
        <v>61</v>
      </c>
      <c r="C95" s="107" t="s">
        <v>14</v>
      </c>
      <c r="D95" t="s">
        <v>8</v>
      </c>
      <c r="E95">
        <f t="shared" si="10"/>
        <v>10533.328000000001</v>
      </c>
      <c r="F95">
        <f>SUM(F96:F100)</f>
        <v>10533.328000000001</v>
      </c>
      <c r="G95">
        <f>SUM(G96:G100)</f>
        <v>0</v>
      </c>
      <c r="H95">
        <f>SUM(H96:H100)</f>
        <v>0</v>
      </c>
      <c r="I95">
        <f>SUM(I96:I100)</f>
        <v>0</v>
      </c>
      <c r="J95" s="107" t="s">
        <v>62</v>
      </c>
      <c r="K95" s="107" t="s">
        <v>17</v>
      </c>
    </row>
    <row r="96" spans="1:11" ht="13.5" customHeight="1" outlineLevel="1" x14ac:dyDescent="0.25">
      <c r="A96" s="107"/>
      <c r="B96" s="107"/>
      <c r="C96" s="107"/>
      <c r="D96">
        <v>2021</v>
      </c>
      <c r="E96">
        <f t="shared" si="10"/>
        <v>2106.6999999999998</v>
      </c>
      <c r="F96">
        <v>2106.6999999999998</v>
      </c>
      <c r="G96">
        <v>0</v>
      </c>
      <c r="H96">
        <v>0</v>
      </c>
      <c r="I96">
        <v>0</v>
      </c>
      <c r="J96" s="107"/>
      <c r="K96" s="107"/>
    </row>
    <row r="97" spans="1:11" ht="13.5" customHeight="1" outlineLevel="1" x14ac:dyDescent="0.25">
      <c r="A97" s="107"/>
      <c r="B97" s="107"/>
      <c r="C97" s="107"/>
      <c r="D97">
        <v>2022</v>
      </c>
      <c r="E97">
        <f t="shared" si="10"/>
        <v>2106.6570000000002</v>
      </c>
      <c r="F97">
        <v>2106.6570000000002</v>
      </c>
      <c r="G97">
        <v>0</v>
      </c>
      <c r="H97">
        <v>0</v>
      </c>
      <c r="I97">
        <v>0</v>
      </c>
      <c r="J97" s="107"/>
      <c r="K97" s="107"/>
    </row>
    <row r="98" spans="1:11" ht="13.5" customHeight="1" outlineLevel="1" x14ac:dyDescent="0.25">
      <c r="A98" s="107"/>
      <c r="B98" s="107"/>
      <c r="C98" s="107"/>
      <c r="D98">
        <v>2023</v>
      </c>
      <c r="E98">
        <f t="shared" si="10"/>
        <v>2106.6570000000002</v>
      </c>
      <c r="F98">
        <v>2106.6570000000002</v>
      </c>
      <c r="G98">
        <v>0</v>
      </c>
      <c r="H98">
        <v>0</v>
      </c>
      <c r="I98">
        <v>0</v>
      </c>
      <c r="J98" s="107"/>
      <c r="K98" s="107"/>
    </row>
    <row r="99" spans="1:11" ht="13.5" customHeight="1" outlineLevel="1" x14ac:dyDescent="0.25">
      <c r="A99" s="107"/>
      <c r="B99" s="107"/>
      <c r="C99" s="107"/>
      <c r="D99">
        <v>2024</v>
      </c>
      <c r="E99">
        <f t="shared" si="10"/>
        <v>2106.6570000000002</v>
      </c>
      <c r="F99">
        <v>2106.6570000000002</v>
      </c>
      <c r="G99">
        <v>0</v>
      </c>
      <c r="H99">
        <v>0</v>
      </c>
      <c r="I99">
        <v>0</v>
      </c>
      <c r="J99" s="107"/>
      <c r="K99" s="107"/>
    </row>
    <row r="100" spans="1:11" ht="13.5" customHeight="1" outlineLevel="1" x14ac:dyDescent="0.25">
      <c r="A100" s="107"/>
      <c r="B100" s="107"/>
      <c r="C100" s="107"/>
      <c r="D100">
        <v>2025</v>
      </c>
      <c r="E100">
        <f t="shared" si="10"/>
        <v>2106.6570000000002</v>
      </c>
      <c r="F100">
        <v>2106.6570000000002</v>
      </c>
      <c r="G100">
        <f>+G106+G112+G118+G124</f>
        <v>0</v>
      </c>
      <c r="H100">
        <v>0</v>
      </c>
      <c r="I100">
        <v>0</v>
      </c>
      <c r="J100" s="107"/>
      <c r="K100" s="107"/>
    </row>
    <row r="101" spans="1:11" ht="13.5" customHeight="1" outlineLevel="1" x14ac:dyDescent="0.25">
      <c r="A101" s="107" t="s">
        <v>63</v>
      </c>
      <c r="B101" s="107" t="s">
        <v>64</v>
      </c>
      <c r="C101" s="107" t="s">
        <v>14</v>
      </c>
      <c r="D101" t="s">
        <v>8</v>
      </c>
      <c r="E101">
        <f t="shared" si="10"/>
        <v>5420</v>
      </c>
      <c r="F101">
        <f>SUM(F102:F106)</f>
        <v>5420</v>
      </c>
      <c r="G101">
        <f>SUM(G102:G106)</f>
        <v>0</v>
      </c>
      <c r="H101">
        <f>SUM(H102:H106)</f>
        <v>0</v>
      </c>
      <c r="I101">
        <f>SUM(I102:I106)</f>
        <v>0</v>
      </c>
      <c r="J101" s="107" t="s">
        <v>65</v>
      </c>
      <c r="K101" s="107" t="s">
        <v>17</v>
      </c>
    </row>
    <row r="102" spans="1:11" ht="13.5" customHeight="1" outlineLevel="1" x14ac:dyDescent="0.25">
      <c r="A102" s="107"/>
      <c r="B102" s="107"/>
      <c r="C102" s="107"/>
      <c r="D102">
        <v>2021</v>
      </c>
      <c r="E102">
        <f t="shared" si="10"/>
        <v>1084</v>
      </c>
      <c r="F102">
        <v>1084</v>
      </c>
      <c r="G102">
        <v>0</v>
      </c>
      <c r="H102">
        <v>0</v>
      </c>
      <c r="I102">
        <v>0</v>
      </c>
      <c r="J102" s="107"/>
      <c r="K102" s="107"/>
    </row>
    <row r="103" spans="1:11" ht="13.5" customHeight="1" outlineLevel="1" x14ac:dyDescent="0.25">
      <c r="A103" s="107"/>
      <c r="B103" s="107"/>
      <c r="C103" s="107"/>
      <c r="D103">
        <v>2022</v>
      </c>
      <c r="E103">
        <f t="shared" si="10"/>
        <v>1084</v>
      </c>
      <c r="F103">
        <v>1084</v>
      </c>
      <c r="G103">
        <v>0</v>
      </c>
      <c r="H103">
        <v>0</v>
      </c>
      <c r="I103">
        <v>0</v>
      </c>
      <c r="J103" s="107"/>
      <c r="K103" s="107"/>
    </row>
    <row r="104" spans="1:11" ht="13.5" customHeight="1" outlineLevel="1" x14ac:dyDescent="0.25">
      <c r="A104" s="107"/>
      <c r="B104" s="107"/>
      <c r="C104" s="107"/>
      <c r="D104">
        <v>2023</v>
      </c>
      <c r="E104">
        <f t="shared" si="10"/>
        <v>1084</v>
      </c>
      <c r="F104">
        <v>1084</v>
      </c>
      <c r="G104">
        <v>0</v>
      </c>
      <c r="H104">
        <v>0</v>
      </c>
      <c r="I104">
        <v>0</v>
      </c>
      <c r="J104" s="107"/>
      <c r="K104" s="107"/>
    </row>
    <row r="105" spans="1:11" ht="13.5" customHeight="1" outlineLevel="1" x14ac:dyDescent="0.25">
      <c r="A105" s="107"/>
      <c r="B105" s="107"/>
      <c r="C105" s="107"/>
      <c r="D105">
        <v>2024</v>
      </c>
      <c r="E105">
        <f t="shared" si="10"/>
        <v>1084</v>
      </c>
      <c r="F105">
        <v>1084</v>
      </c>
      <c r="G105">
        <v>0</v>
      </c>
      <c r="H105">
        <v>0</v>
      </c>
      <c r="I105">
        <v>0</v>
      </c>
      <c r="J105" s="107"/>
      <c r="K105" s="107"/>
    </row>
    <row r="106" spans="1:11" ht="13.5" customHeight="1" outlineLevel="1" x14ac:dyDescent="0.25">
      <c r="A106" s="107"/>
      <c r="B106" s="107"/>
      <c r="C106" s="107"/>
      <c r="D106">
        <v>2025</v>
      </c>
      <c r="E106">
        <f t="shared" si="10"/>
        <v>1084</v>
      </c>
      <c r="F106">
        <v>1084</v>
      </c>
      <c r="G106">
        <v>0</v>
      </c>
      <c r="H106">
        <v>0</v>
      </c>
      <c r="I106">
        <v>0</v>
      </c>
      <c r="J106" s="107"/>
      <c r="K106" s="107"/>
    </row>
    <row r="107" spans="1:11" ht="13.5" customHeight="1" outlineLevel="1" x14ac:dyDescent="0.25">
      <c r="A107" s="107" t="s">
        <v>66</v>
      </c>
      <c r="B107" s="107" t="s">
        <v>67</v>
      </c>
      <c r="C107" s="107" t="s">
        <v>14</v>
      </c>
      <c r="D107" t="s">
        <v>8</v>
      </c>
      <c r="E107">
        <f t="shared" si="10"/>
        <v>160.35</v>
      </c>
      <c r="F107">
        <f>SUM(F108:F112)</f>
        <v>160.35</v>
      </c>
      <c r="G107">
        <f>SUM(G108:G112)</f>
        <v>0</v>
      </c>
      <c r="H107">
        <f>SUM(H108:H112)</f>
        <v>0</v>
      </c>
      <c r="I107">
        <f>SUM(I108:I112)</f>
        <v>0</v>
      </c>
      <c r="J107" s="107" t="s">
        <v>68</v>
      </c>
      <c r="K107" s="107" t="s">
        <v>69</v>
      </c>
    </row>
    <row r="108" spans="1:11" ht="13.5" customHeight="1" outlineLevel="1" x14ac:dyDescent="0.25">
      <c r="A108" s="107"/>
      <c r="B108" s="107"/>
      <c r="C108" s="107"/>
      <c r="D108">
        <v>2021</v>
      </c>
      <c r="E108">
        <f t="shared" si="10"/>
        <v>32.07</v>
      </c>
      <c r="F108">
        <v>32.07</v>
      </c>
      <c r="G108">
        <v>0</v>
      </c>
      <c r="H108">
        <v>0</v>
      </c>
      <c r="I108">
        <v>0</v>
      </c>
      <c r="J108" s="107"/>
      <c r="K108" s="107"/>
    </row>
    <row r="109" spans="1:11" ht="13.5" customHeight="1" outlineLevel="1" x14ac:dyDescent="0.25">
      <c r="A109" s="107"/>
      <c r="B109" s="107"/>
      <c r="C109" s="107"/>
      <c r="D109">
        <v>2022</v>
      </c>
      <c r="E109">
        <f t="shared" si="10"/>
        <v>32.07</v>
      </c>
      <c r="F109">
        <v>32.07</v>
      </c>
      <c r="G109">
        <v>0</v>
      </c>
      <c r="H109">
        <v>0</v>
      </c>
      <c r="I109">
        <v>0</v>
      </c>
      <c r="J109" s="107"/>
      <c r="K109" s="107"/>
    </row>
    <row r="110" spans="1:11" ht="13.5" customHeight="1" outlineLevel="1" x14ac:dyDescent="0.25">
      <c r="A110" s="107"/>
      <c r="B110" s="107"/>
      <c r="C110" s="107"/>
      <c r="D110">
        <v>2023</v>
      </c>
      <c r="E110">
        <f t="shared" si="10"/>
        <v>32.07</v>
      </c>
      <c r="F110">
        <v>32.07</v>
      </c>
      <c r="G110">
        <v>0</v>
      </c>
      <c r="H110">
        <v>0</v>
      </c>
      <c r="I110">
        <v>0</v>
      </c>
      <c r="J110" s="107"/>
      <c r="K110" s="107"/>
    </row>
    <row r="111" spans="1:11" ht="13.5" customHeight="1" outlineLevel="1" x14ac:dyDescent="0.25">
      <c r="A111" s="107"/>
      <c r="B111" s="107"/>
      <c r="C111" s="107"/>
      <c r="D111">
        <v>2024</v>
      </c>
      <c r="E111">
        <f t="shared" si="10"/>
        <v>32.07</v>
      </c>
      <c r="F111">
        <v>32.07</v>
      </c>
      <c r="G111">
        <v>0</v>
      </c>
      <c r="H111">
        <v>0</v>
      </c>
      <c r="I111">
        <v>0</v>
      </c>
      <c r="J111" s="107"/>
      <c r="K111" s="107"/>
    </row>
    <row r="112" spans="1:11" ht="13.5" customHeight="1" outlineLevel="1" x14ac:dyDescent="0.25">
      <c r="A112" s="107"/>
      <c r="B112" s="107"/>
      <c r="C112" s="107"/>
      <c r="D112">
        <v>2025</v>
      </c>
      <c r="E112">
        <f t="shared" si="10"/>
        <v>32.07</v>
      </c>
      <c r="F112">
        <v>32.07</v>
      </c>
      <c r="G112">
        <v>0</v>
      </c>
      <c r="H112">
        <v>0</v>
      </c>
      <c r="I112">
        <v>0</v>
      </c>
      <c r="J112" s="107"/>
      <c r="K112" s="107"/>
    </row>
    <row r="113" spans="1:11" ht="13.5" customHeight="1" outlineLevel="1" x14ac:dyDescent="0.25">
      <c r="A113" s="107" t="s">
        <v>70</v>
      </c>
      <c r="B113" s="107" t="s">
        <v>71</v>
      </c>
      <c r="C113" s="107" t="s">
        <v>14</v>
      </c>
      <c r="D113" t="s">
        <v>8</v>
      </c>
      <c r="E113">
        <f t="shared" si="10"/>
        <v>3643115.0479600001</v>
      </c>
      <c r="F113">
        <f>SUM(F114:F118)</f>
        <v>3643115.0479600001</v>
      </c>
      <c r="G113">
        <f>SUM(G114:G118)</f>
        <v>0</v>
      </c>
      <c r="H113">
        <f>SUM(H114:H118)</f>
        <v>0</v>
      </c>
      <c r="I113">
        <f>SUM(I114:I118)</f>
        <v>0</v>
      </c>
      <c r="J113" s="107" t="s">
        <v>72</v>
      </c>
      <c r="K113" s="107" t="s">
        <v>73</v>
      </c>
    </row>
    <row r="114" spans="1:11" ht="13.5" customHeight="1" outlineLevel="1" x14ac:dyDescent="0.25">
      <c r="A114" s="107"/>
      <c r="B114" s="107"/>
      <c r="C114" s="107"/>
      <c r="D114">
        <v>2021</v>
      </c>
      <c r="E114">
        <f t="shared" si="10"/>
        <v>718475.94896000007</v>
      </c>
      <c r="F114">
        <f>718475948.96/1000</f>
        <v>718475.94896000007</v>
      </c>
      <c r="G114">
        <v>0</v>
      </c>
      <c r="H114">
        <v>0</v>
      </c>
      <c r="I114">
        <v>0</v>
      </c>
      <c r="J114" s="107"/>
      <c r="K114" s="107"/>
    </row>
    <row r="115" spans="1:11" ht="13.5" customHeight="1" outlineLevel="1" x14ac:dyDescent="0.25">
      <c r="A115" s="107"/>
      <c r="B115" s="107"/>
      <c r="C115" s="107"/>
      <c r="D115">
        <v>2022</v>
      </c>
      <c r="E115">
        <f t="shared" si="10"/>
        <v>735402.81799999997</v>
      </c>
      <c r="F115">
        <v>735402.81799999997</v>
      </c>
      <c r="G115">
        <v>0</v>
      </c>
      <c r="H115">
        <v>0</v>
      </c>
      <c r="I115">
        <v>0</v>
      </c>
      <c r="J115" s="107"/>
      <c r="K115" s="107"/>
    </row>
    <row r="116" spans="1:11" ht="13.5" customHeight="1" outlineLevel="1" x14ac:dyDescent="0.25">
      <c r="A116" s="107"/>
      <c r="B116" s="107"/>
      <c r="C116" s="107"/>
      <c r="D116">
        <v>2023</v>
      </c>
      <c r="E116">
        <f t="shared" si="10"/>
        <v>729745.42599999998</v>
      </c>
      <c r="F116">
        <v>729745.42599999998</v>
      </c>
      <c r="G116">
        <v>0</v>
      </c>
      <c r="H116">
        <v>0</v>
      </c>
      <c r="I116">
        <v>0</v>
      </c>
      <c r="J116" s="107"/>
      <c r="K116" s="107"/>
    </row>
    <row r="117" spans="1:11" ht="13.5" customHeight="1" outlineLevel="1" x14ac:dyDescent="0.25">
      <c r="A117" s="107"/>
      <c r="B117" s="107"/>
      <c r="C117" s="107"/>
      <c r="D117">
        <v>2024</v>
      </c>
      <c r="E117">
        <f t="shared" si="10"/>
        <v>729745.429</v>
      </c>
      <c r="F117">
        <v>729745.429</v>
      </c>
      <c r="G117">
        <v>0</v>
      </c>
      <c r="H117">
        <v>0</v>
      </c>
      <c r="I117">
        <v>0</v>
      </c>
      <c r="J117" s="107"/>
      <c r="K117" s="107"/>
    </row>
    <row r="118" spans="1:11" ht="13.5" customHeight="1" outlineLevel="1" x14ac:dyDescent="0.25">
      <c r="A118" s="107"/>
      <c r="B118" s="107"/>
      <c r="C118" s="107"/>
      <c r="D118">
        <v>2025</v>
      </c>
      <c r="E118">
        <f t="shared" ref="E118:E123" si="15">SUM(F118:I118)</f>
        <v>729745.42599999998</v>
      </c>
      <c r="F118">
        <v>729745.42599999998</v>
      </c>
      <c r="G118">
        <v>0</v>
      </c>
      <c r="H118">
        <v>0</v>
      </c>
      <c r="I118">
        <v>0</v>
      </c>
      <c r="J118" s="107"/>
      <c r="K118" s="107"/>
    </row>
    <row r="119" spans="1:11" ht="13.5" customHeight="1" outlineLevel="1" x14ac:dyDescent="0.25">
      <c r="A119" s="107" t="s">
        <v>74</v>
      </c>
      <c r="B119" s="107" t="s">
        <v>75</v>
      </c>
      <c r="C119" s="107" t="s">
        <v>14</v>
      </c>
      <c r="D119" t="s">
        <v>8</v>
      </c>
      <c r="E119">
        <f t="shared" si="15"/>
        <v>17806.5</v>
      </c>
      <c r="F119">
        <f>SUM(F120:F124)</f>
        <v>17806.5</v>
      </c>
      <c r="G119">
        <f>SUM(G120:G124)</f>
        <v>0</v>
      </c>
      <c r="H119">
        <f>SUM(H120:H124)</f>
        <v>0</v>
      </c>
      <c r="I119">
        <f>SUM(I120:I124)</f>
        <v>0</v>
      </c>
      <c r="J119" s="107" t="s">
        <v>76</v>
      </c>
      <c r="K119" s="107" t="s">
        <v>77</v>
      </c>
    </row>
    <row r="120" spans="1:11" ht="13.5" customHeight="1" outlineLevel="1" x14ac:dyDescent="0.25">
      <c r="A120" s="107"/>
      <c r="B120" s="107"/>
      <c r="C120" s="107"/>
      <c r="D120">
        <v>2021</v>
      </c>
      <c r="E120">
        <f t="shared" si="15"/>
        <v>3561.3</v>
      </c>
      <c r="F120">
        <v>3561.3</v>
      </c>
      <c r="G120">
        <v>0</v>
      </c>
      <c r="H120">
        <v>0</v>
      </c>
      <c r="I120">
        <v>0</v>
      </c>
      <c r="J120" s="107"/>
      <c r="K120" s="107"/>
    </row>
    <row r="121" spans="1:11" ht="13.5" customHeight="1" outlineLevel="1" x14ac:dyDescent="0.25">
      <c r="A121" s="107"/>
      <c r="B121" s="107"/>
      <c r="C121" s="107"/>
      <c r="D121">
        <v>2022</v>
      </c>
      <c r="E121">
        <f t="shared" si="15"/>
        <v>3561.3</v>
      </c>
      <c r="F121">
        <v>3561.3</v>
      </c>
      <c r="G121">
        <v>0</v>
      </c>
      <c r="H121">
        <v>0</v>
      </c>
      <c r="I121">
        <v>0</v>
      </c>
      <c r="J121" s="107"/>
      <c r="K121" s="107"/>
    </row>
    <row r="122" spans="1:11" ht="13.5" customHeight="1" outlineLevel="1" x14ac:dyDescent="0.25">
      <c r="A122" s="107"/>
      <c r="B122" s="107"/>
      <c r="C122" s="107"/>
      <c r="D122">
        <v>2023</v>
      </c>
      <c r="E122">
        <f t="shared" si="15"/>
        <v>3561.3</v>
      </c>
      <c r="F122">
        <v>3561.3</v>
      </c>
      <c r="G122">
        <v>0</v>
      </c>
      <c r="H122">
        <v>0</v>
      </c>
      <c r="I122">
        <v>0</v>
      </c>
      <c r="J122" s="107"/>
      <c r="K122" s="107"/>
    </row>
    <row r="123" spans="1:11" ht="13.5" customHeight="1" outlineLevel="1" x14ac:dyDescent="0.25">
      <c r="A123" s="107"/>
      <c r="B123" s="107"/>
      <c r="C123" s="107"/>
      <c r="D123">
        <v>2024</v>
      </c>
      <c r="E123">
        <f t="shared" si="15"/>
        <v>3561.3</v>
      </c>
      <c r="F123">
        <v>3561.3</v>
      </c>
      <c r="G123">
        <v>0</v>
      </c>
      <c r="H123">
        <v>0</v>
      </c>
      <c r="I123">
        <v>0</v>
      </c>
      <c r="J123" s="107"/>
      <c r="K123" s="107"/>
    </row>
    <row r="124" spans="1:11" ht="19.5" customHeight="1" outlineLevel="1" x14ac:dyDescent="0.25">
      <c r="A124" s="107"/>
      <c r="B124" s="107"/>
      <c r="C124" s="107"/>
      <c r="D124">
        <v>2025</v>
      </c>
      <c r="E124">
        <f t="shared" ref="E124:E130" si="16">SUM(F124:I124)</f>
        <v>3561.3</v>
      </c>
      <c r="F124">
        <v>3561.3</v>
      </c>
      <c r="G124">
        <v>0</v>
      </c>
      <c r="H124">
        <v>0</v>
      </c>
      <c r="I124">
        <v>0</v>
      </c>
      <c r="J124" s="107"/>
      <c r="K124" s="107"/>
    </row>
    <row r="125" spans="1:11" ht="20.100000000000001" customHeight="1" outlineLevel="1" x14ac:dyDescent="0.25">
      <c r="A125" s="107" t="s">
        <v>78</v>
      </c>
      <c r="B125" s="107" t="s">
        <v>79</v>
      </c>
      <c r="C125" s="107" t="s">
        <v>14</v>
      </c>
      <c r="D125" t="s">
        <v>8</v>
      </c>
      <c r="E125">
        <f t="shared" si="16"/>
        <v>6400</v>
      </c>
      <c r="F125">
        <f>SUM(F126:F130)</f>
        <v>6400</v>
      </c>
      <c r="G125">
        <f>SUM(G126:G130)</f>
        <v>0</v>
      </c>
      <c r="H125">
        <f>SUM(H126:H130)</f>
        <v>0</v>
      </c>
      <c r="I125">
        <f>SUM(I126:I130)</f>
        <v>0</v>
      </c>
      <c r="J125" s="107" t="s">
        <v>80</v>
      </c>
      <c r="K125" s="107" t="s">
        <v>26</v>
      </c>
    </row>
    <row r="126" spans="1:11" ht="20.100000000000001" customHeight="1" outlineLevel="1" x14ac:dyDescent="0.25">
      <c r="A126" s="107"/>
      <c r="B126" s="107"/>
      <c r="C126" s="107"/>
      <c r="D126">
        <v>2021</v>
      </c>
      <c r="E126">
        <f t="shared" si="16"/>
        <v>6400</v>
      </c>
      <c r="F126">
        <f t="shared" ref="F126:I130" si="17">F132</f>
        <v>6400</v>
      </c>
      <c r="G126">
        <f t="shared" si="17"/>
        <v>0</v>
      </c>
      <c r="H126">
        <f t="shared" si="17"/>
        <v>0</v>
      </c>
      <c r="I126">
        <f t="shared" si="17"/>
        <v>0</v>
      </c>
      <c r="J126" s="107"/>
      <c r="K126" s="107"/>
    </row>
    <row r="127" spans="1:11" ht="20.100000000000001" customHeight="1" outlineLevel="1" x14ac:dyDescent="0.25">
      <c r="A127" s="107"/>
      <c r="B127" s="107"/>
      <c r="C127" s="107"/>
      <c r="D127">
        <v>2022</v>
      </c>
      <c r="E127">
        <f t="shared" si="16"/>
        <v>0</v>
      </c>
      <c r="F127">
        <f t="shared" si="17"/>
        <v>0</v>
      </c>
      <c r="G127">
        <f t="shared" si="17"/>
        <v>0</v>
      </c>
      <c r="H127">
        <f t="shared" si="17"/>
        <v>0</v>
      </c>
      <c r="I127">
        <f t="shared" si="17"/>
        <v>0</v>
      </c>
      <c r="J127" s="107"/>
      <c r="K127" s="107"/>
    </row>
    <row r="128" spans="1:11" ht="20.100000000000001" customHeight="1" outlineLevel="1" x14ac:dyDescent="0.25">
      <c r="A128" s="107"/>
      <c r="B128" s="107"/>
      <c r="C128" s="107"/>
      <c r="D128">
        <v>2023</v>
      </c>
      <c r="E128">
        <f t="shared" si="16"/>
        <v>0</v>
      </c>
      <c r="F128">
        <f t="shared" si="17"/>
        <v>0</v>
      </c>
      <c r="G128">
        <f t="shared" si="17"/>
        <v>0</v>
      </c>
      <c r="H128">
        <f t="shared" si="17"/>
        <v>0</v>
      </c>
      <c r="I128">
        <f t="shared" si="17"/>
        <v>0</v>
      </c>
      <c r="J128" s="107"/>
      <c r="K128" s="107"/>
    </row>
    <row r="129" spans="1:11" ht="20.100000000000001" customHeight="1" outlineLevel="1" x14ac:dyDescent="0.25">
      <c r="A129" s="107"/>
      <c r="B129" s="107"/>
      <c r="C129" s="107"/>
      <c r="D129">
        <v>2024</v>
      </c>
      <c r="E129">
        <f t="shared" si="16"/>
        <v>0</v>
      </c>
      <c r="F129">
        <f t="shared" si="17"/>
        <v>0</v>
      </c>
      <c r="G129">
        <f t="shared" si="17"/>
        <v>0</v>
      </c>
      <c r="H129">
        <f t="shared" si="17"/>
        <v>0</v>
      </c>
      <c r="I129">
        <f t="shared" si="17"/>
        <v>0</v>
      </c>
      <c r="J129" s="107"/>
      <c r="K129" s="107"/>
    </row>
    <row r="130" spans="1:11" ht="20.100000000000001" customHeight="1" outlineLevel="1" x14ac:dyDescent="0.25">
      <c r="A130" s="107"/>
      <c r="B130" s="107"/>
      <c r="C130" s="107"/>
      <c r="D130">
        <v>2025</v>
      </c>
      <c r="E130">
        <f t="shared" si="16"/>
        <v>0</v>
      </c>
      <c r="F130">
        <f t="shared" si="17"/>
        <v>0</v>
      </c>
      <c r="G130">
        <f t="shared" si="17"/>
        <v>0</v>
      </c>
      <c r="H130">
        <f t="shared" si="17"/>
        <v>0</v>
      </c>
      <c r="I130">
        <f>I136</f>
        <v>0</v>
      </c>
      <c r="J130" s="107"/>
      <c r="K130" s="107"/>
    </row>
    <row r="131" spans="1:11" ht="17.100000000000001" customHeight="1" outlineLevel="1" x14ac:dyDescent="0.25">
      <c r="A131" s="107" t="s">
        <v>81</v>
      </c>
      <c r="B131" s="107" t="s">
        <v>82</v>
      </c>
      <c r="C131" s="107">
        <v>2021</v>
      </c>
      <c r="D131" t="s">
        <v>8</v>
      </c>
      <c r="E131">
        <f>SUM(E132:E136)</f>
        <v>6400</v>
      </c>
      <c r="F131">
        <f>SUM(F132:F136)</f>
        <v>6400</v>
      </c>
      <c r="G131">
        <f>SUM(G132:G136)</f>
        <v>0</v>
      </c>
      <c r="H131">
        <f>SUM(H132:H136)</f>
        <v>0</v>
      </c>
      <c r="I131">
        <f>SUM(I132:I136)</f>
        <v>0</v>
      </c>
      <c r="J131" s="107" t="s">
        <v>83</v>
      </c>
      <c r="K131" s="107" t="s">
        <v>17</v>
      </c>
    </row>
    <row r="132" spans="1:11" ht="17.100000000000001" customHeight="1" outlineLevel="1" x14ac:dyDescent="0.25">
      <c r="A132" s="107"/>
      <c r="B132" s="107"/>
      <c r="C132" s="107"/>
      <c r="D132">
        <v>2021</v>
      </c>
      <c r="E132">
        <f t="shared" ref="E132:E166" si="18">SUM(F132:I132)</f>
        <v>6400</v>
      </c>
      <c r="F132">
        <v>6400</v>
      </c>
      <c r="G132">
        <v>0</v>
      </c>
      <c r="H132">
        <v>0</v>
      </c>
      <c r="I132">
        <v>0</v>
      </c>
      <c r="J132" s="107"/>
      <c r="K132" s="107"/>
    </row>
    <row r="133" spans="1:11" ht="17.100000000000001" customHeight="1" outlineLevel="1" x14ac:dyDescent="0.25">
      <c r="A133" s="107"/>
      <c r="B133" s="107"/>
      <c r="C133" s="107"/>
      <c r="D133">
        <v>2022</v>
      </c>
      <c r="E133">
        <f t="shared" si="18"/>
        <v>0</v>
      </c>
      <c r="F133">
        <v>0</v>
      </c>
      <c r="G133">
        <v>0</v>
      </c>
      <c r="H133">
        <v>0</v>
      </c>
      <c r="I133">
        <v>0</v>
      </c>
      <c r="J133" s="107"/>
      <c r="K133" s="107"/>
    </row>
    <row r="134" spans="1:11" ht="17.100000000000001" customHeight="1" outlineLevel="1" x14ac:dyDescent="0.25">
      <c r="A134" s="107"/>
      <c r="B134" s="107"/>
      <c r="C134" s="107"/>
      <c r="D134">
        <v>2023</v>
      </c>
      <c r="E134">
        <f t="shared" si="18"/>
        <v>0</v>
      </c>
      <c r="F134">
        <v>0</v>
      </c>
      <c r="G134">
        <v>0</v>
      </c>
      <c r="H134">
        <v>0</v>
      </c>
      <c r="I134">
        <v>0</v>
      </c>
      <c r="J134" s="107"/>
      <c r="K134" s="107"/>
    </row>
    <row r="135" spans="1:11" ht="17.100000000000001" customHeight="1" outlineLevel="1" x14ac:dyDescent="0.25">
      <c r="A135" s="107"/>
      <c r="B135" s="107"/>
      <c r="C135" s="107"/>
      <c r="D135">
        <v>2024</v>
      </c>
      <c r="E135">
        <f t="shared" si="18"/>
        <v>0</v>
      </c>
      <c r="F135">
        <v>0</v>
      </c>
      <c r="G135">
        <v>0</v>
      </c>
      <c r="H135">
        <v>0</v>
      </c>
      <c r="I135">
        <v>0</v>
      </c>
      <c r="J135" s="107"/>
      <c r="K135" s="107"/>
    </row>
    <row r="136" spans="1:11" ht="17.100000000000001" customHeight="1" outlineLevel="1" x14ac:dyDescent="0.25">
      <c r="A136" s="107"/>
      <c r="B136" s="107"/>
      <c r="C136" s="107"/>
      <c r="D136">
        <v>2025</v>
      </c>
      <c r="E136">
        <f t="shared" si="18"/>
        <v>0</v>
      </c>
      <c r="F136">
        <v>0</v>
      </c>
      <c r="G136">
        <v>0</v>
      </c>
      <c r="H136">
        <v>0</v>
      </c>
      <c r="I136">
        <v>0</v>
      </c>
      <c r="J136" s="107"/>
      <c r="K136" s="107"/>
    </row>
    <row r="137" spans="1:11" ht="20.100000000000001" customHeight="1" outlineLevel="1" x14ac:dyDescent="0.25">
      <c r="A137" s="107" t="s">
        <v>84</v>
      </c>
      <c r="B137" s="107" t="s">
        <v>40</v>
      </c>
      <c r="C137" s="107" t="s">
        <v>41</v>
      </c>
      <c r="D137" t="s">
        <v>8</v>
      </c>
      <c r="E137">
        <f t="shared" si="18"/>
        <v>80132.358319999999</v>
      </c>
      <c r="F137">
        <f>SUM(F138:F142)</f>
        <v>11915.358320000001</v>
      </c>
      <c r="G137">
        <f>SUM(G138:G142)</f>
        <v>68217</v>
      </c>
      <c r="H137">
        <f>SUM(H138:H142)</f>
        <v>0</v>
      </c>
      <c r="I137">
        <f>SUM(I138:I142)</f>
        <v>0</v>
      </c>
      <c r="J137" s="107" t="s">
        <v>85</v>
      </c>
      <c r="K137" s="107" t="s">
        <v>59</v>
      </c>
    </row>
    <row r="138" spans="1:11" ht="20.100000000000001" customHeight="1" outlineLevel="1" x14ac:dyDescent="0.25">
      <c r="A138" s="107"/>
      <c r="B138" s="107"/>
      <c r="C138" s="107"/>
      <c r="D138">
        <v>2021</v>
      </c>
      <c r="E138">
        <f t="shared" si="18"/>
        <v>40293.282890000002</v>
      </c>
      <c r="F138">
        <f>F144+F150</f>
        <v>3885.4828900000002</v>
      </c>
      <c r="G138">
        <f t="shared" ref="F138:I142" si="19">G144+G150</f>
        <v>36407.800000000003</v>
      </c>
      <c r="H138">
        <f t="shared" si="19"/>
        <v>0</v>
      </c>
      <c r="I138">
        <f t="shared" si="19"/>
        <v>0</v>
      </c>
      <c r="J138" s="107"/>
      <c r="K138" s="107"/>
    </row>
    <row r="139" spans="1:11" ht="20.100000000000001" customHeight="1" outlineLevel="1" x14ac:dyDescent="0.25">
      <c r="A139" s="107"/>
      <c r="B139" s="107"/>
      <c r="C139" s="107"/>
      <c r="D139">
        <v>2022</v>
      </c>
      <c r="E139">
        <f t="shared" si="18"/>
        <v>18193.516629999998</v>
      </c>
      <c r="F139">
        <f t="shared" si="19"/>
        <v>2646.2166299999999</v>
      </c>
      <c r="G139">
        <f t="shared" si="19"/>
        <v>15547.3</v>
      </c>
      <c r="H139">
        <f t="shared" si="19"/>
        <v>0</v>
      </c>
      <c r="I139">
        <f t="shared" si="19"/>
        <v>0</v>
      </c>
      <c r="J139" s="107"/>
      <c r="K139" s="107"/>
    </row>
    <row r="140" spans="1:11" ht="20.100000000000001" customHeight="1" outlineLevel="1" x14ac:dyDescent="0.25">
      <c r="A140" s="107"/>
      <c r="B140" s="107"/>
      <c r="C140" s="107"/>
      <c r="D140">
        <v>2023</v>
      </c>
      <c r="E140">
        <f t="shared" si="18"/>
        <v>18953.7294</v>
      </c>
      <c r="F140">
        <f t="shared" si="19"/>
        <v>2691.8294000000001</v>
      </c>
      <c r="G140">
        <f t="shared" si="19"/>
        <v>16261.9</v>
      </c>
      <c r="H140">
        <f t="shared" si="19"/>
        <v>0</v>
      </c>
      <c r="I140">
        <f t="shared" si="19"/>
        <v>0</v>
      </c>
      <c r="J140" s="107"/>
      <c r="K140" s="107"/>
    </row>
    <row r="141" spans="1:11" ht="20.100000000000001" customHeight="1" outlineLevel="1" x14ac:dyDescent="0.25">
      <c r="A141" s="107"/>
      <c r="B141" s="107"/>
      <c r="C141" s="107"/>
      <c r="D141">
        <v>2024</v>
      </c>
      <c r="E141">
        <f t="shared" si="18"/>
        <v>2691.8294000000001</v>
      </c>
      <c r="F141">
        <f t="shared" si="19"/>
        <v>2691.8294000000001</v>
      </c>
      <c r="G141">
        <f t="shared" si="19"/>
        <v>0</v>
      </c>
      <c r="H141">
        <f t="shared" si="19"/>
        <v>0</v>
      </c>
      <c r="I141">
        <f t="shared" si="19"/>
        <v>0</v>
      </c>
      <c r="J141" s="107"/>
      <c r="K141" s="107"/>
    </row>
    <row r="142" spans="1:11" ht="20.100000000000001" customHeight="1" outlineLevel="1" x14ac:dyDescent="0.25">
      <c r="A142" s="107"/>
      <c r="B142" s="107"/>
      <c r="C142" s="107"/>
      <c r="D142">
        <v>2025</v>
      </c>
      <c r="E142">
        <f t="shared" si="18"/>
        <v>0</v>
      </c>
      <c r="F142">
        <f t="shared" si="19"/>
        <v>0</v>
      </c>
      <c r="G142">
        <f t="shared" si="19"/>
        <v>0</v>
      </c>
      <c r="H142">
        <f t="shared" si="19"/>
        <v>0</v>
      </c>
      <c r="I142">
        <f t="shared" si="19"/>
        <v>0</v>
      </c>
      <c r="J142" s="107"/>
      <c r="K142" s="107"/>
    </row>
    <row r="143" spans="1:11" ht="15.75" customHeight="1" outlineLevel="1" x14ac:dyDescent="0.25">
      <c r="A143" s="107" t="s">
        <v>86</v>
      </c>
      <c r="B143" s="107" t="s">
        <v>87</v>
      </c>
      <c r="C143" s="107" t="s">
        <v>41</v>
      </c>
      <c r="D143" t="s">
        <v>8</v>
      </c>
      <c r="E143">
        <f t="shared" si="18"/>
        <v>58271.780850000003</v>
      </c>
      <c r="F143">
        <f>SUM(F144:F148)</f>
        <v>4184.0808500000003</v>
      </c>
      <c r="G143">
        <f>SUM(G144:G148)</f>
        <v>54087.700000000004</v>
      </c>
      <c r="H143">
        <f>SUM(H144:H148)</f>
        <v>0</v>
      </c>
      <c r="I143">
        <f>SUM(I144:I148)</f>
        <v>0</v>
      </c>
      <c r="J143" s="107" t="s">
        <v>88</v>
      </c>
      <c r="K143" s="107" t="s">
        <v>89</v>
      </c>
    </row>
    <row r="144" spans="1:11" outlineLevel="1" x14ac:dyDescent="0.25">
      <c r="A144" s="107"/>
      <c r="B144" s="107"/>
      <c r="C144" s="107"/>
      <c r="D144">
        <v>2021</v>
      </c>
      <c r="E144">
        <f t="shared" si="18"/>
        <v>33911.170209999997</v>
      </c>
      <c r="F144">
        <v>2034.67021</v>
      </c>
      <c r="G144">
        <v>31876.5</v>
      </c>
      <c r="H144">
        <v>0</v>
      </c>
      <c r="I144">
        <v>0</v>
      </c>
      <c r="J144" s="107"/>
      <c r="K144" s="107"/>
    </row>
    <row r="145" spans="1:11" outlineLevel="1" x14ac:dyDescent="0.25">
      <c r="A145" s="107"/>
      <c r="B145" s="107"/>
      <c r="C145" s="107"/>
      <c r="D145">
        <v>2022</v>
      </c>
      <c r="E145">
        <f t="shared" si="18"/>
        <v>11434.361699999999</v>
      </c>
      <c r="F145">
        <v>686.06169999999997</v>
      </c>
      <c r="G145">
        <v>10748.3</v>
      </c>
      <c r="H145">
        <v>0</v>
      </c>
      <c r="I145">
        <v>0</v>
      </c>
      <c r="J145" s="107"/>
      <c r="K145" s="107"/>
    </row>
    <row r="146" spans="1:11" outlineLevel="1" x14ac:dyDescent="0.25">
      <c r="A146" s="107"/>
      <c r="B146" s="107"/>
      <c r="C146" s="107"/>
      <c r="D146">
        <v>2023</v>
      </c>
      <c r="E146">
        <f t="shared" si="18"/>
        <v>12194.57447</v>
      </c>
      <c r="F146">
        <v>731.67447000000004</v>
      </c>
      <c r="G146">
        <v>11462.9</v>
      </c>
      <c r="H146">
        <v>0</v>
      </c>
      <c r="I146">
        <v>0</v>
      </c>
      <c r="J146" s="107"/>
      <c r="K146" s="107"/>
    </row>
    <row r="147" spans="1:11" outlineLevel="1" x14ac:dyDescent="0.25">
      <c r="A147" s="107"/>
      <c r="B147" s="107"/>
      <c r="C147" s="107"/>
      <c r="D147">
        <v>2024</v>
      </c>
      <c r="E147">
        <f t="shared" si="18"/>
        <v>731.67447000000004</v>
      </c>
      <c r="F147">
        <v>731.67447000000004</v>
      </c>
      <c r="G147">
        <v>0</v>
      </c>
      <c r="H147">
        <v>0</v>
      </c>
      <c r="I147">
        <v>0</v>
      </c>
      <c r="J147" s="107"/>
      <c r="K147" s="107"/>
    </row>
    <row r="148" spans="1:11" outlineLevel="1" x14ac:dyDescent="0.25">
      <c r="A148" s="107"/>
      <c r="B148" s="107"/>
      <c r="C148" s="107"/>
      <c r="D148">
        <v>2025</v>
      </c>
      <c r="E148">
        <f t="shared" si="18"/>
        <v>0</v>
      </c>
      <c r="F148">
        <v>0</v>
      </c>
      <c r="G148">
        <v>0</v>
      </c>
      <c r="H148">
        <v>0</v>
      </c>
      <c r="I148">
        <v>0</v>
      </c>
      <c r="J148" s="107"/>
      <c r="K148" s="107"/>
    </row>
    <row r="149" spans="1:11" ht="19.5" customHeight="1" outlineLevel="1" x14ac:dyDescent="0.25">
      <c r="A149" s="107" t="s">
        <v>63</v>
      </c>
      <c r="B149" s="107" t="s">
        <v>90</v>
      </c>
      <c r="C149" s="107" t="s">
        <v>14</v>
      </c>
      <c r="D149" t="s">
        <v>8</v>
      </c>
      <c r="E149">
        <f t="shared" si="18"/>
        <v>21860.577469999997</v>
      </c>
      <c r="F149">
        <f>SUM(F150:F154)</f>
        <v>7731.2774699999991</v>
      </c>
      <c r="G149">
        <f>SUM(G150:G154)</f>
        <v>14129.3</v>
      </c>
      <c r="H149">
        <f>SUM(H150:H154)</f>
        <v>0</v>
      </c>
      <c r="I149">
        <f>SUM(I150:I154)</f>
        <v>0</v>
      </c>
      <c r="J149" s="107" t="s">
        <v>91</v>
      </c>
      <c r="K149" s="107" t="s">
        <v>92</v>
      </c>
    </row>
    <row r="150" spans="1:11" ht="15" customHeight="1" outlineLevel="1" x14ac:dyDescent="0.25">
      <c r="A150" s="107"/>
      <c r="B150" s="107"/>
      <c r="C150" s="107"/>
      <c r="D150">
        <v>2021</v>
      </c>
      <c r="E150">
        <f t="shared" si="18"/>
        <v>6382.1126800000002</v>
      </c>
      <c r="F150">
        <v>1850.81268</v>
      </c>
      <c r="G150">
        <v>4531.3</v>
      </c>
      <c r="H150">
        <v>0</v>
      </c>
      <c r="I150">
        <v>0</v>
      </c>
      <c r="J150" s="107"/>
      <c r="K150" s="107"/>
    </row>
    <row r="151" spans="1:11" ht="16.5" customHeight="1" outlineLevel="1" x14ac:dyDescent="0.25">
      <c r="A151" s="107"/>
      <c r="B151" s="107"/>
      <c r="C151" s="107"/>
      <c r="D151">
        <v>2022</v>
      </c>
      <c r="E151">
        <f t="shared" si="18"/>
        <v>6759.1549299999997</v>
      </c>
      <c r="F151">
        <v>1960.1549299999999</v>
      </c>
      <c r="G151">
        <v>4799</v>
      </c>
      <c r="H151">
        <v>0</v>
      </c>
      <c r="I151">
        <v>0</v>
      </c>
      <c r="J151" s="107"/>
      <c r="K151" s="107"/>
    </row>
    <row r="152" spans="1:11" ht="14.25" customHeight="1" outlineLevel="1" x14ac:dyDescent="0.25">
      <c r="A152" s="107"/>
      <c r="B152" s="107"/>
      <c r="C152" s="107"/>
      <c r="D152">
        <v>2023</v>
      </c>
      <c r="E152">
        <f t="shared" si="18"/>
        <v>6759.1549299999997</v>
      </c>
      <c r="F152">
        <v>1960.1549299999999</v>
      </c>
      <c r="G152">
        <v>4799</v>
      </c>
      <c r="H152">
        <v>0</v>
      </c>
      <c r="I152">
        <v>0</v>
      </c>
      <c r="J152" s="107"/>
      <c r="K152" s="107"/>
    </row>
    <row r="153" spans="1:11" ht="12.75" customHeight="1" outlineLevel="1" x14ac:dyDescent="0.25">
      <c r="A153" s="107"/>
      <c r="B153" s="107"/>
      <c r="C153" s="107"/>
      <c r="D153">
        <v>2024</v>
      </c>
      <c r="E153">
        <f t="shared" si="18"/>
        <v>1960.1549299999999</v>
      </c>
      <c r="F153">
        <v>1960.1549299999999</v>
      </c>
      <c r="G153">
        <v>0</v>
      </c>
      <c r="H153">
        <v>0</v>
      </c>
      <c r="I153">
        <v>0</v>
      </c>
      <c r="J153" s="107"/>
      <c r="K153" s="107"/>
    </row>
    <row r="154" spans="1:11" ht="14.25" customHeight="1" outlineLevel="1" x14ac:dyDescent="0.25">
      <c r="A154" s="107"/>
      <c r="B154" s="107"/>
      <c r="C154" s="107"/>
      <c r="D154">
        <v>2025</v>
      </c>
      <c r="E154">
        <f t="shared" si="18"/>
        <v>0</v>
      </c>
      <c r="F154">
        <v>0</v>
      </c>
      <c r="G154">
        <v>0</v>
      </c>
      <c r="H154">
        <v>0</v>
      </c>
      <c r="I154">
        <v>0</v>
      </c>
      <c r="J154" s="107"/>
      <c r="K154" s="107"/>
    </row>
    <row r="155" spans="1:11" ht="15.95" customHeight="1" x14ac:dyDescent="0.25">
      <c r="A155" s="107" t="s">
        <v>93</v>
      </c>
      <c r="B155" s="107" t="s">
        <v>94</v>
      </c>
      <c r="C155" s="107" t="s">
        <v>14</v>
      </c>
      <c r="D155" t="s">
        <v>8</v>
      </c>
      <c r="E155">
        <f t="shared" si="18"/>
        <v>911748.2173299999</v>
      </c>
      <c r="F155">
        <f>SUM(F156:F160)</f>
        <v>389701.16661000001</v>
      </c>
      <c r="G155">
        <f>SUM(G156:G160)</f>
        <v>502391</v>
      </c>
      <c r="H155">
        <f>SUM(H156:H160)</f>
        <v>19656.050719999999</v>
      </c>
      <c r="I155">
        <f>SUM(I156:I160)</f>
        <v>0</v>
      </c>
      <c r="J155" s="107"/>
      <c r="K155" s="107" t="s">
        <v>95</v>
      </c>
    </row>
    <row r="156" spans="1:11" ht="15.95" customHeight="1" x14ac:dyDescent="0.25">
      <c r="A156" s="107"/>
      <c r="B156" s="107"/>
      <c r="C156" s="107"/>
      <c r="D156">
        <v>2021</v>
      </c>
      <c r="E156">
        <f t="shared" si="18"/>
        <v>327897.96298999997</v>
      </c>
      <c r="F156">
        <f>F162+F174+F192</f>
        <v>61978.960530000004</v>
      </c>
      <c r="G156">
        <f t="shared" ref="F156:I160" si="20">G162+G174+G192</f>
        <v>261223.7</v>
      </c>
      <c r="H156">
        <f t="shared" ref="H156:H157" si="21">H162+H174+H192</f>
        <v>4695.3024599999999</v>
      </c>
      <c r="I156">
        <f t="shared" si="20"/>
        <v>0</v>
      </c>
      <c r="J156" s="107"/>
      <c r="K156" s="107"/>
    </row>
    <row r="157" spans="1:11" ht="15.95" customHeight="1" x14ac:dyDescent="0.25">
      <c r="A157" s="107"/>
      <c r="B157" s="107"/>
      <c r="C157" s="107"/>
      <c r="D157">
        <v>2022</v>
      </c>
      <c r="E157">
        <f t="shared" si="18"/>
        <v>422633.93519000005</v>
      </c>
      <c r="F157">
        <f t="shared" si="20"/>
        <v>293896.88693000004</v>
      </c>
      <c r="G157">
        <f t="shared" si="20"/>
        <v>113776.3</v>
      </c>
      <c r="H157">
        <f t="shared" si="21"/>
        <v>14960.74826</v>
      </c>
      <c r="I157">
        <f t="shared" si="20"/>
        <v>0</v>
      </c>
      <c r="J157" s="107"/>
      <c r="K157" s="107"/>
    </row>
    <row r="158" spans="1:11" ht="15.95" customHeight="1" x14ac:dyDescent="0.25">
      <c r="A158" s="107"/>
      <c r="B158" s="107"/>
      <c r="C158" s="107"/>
      <c r="D158">
        <v>2023</v>
      </c>
      <c r="E158">
        <f t="shared" si="18"/>
        <v>145166.31915</v>
      </c>
      <c r="F158">
        <f>F164+F176+F194</f>
        <v>17775.319149999999</v>
      </c>
      <c r="G158">
        <f t="shared" si="20"/>
        <v>127391</v>
      </c>
      <c r="H158">
        <f t="shared" si="20"/>
        <v>0</v>
      </c>
      <c r="I158">
        <f t="shared" si="20"/>
        <v>0</v>
      </c>
      <c r="J158" s="107"/>
      <c r="K158" s="107"/>
    </row>
    <row r="159" spans="1:11" ht="15.95" customHeight="1" x14ac:dyDescent="0.25">
      <c r="A159" s="107"/>
      <c r="B159" s="107"/>
      <c r="C159" s="107"/>
      <c r="D159">
        <v>2024</v>
      </c>
      <c r="E159">
        <f t="shared" si="18"/>
        <v>10050</v>
      </c>
      <c r="F159">
        <f t="shared" si="20"/>
        <v>10050</v>
      </c>
      <c r="G159">
        <f t="shared" si="20"/>
        <v>0</v>
      </c>
      <c r="H159">
        <f t="shared" si="20"/>
        <v>0</v>
      </c>
      <c r="I159">
        <f t="shared" si="20"/>
        <v>0</v>
      </c>
      <c r="J159" s="107"/>
      <c r="K159" s="107"/>
    </row>
    <row r="160" spans="1:11" ht="15.95" customHeight="1" x14ac:dyDescent="0.25">
      <c r="A160" s="107"/>
      <c r="B160" s="107"/>
      <c r="C160" s="107"/>
      <c r="D160">
        <v>2025</v>
      </c>
      <c r="E160">
        <f t="shared" si="18"/>
        <v>6000</v>
      </c>
      <c r="F160">
        <f t="shared" si="20"/>
        <v>6000</v>
      </c>
      <c r="G160">
        <f t="shared" si="20"/>
        <v>0</v>
      </c>
      <c r="H160">
        <f t="shared" si="20"/>
        <v>0</v>
      </c>
      <c r="I160">
        <f t="shared" si="20"/>
        <v>0</v>
      </c>
      <c r="J160" s="107"/>
      <c r="K160" s="107"/>
    </row>
    <row r="161" spans="1:11" ht="15" customHeight="1" outlineLevel="1" x14ac:dyDescent="0.25">
      <c r="A161" s="107" t="s">
        <v>96</v>
      </c>
      <c r="B161" s="107" t="s">
        <v>97</v>
      </c>
      <c r="C161" s="107">
        <v>2021</v>
      </c>
      <c r="D161" t="s">
        <v>8</v>
      </c>
      <c r="E161">
        <f t="shared" si="18"/>
        <v>10735.3</v>
      </c>
      <c r="F161">
        <f>SUM(F162:F166)</f>
        <v>8888.7999999999993</v>
      </c>
      <c r="G161">
        <f>SUM(G162:G166)</f>
        <v>0</v>
      </c>
      <c r="H161">
        <f>SUM(H162:H166)</f>
        <v>1846.5</v>
      </c>
      <c r="I161">
        <f>SUM(I162:I166)</f>
        <v>0</v>
      </c>
      <c r="J161" s="107" t="s">
        <v>98</v>
      </c>
      <c r="K161" s="107" t="s">
        <v>99</v>
      </c>
    </row>
    <row r="162" spans="1:11" outlineLevel="1" x14ac:dyDescent="0.25">
      <c r="A162" s="107"/>
      <c r="B162" s="107"/>
      <c r="C162" s="107"/>
      <c r="D162">
        <v>2021</v>
      </c>
      <c r="E162">
        <f t="shared" si="18"/>
        <v>10735.3</v>
      </c>
      <c r="F162">
        <f t="shared" ref="F162:I166" si="22">F168</f>
        <v>8888.7999999999993</v>
      </c>
      <c r="G162">
        <f t="shared" si="22"/>
        <v>0</v>
      </c>
      <c r="H162">
        <f t="shared" si="22"/>
        <v>1846.5</v>
      </c>
      <c r="I162">
        <f t="shared" si="22"/>
        <v>0</v>
      </c>
      <c r="J162" s="107"/>
      <c r="K162" s="107"/>
    </row>
    <row r="163" spans="1:11" outlineLevel="1" x14ac:dyDescent="0.25">
      <c r="A163" s="107"/>
      <c r="B163" s="107"/>
      <c r="C163" s="107"/>
      <c r="D163">
        <v>2022</v>
      </c>
      <c r="E163">
        <f t="shared" si="18"/>
        <v>0</v>
      </c>
      <c r="F163">
        <f t="shared" si="22"/>
        <v>0</v>
      </c>
      <c r="G163">
        <f t="shared" si="22"/>
        <v>0</v>
      </c>
      <c r="H163">
        <f t="shared" si="22"/>
        <v>0</v>
      </c>
      <c r="I163">
        <f t="shared" si="22"/>
        <v>0</v>
      </c>
      <c r="J163" s="107"/>
      <c r="K163" s="107"/>
    </row>
    <row r="164" spans="1:11" outlineLevel="1" x14ac:dyDescent="0.25">
      <c r="A164" s="107"/>
      <c r="B164" s="107"/>
      <c r="C164" s="107"/>
      <c r="D164">
        <v>2023</v>
      </c>
      <c r="E164">
        <f t="shared" si="18"/>
        <v>0</v>
      </c>
      <c r="F164">
        <f t="shared" si="22"/>
        <v>0</v>
      </c>
      <c r="G164">
        <f t="shared" si="22"/>
        <v>0</v>
      </c>
      <c r="H164">
        <f t="shared" si="22"/>
        <v>0</v>
      </c>
      <c r="I164">
        <f t="shared" si="22"/>
        <v>0</v>
      </c>
      <c r="J164" s="107"/>
      <c r="K164" s="107"/>
    </row>
    <row r="165" spans="1:11" outlineLevel="1" x14ac:dyDescent="0.25">
      <c r="A165" s="107"/>
      <c r="B165" s="107"/>
      <c r="C165" s="107"/>
      <c r="D165">
        <v>2024</v>
      </c>
      <c r="E165">
        <f t="shared" si="18"/>
        <v>0</v>
      </c>
      <c r="F165">
        <f t="shared" si="22"/>
        <v>0</v>
      </c>
      <c r="G165">
        <f t="shared" si="22"/>
        <v>0</v>
      </c>
      <c r="H165">
        <f t="shared" si="22"/>
        <v>0</v>
      </c>
      <c r="I165">
        <f t="shared" si="22"/>
        <v>0</v>
      </c>
      <c r="J165" s="107"/>
      <c r="K165" s="107"/>
    </row>
    <row r="166" spans="1:11" outlineLevel="1" x14ac:dyDescent="0.25">
      <c r="A166" s="107"/>
      <c r="B166" s="107"/>
      <c r="C166" s="107"/>
      <c r="D166">
        <v>2025</v>
      </c>
      <c r="E166">
        <f t="shared" si="18"/>
        <v>0</v>
      </c>
      <c r="F166">
        <f t="shared" si="22"/>
        <v>0</v>
      </c>
      <c r="G166">
        <f t="shared" si="22"/>
        <v>0</v>
      </c>
      <c r="H166">
        <f t="shared" si="22"/>
        <v>0</v>
      </c>
      <c r="I166">
        <f t="shared" si="22"/>
        <v>0</v>
      </c>
      <c r="J166" s="107"/>
      <c r="K166" s="107"/>
    </row>
    <row r="167" spans="1:11" ht="15" customHeight="1" outlineLevel="1" x14ac:dyDescent="0.25">
      <c r="A167" s="107" t="s">
        <v>100</v>
      </c>
      <c r="B167" s="107" t="s">
        <v>101</v>
      </c>
      <c r="C167" s="107">
        <v>2021</v>
      </c>
      <c r="D167" t="s">
        <v>8</v>
      </c>
      <c r="E167">
        <f>SUM(E168:E172)</f>
        <v>10735.3</v>
      </c>
      <c r="F167">
        <f>SUM(F168:F172)</f>
        <v>8888.7999999999993</v>
      </c>
      <c r="G167">
        <f>SUM(G168:G172)</f>
        <v>0</v>
      </c>
      <c r="H167">
        <f>SUM(H168:H172)</f>
        <v>1846.5</v>
      </c>
      <c r="I167">
        <f>SUM(I168:I172)</f>
        <v>0</v>
      </c>
      <c r="J167" s="107" t="s">
        <v>102</v>
      </c>
      <c r="K167" s="107" t="s">
        <v>103</v>
      </c>
    </row>
    <row r="168" spans="1:11" outlineLevel="1" x14ac:dyDescent="0.25">
      <c r="A168" s="107"/>
      <c r="B168" s="107"/>
      <c r="C168" s="107"/>
      <c r="D168">
        <v>2021</v>
      </c>
      <c r="E168">
        <f t="shared" ref="E168:E231" si="23">SUM(F168:I168)</f>
        <v>10735.3</v>
      </c>
      <c r="F168">
        <v>8888.7999999999993</v>
      </c>
      <c r="G168">
        <v>0</v>
      </c>
      <c r="H168">
        <v>1846.5</v>
      </c>
      <c r="I168">
        <v>0</v>
      </c>
      <c r="J168" s="107"/>
      <c r="K168" s="107"/>
    </row>
    <row r="169" spans="1:11" outlineLevel="1" x14ac:dyDescent="0.25">
      <c r="A169" s="107"/>
      <c r="B169" s="107"/>
      <c r="C169" s="107"/>
      <c r="D169">
        <v>2022</v>
      </c>
      <c r="E169">
        <f t="shared" si="23"/>
        <v>0</v>
      </c>
      <c r="F169">
        <v>0</v>
      </c>
      <c r="G169">
        <v>0</v>
      </c>
      <c r="H169">
        <v>0</v>
      </c>
      <c r="I169">
        <v>0</v>
      </c>
      <c r="J169" s="107"/>
      <c r="K169" s="107"/>
    </row>
    <row r="170" spans="1:11" outlineLevel="1" x14ac:dyDescent="0.25">
      <c r="A170" s="107"/>
      <c r="B170" s="107"/>
      <c r="C170" s="107"/>
      <c r="D170">
        <v>2023</v>
      </c>
      <c r="E170">
        <f t="shared" si="23"/>
        <v>0</v>
      </c>
      <c r="F170">
        <v>0</v>
      </c>
      <c r="G170">
        <v>0</v>
      </c>
      <c r="H170">
        <v>0</v>
      </c>
      <c r="I170">
        <v>0</v>
      </c>
      <c r="J170" s="107"/>
      <c r="K170" s="107"/>
    </row>
    <row r="171" spans="1:11" outlineLevel="1" x14ac:dyDescent="0.25">
      <c r="A171" s="107"/>
      <c r="B171" s="107"/>
      <c r="C171" s="107"/>
      <c r="D171">
        <v>2024</v>
      </c>
      <c r="E171">
        <f t="shared" si="23"/>
        <v>0</v>
      </c>
      <c r="F171">
        <v>0</v>
      </c>
      <c r="G171">
        <v>0</v>
      </c>
      <c r="H171">
        <v>0</v>
      </c>
      <c r="I171">
        <v>0</v>
      </c>
      <c r="J171" s="107"/>
      <c r="K171" s="107"/>
    </row>
    <row r="172" spans="1:11" outlineLevel="1" x14ac:dyDescent="0.25">
      <c r="A172" s="107"/>
      <c r="B172" s="107"/>
      <c r="C172" s="107"/>
      <c r="D172">
        <v>2025</v>
      </c>
      <c r="E172">
        <f t="shared" si="23"/>
        <v>0</v>
      </c>
      <c r="F172">
        <v>0</v>
      </c>
      <c r="G172">
        <v>0</v>
      </c>
      <c r="H172">
        <v>0</v>
      </c>
      <c r="I172">
        <v>0</v>
      </c>
      <c r="J172" s="107"/>
      <c r="K172" s="107"/>
    </row>
    <row r="173" spans="1:11" outlineLevel="1" x14ac:dyDescent="0.25">
      <c r="A173" s="107" t="s">
        <v>104</v>
      </c>
      <c r="B173" s="107" t="s">
        <v>105</v>
      </c>
      <c r="C173" s="107" t="s">
        <v>14</v>
      </c>
      <c r="D173" t="s">
        <v>8</v>
      </c>
      <c r="E173">
        <f t="shared" si="23"/>
        <v>57027.03</v>
      </c>
      <c r="F173">
        <f>SUM(F174:F178)</f>
        <v>55000</v>
      </c>
      <c r="G173">
        <f>SUM(G174:G178)</f>
        <v>0</v>
      </c>
      <c r="H173">
        <f>SUM(H174:H178)</f>
        <v>2027.03</v>
      </c>
      <c r="I173">
        <f>SUM(I174:I178)</f>
        <v>0</v>
      </c>
      <c r="J173" s="107" t="s">
        <v>106</v>
      </c>
      <c r="K173" s="107" t="s">
        <v>107</v>
      </c>
    </row>
    <row r="174" spans="1:11" outlineLevel="1" x14ac:dyDescent="0.25">
      <c r="A174" s="107"/>
      <c r="B174" s="107"/>
      <c r="C174" s="107"/>
      <c r="D174">
        <v>2021</v>
      </c>
      <c r="E174">
        <f t="shared" si="23"/>
        <v>33027.03</v>
      </c>
      <c r="F174">
        <f>F180+F186</f>
        <v>31000</v>
      </c>
      <c r="G174">
        <f t="shared" ref="F174:I178" si="24">G180+G186</f>
        <v>0</v>
      </c>
      <c r="H174">
        <f t="shared" si="24"/>
        <v>2027.03</v>
      </c>
      <c r="I174">
        <f t="shared" si="24"/>
        <v>0</v>
      </c>
      <c r="J174" s="107"/>
      <c r="K174" s="107"/>
    </row>
    <row r="175" spans="1:11" outlineLevel="1" x14ac:dyDescent="0.25">
      <c r="A175" s="107"/>
      <c r="B175" s="107"/>
      <c r="C175" s="107"/>
      <c r="D175">
        <v>2022</v>
      </c>
      <c r="E175">
        <f t="shared" si="23"/>
        <v>6000</v>
      </c>
      <c r="F175">
        <f t="shared" si="24"/>
        <v>6000</v>
      </c>
      <c r="G175">
        <f t="shared" si="24"/>
        <v>0</v>
      </c>
      <c r="H175">
        <f t="shared" si="24"/>
        <v>0</v>
      </c>
      <c r="I175">
        <f t="shared" si="24"/>
        <v>0</v>
      </c>
      <c r="J175" s="107"/>
      <c r="K175" s="107"/>
    </row>
    <row r="176" spans="1:11" outlineLevel="1" x14ac:dyDescent="0.25">
      <c r="A176" s="107"/>
      <c r="B176" s="107"/>
      <c r="C176" s="107"/>
      <c r="D176">
        <v>2023</v>
      </c>
      <c r="E176">
        <f t="shared" si="23"/>
        <v>6000</v>
      </c>
      <c r="F176">
        <f t="shared" si="24"/>
        <v>6000</v>
      </c>
      <c r="G176">
        <f t="shared" si="24"/>
        <v>0</v>
      </c>
      <c r="H176">
        <f t="shared" si="24"/>
        <v>0</v>
      </c>
      <c r="I176">
        <f t="shared" si="24"/>
        <v>0</v>
      </c>
      <c r="J176" s="107"/>
      <c r="K176" s="107"/>
    </row>
    <row r="177" spans="1:11" outlineLevel="1" x14ac:dyDescent="0.25">
      <c r="A177" s="107"/>
      <c r="B177" s="107"/>
      <c r="C177" s="107"/>
      <c r="D177">
        <v>2024</v>
      </c>
      <c r="E177">
        <f t="shared" si="23"/>
        <v>6000</v>
      </c>
      <c r="F177">
        <f t="shared" si="24"/>
        <v>6000</v>
      </c>
      <c r="G177">
        <f t="shared" si="24"/>
        <v>0</v>
      </c>
      <c r="H177">
        <f t="shared" si="24"/>
        <v>0</v>
      </c>
      <c r="I177">
        <f t="shared" si="24"/>
        <v>0</v>
      </c>
      <c r="J177" s="107"/>
      <c r="K177" s="107"/>
    </row>
    <row r="178" spans="1:11" outlineLevel="1" x14ac:dyDescent="0.25">
      <c r="A178" s="107"/>
      <c r="B178" s="107"/>
      <c r="C178" s="107"/>
      <c r="D178">
        <v>2025</v>
      </c>
      <c r="E178">
        <f t="shared" si="23"/>
        <v>6000</v>
      </c>
      <c r="F178">
        <f>F184+F190</f>
        <v>6000</v>
      </c>
      <c r="G178">
        <f t="shared" si="24"/>
        <v>0</v>
      </c>
      <c r="H178">
        <f>H184+H190</f>
        <v>0</v>
      </c>
      <c r="I178">
        <f>SUM(I184+I190)</f>
        <v>0</v>
      </c>
      <c r="J178" s="107"/>
      <c r="K178" s="107"/>
    </row>
    <row r="179" spans="1:11" outlineLevel="1" x14ac:dyDescent="0.25">
      <c r="A179" s="107" t="s">
        <v>108</v>
      </c>
      <c r="B179" s="107" t="s">
        <v>109</v>
      </c>
      <c r="C179" s="107">
        <v>2021</v>
      </c>
      <c r="D179" t="s">
        <v>8</v>
      </c>
      <c r="E179">
        <f t="shared" si="23"/>
        <v>27027.03</v>
      </c>
      <c r="F179">
        <f>SUM(F180:F184)</f>
        <v>25000</v>
      </c>
      <c r="G179">
        <f>SUM(G180:G184)</f>
        <v>0</v>
      </c>
      <c r="H179">
        <f>SUM(H180:H184)</f>
        <v>2027.03</v>
      </c>
      <c r="I179">
        <f>SUM(I180:I184)</f>
        <v>0</v>
      </c>
      <c r="J179" s="107" t="s">
        <v>110</v>
      </c>
      <c r="K179" s="107" t="s">
        <v>111</v>
      </c>
    </row>
    <row r="180" spans="1:11" outlineLevel="1" x14ac:dyDescent="0.25">
      <c r="A180" s="107"/>
      <c r="B180" s="107"/>
      <c r="C180" s="107"/>
      <c r="D180">
        <v>2021</v>
      </c>
      <c r="E180">
        <f t="shared" si="23"/>
        <v>27027.03</v>
      </c>
      <c r="F180">
        <v>25000</v>
      </c>
      <c r="G180">
        <v>0</v>
      </c>
      <c r="H180">
        <v>2027.03</v>
      </c>
      <c r="I180">
        <v>0</v>
      </c>
      <c r="J180" s="107"/>
      <c r="K180" s="107"/>
    </row>
    <row r="181" spans="1:11" outlineLevel="1" x14ac:dyDescent="0.25">
      <c r="A181" s="107"/>
      <c r="B181" s="107"/>
      <c r="C181" s="107"/>
      <c r="D181">
        <v>2022</v>
      </c>
      <c r="E181">
        <f t="shared" si="23"/>
        <v>0</v>
      </c>
      <c r="F181">
        <v>0</v>
      </c>
      <c r="G181">
        <v>0</v>
      </c>
      <c r="H181">
        <f>+H187</f>
        <v>0</v>
      </c>
      <c r="I181">
        <v>0</v>
      </c>
      <c r="J181" s="107"/>
      <c r="K181" s="107"/>
    </row>
    <row r="182" spans="1:11" outlineLevel="1" x14ac:dyDescent="0.25">
      <c r="A182" s="107"/>
      <c r="B182" s="107"/>
      <c r="C182" s="107"/>
      <c r="D182">
        <v>2023</v>
      </c>
      <c r="E182">
        <f t="shared" si="23"/>
        <v>0</v>
      </c>
      <c r="F182">
        <v>0</v>
      </c>
      <c r="G182">
        <v>0</v>
      </c>
      <c r="H182">
        <v>0</v>
      </c>
      <c r="I182">
        <v>0</v>
      </c>
      <c r="J182" s="107"/>
      <c r="K182" s="107"/>
    </row>
    <row r="183" spans="1:11" outlineLevel="1" x14ac:dyDescent="0.25">
      <c r="A183" s="107"/>
      <c r="B183" s="107"/>
      <c r="C183" s="107"/>
      <c r="D183">
        <v>2024</v>
      </c>
      <c r="E183">
        <f t="shared" si="23"/>
        <v>0</v>
      </c>
      <c r="F183">
        <v>0</v>
      </c>
      <c r="G183">
        <v>0</v>
      </c>
      <c r="H183">
        <v>0</v>
      </c>
      <c r="I183">
        <v>0</v>
      </c>
      <c r="J183" s="107"/>
      <c r="K183" s="107"/>
    </row>
    <row r="184" spans="1:11" outlineLevel="1" x14ac:dyDescent="0.25">
      <c r="A184" s="107"/>
      <c r="B184" s="107"/>
      <c r="C184" s="107"/>
      <c r="D184">
        <v>2025</v>
      </c>
      <c r="E184">
        <f t="shared" si="23"/>
        <v>0</v>
      </c>
      <c r="F184">
        <v>0</v>
      </c>
      <c r="G184">
        <v>0</v>
      </c>
      <c r="H184">
        <v>0</v>
      </c>
      <c r="I184">
        <v>0</v>
      </c>
      <c r="J184" s="107"/>
      <c r="K184" s="107"/>
    </row>
    <row r="185" spans="1:11" ht="17.100000000000001" customHeight="1" outlineLevel="1" x14ac:dyDescent="0.25">
      <c r="A185" s="107" t="s">
        <v>112</v>
      </c>
      <c r="B185" s="107" t="s">
        <v>113</v>
      </c>
      <c r="C185" s="107" t="s">
        <v>14</v>
      </c>
      <c r="D185" t="s">
        <v>8</v>
      </c>
      <c r="E185">
        <f t="shared" si="23"/>
        <v>30000</v>
      </c>
      <c r="F185">
        <f>SUM(F186:F190)</f>
        <v>30000</v>
      </c>
      <c r="G185">
        <f>SUM(G186:G190)</f>
        <v>0</v>
      </c>
      <c r="H185">
        <f>SUM(H186:H190)</f>
        <v>0</v>
      </c>
      <c r="I185">
        <f>SUM(I186:I190)</f>
        <v>0</v>
      </c>
      <c r="J185" s="107" t="s">
        <v>114</v>
      </c>
      <c r="K185" s="107" t="s">
        <v>115</v>
      </c>
    </row>
    <row r="186" spans="1:11" ht="17.100000000000001" customHeight="1" outlineLevel="1" x14ac:dyDescent="0.25">
      <c r="A186" s="107"/>
      <c r="B186" s="107"/>
      <c r="C186" s="107"/>
      <c r="D186">
        <v>2021</v>
      </c>
      <c r="E186">
        <f t="shared" si="23"/>
        <v>6000</v>
      </c>
      <c r="F186">
        <v>6000</v>
      </c>
      <c r="G186">
        <v>0</v>
      </c>
      <c r="H186">
        <v>0</v>
      </c>
      <c r="I186">
        <v>0</v>
      </c>
      <c r="J186" s="107"/>
      <c r="K186" s="107"/>
    </row>
    <row r="187" spans="1:11" ht="17.100000000000001" customHeight="1" outlineLevel="1" x14ac:dyDescent="0.25">
      <c r="A187" s="107"/>
      <c r="B187" s="107"/>
      <c r="C187" s="107"/>
      <c r="D187">
        <v>2022</v>
      </c>
      <c r="E187">
        <f t="shared" si="23"/>
        <v>6000</v>
      </c>
      <c r="F187">
        <v>6000</v>
      </c>
      <c r="G187">
        <v>0</v>
      </c>
      <c r="H187">
        <v>0</v>
      </c>
      <c r="I187">
        <v>0</v>
      </c>
      <c r="J187" s="107"/>
      <c r="K187" s="107"/>
    </row>
    <row r="188" spans="1:11" ht="17.100000000000001" customHeight="1" outlineLevel="1" x14ac:dyDescent="0.25">
      <c r="A188" s="107"/>
      <c r="B188" s="107"/>
      <c r="C188" s="107"/>
      <c r="D188">
        <v>2023</v>
      </c>
      <c r="E188">
        <f t="shared" si="23"/>
        <v>6000</v>
      </c>
      <c r="F188">
        <v>6000</v>
      </c>
      <c r="G188">
        <v>0</v>
      </c>
      <c r="H188">
        <v>0</v>
      </c>
      <c r="I188">
        <v>0</v>
      </c>
      <c r="J188" s="107"/>
      <c r="K188" s="107"/>
    </row>
    <row r="189" spans="1:11" outlineLevel="1" x14ac:dyDescent="0.25">
      <c r="A189" s="107"/>
      <c r="B189" s="107"/>
      <c r="C189" s="107"/>
      <c r="D189">
        <v>2024</v>
      </c>
      <c r="E189">
        <f t="shared" si="23"/>
        <v>6000</v>
      </c>
      <c r="F189">
        <v>6000</v>
      </c>
      <c r="G189">
        <v>0</v>
      </c>
      <c r="H189">
        <v>0</v>
      </c>
      <c r="I189">
        <v>0</v>
      </c>
      <c r="J189" s="107"/>
      <c r="K189" s="107"/>
    </row>
    <row r="190" spans="1:11" outlineLevel="1" x14ac:dyDescent="0.25">
      <c r="A190" s="107"/>
      <c r="B190" s="107"/>
      <c r="C190" s="107"/>
      <c r="D190">
        <v>2025</v>
      </c>
      <c r="E190">
        <f t="shared" si="23"/>
        <v>6000</v>
      </c>
      <c r="F190">
        <v>6000</v>
      </c>
      <c r="G190">
        <v>0</v>
      </c>
      <c r="H190">
        <v>0</v>
      </c>
      <c r="I190">
        <v>0</v>
      </c>
      <c r="J190" s="107"/>
      <c r="K190" s="107"/>
    </row>
    <row r="191" spans="1:11" ht="14.25" customHeight="1" outlineLevel="1" x14ac:dyDescent="0.25">
      <c r="A191" s="107" t="s">
        <v>116</v>
      </c>
      <c r="B191" s="107" t="s">
        <v>40</v>
      </c>
      <c r="C191" s="107" t="s">
        <v>41</v>
      </c>
      <c r="D191" t="s">
        <v>8</v>
      </c>
      <c r="E191">
        <f t="shared" si="23"/>
        <v>843985.88733000006</v>
      </c>
      <c r="F191">
        <f>SUM(F192:F196)</f>
        <v>325812.36661000003</v>
      </c>
      <c r="G191">
        <f>SUM(G192:G196)</f>
        <v>502391</v>
      </c>
      <c r="H191">
        <f>SUM(H192:H196)</f>
        <v>15782.52072</v>
      </c>
      <c r="I191">
        <f>SUM(I192:I196)</f>
        <v>0</v>
      </c>
      <c r="J191" s="107" t="s">
        <v>117</v>
      </c>
      <c r="K191" s="107" t="s">
        <v>118</v>
      </c>
    </row>
    <row r="192" spans="1:11" outlineLevel="1" x14ac:dyDescent="0.25">
      <c r="A192" s="107"/>
      <c r="B192" s="107"/>
      <c r="C192" s="107"/>
      <c r="D192">
        <v>2021</v>
      </c>
      <c r="E192">
        <f t="shared" si="23"/>
        <v>284135.63299000001</v>
      </c>
      <c r="F192">
        <f t="shared" ref="F192:I196" si="25">F198+F204+F210+F216</f>
        <v>22090.160530000001</v>
      </c>
      <c r="G192">
        <f t="shared" si="25"/>
        <v>261223.7</v>
      </c>
      <c r="H192">
        <f t="shared" si="25"/>
        <v>821.77245999999991</v>
      </c>
      <c r="I192">
        <f t="shared" si="25"/>
        <v>0</v>
      </c>
      <c r="J192" s="107"/>
      <c r="K192" s="107"/>
    </row>
    <row r="193" spans="1:11" outlineLevel="1" x14ac:dyDescent="0.25">
      <c r="A193" s="107"/>
      <c r="B193" s="107"/>
      <c r="C193" s="107"/>
      <c r="D193">
        <v>2022</v>
      </c>
      <c r="E193">
        <f t="shared" si="23"/>
        <v>416633.93519000005</v>
      </c>
      <c r="F193">
        <f t="shared" si="25"/>
        <v>287896.88693000004</v>
      </c>
      <c r="G193">
        <f t="shared" si="25"/>
        <v>113776.3</v>
      </c>
      <c r="H193">
        <f t="shared" si="25"/>
        <v>14960.74826</v>
      </c>
      <c r="I193">
        <f t="shared" si="25"/>
        <v>0</v>
      </c>
      <c r="J193" s="107"/>
      <c r="K193" s="107"/>
    </row>
    <row r="194" spans="1:11" outlineLevel="1" x14ac:dyDescent="0.25">
      <c r="A194" s="107"/>
      <c r="B194" s="107"/>
      <c r="C194" s="107"/>
      <c r="D194">
        <v>2023</v>
      </c>
      <c r="E194">
        <f t="shared" si="23"/>
        <v>139166.31915</v>
      </c>
      <c r="F194">
        <f t="shared" si="25"/>
        <v>11775.319149999999</v>
      </c>
      <c r="G194">
        <f t="shared" si="25"/>
        <v>127391</v>
      </c>
      <c r="H194">
        <f t="shared" si="25"/>
        <v>0</v>
      </c>
      <c r="I194">
        <f t="shared" si="25"/>
        <v>0</v>
      </c>
      <c r="J194" s="107"/>
      <c r="K194" s="107"/>
    </row>
    <row r="195" spans="1:11" outlineLevel="1" x14ac:dyDescent="0.25">
      <c r="A195" s="107"/>
      <c r="B195" s="107"/>
      <c r="C195" s="107"/>
      <c r="D195">
        <v>2024</v>
      </c>
      <c r="E195">
        <f t="shared" si="23"/>
        <v>4050</v>
      </c>
      <c r="F195">
        <f t="shared" si="25"/>
        <v>4050</v>
      </c>
      <c r="G195">
        <f t="shared" si="25"/>
        <v>0</v>
      </c>
      <c r="H195">
        <f t="shared" si="25"/>
        <v>0</v>
      </c>
      <c r="I195">
        <f t="shared" si="25"/>
        <v>0</v>
      </c>
      <c r="J195" s="107"/>
      <c r="K195" s="107"/>
    </row>
    <row r="196" spans="1:11" outlineLevel="1" x14ac:dyDescent="0.25">
      <c r="A196" s="107"/>
      <c r="B196" s="107"/>
      <c r="C196" s="107"/>
      <c r="D196">
        <v>2025</v>
      </c>
      <c r="E196">
        <f t="shared" si="23"/>
        <v>0</v>
      </c>
      <c r="F196">
        <f t="shared" si="25"/>
        <v>0</v>
      </c>
      <c r="G196">
        <f t="shared" si="25"/>
        <v>0</v>
      </c>
      <c r="H196">
        <f t="shared" si="25"/>
        <v>0</v>
      </c>
      <c r="I196">
        <f t="shared" si="25"/>
        <v>0</v>
      </c>
      <c r="J196" s="107"/>
      <c r="K196" s="107"/>
    </row>
    <row r="197" spans="1:11" outlineLevel="1" x14ac:dyDescent="0.25">
      <c r="A197" s="107" t="s">
        <v>119</v>
      </c>
      <c r="B197" s="107" t="s">
        <v>120</v>
      </c>
      <c r="C197" s="107" t="s">
        <v>41</v>
      </c>
      <c r="D197" t="s">
        <v>8</v>
      </c>
      <c r="E197">
        <f t="shared" si="23"/>
        <v>18400</v>
      </c>
      <c r="F197">
        <f>SUM(F198:F202)</f>
        <v>18400</v>
      </c>
      <c r="G197">
        <f>SUM(G198:G202)</f>
        <v>0</v>
      </c>
      <c r="H197">
        <f>SUM(H198:H202)</f>
        <v>0</v>
      </c>
      <c r="I197">
        <f>SUM(I198:I202)</f>
        <v>0</v>
      </c>
      <c r="J197" s="107" t="s">
        <v>121</v>
      </c>
      <c r="K197" s="107" t="s">
        <v>17</v>
      </c>
    </row>
    <row r="198" spans="1:11" outlineLevel="1" x14ac:dyDescent="0.25">
      <c r="A198" s="107"/>
      <c r="B198" s="107"/>
      <c r="C198" s="107"/>
      <c r="D198">
        <v>2021</v>
      </c>
      <c r="E198">
        <f t="shared" si="23"/>
        <v>6250</v>
      </c>
      <c r="F198">
        <v>6250</v>
      </c>
      <c r="G198">
        <v>0</v>
      </c>
      <c r="H198">
        <v>0</v>
      </c>
      <c r="I198">
        <v>0</v>
      </c>
      <c r="J198" s="107"/>
      <c r="K198" s="107"/>
    </row>
    <row r="199" spans="1:11" outlineLevel="1" x14ac:dyDescent="0.25">
      <c r="A199" s="107"/>
      <c r="B199" s="107"/>
      <c r="C199" s="107"/>
      <c r="D199">
        <v>2022</v>
      </c>
      <c r="E199">
        <f t="shared" si="23"/>
        <v>4050</v>
      </c>
      <c r="F199">
        <v>4050</v>
      </c>
      <c r="G199">
        <v>0</v>
      </c>
      <c r="H199">
        <v>0</v>
      </c>
      <c r="I199">
        <v>0</v>
      </c>
      <c r="J199" s="107"/>
      <c r="K199" s="107"/>
    </row>
    <row r="200" spans="1:11" outlineLevel="1" x14ac:dyDescent="0.25">
      <c r="A200" s="107"/>
      <c r="B200" s="107"/>
      <c r="C200" s="107"/>
      <c r="D200">
        <v>2023</v>
      </c>
      <c r="E200">
        <f t="shared" si="23"/>
        <v>4050</v>
      </c>
      <c r="F200">
        <v>4050</v>
      </c>
      <c r="G200">
        <v>0</v>
      </c>
      <c r="H200">
        <v>0</v>
      </c>
      <c r="I200">
        <v>0</v>
      </c>
      <c r="J200" s="107"/>
      <c r="K200" s="107"/>
    </row>
    <row r="201" spans="1:11" outlineLevel="1" x14ac:dyDescent="0.25">
      <c r="A201" s="107"/>
      <c r="B201" s="107"/>
      <c r="C201" s="107"/>
      <c r="D201">
        <v>2024</v>
      </c>
      <c r="E201">
        <f t="shared" si="23"/>
        <v>4050</v>
      </c>
      <c r="F201">
        <v>4050</v>
      </c>
      <c r="G201">
        <v>0</v>
      </c>
      <c r="H201">
        <v>0</v>
      </c>
      <c r="I201">
        <v>0</v>
      </c>
      <c r="J201" s="107"/>
      <c r="K201" s="107"/>
    </row>
    <row r="202" spans="1:11" outlineLevel="1" x14ac:dyDescent="0.25">
      <c r="A202" s="107"/>
      <c r="B202" s="107"/>
      <c r="C202" s="107"/>
      <c r="D202">
        <v>2025</v>
      </c>
      <c r="E202">
        <f t="shared" si="23"/>
        <v>0</v>
      </c>
      <c r="F202">
        <v>0</v>
      </c>
      <c r="G202">
        <v>0</v>
      </c>
      <c r="H202">
        <v>0</v>
      </c>
      <c r="I202">
        <v>0</v>
      </c>
      <c r="J202" s="107"/>
      <c r="K202" s="107"/>
    </row>
    <row r="203" spans="1:11" ht="12.75" customHeight="1" outlineLevel="1" x14ac:dyDescent="0.25">
      <c r="A203" s="107" t="s">
        <v>122</v>
      </c>
      <c r="B203" s="107" t="s">
        <v>123</v>
      </c>
      <c r="C203" s="107" t="s">
        <v>124</v>
      </c>
      <c r="D203" t="s">
        <v>8</v>
      </c>
      <c r="E203">
        <f t="shared" si="23"/>
        <v>286460.34714000003</v>
      </c>
      <c r="F203">
        <f>SUM(F204:F208)</f>
        <v>156936.07866999999</v>
      </c>
      <c r="G203">
        <f>SUM(G204:G208)</f>
        <v>121260.81</v>
      </c>
      <c r="H203">
        <f>SUM(H204:H208)</f>
        <v>8263.4584699999996</v>
      </c>
      <c r="I203">
        <f>SUM(I204:I208)</f>
        <v>0</v>
      </c>
      <c r="J203" s="107" t="s">
        <v>125</v>
      </c>
      <c r="K203" s="107" t="s">
        <v>20</v>
      </c>
    </row>
    <row r="204" spans="1:11" outlineLevel="1" x14ac:dyDescent="0.25">
      <c r="A204" s="107"/>
      <c r="B204" s="107"/>
      <c r="C204" s="107"/>
      <c r="D204">
        <v>2021</v>
      </c>
      <c r="E204">
        <f t="shared" si="23"/>
        <v>95752.094750000004</v>
      </c>
      <c r="F204">
        <v>5458.1035300000003</v>
      </c>
      <c r="G204">
        <v>90010.83</v>
      </c>
      <c r="H204">
        <v>283.16122000000001</v>
      </c>
      <c r="I204">
        <v>0</v>
      </c>
      <c r="J204" s="107"/>
      <c r="K204" s="107"/>
    </row>
    <row r="205" spans="1:11" outlineLevel="1" x14ac:dyDescent="0.25">
      <c r="A205" s="107"/>
      <c r="B205" s="107"/>
      <c r="C205" s="107"/>
      <c r="D205">
        <v>2022</v>
      </c>
      <c r="E205">
        <f t="shared" si="23"/>
        <v>190708.25239000001</v>
      </c>
      <c r="F205">
        <v>151477.97514</v>
      </c>
      <c r="G205">
        <v>31249.98</v>
      </c>
      <c r="H205">
        <v>7980.2972499999996</v>
      </c>
      <c r="I205">
        <v>0</v>
      </c>
      <c r="J205" s="107"/>
      <c r="K205" s="107"/>
    </row>
    <row r="206" spans="1:11" outlineLevel="1" x14ac:dyDescent="0.25">
      <c r="A206" s="107"/>
      <c r="B206" s="107"/>
      <c r="C206" s="107"/>
      <c r="D206">
        <v>2023</v>
      </c>
      <c r="E206">
        <f t="shared" si="23"/>
        <v>0</v>
      </c>
      <c r="F206">
        <v>0</v>
      </c>
      <c r="G206">
        <v>0</v>
      </c>
      <c r="H206">
        <v>0</v>
      </c>
      <c r="I206">
        <v>0</v>
      </c>
      <c r="J206" s="107"/>
      <c r="K206" s="107"/>
    </row>
    <row r="207" spans="1:11" outlineLevel="1" x14ac:dyDescent="0.25">
      <c r="A207" s="107"/>
      <c r="B207" s="107"/>
      <c r="C207" s="107"/>
      <c r="D207">
        <v>2024</v>
      </c>
      <c r="E207">
        <f t="shared" si="23"/>
        <v>0</v>
      </c>
      <c r="F207">
        <v>0</v>
      </c>
      <c r="G207">
        <v>0</v>
      </c>
      <c r="H207">
        <v>0</v>
      </c>
      <c r="I207">
        <v>0</v>
      </c>
      <c r="J207" s="107"/>
      <c r="K207" s="107"/>
    </row>
    <row r="208" spans="1:11" outlineLevel="1" x14ac:dyDescent="0.25">
      <c r="A208" s="107"/>
      <c r="B208" s="107"/>
      <c r="C208" s="107"/>
      <c r="D208">
        <v>2025</v>
      </c>
      <c r="E208">
        <f t="shared" si="23"/>
        <v>0</v>
      </c>
      <c r="F208">
        <v>0</v>
      </c>
      <c r="G208">
        <v>0</v>
      </c>
      <c r="H208">
        <v>0</v>
      </c>
      <c r="I208">
        <v>0</v>
      </c>
      <c r="J208" s="107"/>
      <c r="K208" s="107"/>
    </row>
    <row r="209" spans="1:11" ht="15" customHeight="1" x14ac:dyDescent="0.25">
      <c r="A209" s="107" t="s">
        <v>126</v>
      </c>
      <c r="B209" s="107" t="s">
        <v>127</v>
      </c>
      <c r="C209" s="107" t="s">
        <v>124</v>
      </c>
      <c r="D209" t="s">
        <v>8</v>
      </c>
      <c r="E209">
        <f t="shared" si="23"/>
        <v>404009.22104000003</v>
      </c>
      <c r="F209">
        <f>SUM(F210:F214)</f>
        <v>142750.96879000001</v>
      </c>
      <c r="G209">
        <f>SUM(G210:G214)</f>
        <v>253739.19</v>
      </c>
      <c r="H209">
        <f>SUM(H210:H214)</f>
        <v>7519.0622499999999</v>
      </c>
      <c r="I209">
        <f>SUM(I210:I214)</f>
        <v>0</v>
      </c>
      <c r="J209" s="107" t="s">
        <v>125</v>
      </c>
      <c r="K209" s="107" t="s">
        <v>20</v>
      </c>
    </row>
    <row r="210" spans="1:11" ht="14.25" customHeight="1" x14ac:dyDescent="0.25">
      <c r="A210" s="107"/>
      <c r="B210" s="107"/>
      <c r="C210" s="107"/>
      <c r="D210">
        <v>2021</v>
      </c>
      <c r="E210">
        <f t="shared" si="23"/>
        <v>182133.53823999999</v>
      </c>
      <c r="F210">
        <v>10382.057000000001</v>
      </c>
      <c r="G210">
        <v>171212.87</v>
      </c>
      <c r="H210">
        <v>538.61123999999995</v>
      </c>
      <c r="I210">
        <v>0</v>
      </c>
      <c r="J210" s="107"/>
      <c r="K210" s="107"/>
    </row>
    <row r="211" spans="1:11" x14ac:dyDescent="0.25">
      <c r="A211" s="107"/>
      <c r="B211" s="107"/>
      <c r="C211" s="107"/>
      <c r="D211">
        <v>2022</v>
      </c>
      <c r="E211">
        <f t="shared" si="23"/>
        <v>221875.68280000001</v>
      </c>
      <c r="F211">
        <v>132368.91179000001</v>
      </c>
      <c r="G211">
        <v>82526.320000000007</v>
      </c>
      <c r="H211">
        <v>6980.4510099999998</v>
      </c>
      <c r="I211">
        <v>0</v>
      </c>
      <c r="J211" s="107"/>
      <c r="K211" s="107"/>
    </row>
    <row r="212" spans="1:11" x14ac:dyDescent="0.25">
      <c r="A212" s="107"/>
      <c r="B212" s="107"/>
      <c r="C212" s="107"/>
      <c r="D212">
        <v>2023</v>
      </c>
      <c r="E212">
        <f t="shared" si="23"/>
        <v>0</v>
      </c>
      <c r="F212">
        <v>0</v>
      </c>
      <c r="G212">
        <v>0</v>
      </c>
      <c r="H212">
        <v>0</v>
      </c>
      <c r="I212">
        <v>0</v>
      </c>
      <c r="J212" s="107"/>
      <c r="K212" s="107"/>
    </row>
    <row r="213" spans="1:11" x14ac:dyDescent="0.25">
      <c r="A213" s="107"/>
      <c r="B213" s="107"/>
      <c r="C213" s="107"/>
      <c r="D213">
        <v>2024</v>
      </c>
      <c r="E213">
        <f t="shared" si="23"/>
        <v>0</v>
      </c>
      <c r="F213">
        <v>0</v>
      </c>
      <c r="G213">
        <v>0</v>
      </c>
      <c r="H213">
        <v>0</v>
      </c>
      <c r="I213">
        <v>0</v>
      </c>
      <c r="J213" s="107"/>
      <c r="K213" s="107"/>
    </row>
    <row r="214" spans="1:11" x14ac:dyDescent="0.25">
      <c r="A214" s="107"/>
      <c r="B214" s="107"/>
      <c r="C214" s="107"/>
      <c r="D214">
        <v>2025</v>
      </c>
      <c r="E214">
        <f t="shared" si="23"/>
        <v>0</v>
      </c>
      <c r="F214">
        <v>0</v>
      </c>
      <c r="G214">
        <v>0</v>
      </c>
      <c r="H214">
        <v>0</v>
      </c>
      <c r="I214">
        <v>0</v>
      </c>
      <c r="J214" s="107"/>
      <c r="K214" s="107"/>
    </row>
    <row r="215" spans="1:11" x14ac:dyDescent="0.25">
      <c r="A215" s="107" t="s">
        <v>128</v>
      </c>
      <c r="B215" s="107" t="s">
        <v>129</v>
      </c>
      <c r="C215" s="107">
        <v>2023</v>
      </c>
      <c r="D215" t="s">
        <v>8</v>
      </c>
      <c r="E215">
        <f t="shared" si="23"/>
        <v>135116.31915</v>
      </c>
      <c r="F215">
        <f>SUM(F216:F220)</f>
        <v>7725.3191500000003</v>
      </c>
      <c r="G215">
        <f>SUM(G216:G220)</f>
        <v>127391</v>
      </c>
      <c r="H215">
        <f>SUM(H216:H220)</f>
        <v>0</v>
      </c>
      <c r="I215">
        <f>SUM(I216:I220)</f>
        <v>0</v>
      </c>
      <c r="J215" s="107" t="s">
        <v>130</v>
      </c>
      <c r="K215" s="107" t="s">
        <v>20</v>
      </c>
    </row>
    <row r="216" spans="1:11" ht="14.25" customHeight="1" x14ac:dyDescent="0.25">
      <c r="A216" s="107"/>
      <c r="B216" s="107"/>
      <c r="C216" s="107"/>
      <c r="D216">
        <v>2021</v>
      </c>
      <c r="E216">
        <f t="shared" si="23"/>
        <v>0</v>
      </c>
      <c r="F216">
        <v>0</v>
      </c>
      <c r="G216">
        <v>0</v>
      </c>
      <c r="H216">
        <v>0</v>
      </c>
      <c r="I216">
        <v>0</v>
      </c>
      <c r="J216" s="107"/>
      <c r="K216" s="107"/>
    </row>
    <row r="217" spans="1:11" x14ac:dyDescent="0.25">
      <c r="A217" s="107"/>
      <c r="B217" s="107"/>
      <c r="C217" s="107"/>
      <c r="D217">
        <v>2022</v>
      </c>
      <c r="E217">
        <f t="shared" si="23"/>
        <v>0</v>
      </c>
      <c r="F217">
        <v>0</v>
      </c>
      <c r="G217">
        <v>0</v>
      </c>
      <c r="H217">
        <v>0</v>
      </c>
      <c r="I217">
        <v>0</v>
      </c>
      <c r="J217" s="107"/>
      <c r="K217" s="107"/>
    </row>
    <row r="218" spans="1:11" x14ac:dyDescent="0.25">
      <c r="A218" s="107"/>
      <c r="B218" s="107"/>
      <c r="C218" s="107"/>
      <c r="D218">
        <v>2023</v>
      </c>
      <c r="E218">
        <f t="shared" si="23"/>
        <v>135116.31915</v>
      </c>
      <c r="F218">
        <v>7725.3191500000003</v>
      </c>
      <c r="G218">
        <v>127391</v>
      </c>
      <c r="H218">
        <v>0</v>
      </c>
      <c r="I218">
        <v>0</v>
      </c>
      <c r="J218" s="107"/>
      <c r="K218" s="107"/>
    </row>
    <row r="219" spans="1:11" x14ac:dyDescent="0.25">
      <c r="A219" s="107"/>
      <c r="B219" s="107"/>
      <c r="C219" s="107"/>
      <c r="D219">
        <v>2024</v>
      </c>
      <c r="E219">
        <f t="shared" si="23"/>
        <v>0</v>
      </c>
      <c r="F219">
        <v>0</v>
      </c>
      <c r="G219">
        <v>0</v>
      </c>
      <c r="H219">
        <v>0</v>
      </c>
      <c r="I219">
        <v>0</v>
      </c>
      <c r="J219" s="107"/>
      <c r="K219" s="107"/>
    </row>
    <row r="220" spans="1:11" x14ac:dyDescent="0.25">
      <c r="A220" s="107"/>
      <c r="B220" s="107"/>
      <c r="C220" s="107"/>
      <c r="D220">
        <v>2025</v>
      </c>
      <c r="E220">
        <f t="shared" si="23"/>
        <v>0</v>
      </c>
      <c r="F220">
        <v>0</v>
      </c>
      <c r="G220">
        <v>0</v>
      </c>
      <c r="H220">
        <v>0</v>
      </c>
      <c r="I220">
        <v>0</v>
      </c>
      <c r="J220" s="107"/>
      <c r="K220" s="107"/>
    </row>
    <row r="221" spans="1:11" x14ac:dyDescent="0.25">
      <c r="A221" s="107" t="s">
        <v>131</v>
      </c>
      <c r="B221" s="107" t="s">
        <v>132</v>
      </c>
      <c r="C221" s="107" t="s">
        <v>14</v>
      </c>
      <c r="D221" t="s">
        <v>8</v>
      </c>
      <c r="E221">
        <f t="shared" si="23"/>
        <v>234932.80499999999</v>
      </c>
      <c r="F221">
        <f>SUM(F222:F226)</f>
        <v>234932.80499999999</v>
      </c>
      <c r="G221">
        <f>SUM(G222:G226)</f>
        <v>0</v>
      </c>
      <c r="H221">
        <f>SUM(H222:H226)</f>
        <v>0</v>
      </c>
      <c r="I221">
        <f>SUM(I222:I226)</f>
        <v>0</v>
      </c>
      <c r="J221" s="107"/>
      <c r="K221" s="107" t="s">
        <v>17</v>
      </c>
    </row>
    <row r="222" spans="1:11" x14ac:dyDescent="0.25">
      <c r="A222" s="107"/>
      <c r="B222" s="107"/>
      <c r="C222" s="107"/>
      <c r="D222">
        <v>2021</v>
      </c>
      <c r="E222">
        <f t="shared" si="23"/>
        <v>47259.169000000002</v>
      </c>
      <c r="F222">
        <f t="shared" ref="F222:I226" si="26">F228</f>
        <v>47259.169000000002</v>
      </c>
      <c r="G222">
        <f t="shared" si="26"/>
        <v>0</v>
      </c>
      <c r="H222">
        <f t="shared" si="26"/>
        <v>0</v>
      </c>
      <c r="I222">
        <f t="shared" si="26"/>
        <v>0</v>
      </c>
      <c r="J222" s="107"/>
      <c r="K222" s="107"/>
    </row>
    <row r="223" spans="1:11" x14ac:dyDescent="0.25">
      <c r="A223" s="107"/>
      <c r="B223" s="107"/>
      <c r="C223" s="107"/>
      <c r="D223">
        <v>2022</v>
      </c>
      <c r="E223">
        <f t="shared" si="23"/>
        <v>46918.409</v>
      </c>
      <c r="F223">
        <f t="shared" si="26"/>
        <v>46918.409</v>
      </c>
      <c r="G223">
        <f t="shared" si="26"/>
        <v>0</v>
      </c>
      <c r="H223">
        <f t="shared" si="26"/>
        <v>0</v>
      </c>
      <c r="I223">
        <f t="shared" si="26"/>
        <v>0</v>
      </c>
      <c r="J223" s="107"/>
      <c r="K223" s="107"/>
    </row>
    <row r="224" spans="1:11" x14ac:dyDescent="0.25">
      <c r="A224" s="107"/>
      <c r="B224" s="107"/>
      <c r="C224" s="107"/>
      <c r="D224">
        <v>2023</v>
      </c>
      <c r="E224">
        <f t="shared" si="23"/>
        <v>46918.409</v>
      </c>
      <c r="F224">
        <f t="shared" si="26"/>
        <v>46918.409</v>
      </c>
      <c r="G224">
        <f t="shared" si="26"/>
        <v>0</v>
      </c>
      <c r="H224">
        <f t="shared" si="26"/>
        <v>0</v>
      </c>
      <c r="I224">
        <f t="shared" si="26"/>
        <v>0</v>
      </c>
      <c r="J224" s="107"/>
      <c r="K224" s="107"/>
    </row>
    <row r="225" spans="1:11" x14ac:dyDescent="0.25">
      <c r="A225" s="107"/>
      <c r="B225" s="107"/>
      <c r="C225" s="107"/>
      <c r="D225">
        <v>2024</v>
      </c>
      <c r="E225">
        <f t="shared" si="23"/>
        <v>46918.409</v>
      </c>
      <c r="F225">
        <f t="shared" si="26"/>
        <v>46918.409</v>
      </c>
      <c r="G225">
        <f t="shared" si="26"/>
        <v>0</v>
      </c>
      <c r="H225">
        <f t="shared" si="26"/>
        <v>0</v>
      </c>
      <c r="I225">
        <f t="shared" si="26"/>
        <v>0</v>
      </c>
      <c r="J225" s="107"/>
      <c r="K225" s="107"/>
    </row>
    <row r="226" spans="1:11" x14ac:dyDescent="0.25">
      <c r="A226" s="107"/>
      <c r="B226" s="107"/>
      <c r="C226" s="107"/>
      <c r="D226">
        <v>2025</v>
      </c>
      <c r="E226">
        <f t="shared" si="23"/>
        <v>46918.409</v>
      </c>
      <c r="F226">
        <f t="shared" si="26"/>
        <v>46918.409</v>
      </c>
      <c r="G226">
        <f t="shared" si="26"/>
        <v>0</v>
      </c>
      <c r="H226">
        <f t="shared" si="26"/>
        <v>0</v>
      </c>
      <c r="I226">
        <f t="shared" si="26"/>
        <v>0</v>
      </c>
      <c r="J226" s="107"/>
      <c r="K226" s="107"/>
    </row>
    <row r="227" spans="1:11" x14ac:dyDescent="0.25">
      <c r="A227" s="107" t="s">
        <v>133</v>
      </c>
      <c r="B227" s="107" t="s">
        <v>134</v>
      </c>
      <c r="C227" s="107" t="s">
        <v>14</v>
      </c>
      <c r="D227" t="s">
        <v>8</v>
      </c>
      <c r="E227">
        <f t="shared" si="23"/>
        <v>234932.80499999999</v>
      </c>
      <c r="F227">
        <f>SUM(F228:F232)</f>
        <v>234932.80499999999</v>
      </c>
      <c r="G227">
        <f>SUM(G228:G232)</f>
        <v>0</v>
      </c>
      <c r="H227">
        <f>SUM(H228:H232)</f>
        <v>0</v>
      </c>
      <c r="I227">
        <f>SUM(I228:I232)</f>
        <v>0</v>
      </c>
      <c r="J227" s="107"/>
      <c r="K227" s="107" t="s">
        <v>17</v>
      </c>
    </row>
    <row r="228" spans="1:11" x14ac:dyDescent="0.25">
      <c r="A228" s="107"/>
      <c r="B228" s="107"/>
      <c r="C228" s="107"/>
      <c r="D228">
        <v>2021</v>
      </c>
      <c r="E228">
        <f t="shared" si="23"/>
        <v>47259.169000000002</v>
      </c>
      <c r="F228">
        <f t="shared" ref="F228:I232" si="27">F234</f>
        <v>47259.169000000002</v>
      </c>
      <c r="G228">
        <f t="shared" si="27"/>
        <v>0</v>
      </c>
      <c r="H228">
        <f t="shared" si="27"/>
        <v>0</v>
      </c>
      <c r="I228">
        <f t="shared" si="27"/>
        <v>0</v>
      </c>
      <c r="J228" s="107"/>
      <c r="K228" s="107"/>
    </row>
    <row r="229" spans="1:11" x14ac:dyDescent="0.25">
      <c r="A229" s="107"/>
      <c r="B229" s="107"/>
      <c r="C229" s="107"/>
      <c r="D229">
        <v>2022</v>
      </c>
      <c r="E229">
        <f t="shared" si="23"/>
        <v>46918.409</v>
      </c>
      <c r="F229">
        <f t="shared" si="27"/>
        <v>46918.409</v>
      </c>
      <c r="G229">
        <f t="shared" si="27"/>
        <v>0</v>
      </c>
      <c r="H229">
        <f t="shared" si="27"/>
        <v>0</v>
      </c>
      <c r="I229">
        <f t="shared" si="27"/>
        <v>0</v>
      </c>
      <c r="J229" s="107"/>
      <c r="K229" s="107"/>
    </row>
    <row r="230" spans="1:11" x14ac:dyDescent="0.25">
      <c r="A230" s="107"/>
      <c r="B230" s="107"/>
      <c r="C230" s="107"/>
      <c r="D230">
        <v>2023</v>
      </c>
      <c r="E230">
        <f t="shared" si="23"/>
        <v>46918.409</v>
      </c>
      <c r="F230">
        <f t="shared" si="27"/>
        <v>46918.409</v>
      </c>
      <c r="G230">
        <f t="shared" si="27"/>
        <v>0</v>
      </c>
      <c r="H230">
        <f t="shared" si="27"/>
        <v>0</v>
      </c>
      <c r="I230">
        <f t="shared" si="27"/>
        <v>0</v>
      </c>
      <c r="J230" s="107"/>
      <c r="K230" s="107"/>
    </row>
    <row r="231" spans="1:11" x14ac:dyDescent="0.25">
      <c r="A231" s="107"/>
      <c r="B231" s="107"/>
      <c r="C231" s="107"/>
      <c r="D231">
        <v>2024</v>
      </c>
      <c r="E231">
        <f t="shared" si="23"/>
        <v>46918.409</v>
      </c>
      <c r="F231">
        <f t="shared" si="27"/>
        <v>46918.409</v>
      </c>
      <c r="G231">
        <f t="shared" si="27"/>
        <v>0</v>
      </c>
      <c r="H231">
        <f t="shared" si="27"/>
        <v>0</v>
      </c>
      <c r="I231">
        <f t="shared" si="27"/>
        <v>0</v>
      </c>
      <c r="J231" s="107"/>
      <c r="K231" s="107"/>
    </row>
    <row r="232" spans="1:11" x14ac:dyDescent="0.25">
      <c r="A232" s="107"/>
      <c r="B232" s="107"/>
      <c r="C232" s="107"/>
      <c r="D232">
        <v>2025</v>
      </c>
      <c r="E232">
        <f t="shared" ref="E232:E238" si="28">SUM(F232:I232)</f>
        <v>46918.409</v>
      </c>
      <c r="F232">
        <f t="shared" si="27"/>
        <v>46918.409</v>
      </c>
      <c r="G232">
        <f t="shared" si="27"/>
        <v>0</v>
      </c>
      <c r="H232">
        <f t="shared" si="27"/>
        <v>0</v>
      </c>
      <c r="I232">
        <f t="shared" si="27"/>
        <v>0</v>
      </c>
      <c r="J232" s="107"/>
      <c r="K232" s="107"/>
    </row>
    <row r="233" spans="1:11" x14ac:dyDescent="0.25">
      <c r="A233" s="107" t="s">
        <v>135</v>
      </c>
      <c r="B233" s="107" t="s">
        <v>136</v>
      </c>
      <c r="C233" s="107" t="s">
        <v>14</v>
      </c>
      <c r="D233" t="s">
        <v>8</v>
      </c>
      <c r="E233">
        <f t="shared" si="28"/>
        <v>234932.80499999999</v>
      </c>
      <c r="F233">
        <f>SUM(F234:F238)</f>
        <v>234932.80499999999</v>
      </c>
      <c r="G233">
        <f>SUM(G234:G238)</f>
        <v>0</v>
      </c>
      <c r="H233">
        <f>SUM(H234:H238)</f>
        <v>0</v>
      </c>
      <c r="I233">
        <f>SUM(I234:I238)</f>
        <v>0</v>
      </c>
      <c r="J233" s="107" t="s">
        <v>137</v>
      </c>
      <c r="K233" s="107" t="s">
        <v>17</v>
      </c>
    </row>
    <row r="234" spans="1:11" x14ac:dyDescent="0.25">
      <c r="A234" s="107"/>
      <c r="B234" s="107"/>
      <c r="C234" s="107"/>
      <c r="D234">
        <v>2021</v>
      </c>
      <c r="E234">
        <f t="shared" si="28"/>
        <v>47259.169000000002</v>
      </c>
      <c r="F234">
        <v>47259.169000000002</v>
      </c>
      <c r="G234">
        <v>0</v>
      </c>
      <c r="H234">
        <v>0</v>
      </c>
      <c r="I234">
        <v>0</v>
      </c>
      <c r="J234" s="107"/>
      <c r="K234" s="107"/>
    </row>
    <row r="235" spans="1:11" x14ac:dyDescent="0.25">
      <c r="A235" s="107"/>
      <c r="B235" s="107"/>
      <c r="C235" s="107"/>
      <c r="D235">
        <v>2022</v>
      </c>
      <c r="E235">
        <f t="shared" si="28"/>
        <v>46918.409</v>
      </c>
      <c r="F235">
        <v>46918.409</v>
      </c>
      <c r="G235">
        <v>0</v>
      </c>
      <c r="H235">
        <v>0</v>
      </c>
      <c r="I235">
        <v>0</v>
      </c>
      <c r="J235" s="107"/>
      <c r="K235" s="107"/>
    </row>
    <row r="236" spans="1:11" x14ac:dyDescent="0.25">
      <c r="A236" s="107"/>
      <c r="B236" s="107"/>
      <c r="C236" s="107"/>
      <c r="D236">
        <v>2023</v>
      </c>
      <c r="E236">
        <f t="shared" si="28"/>
        <v>46918.409</v>
      </c>
      <c r="F236">
        <v>46918.409</v>
      </c>
      <c r="G236">
        <v>0</v>
      </c>
      <c r="H236">
        <v>0</v>
      </c>
      <c r="I236">
        <v>0</v>
      </c>
      <c r="J236" s="107"/>
      <c r="K236" s="107"/>
    </row>
    <row r="237" spans="1:11" x14ac:dyDescent="0.25">
      <c r="A237" s="107"/>
      <c r="B237" s="107"/>
      <c r="C237" s="107"/>
      <c r="D237">
        <v>2024</v>
      </c>
      <c r="E237">
        <f t="shared" si="28"/>
        <v>46918.409</v>
      </c>
      <c r="F237">
        <v>46918.409</v>
      </c>
      <c r="G237">
        <v>0</v>
      </c>
      <c r="H237">
        <v>0</v>
      </c>
      <c r="I237">
        <v>0</v>
      </c>
      <c r="J237" s="107"/>
      <c r="K237" s="107"/>
    </row>
    <row r="238" spans="1:11" x14ac:dyDescent="0.25">
      <c r="A238" s="107"/>
      <c r="B238" s="107"/>
      <c r="C238" s="107"/>
      <c r="D238">
        <v>2025</v>
      </c>
      <c r="E238">
        <f t="shared" si="28"/>
        <v>46918.409</v>
      </c>
      <c r="F238">
        <v>46918.409</v>
      </c>
      <c r="G238">
        <v>0</v>
      </c>
      <c r="H238">
        <v>0</v>
      </c>
      <c r="I238">
        <v>0</v>
      </c>
      <c r="J238" s="107"/>
      <c r="K238" s="107"/>
    </row>
  </sheetData>
  <autoFilter ref="A4:L232">
    <filterColumn colId="3">
      <colorFilter dxfId="4"/>
    </filterColumn>
  </autoFilter>
  <mergeCells count="202">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79:A184"/>
    <mergeCell ref="B179:B184"/>
    <mergeCell ref="C179:C184"/>
    <mergeCell ref="J179:J184"/>
    <mergeCell ref="K179:K184"/>
    <mergeCell ref="A185:A190"/>
    <mergeCell ref="B185:B190"/>
    <mergeCell ref="C185:C190"/>
    <mergeCell ref="J185:J190"/>
    <mergeCell ref="K185:K190"/>
    <mergeCell ref="A167:A172"/>
    <mergeCell ref="B167:B172"/>
    <mergeCell ref="C167:C172"/>
    <mergeCell ref="J167:J172"/>
    <mergeCell ref="K167:K172"/>
    <mergeCell ref="A173:A178"/>
    <mergeCell ref="B173:B178"/>
    <mergeCell ref="C173:C178"/>
    <mergeCell ref="J173:J178"/>
    <mergeCell ref="K173:K178"/>
    <mergeCell ref="A155:A160"/>
    <mergeCell ref="B155:B160"/>
    <mergeCell ref="C155:C160"/>
    <mergeCell ref="J155:J160"/>
    <mergeCell ref="K155:K160"/>
    <mergeCell ref="A161:A166"/>
    <mergeCell ref="B161:B166"/>
    <mergeCell ref="C161:C166"/>
    <mergeCell ref="J161:J166"/>
    <mergeCell ref="K161:K166"/>
    <mergeCell ref="A143:A148"/>
    <mergeCell ref="B143:B148"/>
    <mergeCell ref="C143:C148"/>
    <mergeCell ref="J143:J148"/>
    <mergeCell ref="K143:K148"/>
    <mergeCell ref="A149:A154"/>
    <mergeCell ref="B149:B154"/>
    <mergeCell ref="C149:C154"/>
    <mergeCell ref="J149:J154"/>
    <mergeCell ref="K149:K154"/>
    <mergeCell ref="A131:A136"/>
    <mergeCell ref="B131:B136"/>
    <mergeCell ref="C131:C136"/>
    <mergeCell ref="J131:J136"/>
    <mergeCell ref="K131:K136"/>
    <mergeCell ref="A137:A142"/>
    <mergeCell ref="B137:B142"/>
    <mergeCell ref="C137:C142"/>
    <mergeCell ref="J137:J142"/>
    <mergeCell ref="K137:K142"/>
    <mergeCell ref="A119:A124"/>
    <mergeCell ref="B119:B124"/>
    <mergeCell ref="C119:C124"/>
    <mergeCell ref="J119:J124"/>
    <mergeCell ref="K119:K124"/>
    <mergeCell ref="A125:A130"/>
    <mergeCell ref="B125:B130"/>
    <mergeCell ref="C125:C130"/>
    <mergeCell ref="J125:J130"/>
    <mergeCell ref="K125:K130"/>
    <mergeCell ref="A107:A112"/>
    <mergeCell ref="B107:B112"/>
    <mergeCell ref="C107:C112"/>
    <mergeCell ref="J107:J112"/>
    <mergeCell ref="K107:K112"/>
    <mergeCell ref="A113:A118"/>
    <mergeCell ref="B113:B118"/>
    <mergeCell ref="C113:C118"/>
    <mergeCell ref="J113:J118"/>
    <mergeCell ref="K113:K118"/>
    <mergeCell ref="A95:A100"/>
    <mergeCell ref="B95:B100"/>
    <mergeCell ref="C95:C100"/>
    <mergeCell ref="J95:J100"/>
    <mergeCell ref="K95:K100"/>
    <mergeCell ref="A101:A106"/>
    <mergeCell ref="B101:B106"/>
    <mergeCell ref="C101:C106"/>
    <mergeCell ref="J101:J106"/>
    <mergeCell ref="K101:K106"/>
    <mergeCell ref="A83:A88"/>
    <mergeCell ref="B83:B88"/>
    <mergeCell ref="C83:C88"/>
    <mergeCell ref="J83:J88"/>
    <mergeCell ref="K83:K88"/>
    <mergeCell ref="A89:A94"/>
    <mergeCell ref="B89:B94"/>
    <mergeCell ref="C89:C94"/>
    <mergeCell ref="J89:J94"/>
    <mergeCell ref="K89:K94"/>
    <mergeCell ref="A71:A76"/>
    <mergeCell ref="B71:B76"/>
    <mergeCell ref="C71:C76"/>
    <mergeCell ref="J71:J76"/>
    <mergeCell ref="K71:K76"/>
    <mergeCell ref="A77:A82"/>
    <mergeCell ref="B77:B82"/>
    <mergeCell ref="C77:C82"/>
    <mergeCell ref="J77:J82"/>
    <mergeCell ref="K77:K82"/>
    <mergeCell ref="A59:A64"/>
    <mergeCell ref="B59:B64"/>
    <mergeCell ref="C59:C64"/>
    <mergeCell ref="J59:J64"/>
    <mergeCell ref="K59:K64"/>
    <mergeCell ref="A65:A70"/>
    <mergeCell ref="B65:B70"/>
    <mergeCell ref="C65:C70"/>
    <mergeCell ref="J65:J70"/>
    <mergeCell ref="K65:K70"/>
    <mergeCell ref="A47:A52"/>
    <mergeCell ref="B47:B52"/>
    <mergeCell ref="C47:C52"/>
    <mergeCell ref="J47:J52"/>
    <mergeCell ref="K47:K52"/>
    <mergeCell ref="A53:A58"/>
    <mergeCell ref="B53:B58"/>
    <mergeCell ref="C53:C58"/>
    <mergeCell ref="J53:J58"/>
    <mergeCell ref="K53:K58"/>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A29:A34"/>
    <mergeCell ref="B29:B34"/>
    <mergeCell ref="C29:C34"/>
    <mergeCell ref="J29:J34"/>
    <mergeCell ref="K29:K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90" firstPageNumber="4294967295"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
  </sheetPr>
  <dimension ref="A1:AD110"/>
  <sheetViews>
    <sheetView topLeftCell="O73" workbookViewId="0">
      <selection activeCell="S2" sqref="S2"/>
    </sheetView>
  </sheetViews>
  <sheetFormatPr defaultRowHeight="15" x14ac:dyDescent="0.25"/>
  <cols>
    <col min="1" max="1" width="8" customWidth="1"/>
    <col min="2" max="2" width="34.7109375" customWidth="1"/>
    <col min="3" max="3" width="18.42578125" customWidth="1"/>
    <col min="4" max="5" width="18.28515625" customWidth="1"/>
    <col min="6" max="6" width="18.5703125" customWidth="1"/>
    <col min="7" max="7" width="13.140625" customWidth="1"/>
    <col min="8" max="8" width="11" customWidth="1"/>
    <col min="9" max="9" width="10.28515625" customWidth="1"/>
    <col min="10" max="10" width="10.28515625" bestFit="1" customWidth="1"/>
    <col min="11" max="11" width="9.28515625" bestFit="1" customWidth="1"/>
    <col min="12" max="12" width="11.5703125" customWidth="1"/>
    <col min="13" max="18" width="14.42578125" customWidth="1"/>
    <col min="19" max="23" width="18" customWidth="1"/>
    <col min="24" max="24" width="15.140625" customWidth="1"/>
    <col min="25" max="25" width="13.140625" customWidth="1"/>
    <col min="26" max="26" width="15.5703125" customWidth="1"/>
    <col min="27" max="28" width="16.140625" customWidth="1"/>
    <col min="29" max="29" width="12.85546875" customWidth="1"/>
    <col min="30" max="30" width="17.140625" customWidth="1"/>
  </cols>
  <sheetData>
    <row r="1" spans="1:30" x14ac:dyDescent="0.25">
      <c r="A1" s="107" t="s">
        <v>726</v>
      </c>
      <c r="B1" s="107"/>
      <c r="C1" s="107"/>
      <c r="D1" s="107"/>
      <c r="E1" s="107"/>
      <c r="F1" s="107"/>
      <c r="G1" s="107"/>
      <c r="H1" s="107"/>
      <c r="I1" s="107"/>
      <c r="J1" s="107"/>
      <c r="K1" s="107"/>
      <c r="L1" s="107"/>
    </row>
    <row r="2" spans="1:30" x14ac:dyDescent="0.25">
      <c r="A2" s="107" t="s">
        <v>956</v>
      </c>
      <c r="B2" s="107"/>
      <c r="C2" s="107"/>
      <c r="D2" s="107"/>
      <c r="E2" s="107"/>
      <c r="F2" s="107"/>
      <c r="G2" s="107"/>
      <c r="H2" s="107"/>
      <c r="I2" s="107"/>
      <c r="J2" s="107"/>
      <c r="K2" s="107"/>
      <c r="L2" s="107"/>
      <c r="M2" s="107" t="s">
        <v>619</v>
      </c>
      <c r="N2" s="107"/>
      <c r="O2" s="107"/>
      <c r="P2" s="107"/>
      <c r="Q2" s="107"/>
      <c r="R2" s="107"/>
      <c r="S2" t="s">
        <v>957</v>
      </c>
    </row>
    <row r="3" spans="1:30" ht="36" customHeight="1" x14ac:dyDescent="0.25">
      <c r="A3" s="107" t="s">
        <v>727</v>
      </c>
      <c r="B3" s="107" t="s">
        <v>728</v>
      </c>
      <c r="C3" s="107" t="s">
        <v>729</v>
      </c>
      <c r="D3" s="107" t="s">
        <v>730</v>
      </c>
      <c r="E3" s="107" t="s">
        <v>731</v>
      </c>
      <c r="F3" s="107" t="s">
        <v>732</v>
      </c>
      <c r="G3" s="107" t="s">
        <v>733</v>
      </c>
      <c r="H3" s="107"/>
      <c r="I3" s="107"/>
      <c r="J3" s="107"/>
      <c r="K3" s="107"/>
      <c r="L3" s="107"/>
      <c r="M3" s="107" t="s">
        <v>958</v>
      </c>
      <c r="N3" s="107"/>
      <c r="O3" s="107"/>
      <c r="P3" s="107"/>
      <c r="Q3" s="107"/>
      <c r="R3" s="107"/>
      <c r="X3" t="s">
        <v>958</v>
      </c>
      <c r="AD3" t="s">
        <v>959</v>
      </c>
    </row>
    <row r="4" spans="1:30" ht="39" customHeight="1" x14ac:dyDescent="0.25">
      <c r="A4" s="107"/>
      <c r="B4" s="107"/>
      <c r="C4" s="107"/>
      <c r="D4" s="107"/>
      <c r="E4" s="107"/>
      <c r="F4" s="107"/>
      <c r="G4" t="s">
        <v>734</v>
      </c>
      <c r="H4" t="s">
        <v>8</v>
      </c>
      <c r="I4" t="s">
        <v>9</v>
      </c>
      <c r="J4" t="s">
        <v>10</v>
      </c>
      <c r="K4" t="s">
        <v>11</v>
      </c>
      <c r="L4" t="s">
        <v>12</v>
      </c>
      <c r="M4" t="s">
        <v>960</v>
      </c>
      <c r="N4" t="s">
        <v>8</v>
      </c>
      <c r="O4" t="s">
        <v>961</v>
      </c>
      <c r="P4" t="s">
        <v>962</v>
      </c>
      <c r="Q4" t="s">
        <v>11</v>
      </c>
      <c r="R4" t="s">
        <v>12</v>
      </c>
      <c r="S4" t="s">
        <v>963</v>
      </c>
      <c r="X4" t="s">
        <v>960</v>
      </c>
      <c r="Y4" t="s">
        <v>8</v>
      </c>
      <c r="Z4" t="s">
        <v>961</v>
      </c>
      <c r="AA4" t="s">
        <v>962</v>
      </c>
      <c r="AB4" t="s">
        <v>11</v>
      </c>
      <c r="AC4" t="s">
        <v>12</v>
      </c>
    </row>
    <row r="5" spans="1:30" ht="15" customHeight="1" x14ac:dyDescent="0.25">
      <c r="A5" s="107"/>
      <c r="B5" s="107" t="s">
        <v>735</v>
      </c>
      <c r="C5" s="107" t="s">
        <v>736</v>
      </c>
      <c r="D5" s="107"/>
      <c r="E5" s="107"/>
      <c r="F5" s="107"/>
      <c r="G5" t="s">
        <v>8</v>
      </c>
      <c r="H5" t="e">
        <f>SUM(I5:L5)</f>
        <v>#NAME?</v>
      </c>
      <c r="I5">
        <f>SUM(I6:I12)</f>
        <v>1001453.1674600001</v>
      </c>
      <c r="J5" t="e">
        <f>SUM(J6:J12)</f>
        <v>#NAME?</v>
      </c>
      <c r="K5">
        <f>SUM(K6:K12)</f>
        <v>143777.7593755839</v>
      </c>
      <c r="L5" t="e">
        <f>SUM(L6:L12)</f>
        <v>#NAME?</v>
      </c>
      <c r="M5" t="s">
        <v>8</v>
      </c>
      <c r="N5" t="e">
        <f t="shared" ref="N5:N29" si="0">Y5-H5</f>
        <v>#NAME?</v>
      </c>
      <c r="O5">
        <f t="shared" ref="O5:O29" si="1">Z5-I5</f>
        <v>1065731.0718400001</v>
      </c>
      <c r="P5" t="e">
        <f t="shared" ref="P5:P29" si="2">AA5-J5</f>
        <v>#NAME?</v>
      </c>
      <c r="Q5">
        <f t="shared" ref="Q5:Q29" si="3">AB5-K5</f>
        <v>9359.6921913544938</v>
      </c>
      <c r="R5" t="e">
        <f t="shared" ref="R5:R29" si="4">AC5-L5</f>
        <v>#NAME?</v>
      </c>
      <c r="S5" s="107"/>
      <c r="X5" t="s">
        <v>8</v>
      </c>
      <c r="Y5">
        <f>Y13+Y18+Y23+Y29+Y36+Y42+Y48+Y57+Y63+Y69+Y75+Y81+Y87+Y93+Y99+Y105-Y49-Y50-Y51-Y52-Y53</f>
        <v>2945751.6898669382</v>
      </c>
      <c r="Z5">
        <f>Z13+Z18+Z23+Z29+Z36+Z42+Z48+Z57+Z63+Z69+Z75+Z81+Z87+Z93+Z99+Z105-Z49-Z50-Z51-Z52-Z53</f>
        <v>2067184.2393000002</v>
      </c>
      <c r="AA5">
        <f>AA13+AA18+AA23+AA29+AA36+AA42+AA48+AA57+AA63+AA69+AA75+AA81+AA87+AA93+AA99+AA105-AA49-AA50-AA51-AA52-AA53</f>
        <v>725429.99899999995</v>
      </c>
      <c r="AB5">
        <f>AB13+AB18+AB23+AB29+AB36+AB42+AB48+AB57+AB63+AB69+AB75+AB81+AB87+AB93+AB99+AB105-AB49-AB50-AB51-AB52-AB53</f>
        <v>153137.4515669384</v>
      </c>
      <c r="AC5">
        <f>AC13+AC18+AC23+AC29+AC36+AC42+AC48+AC57+AC63+AC69+AC75+AC81+AC87+AC93+AC99+AC105-AC49-AC50-AC51-AC52-AC53</f>
        <v>0</v>
      </c>
      <c r="AD5" s="107"/>
    </row>
    <row r="6" spans="1:30" x14ac:dyDescent="0.25">
      <c r="A6" s="107"/>
      <c r="B6" s="107"/>
      <c r="C6" s="107"/>
      <c r="D6" s="107"/>
      <c r="E6" s="107"/>
      <c r="F6" s="107"/>
      <c r="G6">
        <v>2019</v>
      </c>
      <c r="H6">
        <f>H14+H19+H54</f>
        <v>93543.680000000008</v>
      </c>
      <c r="I6">
        <f>I14+I19+I54</f>
        <v>68528.600000000006</v>
      </c>
      <c r="J6">
        <f>J14+J19+J54</f>
        <v>20000</v>
      </c>
      <c r="K6">
        <f>K14+K19+K54</f>
        <v>5015.08</v>
      </c>
      <c r="L6">
        <f>L14+L19</f>
        <v>0</v>
      </c>
      <c r="M6">
        <v>2019</v>
      </c>
      <c r="N6">
        <f t="shared" si="0"/>
        <v>0</v>
      </c>
      <c r="O6">
        <f t="shared" si="1"/>
        <v>0</v>
      </c>
      <c r="P6">
        <f t="shared" si="2"/>
        <v>0</v>
      </c>
      <c r="Q6">
        <f t="shared" si="3"/>
        <v>0</v>
      </c>
      <c r="R6">
        <f t="shared" si="4"/>
        <v>0</v>
      </c>
      <c r="S6" s="107"/>
      <c r="X6">
        <v>2019</v>
      </c>
      <c r="Y6">
        <f>Y14+Y19+Y54</f>
        <v>93543.680000000008</v>
      </c>
      <c r="Z6">
        <f>Z14+Z19+Z54</f>
        <v>68528.600000000006</v>
      </c>
      <c r="AA6">
        <f>AA14+AA19+AA54</f>
        <v>20000</v>
      </c>
      <c r="AB6">
        <f>AB14+AB19+AB54</f>
        <v>5015.08</v>
      </c>
      <c r="AC6">
        <f>AC14+AC19+AC54</f>
        <v>0</v>
      </c>
      <c r="AD6" s="107"/>
    </row>
    <row r="7" spans="1:30" x14ac:dyDescent="0.25">
      <c r="A7" s="107"/>
      <c r="B7" s="107"/>
      <c r="C7" s="107"/>
      <c r="D7" s="107"/>
      <c r="E7" s="107"/>
      <c r="F7" s="107"/>
      <c r="G7">
        <v>2020</v>
      </c>
      <c r="H7">
        <f>H15+H20+H30+H55</f>
        <v>315851.8</v>
      </c>
      <c r="I7">
        <f>I15+I20+I30+I55</f>
        <v>109812.8</v>
      </c>
      <c r="J7">
        <f>J15+J20+J30+J55</f>
        <v>203039</v>
      </c>
      <c r="K7">
        <f>K15+K20+K30</f>
        <v>3000</v>
      </c>
      <c r="L7">
        <f>L15+L20+L30</f>
        <v>0</v>
      </c>
      <c r="M7">
        <v>2020</v>
      </c>
      <c r="N7">
        <f t="shared" si="0"/>
        <v>0</v>
      </c>
      <c r="O7">
        <f t="shared" si="1"/>
        <v>0</v>
      </c>
      <c r="P7">
        <f t="shared" si="2"/>
        <v>0</v>
      </c>
      <c r="Q7">
        <f t="shared" si="3"/>
        <v>0</v>
      </c>
      <c r="R7">
        <f t="shared" si="4"/>
        <v>0</v>
      </c>
      <c r="S7" s="107"/>
      <c r="X7">
        <v>2020</v>
      </c>
      <c r="Y7">
        <f>Y15+Y20+Y30+Y55</f>
        <v>315851.8</v>
      </c>
      <c r="Z7">
        <f>Z15+Z20+Z30+Z55</f>
        <v>109812.8</v>
      </c>
      <c r="AA7">
        <f>AA15+AA20+AA30+AA55</f>
        <v>203039</v>
      </c>
      <c r="AB7">
        <f>AB15+AB20+AB30+AB55</f>
        <v>3000</v>
      </c>
      <c r="AC7">
        <f>AC15+AC20+AC30+AC55</f>
        <v>0</v>
      </c>
      <c r="AD7" s="107"/>
    </row>
    <row r="8" spans="1:30" x14ac:dyDescent="0.25">
      <c r="A8" s="107"/>
      <c r="B8" s="107"/>
      <c r="C8" s="107"/>
      <c r="D8" s="107"/>
      <c r="E8" s="107"/>
      <c r="F8" s="107"/>
      <c r="G8">
        <v>2021</v>
      </c>
      <c r="H8" t="e">
        <f>H16+H21+H24+H31+H37+H43+H56</f>
        <v>#NAME?</v>
      </c>
      <c r="I8">
        <f>I16+I21+I24+I31+I37+I43+I56</f>
        <v>62049.280529999996</v>
      </c>
      <c r="J8" t="e">
        <f>J16+J21+J24+J31+J37+J43+J56</f>
        <v>#NAME?</v>
      </c>
      <c r="K8">
        <f>K16+K21+K24+K31+K37+K43+K56</f>
        <v>14146.526378741808</v>
      </c>
      <c r="L8" t="e">
        <f t="shared" ref="L8:L9" si="5">L16+L21+L24+L31+L37</f>
        <v>#NAME?</v>
      </c>
      <c r="M8">
        <v>2021</v>
      </c>
      <c r="N8" t="e">
        <f t="shared" si="0"/>
        <v>#NAME?</v>
      </c>
      <c r="O8">
        <f t="shared" si="1"/>
        <v>845.03677000000607</v>
      </c>
      <c r="P8" t="e">
        <f t="shared" si="2"/>
        <v>#NAME?</v>
      </c>
      <c r="Q8">
        <f t="shared" si="3"/>
        <v>274.33100701110016</v>
      </c>
      <c r="R8" t="e">
        <f t="shared" si="4"/>
        <v>#NAME?</v>
      </c>
      <c r="S8" s="107"/>
      <c r="X8">
        <v>2021</v>
      </c>
      <c r="Y8">
        <f>Y16+Y21+Y24+Y31+Y37+Y43+Y56+Y58+Y64+Y76+Y82+Y88+Y94+Y100+Y106</f>
        <v>334803.87368575286</v>
      </c>
      <c r="Z8">
        <f>Z16+Z21+Z24+Z31+Z37+Z43+Z56+Z58+Z64+Z76+Z82+Z88+Z94+Z100+Z106</f>
        <v>62894.317300000002</v>
      </c>
      <c r="AA8">
        <f>AA16+AA21+AA24+AA31+AA37+AA43+AA56+AA58+AA64+AA76+AA82+AA88+AA94+AA100+AA106</f>
        <v>257488.69899999999</v>
      </c>
      <c r="AB8">
        <f>AB16+AB21+AB24+AB31+AB37+AB43+AB56+AB58+AB64+AB76+AB82+AB88+AB94+AB100+AB106</f>
        <v>14420.857385752908</v>
      </c>
      <c r="AC8">
        <f>AC16+AC21+AC24+AC31+AC37+AC43+AC56+AC58+AC64+AC76+AC82+AC88+AC94+AC100+AC106</f>
        <v>0</v>
      </c>
      <c r="AD8" s="107"/>
    </row>
    <row r="9" spans="1:30" x14ac:dyDescent="0.25">
      <c r="A9" s="107"/>
      <c r="B9" s="107"/>
      <c r="C9" s="107"/>
      <c r="D9" s="107"/>
      <c r="E9" s="107"/>
      <c r="F9" s="107"/>
      <c r="G9">
        <v>2022</v>
      </c>
      <c r="H9">
        <f>H17+H22+H25+H32+H38+H44</f>
        <v>754404.56518999999</v>
      </c>
      <c r="I9">
        <f>I17+I22+I25+I32+I38+I44</f>
        <v>556560.18693000008</v>
      </c>
      <c r="J9">
        <f>J17+J22+J25+J32+J38+J44</f>
        <v>117511.3</v>
      </c>
      <c r="K9">
        <f>K17+K22+K25+K32+K38+K44</f>
        <v>80333.078259999995</v>
      </c>
      <c r="L9">
        <f t="shared" si="5"/>
        <v>0</v>
      </c>
      <c r="M9">
        <v>2022</v>
      </c>
      <c r="N9">
        <f t="shared" si="0"/>
        <v>423648.21525434311</v>
      </c>
      <c r="O9">
        <f t="shared" si="1"/>
        <v>423270.61606999987</v>
      </c>
      <c r="P9">
        <f t="shared" si="2"/>
        <v>0</v>
      </c>
      <c r="Q9">
        <f t="shared" si="3"/>
        <v>377.59918434344581</v>
      </c>
      <c r="R9">
        <f t="shared" si="4"/>
        <v>0</v>
      </c>
      <c r="S9" s="107"/>
      <c r="X9">
        <v>2022</v>
      </c>
      <c r="Y9">
        <f>Y17+Y22+Y25+Y32+Y38+Y44+Y59+Y65+Y71+Y77+Y83+Y89+Y95+Y101+Y107</f>
        <v>1178052.7804443431</v>
      </c>
      <c r="Z9">
        <f>Z17+Z22+Z25+Z32+Z38+Z44+Z59+Z65+Z71+Z77+Z83+Z89+Z95+Z101+Z107</f>
        <v>979830.80299999996</v>
      </c>
      <c r="AA9">
        <f>AA17+AA22+AA25+AA32+AA38+AA44+AA59+AA65+AA71+AA77+AA83+AA89+AA95+AA101+AA107</f>
        <v>117511.3</v>
      </c>
      <c r="AB9">
        <f>AB17+AB22+AB25+AB32+AB38+AB44+AB59+AB65+AB71+AB77+AB83+AB89+AB95+AB101+AB107</f>
        <v>80710.677444343441</v>
      </c>
      <c r="AC9">
        <f>AC17+AC22+AC25+AC32+AC38+AC44+AC59+AC65+AC71+AC77+AC83+AC89+AC95+AC101+AC107</f>
        <v>0</v>
      </c>
      <c r="AD9" s="107"/>
    </row>
    <row r="10" spans="1:30" x14ac:dyDescent="0.25">
      <c r="A10" s="107"/>
      <c r="B10" s="107"/>
      <c r="C10" s="107"/>
      <c r="D10" s="107"/>
      <c r="E10" s="107"/>
      <c r="F10" s="107"/>
      <c r="G10">
        <v>2023</v>
      </c>
      <c r="H10">
        <f t="shared" ref="H10:H11" si="6">H26+H33+H39+H45</f>
        <v>373176.37473684212</v>
      </c>
      <c r="I10">
        <f t="shared" ref="I10:L12" si="7">I26+I33+I39</f>
        <v>204502.3</v>
      </c>
      <c r="J10">
        <f>J26+J33+J39+J45</f>
        <v>127391</v>
      </c>
      <c r="K10">
        <f>K26+K33+K39+K45</f>
        <v>41283.074736842107</v>
      </c>
      <c r="L10">
        <f t="shared" si="7"/>
        <v>0</v>
      </c>
      <c r="M10">
        <v>2023</v>
      </c>
      <c r="N10">
        <f t="shared" si="0"/>
        <v>650323.18099999998</v>
      </c>
      <c r="O10">
        <f t="shared" si="1"/>
        <v>641615.41899999999</v>
      </c>
      <c r="P10">
        <f t="shared" si="2"/>
        <v>0</v>
      </c>
      <c r="Q10">
        <f t="shared" si="3"/>
        <v>8707.7619999999952</v>
      </c>
      <c r="R10">
        <f t="shared" si="4"/>
        <v>0</v>
      </c>
      <c r="S10" s="107"/>
      <c r="X10">
        <v>2023</v>
      </c>
      <c r="Y10">
        <f t="shared" ref="Y10:Y12" si="8">Y26+Y33+Y39+Y45+Y60+Y66+Y72+Y78+Y84+Y90+Y96+Y102+Y108</f>
        <v>1023499.5557368421</v>
      </c>
      <c r="Z10">
        <f t="shared" ref="Z10:AC12" si="9">Z26+Z33+Z39+Z45+Z60+Z66+Z72+Z78+Z84+Z90+Z96+Z102+Z108</f>
        <v>846117.71900000004</v>
      </c>
      <c r="AA10">
        <f t="shared" si="9"/>
        <v>127391</v>
      </c>
      <c r="AB10">
        <f t="shared" si="9"/>
        <v>49990.836736842102</v>
      </c>
      <c r="AC10">
        <f t="shared" si="9"/>
        <v>0</v>
      </c>
      <c r="AD10" s="107"/>
    </row>
    <row r="11" spans="1:30" x14ac:dyDescent="0.25">
      <c r="A11" s="107"/>
      <c r="B11" s="107"/>
      <c r="C11" s="107"/>
      <c r="D11" s="107"/>
      <c r="E11" s="107"/>
      <c r="F11" s="107"/>
      <c r="G11">
        <v>2024</v>
      </c>
      <c r="H11">
        <f t="shared" si="6"/>
        <v>0</v>
      </c>
      <c r="I11">
        <f>I27+I34+I40+I46</f>
        <v>0</v>
      </c>
      <c r="J11">
        <f t="shared" si="7"/>
        <v>0</v>
      </c>
      <c r="K11">
        <f t="shared" si="7"/>
        <v>0</v>
      </c>
      <c r="L11">
        <f t="shared" si="7"/>
        <v>0</v>
      </c>
      <c r="M11">
        <v>2024</v>
      </c>
      <c r="N11">
        <f t="shared" si="0"/>
        <v>0</v>
      </c>
      <c r="O11">
        <f t="shared" si="1"/>
        <v>0</v>
      </c>
      <c r="P11">
        <f t="shared" si="2"/>
        <v>0</v>
      </c>
      <c r="Q11">
        <f t="shared" si="3"/>
        <v>0</v>
      </c>
      <c r="R11">
        <f t="shared" si="4"/>
        <v>0</v>
      </c>
      <c r="S11" s="107"/>
      <c r="X11">
        <v>2024</v>
      </c>
      <c r="Y11">
        <f t="shared" si="8"/>
        <v>0</v>
      </c>
      <c r="Z11">
        <f t="shared" si="9"/>
        <v>0</v>
      </c>
      <c r="AA11">
        <f t="shared" si="9"/>
        <v>0</v>
      </c>
      <c r="AB11">
        <f t="shared" si="9"/>
        <v>0</v>
      </c>
      <c r="AC11">
        <f t="shared" si="9"/>
        <v>0</v>
      </c>
      <c r="AD11" s="107"/>
    </row>
    <row r="12" spans="1:30" x14ac:dyDescent="0.25">
      <c r="A12" s="107"/>
      <c r="B12" s="107"/>
      <c r="C12" s="107"/>
      <c r="D12" s="107"/>
      <c r="E12" s="107"/>
      <c r="F12" s="107"/>
      <c r="G12">
        <v>2025</v>
      </c>
      <c r="H12">
        <f>H28+H35+H41+H47+H50</f>
        <v>0</v>
      </c>
      <c r="I12">
        <f t="shared" si="7"/>
        <v>0</v>
      </c>
      <c r="J12">
        <f t="shared" si="7"/>
        <v>0</v>
      </c>
      <c r="K12">
        <f t="shared" si="7"/>
        <v>0</v>
      </c>
      <c r="L12">
        <f t="shared" si="7"/>
        <v>0</v>
      </c>
      <c r="M12">
        <v>2025</v>
      </c>
      <c r="N12">
        <f t="shared" si="0"/>
        <v>0</v>
      </c>
      <c r="O12">
        <f t="shared" si="1"/>
        <v>0</v>
      </c>
      <c r="P12">
        <f t="shared" si="2"/>
        <v>0</v>
      </c>
      <c r="Q12">
        <f t="shared" si="3"/>
        <v>0</v>
      </c>
      <c r="R12">
        <f t="shared" si="4"/>
        <v>0</v>
      </c>
      <c r="S12" s="107"/>
      <c r="X12">
        <v>2025</v>
      </c>
      <c r="Y12">
        <f t="shared" si="8"/>
        <v>0</v>
      </c>
      <c r="Z12">
        <f t="shared" si="9"/>
        <v>0</v>
      </c>
      <c r="AA12">
        <f t="shared" si="9"/>
        <v>0</v>
      </c>
      <c r="AB12">
        <f t="shared" si="9"/>
        <v>0</v>
      </c>
      <c r="AC12">
        <f t="shared" si="9"/>
        <v>0</v>
      </c>
      <c r="AD12" s="107"/>
    </row>
    <row r="13" spans="1:30" ht="15" customHeight="1" x14ac:dyDescent="0.25">
      <c r="A13" s="107">
        <v>1</v>
      </c>
      <c r="B13" s="107" t="s">
        <v>737</v>
      </c>
      <c r="C13" s="107" t="s">
        <v>738</v>
      </c>
      <c r="D13" s="107" t="s">
        <v>739</v>
      </c>
      <c r="E13" s="107" t="s">
        <v>740</v>
      </c>
      <c r="F13" s="107" t="s">
        <v>964</v>
      </c>
      <c r="G13" t="s">
        <v>8</v>
      </c>
      <c r="H13">
        <f t="shared" ref="H13:H28" si="10">SUM(I13:L13)</f>
        <v>289507.86575</v>
      </c>
      <c r="I13">
        <f>SUM(I14:I17)</f>
        <v>156936.07866999999</v>
      </c>
      <c r="J13">
        <f>SUM(J14:J17)</f>
        <v>121253.24861000001</v>
      </c>
      <c r="K13">
        <f>SUM(K14:K17)</f>
        <v>11318.53847</v>
      </c>
      <c r="L13">
        <f>SUM(L14:L17)</f>
        <v>0</v>
      </c>
      <c r="M13" t="s">
        <v>8</v>
      </c>
      <c r="N13">
        <f t="shared" si="0"/>
        <v>99996.265300000028</v>
      </c>
      <c r="O13">
        <f t="shared" si="1"/>
        <v>98999.999330000021</v>
      </c>
      <c r="P13">
        <f t="shared" si="2"/>
        <v>-5.7000000379048288E-4</v>
      </c>
      <c r="Q13">
        <f t="shared" si="3"/>
        <v>996.26654000000053</v>
      </c>
      <c r="R13">
        <f t="shared" si="4"/>
        <v>0</v>
      </c>
      <c r="S13" s="107"/>
      <c r="X13" t="s">
        <v>8</v>
      </c>
      <c r="Y13">
        <v>389504.13105000003</v>
      </c>
      <c r="Z13">
        <v>255936.07800000001</v>
      </c>
      <c r="AA13">
        <v>121253.24804000001</v>
      </c>
      <c r="AB13">
        <v>12314.80501</v>
      </c>
      <c r="AC13">
        <v>0</v>
      </c>
      <c r="AD13" s="107"/>
    </row>
    <row r="14" spans="1:30" x14ac:dyDescent="0.25">
      <c r="A14" s="107"/>
      <c r="B14" s="107"/>
      <c r="C14" s="107"/>
      <c r="D14" s="107"/>
      <c r="E14" s="107"/>
      <c r="F14" s="107"/>
      <c r="G14">
        <v>2019</v>
      </c>
      <c r="H14">
        <f>I14+J14+K14+L14</f>
        <v>55.08</v>
      </c>
      <c r="I14">
        <v>0</v>
      </c>
      <c r="J14">
        <v>0</v>
      </c>
      <c r="K14">
        <v>55.08</v>
      </c>
      <c r="L14">
        <v>0</v>
      </c>
      <c r="M14">
        <v>2019</v>
      </c>
      <c r="N14">
        <f t="shared" si="0"/>
        <v>0</v>
      </c>
      <c r="O14">
        <f t="shared" si="1"/>
        <v>0</v>
      </c>
      <c r="P14">
        <f t="shared" si="2"/>
        <v>0</v>
      </c>
      <c r="Q14">
        <f t="shared" si="3"/>
        <v>0</v>
      </c>
      <c r="R14">
        <f t="shared" si="4"/>
        <v>0</v>
      </c>
      <c r="S14" s="107"/>
      <c r="X14">
        <v>2019</v>
      </c>
      <c r="Y14">
        <v>55.08</v>
      </c>
      <c r="Z14">
        <v>0</v>
      </c>
      <c r="AA14">
        <v>0</v>
      </c>
      <c r="AB14">
        <v>55.08</v>
      </c>
      <c r="AC14">
        <v>0</v>
      </c>
      <c r="AD14" s="107"/>
    </row>
    <row r="15" spans="1:30" x14ac:dyDescent="0.25">
      <c r="A15" s="107"/>
      <c r="B15" s="107"/>
      <c r="C15" s="107"/>
      <c r="D15" s="107"/>
      <c r="E15" s="107"/>
      <c r="F15" s="107"/>
      <c r="G15">
        <v>2020</v>
      </c>
      <c r="H15">
        <f t="shared" si="10"/>
        <v>3000</v>
      </c>
      <c r="I15">
        <v>0</v>
      </c>
      <c r="J15">
        <v>0</v>
      </c>
      <c r="K15">
        <v>3000</v>
      </c>
      <c r="L15">
        <v>0</v>
      </c>
      <c r="M15">
        <v>2020</v>
      </c>
      <c r="N15">
        <f t="shared" si="0"/>
        <v>0</v>
      </c>
      <c r="O15">
        <f t="shared" si="1"/>
        <v>0</v>
      </c>
      <c r="P15">
        <f t="shared" si="2"/>
        <v>0</v>
      </c>
      <c r="Q15">
        <f t="shared" si="3"/>
        <v>0</v>
      </c>
      <c r="R15">
        <f t="shared" si="4"/>
        <v>0</v>
      </c>
      <c r="S15" s="107"/>
      <c r="X15">
        <v>2020</v>
      </c>
      <c r="Y15">
        <v>3000</v>
      </c>
      <c r="Z15">
        <v>0</v>
      </c>
      <c r="AA15">
        <v>0</v>
      </c>
      <c r="AB15">
        <v>3000</v>
      </c>
      <c r="AC15">
        <v>0</v>
      </c>
      <c r="AD15" s="107"/>
    </row>
    <row r="16" spans="1:30" x14ac:dyDescent="0.25">
      <c r="A16" s="107"/>
      <c r="B16" s="107"/>
      <c r="C16" s="107"/>
      <c r="D16" s="107"/>
      <c r="E16" s="107"/>
      <c r="F16" s="107"/>
      <c r="G16">
        <v>2021</v>
      </c>
      <c r="H16">
        <f>'[5]План реализации _ 10'!E379</f>
        <v>94465.110319999992</v>
      </c>
      <c r="I16">
        <f>'[5]План реализации _ 10'!F379</f>
        <v>5458.1035300000003</v>
      </c>
      <c r="J16">
        <f>'[5]План реализации _ 10'!G379</f>
        <v>88723.845570000005</v>
      </c>
      <c r="K16">
        <f>'[5]План реализации _ 10'!H379</f>
        <v>283.16122000000001</v>
      </c>
      <c r="L16">
        <f>'[5]План реализации _ 10'!I379</f>
        <v>0</v>
      </c>
      <c r="M16">
        <v>2021</v>
      </c>
      <c r="N16">
        <f t="shared" si="0"/>
        <v>4.0376800000085495</v>
      </c>
      <c r="O16">
        <f t="shared" si="1"/>
        <v>-5.3000000025349436E-4</v>
      </c>
      <c r="P16">
        <f t="shared" si="2"/>
        <v>-5.7000000379048288E-4</v>
      </c>
      <c r="Q16">
        <f t="shared" si="3"/>
        <v>4.0387799999999743</v>
      </c>
      <c r="R16">
        <f t="shared" si="4"/>
        <v>0</v>
      </c>
      <c r="S16" s="107"/>
      <c r="X16">
        <v>2021</v>
      </c>
      <c r="Y16">
        <v>94469.148000000001</v>
      </c>
      <c r="Z16">
        <v>5458.1030000000001</v>
      </c>
      <c r="AA16">
        <v>88723.845000000001</v>
      </c>
      <c r="AB16">
        <v>287.2</v>
      </c>
      <c r="AC16">
        <v>0</v>
      </c>
      <c r="AD16" s="107"/>
    </row>
    <row r="17" spans="1:30" x14ac:dyDescent="0.25">
      <c r="A17" s="107"/>
      <c r="B17" s="107"/>
      <c r="C17" s="107"/>
      <c r="D17" s="107"/>
      <c r="E17" s="107"/>
      <c r="F17" s="107"/>
      <c r="G17">
        <v>2022</v>
      </c>
      <c r="H17">
        <f>'[5]План реализации _ 10'!E380</f>
        <v>191987.67543</v>
      </c>
      <c r="I17">
        <f>'[5]План реализации _ 10'!F380</f>
        <v>151477.97514</v>
      </c>
      <c r="J17">
        <f>'[5]План реализации _ 10'!G380</f>
        <v>32529.403040000001</v>
      </c>
      <c r="K17">
        <f>'[5]План реализации _ 10'!H380</f>
        <v>7980.2972499999996</v>
      </c>
      <c r="L17">
        <f>'[5]План реализации _ 10'!I380</f>
        <v>0</v>
      </c>
      <c r="M17">
        <v>2022</v>
      </c>
      <c r="N17">
        <f t="shared" si="0"/>
        <v>99992.227619999961</v>
      </c>
      <c r="O17">
        <f t="shared" si="1"/>
        <v>98999.999860000011</v>
      </c>
      <c r="P17">
        <f t="shared" si="2"/>
        <v>0</v>
      </c>
      <c r="Q17">
        <f t="shared" si="3"/>
        <v>992.22775999999976</v>
      </c>
      <c r="R17">
        <f t="shared" si="4"/>
        <v>0</v>
      </c>
      <c r="S17" s="107"/>
      <c r="X17">
        <v>2022</v>
      </c>
      <c r="Y17">
        <v>291979.90304999996</v>
      </c>
      <c r="Z17">
        <v>250477.97500000001</v>
      </c>
      <c r="AA17">
        <v>32529.403040000001</v>
      </c>
      <c r="AB17">
        <v>8972.5250099999994</v>
      </c>
      <c r="AC17">
        <v>0</v>
      </c>
      <c r="AD17" s="107"/>
    </row>
    <row r="18" spans="1:30" ht="29.25" customHeight="1" x14ac:dyDescent="0.25">
      <c r="A18" s="107">
        <v>2</v>
      </c>
      <c r="B18" s="107" t="s">
        <v>742</v>
      </c>
      <c r="C18" s="107" t="s">
        <v>743</v>
      </c>
      <c r="D18" s="107" t="s">
        <v>744</v>
      </c>
      <c r="E18" s="107" t="s">
        <v>745</v>
      </c>
      <c r="F18" s="107" t="s">
        <v>965</v>
      </c>
      <c r="G18" t="s">
        <v>8</v>
      </c>
      <c r="H18">
        <f t="shared" ref="H18:H19" si="11">SUM(I18:L18)</f>
        <v>408976.78243000002</v>
      </c>
      <c r="I18">
        <f>SUM(I19:I22)</f>
        <v>142750.96879000001</v>
      </c>
      <c r="J18">
        <f>SUM(J19:J22)</f>
        <v>253746.75138999999</v>
      </c>
      <c r="K18">
        <f>SUM(K19:K22)</f>
        <v>12479.062249999999</v>
      </c>
      <c r="L18">
        <f>SUM(L19:L22)</f>
        <v>0</v>
      </c>
      <c r="M18" t="s">
        <v>8</v>
      </c>
      <c r="N18">
        <f t="shared" si="0"/>
        <v>104700.90152999997</v>
      </c>
      <c r="O18">
        <f t="shared" si="1"/>
        <v>99458.444209999987</v>
      </c>
      <c r="P18">
        <f t="shared" si="2"/>
        <v>-4.3000001460313797E-4</v>
      </c>
      <c r="Q18">
        <f t="shared" si="3"/>
        <v>5242.4577500000014</v>
      </c>
      <c r="R18">
        <f t="shared" si="4"/>
        <v>0</v>
      </c>
      <c r="S18" s="107"/>
      <c r="X18" t="s">
        <v>8</v>
      </c>
      <c r="Y18">
        <v>513677.68395999999</v>
      </c>
      <c r="Z18">
        <v>242209.413</v>
      </c>
      <c r="AA18">
        <v>253746.75095999998</v>
      </c>
      <c r="AB18">
        <v>17721.52</v>
      </c>
      <c r="AC18">
        <v>0</v>
      </c>
      <c r="AD18" s="107"/>
    </row>
    <row r="19" spans="1:30" ht="29.25" customHeight="1" x14ac:dyDescent="0.25">
      <c r="A19" s="107"/>
      <c r="B19" s="107"/>
      <c r="C19" s="107"/>
      <c r="D19" s="107"/>
      <c r="E19" s="107"/>
      <c r="F19" s="107"/>
      <c r="G19">
        <v>2019</v>
      </c>
      <c r="H19">
        <f t="shared" si="11"/>
        <v>4960</v>
      </c>
      <c r="I19">
        <v>0</v>
      </c>
      <c r="J19">
        <v>0</v>
      </c>
      <c r="K19">
        <v>4960</v>
      </c>
      <c r="L19">
        <v>0</v>
      </c>
      <c r="M19">
        <v>2019</v>
      </c>
      <c r="N19">
        <f t="shared" si="0"/>
        <v>0</v>
      </c>
      <c r="O19">
        <f t="shared" si="1"/>
        <v>0</v>
      </c>
      <c r="P19">
        <f t="shared" si="2"/>
        <v>0</v>
      </c>
      <c r="Q19">
        <f t="shared" si="3"/>
        <v>0</v>
      </c>
      <c r="R19">
        <f t="shared" si="4"/>
        <v>0</v>
      </c>
      <c r="S19" s="107"/>
      <c r="X19">
        <v>2019</v>
      </c>
      <c r="Y19">
        <v>4960</v>
      </c>
      <c r="Z19">
        <v>0</v>
      </c>
      <c r="AA19">
        <v>0</v>
      </c>
      <c r="AB19">
        <v>4960</v>
      </c>
      <c r="AC19">
        <v>0</v>
      </c>
      <c r="AD19" s="107"/>
    </row>
    <row r="20" spans="1:30" ht="29.25" customHeight="1" x14ac:dyDescent="0.25">
      <c r="A20" s="107"/>
      <c r="B20" s="107"/>
      <c r="C20" s="107"/>
      <c r="D20" s="107"/>
      <c r="E20" s="107"/>
      <c r="F20" s="107"/>
      <c r="G20">
        <v>2020</v>
      </c>
      <c r="H20">
        <f t="shared" si="10"/>
        <v>0</v>
      </c>
      <c r="I20">
        <v>0</v>
      </c>
      <c r="J20">
        <v>0</v>
      </c>
      <c r="K20">
        <v>0</v>
      </c>
      <c r="L20">
        <v>0</v>
      </c>
      <c r="M20">
        <v>2020</v>
      </c>
      <c r="N20">
        <f t="shared" si="0"/>
        <v>0</v>
      </c>
      <c r="O20">
        <f t="shared" si="1"/>
        <v>0</v>
      </c>
      <c r="P20">
        <f t="shared" si="2"/>
        <v>0</v>
      </c>
      <c r="Q20">
        <f t="shared" si="3"/>
        <v>0</v>
      </c>
      <c r="R20">
        <f t="shared" si="4"/>
        <v>0</v>
      </c>
      <c r="S20" s="107"/>
      <c r="X20">
        <v>2020</v>
      </c>
      <c r="Y20">
        <v>0</v>
      </c>
      <c r="Z20">
        <v>0</v>
      </c>
      <c r="AA20">
        <v>0</v>
      </c>
      <c r="AB20">
        <v>0</v>
      </c>
      <c r="AC20">
        <v>0</v>
      </c>
      <c r="AD20" s="107"/>
    </row>
    <row r="21" spans="1:30" ht="29.25" customHeight="1" x14ac:dyDescent="0.25">
      <c r="A21" s="107"/>
      <c r="B21" s="107"/>
      <c r="C21" s="107"/>
      <c r="D21" s="107"/>
      <c r="E21" s="107"/>
      <c r="F21" s="107"/>
      <c r="G21">
        <v>2021</v>
      </c>
      <c r="H21">
        <f>'[5]План реализации _ 10'!E385</f>
        <v>179685.52267000001</v>
      </c>
      <c r="I21">
        <f>'[5]План реализации _ 10'!F385</f>
        <v>10382.057000000001</v>
      </c>
      <c r="J21">
        <f>'[5]План реализации _ 10'!G385</f>
        <v>168764.85443000001</v>
      </c>
      <c r="K21">
        <f>'[5]План реализации _ 10'!H385</f>
        <v>538.61123999999995</v>
      </c>
      <c r="L21">
        <f>'[5]План реализации _ 10'!I385</f>
        <v>0</v>
      </c>
      <c r="M21">
        <v>2021</v>
      </c>
      <c r="N21">
        <f t="shared" si="0"/>
        <v>7.8083299999998417</v>
      </c>
      <c r="O21">
        <f t="shared" si="1"/>
        <v>0</v>
      </c>
      <c r="P21">
        <f t="shared" si="2"/>
        <v>-4.3000001460313797E-4</v>
      </c>
      <c r="Q21">
        <f t="shared" si="3"/>
        <v>7.8087600000000066</v>
      </c>
      <c r="R21">
        <f t="shared" si="4"/>
        <v>0</v>
      </c>
      <c r="S21" s="107"/>
      <c r="X21">
        <v>2021</v>
      </c>
      <c r="Y21">
        <v>179693.33100000001</v>
      </c>
      <c r="Z21">
        <v>10382.057000000001</v>
      </c>
      <c r="AA21">
        <v>168764.85399999999</v>
      </c>
      <c r="AB21">
        <v>546.41999999999996</v>
      </c>
      <c r="AC21">
        <v>0</v>
      </c>
      <c r="AD21" s="107"/>
    </row>
    <row r="22" spans="1:30" ht="29.25" customHeight="1" x14ac:dyDescent="0.25">
      <c r="A22" s="107"/>
      <c r="B22" s="107"/>
      <c r="C22" s="107"/>
      <c r="D22" s="107"/>
      <c r="E22" s="107"/>
      <c r="F22" s="107"/>
      <c r="G22">
        <v>2022</v>
      </c>
      <c r="H22">
        <f>'[5]План реализации _ 10'!E386</f>
        <v>224331.25976000002</v>
      </c>
      <c r="I22">
        <f>'[5]План реализации _ 10'!F386</f>
        <v>132368.91179000001</v>
      </c>
      <c r="J22">
        <f>'[5]План реализации _ 10'!G386</f>
        <v>84981.896959999998</v>
      </c>
      <c r="K22">
        <f>'[5]План реализации _ 10'!H386</f>
        <v>6980.4510099999998</v>
      </c>
      <c r="L22">
        <f>'[5]План реализации _ 10'!I386</f>
        <v>0</v>
      </c>
      <c r="M22">
        <v>2022</v>
      </c>
      <c r="N22">
        <f t="shared" si="0"/>
        <v>104693.09319999997</v>
      </c>
      <c r="O22">
        <f t="shared" si="1"/>
        <v>99458.444209999987</v>
      </c>
      <c r="P22">
        <f t="shared" si="2"/>
        <v>0</v>
      </c>
      <c r="Q22">
        <f t="shared" si="3"/>
        <v>5234.6489900000006</v>
      </c>
      <c r="R22">
        <f t="shared" si="4"/>
        <v>0</v>
      </c>
      <c r="S22" s="107"/>
      <c r="X22">
        <v>2022</v>
      </c>
      <c r="Y22">
        <v>329024.35295999999</v>
      </c>
      <c r="Z22">
        <v>231827.356</v>
      </c>
      <c r="AA22">
        <v>84981.896959999998</v>
      </c>
      <c r="AB22">
        <v>12215.1</v>
      </c>
      <c r="AC22">
        <v>0</v>
      </c>
      <c r="AD22" s="107"/>
    </row>
    <row r="23" spans="1:30" ht="15" customHeight="1" x14ac:dyDescent="0.25">
      <c r="A23" s="107">
        <v>3</v>
      </c>
      <c r="B23" s="107" t="s">
        <v>129</v>
      </c>
      <c r="C23" s="107" t="s">
        <v>748</v>
      </c>
      <c r="D23" s="107" t="s">
        <v>749</v>
      </c>
      <c r="E23" s="107" t="s">
        <v>750</v>
      </c>
      <c r="F23" s="107">
        <v>135522.9</v>
      </c>
      <c r="G23" t="s">
        <v>8</v>
      </c>
      <c r="H23">
        <f>SUM(I23:L23)</f>
        <v>135522.89473684211</v>
      </c>
      <c r="I23">
        <f>SUM(I24:I28)</f>
        <v>7725.3</v>
      </c>
      <c r="J23">
        <f>SUM(J24:J28)</f>
        <v>127391</v>
      </c>
      <c r="K23">
        <f>SUM(K24:K28)</f>
        <v>406.59473684210525</v>
      </c>
      <c r="L23">
        <f>SUM(L24:L28)</f>
        <v>0</v>
      </c>
      <c r="M23" t="s">
        <v>8</v>
      </c>
      <c r="N23">
        <f t="shared" si="0"/>
        <v>0</v>
      </c>
      <c r="O23">
        <f t="shared" si="1"/>
        <v>0</v>
      </c>
      <c r="P23">
        <f t="shared" si="2"/>
        <v>0</v>
      </c>
      <c r="Q23">
        <f t="shared" si="3"/>
        <v>0</v>
      </c>
      <c r="R23">
        <f t="shared" si="4"/>
        <v>0</v>
      </c>
      <c r="S23" s="107" t="s">
        <v>747</v>
      </c>
      <c r="X23" t="s">
        <v>8</v>
      </c>
      <c r="Y23">
        <v>135522.89473684211</v>
      </c>
      <c r="Z23">
        <v>7725.3</v>
      </c>
      <c r="AA23">
        <v>127391</v>
      </c>
      <c r="AB23">
        <v>406.59473684210525</v>
      </c>
      <c r="AC23">
        <v>0</v>
      </c>
      <c r="AD23" s="107"/>
    </row>
    <row r="24" spans="1:30" x14ac:dyDescent="0.25">
      <c r="A24" s="107"/>
      <c r="B24" s="107"/>
      <c r="C24" s="107"/>
      <c r="D24" s="107"/>
      <c r="E24" s="107"/>
      <c r="F24" s="107"/>
      <c r="G24">
        <v>2021</v>
      </c>
      <c r="H24">
        <f t="shared" si="10"/>
        <v>0</v>
      </c>
      <c r="I24">
        <v>0</v>
      </c>
      <c r="J24">
        <v>0</v>
      </c>
      <c r="K24">
        <v>0</v>
      </c>
      <c r="L24">
        <v>0</v>
      </c>
      <c r="M24">
        <v>2021</v>
      </c>
      <c r="N24">
        <f t="shared" si="0"/>
        <v>0</v>
      </c>
      <c r="O24">
        <f t="shared" si="1"/>
        <v>0</v>
      </c>
      <c r="P24">
        <f t="shared" si="2"/>
        <v>0</v>
      </c>
      <c r="Q24">
        <f t="shared" si="3"/>
        <v>0</v>
      </c>
      <c r="R24">
        <f t="shared" si="4"/>
        <v>0</v>
      </c>
      <c r="S24" s="107"/>
      <c r="X24">
        <v>2021</v>
      </c>
      <c r="Y24">
        <v>0</v>
      </c>
      <c r="Z24">
        <v>0</v>
      </c>
      <c r="AA24">
        <v>0</v>
      </c>
      <c r="AB24">
        <v>0</v>
      </c>
      <c r="AC24">
        <v>0</v>
      </c>
      <c r="AD24" s="107"/>
    </row>
    <row r="25" spans="1:30" x14ac:dyDescent="0.25">
      <c r="A25" s="107"/>
      <c r="B25" s="107"/>
      <c r="C25" s="107"/>
      <c r="D25" s="107"/>
      <c r="E25" s="107"/>
      <c r="F25" s="107"/>
      <c r="G25">
        <v>2022</v>
      </c>
      <c r="H25">
        <f t="shared" si="10"/>
        <v>0</v>
      </c>
      <c r="I25">
        <v>0</v>
      </c>
      <c r="J25">
        <v>0</v>
      </c>
      <c r="K25">
        <v>0</v>
      </c>
      <c r="L25">
        <v>0</v>
      </c>
      <c r="M25">
        <v>2022</v>
      </c>
      <c r="N25">
        <f t="shared" si="0"/>
        <v>0</v>
      </c>
      <c r="O25">
        <f t="shared" si="1"/>
        <v>0</v>
      </c>
      <c r="P25">
        <f t="shared" si="2"/>
        <v>0</v>
      </c>
      <c r="Q25">
        <f t="shared" si="3"/>
        <v>0</v>
      </c>
      <c r="R25">
        <f t="shared" si="4"/>
        <v>0</v>
      </c>
      <c r="S25" s="107"/>
      <c r="X25">
        <v>2022</v>
      </c>
      <c r="Y25">
        <v>0</v>
      </c>
      <c r="Z25">
        <v>0</v>
      </c>
      <c r="AA25">
        <v>0</v>
      </c>
      <c r="AB25">
        <v>0</v>
      </c>
      <c r="AC25">
        <v>0</v>
      </c>
      <c r="AD25" s="107"/>
    </row>
    <row r="26" spans="1:30" x14ac:dyDescent="0.25">
      <c r="A26" s="107"/>
      <c r="B26" s="107"/>
      <c r="C26" s="107"/>
      <c r="D26" s="107"/>
      <c r="E26" s="107"/>
      <c r="F26" s="107"/>
      <c r="G26">
        <v>2023</v>
      </c>
      <c r="H26">
        <f t="shared" si="10"/>
        <v>135522.89473684211</v>
      </c>
      <c r="I26">
        <f>'[5]План реализации _ 10'!F393</f>
        <v>7725.3</v>
      </c>
      <c r="J26">
        <v>127391</v>
      </c>
      <c r="K26">
        <f>'[5]План реализации _ 10'!H393</f>
        <v>406.59473684210525</v>
      </c>
      <c r="L26">
        <v>0</v>
      </c>
      <c r="M26">
        <v>2023</v>
      </c>
      <c r="N26">
        <f t="shared" si="0"/>
        <v>0</v>
      </c>
      <c r="O26">
        <f t="shared" si="1"/>
        <v>0</v>
      </c>
      <c r="P26">
        <f t="shared" si="2"/>
        <v>0</v>
      </c>
      <c r="Q26">
        <f t="shared" si="3"/>
        <v>0</v>
      </c>
      <c r="R26">
        <f t="shared" si="4"/>
        <v>0</v>
      </c>
      <c r="S26" s="107"/>
      <c r="X26">
        <v>2023</v>
      </c>
      <c r="Y26">
        <v>135522.89473684211</v>
      </c>
      <c r="Z26">
        <v>7725.3</v>
      </c>
      <c r="AA26">
        <v>127391</v>
      </c>
      <c r="AB26">
        <v>406.59473684210525</v>
      </c>
      <c r="AC26">
        <v>0</v>
      </c>
      <c r="AD26" s="107"/>
    </row>
    <row r="27" spans="1:30" x14ac:dyDescent="0.25">
      <c r="A27" s="107"/>
      <c r="B27" s="107"/>
      <c r="C27" s="107"/>
      <c r="D27" s="107"/>
      <c r="E27" s="107"/>
      <c r="F27" s="107"/>
      <c r="G27">
        <v>2024</v>
      </c>
      <c r="H27">
        <f t="shared" si="10"/>
        <v>0</v>
      </c>
      <c r="I27">
        <v>0</v>
      </c>
      <c r="J27">
        <v>0</v>
      </c>
      <c r="K27">
        <v>0</v>
      </c>
      <c r="L27">
        <v>0</v>
      </c>
      <c r="M27">
        <v>2024</v>
      </c>
      <c r="N27">
        <f t="shared" si="0"/>
        <v>0</v>
      </c>
      <c r="O27">
        <f t="shared" si="1"/>
        <v>0</v>
      </c>
      <c r="P27">
        <f t="shared" si="2"/>
        <v>0</v>
      </c>
      <c r="Q27">
        <f t="shared" si="3"/>
        <v>0</v>
      </c>
      <c r="R27">
        <f t="shared" si="4"/>
        <v>0</v>
      </c>
      <c r="S27" s="107"/>
      <c r="X27">
        <v>2024</v>
      </c>
      <c r="Y27">
        <v>0</v>
      </c>
      <c r="Z27">
        <v>0</v>
      </c>
      <c r="AA27">
        <v>0</v>
      </c>
      <c r="AB27">
        <v>0</v>
      </c>
      <c r="AC27">
        <v>0</v>
      </c>
      <c r="AD27" s="107"/>
    </row>
    <row r="28" spans="1:30" ht="28.5" customHeight="1" x14ac:dyDescent="0.25">
      <c r="A28" s="107"/>
      <c r="B28" s="107"/>
      <c r="C28" s="107"/>
      <c r="D28" s="107"/>
      <c r="E28" s="107"/>
      <c r="F28" s="107"/>
      <c r="G28">
        <v>2025</v>
      </c>
      <c r="H28">
        <f t="shared" si="10"/>
        <v>0</v>
      </c>
      <c r="I28">
        <v>0</v>
      </c>
      <c r="J28">
        <v>0</v>
      </c>
      <c r="K28">
        <v>0</v>
      </c>
      <c r="L28">
        <v>0</v>
      </c>
      <c r="M28">
        <v>2025</v>
      </c>
      <c r="N28">
        <f t="shared" si="0"/>
        <v>0</v>
      </c>
      <c r="O28">
        <f t="shared" si="1"/>
        <v>0</v>
      </c>
      <c r="P28">
        <f t="shared" si="2"/>
        <v>0</v>
      </c>
      <c r="Q28">
        <f t="shared" si="3"/>
        <v>0</v>
      </c>
      <c r="R28">
        <f t="shared" si="4"/>
        <v>0</v>
      </c>
      <c r="S28" s="107"/>
      <c r="X28">
        <v>2025</v>
      </c>
      <c r="Y28">
        <v>0</v>
      </c>
      <c r="Z28">
        <v>0</v>
      </c>
      <c r="AA28">
        <v>0</v>
      </c>
      <c r="AB28">
        <v>0</v>
      </c>
      <c r="AC28">
        <v>0</v>
      </c>
      <c r="AD28" s="107"/>
    </row>
    <row r="29" spans="1:30" ht="15" customHeight="1" x14ac:dyDescent="0.25">
      <c r="A29" s="107">
        <v>4</v>
      </c>
      <c r="B29" s="107" t="s">
        <v>752</v>
      </c>
      <c r="C29" s="107" t="s">
        <v>753</v>
      </c>
      <c r="D29" s="107" t="s">
        <v>754</v>
      </c>
      <c r="E29" s="107" t="s">
        <v>966</v>
      </c>
      <c r="F29" s="107">
        <v>475374</v>
      </c>
      <c r="G29" t="s">
        <v>8</v>
      </c>
      <c r="H29">
        <f>SUM(H30:H35)</f>
        <v>471222.94999999995</v>
      </c>
      <c r="I29">
        <f>SUM(I30:I35)</f>
        <v>390172.44999999995</v>
      </c>
      <c r="J29">
        <f>'[5]План реализации _ 10'!G240</f>
        <v>0</v>
      </c>
      <c r="K29">
        <f>SUM(K30:K35)</f>
        <v>81050.5</v>
      </c>
      <c r="L29">
        <f>'[5]План реализации _ 10'!I240</f>
        <v>0</v>
      </c>
      <c r="M29" t="s">
        <v>8</v>
      </c>
      <c r="N29">
        <f t="shared" si="0"/>
        <v>37951.991765700513</v>
      </c>
      <c r="O29">
        <f t="shared" si="1"/>
        <v>36952.899990000064</v>
      </c>
      <c r="P29">
        <f t="shared" si="2"/>
        <v>0</v>
      </c>
      <c r="Q29">
        <f t="shared" si="3"/>
        <v>999.09177570047905</v>
      </c>
      <c r="R29">
        <f t="shared" si="4"/>
        <v>0</v>
      </c>
      <c r="S29" s="107"/>
      <c r="X29" t="s">
        <v>8</v>
      </c>
      <c r="Y29">
        <f>SUM(Y31:Y35)</f>
        <v>509174.94176570047</v>
      </c>
      <c r="Z29">
        <f>SUM(Z31:Z35)</f>
        <v>427125.34999000002</v>
      </c>
      <c r="AA29">
        <f>SUM(AA31:AA35)</f>
        <v>0</v>
      </c>
      <c r="AB29">
        <f>SUM(AB31:AB35)</f>
        <v>82049.591775700479</v>
      </c>
      <c r="AC29">
        <f>SUM(AC31:AC35)</f>
        <v>0</v>
      </c>
      <c r="AD29" s="107"/>
    </row>
    <row r="30" spans="1:30" x14ac:dyDescent="0.25">
      <c r="A30" s="107"/>
      <c r="B30" s="107"/>
      <c r="C30" s="107"/>
      <c r="D30" s="107"/>
      <c r="E30" s="107"/>
      <c r="F30" s="107"/>
      <c r="G30">
        <v>2020</v>
      </c>
      <c r="H30">
        <f t="shared" ref="H30:H35" si="12">SUM(I30:L30)</f>
        <v>0</v>
      </c>
      <c r="I30">
        <v>0</v>
      </c>
      <c r="J30">
        <v>0</v>
      </c>
      <c r="K30">
        <v>0</v>
      </c>
      <c r="L30">
        <v>0</v>
      </c>
      <c r="M30">
        <v>2020</v>
      </c>
      <c r="N30">
        <f t="shared" ref="N30:N93" si="13">Y30-H30</f>
        <v>0</v>
      </c>
      <c r="O30">
        <f t="shared" ref="O30:O93" si="14">Z30-I30</f>
        <v>0</v>
      </c>
      <c r="P30">
        <f t="shared" ref="P30:P93" si="15">AA30-J30</f>
        <v>0</v>
      </c>
      <c r="Q30">
        <f t="shared" ref="Q30:Q93" si="16">AB30-K30</f>
        <v>0</v>
      </c>
      <c r="R30">
        <f t="shared" ref="R30:R93" si="17">AC31-L30</f>
        <v>0</v>
      </c>
      <c r="S30" s="107"/>
      <c r="X30">
        <v>2020</v>
      </c>
      <c r="Y30">
        <v>0</v>
      </c>
      <c r="Z30">
        <v>0</v>
      </c>
      <c r="AA30">
        <v>0</v>
      </c>
      <c r="AB30">
        <v>0</v>
      </c>
      <c r="AC30">
        <v>0</v>
      </c>
      <c r="AD30" s="107"/>
    </row>
    <row r="31" spans="1:30" x14ac:dyDescent="0.25">
      <c r="A31" s="107"/>
      <c r="B31" s="107"/>
      <c r="C31" s="107"/>
      <c r="D31" s="107"/>
      <c r="E31" s="107"/>
      <c r="F31" s="107"/>
      <c r="G31">
        <v>2021</v>
      </c>
      <c r="H31">
        <f t="shared" si="12"/>
        <v>6584.3</v>
      </c>
      <c r="I31">
        <v>5451.8</v>
      </c>
      <c r="J31">
        <v>0</v>
      </c>
      <c r="K31">
        <v>1132.5</v>
      </c>
      <c r="L31">
        <v>0</v>
      </c>
      <c r="M31">
        <v>2021</v>
      </c>
      <c r="N31">
        <f t="shared" si="13"/>
        <v>-2.2234299516640021E-2</v>
      </c>
      <c r="O31">
        <f t="shared" si="14"/>
        <v>-1.8009999999776483E-2</v>
      </c>
      <c r="P31">
        <f t="shared" si="15"/>
        <v>0</v>
      </c>
      <c r="Q31">
        <f t="shared" si="16"/>
        <v>-4.2242995166361652E-3</v>
      </c>
      <c r="R31">
        <f t="shared" si="17"/>
        <v>0</v>
      </c>
      <c r="S31" s="107"/>
      <c r="X31">
        <v>2021</v>
      </c>
      <c r="Y31">
        <f t="shared" ref="Y31:Y35" si="18">SUM(Z31:AC31)</f>
        <v>6584.2777657004835</v>
      </c>
      <c r="Z31">
        <v>5451.7819900000004</v>
      </c>
      <c r="AA31">
        <v>0</v>
      </c>
      <c r="AB31">
        <f>Z31/82.8*17.2</f>
        <v>1132.4957757004834</v>
      </c>
      <c r="AC31">
        <v>0</v>
      </c>
      <c r="AD31" s="107"/>
    </row>
    <row r="32" spans="1:30" x14ac:dyDescent="0.25">
      <c r="A32" s="107"/>
      <c r="B32" s="107"/>
      <c r="C32" s="107"/>
      <c r="D32" s="107"/>
      <c r="E32" s="107"/>
      <c r="F32" s="107"/>
      <c r="G32">
        <v>2022</v>
      </c>
      <c r="H32">
        <f t="shared" si="12"/>
        <v>226985.16999999998</v>
      </c>
      <c r="I32">
        <v>187943.65</v>
      </c>
      <c r="J32">
        <v>0</v>
      </c>
      <c r="K32">
        <v>39041.519999999997</v>
      </c>
      <c r="L32">
        <v>0</v>
      </c>
      <c r="M32">
        <v>2022</v>
      </c>
      <c r="N32">
        <f t="shared" si="13"/>
        <v>-32371.166999999987</v>
      </c>
      <c r="O32">
        <f t="shared" si="14"/>
        <v>-24662.500999999989</v>
      </c>
      <c r="P32">
        <f t="shared" si="15"/>
        <v>0</v>
      </c>
      <c r="Q32">
        <f t="shared" si="16"/>
        <v>-7708.6659999999974</v>
      </c>
      <c r="R32">
        <f t="shared" si="17"/>
        <v>0</v>
      </c>
      <c r="S32" s="107"/>
      <c r="X32">
        <v>2022</v>
      </c>
      <c r="Y32">
        <f t="shared" si="18"/>
        <v>194614.003</v>
      </c>
      <c r="Z32">
        <v>163281.149</v>
      </c>
      <c r="AA32">
        <v>0</v>
      </c>
      <c r="AB32">
        <v>31332.853999999999</v>
      </c>
      <c r="AC32">
        <v>0</v>
      </c>
      <c r="AD32" s="107"/>
    </row>
    <row r="33" spans="1:30" x14ac:dyDescent="0.25">
      <c r="A33" s="107"/>
      <c r="B33" s="107"/>
      <c r="C33" s="107"/>
      <c r="D33" s="107"/>
      <c r="E33" s="107"/>
      <c r="F33" s="107"/>
      <c r="G33">
        <v>2023</v>
      </c>
      <c r="H33">
        <f t="shared" si="12"/>
        <v>237653.48</v>
      </c>
      <c r="I33">
        <v>196777</v>
      </c>
      <c r="J33">
        <f>'[5]План реализации _ 10'!G243</f>
        <v>0</v>
      </c>
      <c r="K33">
        <v>40876.480000000003</v>
      </c>
      <c r="L33">
        <f>'[5]План реализации _ 10'!I243</f>
        <v>0</v>
      </c>
      <c r="M33">
        <v>2023</v>
      </c>
      <c r="N33">
        <f t="shared" si="13"/>
        <v>70323.180999999953</v>
      </c>
      <c r="O33">
        <f t="shared" si="14"/>
        <v>61615.418999999994</v>
      </c>
      <c r="P33">
        <f t="shared" si="15"/>
        <v>0</v>
      </c>
      <c r="Q33">
        <f t="shared" si="16"/>
        <v>8707.7619999999952</v>
      </c>
      <c r="R33">
        <f t="shared" si="17"/>
        <v>0</v>
      </c>
      <c r="S33" s="107"/>
      <c r="X33">
        <v>2023</v>
      </c>
      <c r="Y33">
        <f t="shared" si="18"/>
        <v>307976.66099999996</v>
      </c>
      <c r="Z33">
        <v>258392.41899999999</v>
      </c>
      <c r="AA33">
        <v>0</v>
      </c>
      <c r="AB33">
        <v>49584.241999999998</v>
      </c>
      <c r="AC33">
        <v>0</v>
      </c>
      <c r="AD33" s="107"/>
    </row>
    <row r="34" spans="1:30" x14ac:dyDescent="0.25">
      <c r="A34" s="107"/>
      <c r="B34" s="107"/>
      <c r="C34" s="107"/>
      <c r="D34" s="107"/>
      <c r="E34" s="107"/>
      <c r="F34" s="107"/>
      <c r="G34">
        <v>2024</v>
      </c>
      <c r="H34">
        <f t="shared" si="12"/>
        <v>0</v>
      </c>
      <c r="I34">
        <f>'[5]План реализации _ 10'!F244</f>
        <v>0</v>
      </c>
      <c r="J34">
        <f>'[5]План реализации _ 10'!G244</f>
        <v>0</v>
      </c>
      <c r="K34">
        <f>'[5]План реализации _ 10'!H244</f>
        <v>0</v>
      </c>
      <c r="L34">
        <f>'[5]План реализации _ 10'!I244</f>
        <v>0</v>
      </c>
      <c r="M34">
        <v>2024</v>
      </c>
      <c r="N34">
        <f t="shared" si="13"/>
        <v>0</v>
      </c>
      <c r="O34">
        <f t="shared" si="14"/>
        <v>0</v>
      </c>
      <c r="P34">
        <f t="shared" si="15"/>
        <v>0</v>
      </c>
      <c r="Q34">
        <f t="shared" si="16"/>
        <v>0</v>
      </c>
      <c r="R34">
        <f t="shared" si="17"/>
        <v>0</v>
      </c>
      <c r="S34" s="107"/>
      <c r="X34">
        <v>2024</v>
      </c>
      <c r="Y34">
        <f t="shared" si="18"/>
        <v>0</v>
      </c>
      <c r="Z34">
        <v>0</v>
      </c>
      <c r="AA34">
        <v>0</v>
      </c>
      <c r="AB34">
        <v>0</v>
      </c>
      <c r="AC34">
        <v>0</v>
      </c>
      <c r="AD34" s="107"/>
    </row>
    <row r="35" spans="1:30" x14ac:dyDescent="0.25">
      <c r="A35" s="107"/>
      <c r="B35" s="107"/>
      <c r="C35" s="107"/>
      <c r="D35" s="107"/>
      <c r="E35" s="107"/>
      <c r="F35" s="107"/>
      <c r="G35">
        <v>2025</v>
      </c>
      <c r="H35">
        <f t="shared" si="12"/>
        <v>0</v>
      </c>
      <c r="I35">
        <f>'[5]План реализации _ 10'!F245</f>
        <v>0</v>
      </c>
      <c r="J35">
        <f>'[5]План реализации _ 10'!G245</f>
        <v>0</v>
      </c>
      <c r="K35">
        <f>'[5]План реализации _ 10'!H245</f>
        <v>0</v>
      </c>
      <c r="L35">
        <f>'[5]План реализации _ 10'!I245</f>
        <v>0</v>
      </c>
      <c r="M35">
        <v>2025</v>
      </c>
      <c r="N35">
        <f t="shared" si="13"/>
        <v>0</v>
      </c>
      <c r="O35">
        <f t="shared" si="14"/>
        <v>0</v>
      </c>
      <c r="P35">
        <f t="shared" si="15"/>
        <v>0</v>
      </c>
      <c r="Q35">
        <f t="shared" si="16"/>
        <v>0</v>
      </c>
      <c r="R35">
        <f t="shared" si="17"/>
        <v>0</v>
      </c>
      <c r="S35" s="107"/>
      <c r="X35">
        <v>2025</v>
      </c>
      <c r="Y35">
        <f t="shared" si="18"/>
        <v>0</v>
      </c>
      <c r="Z35">
        <v>0</v>
      </c>
      <c r="AA35">
        <v>0</v>
      </c>
      <c r="AB35">
        <v>0</v>
      </c>
      <c r="AC35">
        <v>0</v>
      </c>
      <c r="AD35" s="107"/>
    </row>
    <row r="36" spans="1:30" ht="15" customHeight="1" x14ac:dyDescent="0.25">
      <c r="A36" s="107">
        <v>5</v>
      </c>
      <c r="B36" s="107" t="s">
        <v>442</v>
      </c>
      <c r="C36" s="107" t="s">
        <v>757</v>
      </c>
      <c r="D36" s="107" t="s">
        <v>758</v>
      </c>
      <c r="E36" s="107" t="s">
        <v>759</v>
      </c>
      <c r="F36" s="107" t="e">
        <f>H36</f>
        <v>#NAME?</v>
      </c>
      <c r="G36" t="s">
        <v>8</v>
      </c>
      <c r="H36" t="e">
        <f>SUM(H37:H41)</f>
        <v>#NAME?</v>
      </c>
      <c r="I36">
        <f>SUM(I37:I41)</f>
        <v>31280.92</v>
      </c>
      <c r="J36">
        <f>'[5]План реализации _ 10'!G247</f>
        <v>0</v>
      </c>
      <c r="K36">
        <f>SUM(K37:K41)</f>
        <v>9716.3539187418082</v>
      </c>
      <c r="L36">
        <f>'[5]План реализации _ 10'!I247</f>
        <v>0</v>
      </c>
      <c r="M36" t="s">
        <v>8</v>
      </c>
      <c r="N36" t="e">
        <f t="shared" si="13"/>
        <v>#NAME?</v>
      </c>
      <c r="O36">
        <f t="shared" si="14"/>
        <v>845.05530999999974</v>
      </c>
      <c r="P36">
        <f t="shared" si="15"/>
        <v>0</v>
      </c>
      <c r="Q36">
        <f t="shared" si="16"/>
        <v>262.48769131061636</v>
      </c>
      <c r="R36">
        <f t="shared" si="17"/>
        <v>0</v>
      </c>
      <c r="S36" s="107"/>
      <c r="X36" t="s">
        <v>8</v>
      </c>
      <c r="Y36">
        <f>SUM(Y37:Y41)</f>
        <v>42104.816920052421</v>
      </c>
      <c r="Z36">
        <f>SUM(Z37:Z41)</f>
        <v>32125.975309999998</v>
      </c>
      <c r="AA36">
        <f>SUM(AA37:AA41)</f>
        <v>0</v>
      </c>
      <c r="AB36">
        <f>SUM(AB37:AB41)</f>
        <v>9978.8416100524246</v>
      </c>
      <c r="AC36">
        <f>SUM(AC37:AC41)</f>
        <v>0</v>
      </c>
      <c r="AD36" s="107"/>
    </row>
    <row r="37" spans="1:30" x14ac:dyDescent="0.25">
      <c r="A37" s="107"/>
      <c r="B37" s="107"/>
      <c r="C37" s="107"/>
      <c r="D37" s="107"/>
      <c r="E37" s="107"/>
      <c r="F37" s="107"/>
      <c r="G37">
        <v>2021</v>
      </c>
      <c r="H37" t="e">
        <f t="shared" ref="H37:H41" si="19">SUM(I37:L37)</f>
        <v>#NAME?</v>
      </c>
      <c r="I37">
        <f>'[5]План реализации _ 10'!F247</f>
        <v>31280.92</v>
      </c>
      <c r="J37" t="e">
        <f>#NAME?</f>
        <v>#NAME?</v>
      </c>
      <c r="K37">
        <f>'[5]План реализации _ 10'!H247</f>
        <v>9716.3539187418082</v>
      </c>
      <c r="L37" t="e">
        <f>#NAME?</f>
        <v>#NAME?</v>
      </c>
      <c r="M37">
        <v>2021</v>
      </c>
      <c r="N37" t="e">
        <f t="shared" si="13"/>
        <v>#NAME?</v>
      </c>
      <c r="O37">
        <f t="shared" si="14"/>
        <v>845.05530999999974</v>
      </c>
      <c r="P37" t="e">
        <f t="shared" si="15"/>
        <v>#NAME?</v>
      </c>
      <c r="Q37">
        <f t="shared" si="16"/>
        <v>262.48769131061636</v>
      </c>
      <c r="R37" t="e">
        <f t="shared" si="17"/>
        <v>#NAME?</v>
      </c>
      <c r="S37" s="107"/>
      <c r="X37">
        <v>2021</v>
      </c>
      <c r="Y37">
        <f t="shared" ref="Y37:Y100" si="20">SUM(Z37:AC37)</f>
        <v>42104.816920052421</v>
      </c>
      <c r="Z37">
        <f>32125975.31/1000</f>
        <v>32125.975309999998</v>
      </c>
      <c r="AA37">
        <v>0</v>
      </c>
      <c r="AB37">
        <f>Z37/76.3*23.7</f>
        <v>9978.8416100524246</v>
      </c>
      <c r="AC37">
        <v>0</v>
      </c>
      <c r="AD37" s="107"/>
    </row>
    <row r="38" spans="1:30" x14ac:dyDescent="0.25">
      <c r="A38" s="107"/>
      <c r="B38" s="107"/>
      <c r="C38" s="107"/>
      <c r="D38" s="107"/>
      <c r="E38" s="107"/>
      <c r="F38" s="107"/>
      <c r="G38">
        <v>2022</v>
      </c>
      <c r="H38">
        <f t="shared" si="19"/>
        <v>0</v>
      </c>
      <c r="I38">
        <f>'[5]План реализации _ 10'!F248</f>
        <v>0</v>
      </c>
      <c r="J38">
        <f>'[5]План реализации _ 10'!G248</f>
        <v>0</v>
      </c>
      <c r="K38">
        <f>'[5]План реализации _ 10'!H248</f>
        <v>0</v>
      </c>
      <c r="L38">
        <f>'[5]План реализации _ 10'!I248</f>
        <v>0</v>
      </c>
      <c r="M38">
        <v>2022</v>
      </c>
      <c r="N38">
        <f t="shared" si="13"/>
        <v>0</v>
      </c>
      <c r="O38">
        <f t="shared" si="14"/>
        <v>0</v>
      </c>
      <c r="P38">
        <f t="shared" si="15"/>
        <v>0</v>
      </c>
      <c r="Q38">
        <f t="shared" si="16"/>
        <v>0</v>
      </c>
      <c r="R38">
        <f t="shared" si="17"/>
        <v>0</v>
      </c>
      <c r="S38" s="107"/>
      <c r="X38">
        <v>2022</v>
      </c>
      <c r="Y38">
        <f t="shared" si="20"/>
        <v>0</v>
      </c>
      <c r="Z38">
        <v>0</v>
      </c>
      <c r="AA38">
        <v>0</v>
      </c>
      <c r="AB38">
        <v>0</v>
      </c>
      <c r="AC38">
        <v>0</v>
      </c>
      <c r="AD38" s="107"/>
    </row>
    <row r="39" spans="1:30" x14ac:dyDescent="0.25">
      <c r="A39" s="107"/>
      <c r="B39" s="107"/>
      <c r="C39" s="107"/>
      <c r="D39" s="107"/>
      <c r="E39" s="107"/>
      <c r="F39" s="107"/>
      <c r="G39">
        <v>2023</v>
      </c>
      <c r="H39">
        <f t="shared" si="19"/>
        <v>0</v>
      </c>
      <c r="I39">
        <f>'[5]План реализации _ 10'!F249</f>
        <v>0</v>
      </c>
      <c r="J39">
        <f>'[5]План реализации _ 10'!G249</f>
        <v>0</v>
      </c>
      <c r="K39">
        <f>'[5]План реализации _ 10'!H249</f>
        <v>0</v>
      </c>
      <c r="L39">
        <f>'[5]План реализации _ 10'!I249</f>
        <v>0</v>
      </c>
      <c r="M39">
        <v>2023</v>
      </c>
      <c r="N39">
        <f t="shared" si="13"/>
        <v>0</v>
      </c>
      <c r="O39">
        <f t="shared" si="14"/>
        <v>0</v>
      </c>
      <c r="P39">
        <f t="shared" si="15"/>
        <v>0</v>
      </c>
      <c r="Q39">
        <f t="shared" si="16"/>
        <v>0</v>
      </c>
      <c r="R39">
        <f t="shared" si="17"/>
        <v>0</v>
      </c>
      <c r="S39" s="107"/>
      <c r="X39">
        <v>2023</v>
      </c>
      <c r="Y39">
        <f t="shared" si="20"/>
        <v>0</v>
      </c>
      <c r="Z39">
        <v>0</v>
      </c>
      <c r="AA39">
        <v>0</v>
      </c>
      <c r="AB39">
        <v>0</v>
      </c>
      <c r="AC39">
        <v>0</v>
      </c>
      <c r="AD39" s="107"/>
    </row>
    <row r="40" spans="1:30" x14ac:dyDescent="0.25">
      <c r="A40" s="107"/>
      <c r="B40" s="107"/>
      <c r="C40" s="107"/>
      <c r="D40" s="107"/>
      <c r="E40" s="107"/>
      <c r="F40" s="107"/>
      <c r="G40">
        <v>2024</v>
      </c>
      <c r="H40">
        <f t="shared" si="19"/>
        <v>0</v>
      </c>
      <c r="I40">
        <f>'[5]План реализации _ 10'!F250</f>
        <v>0</v>
      </c>
      <c r="J40">
        <f>'[5]План реализации _ 10'!G250</f>
        <v>0</v>
      </c>
      <c r="K40">
        <f>'[5]План реализации _ 10'!H250</f>
        <v>0</v>
      </c>
      <c r="L40">
        <f>'[5]План реализации _ 10'!I250</f>
        <v>0</v>
      </c>
      <c r="M40">
        <v>2024</v>
      </c>
      <c r="N40">
        <f t="shared" si="13"/>
        <v>0</v>
      </c>
      <c r="O40">
        <f t="shared" si="14"/>
        <v>0</v>
      </c>
      <c r="P40">
        <f t="shared" si="15"/>
        <v>0</v>
      </c>
      <c r="Q40">
        <f t="shared" si="16"/>
        <v>0</v>
      </c>
      <c r="R40">
        <f t="shared" si="17"/>
        <v>0</v>
      </c>
      <c r="S40" s="107"/>
      <c r="X40">
        <v>2024</v>
      </c>
      <c r="Y40">
        <f t="shared" si="20"/>
        <v>0</v>
      </c>
      <c r="Z40">
        <v>0</v>
      </c>
      <c r="AA40">
        <v>0</v>
      </c>
      <c r="AB40">
        <v>0</v>
      </c>
      <c r="AC40">
        <v>0</v>
      </c>
      <c r="AD40" s="107"/>
    </row>
    <row r="41" spans="1:30" ht="98.25" customHeight="1" x14ac:dyDescent="0.25">
      <c r="A41" s="107"/>
      <c r="B41" s="107"/>
      <c r="C41" s="107"/>
      <c r="D41" s="107"/>
      <c r="E41" s="107"/>
      <c r="F41" s="107"/>
      <c r="G41">
        <v>2025</v>
      </c>
      <c r="H41">
        <f t="shared" si="19"/>
        <v>0</v>
      </c>
      <c r="I41">
        <f>'[5]План реализации _ 10'!F251</f>
        <v>0</v>
      </c>
      <c r="J41">
        <f>'[5]План реализации _ 10'!G251</f>
        <v>0</v>
      </c>
      <c r="K41">
        <f>'[5]План реализации _ 10'!H251</f>
        <v>0</v>
      </c>
      <c r="L41">
        <f>'[5]План реализации _ 10'!I251</f>
        <v>0</v>
      </c>
      <c r="M41">
        <v>2025</v>
      </c>
      <c r="N41">
        <f t="shared" si="13"/>
        <v>0</v>
      </c>
      <c r="O41">
        <f t="shared" si="14"/>
        <v>0</v>
      </c>
      <c r="P41">
        <f t="shared" si="15"/>
        <v>0</v>
      </c>
      <c r="Q41">
        <f t="shared" si="16"/>
        <v>0</v>
      </c>
      <c r="R41">
        <f t="shared" si="17"/>
        <v>0</v>
      </c>
      <c r="S41" s="107"/>
      <c r="X41">
        <v>2025</v>
      </c>
      <c r="Y41">
        <f t="shared" si="20"/>
        <v>0</v>
      </c>
      <c r="Z41">
        <v>0</v>
      </c>
      <c r="AA41">
        <v>0</v>
      </c>
      <c r="AB41">
        <v>0</v>
      </c>
      <c r="AC41">
        <v>0</v>
      </c>
      <c r="AD41" s="107"/>
    </row>
    <row r="42" spans="1:30" ht="13.5" customHeight="1" x14ac:dyDescent="0.25">
      <c r="A42" s="107">
        <v>6</v>
      </c>
      <c r="B42" s="107" t="s">
        <v>761</v>
      </c>
      <c r="C42" s="107" t="s">
        <v>762</v>
      </c>
      <c r="D42" s="107" t="s">
        <v>763</v>
      </c>
      <c r="E42" s="107" t="s">
        <v>764</v>
      </c>
      <c r="F42" s="107">
        <v>121547.36199999999</v>
      </c>
      <c r="G42" t="s">
        <v>8</v>
      </c>
      <c r="H42">
        <f>SUM(H43:H47)</f>
        <v>121547.26</v>
      </c>
      <c r="I42">
        <f>SUM(I43:I47)</f>
        <v>92740.549999999988</v>
      </c>
      <c r="J42">
        <f>'[5]План реализации _ 10'!G253</f>
        <v>0</v>
      </c>
      <c r="K42">
        <f>SUM(K43:K47)</f>
        <v>28806.710000000003</v>
      </c>
      <c r="L42">
        <f>'[5]План реализации _ 10'!I253</f>
        <v>0</v>
      </c>
      <c r="M42" t="s">
        <v>8</v>
      </c>
      <c r="N42">
        <f t="shared" si="13"/>
        <v>-2321.4030000000057</v>
      </c>
      <c r="O42">
        <f t="shared" si="14"/>
        <v>-3185.3929999999964</v>
      </c>
      <c r="P42">
        <f t="shared" si="15"/>
        <v>0</v>
      </c>
      <c r="Q42">
        <f t="shared" si="16"/>
        <v>863.98999999999796</v>
      </c>
      <c r="R42">
        <f t="shared" si="17"/>
        <v>0</v>
      </c>
      <c r="S42" s="107"/>
      <c r="X42" t="s">
        <v>8</v>
      </c>
      <c r="Y42">
        <f t="shared" si="20"/>
        <v>119225.85699999999</v>
      </c>
      <c r="Z42">
        <f>SUM(Z43:Z47)</f>
        <v>89555.156999999992</v>
      </c>
      <c r="AA42">
        <f>SUM(AA43:AA47)</f>
        <v>0</v>
      </c>
      <c r="AB42">
        <f>SUM(AB43:AB47)</f>
        <v>29670.7</v>
      </c>
      <c r="AC42">
        <f>SUM(AC43:AC47)</f>
        <v>0</v>
      </c>
      <c r="AD42" s="107"/>
    </row>
    <row r="43" spans="1:30" ht="13.5" customHeight="1" x14ac:dyDescent="0.25">
      <c r="A43" s="107"/>
      <c r="B43" s="107"/>
      <c r="C43" s="107"/>
      <c r="D43" s="107"/>
      <c r="E43" s="107"/>
      <c r="F43" s="107"/>
      <c r="G43">
        <v>2021</v>
      </c>
      <c r="H43">
        <f t="shared" ref="H43:H56" si="21">SUM(I43:L43)</f>
        <v>10446.799999999999</v>
      </c>
      <c r="I43">
        <f>'[5]План реализации _ 10'!F265</f>
        <v>7970.9</v>
      </c>
      <c r="J43">
        <f>'[5]План реализации _ 10'!G265</f>
        <v>0</v>
      </c>
      <c r="K43">
        <f>'[5]План реализации _ 10'!H265</f>
        <v>2475.9</v>
      </c>
      <c r="L43">
        <f>'[5]План реализации _ 10'!I265</f>
        <v>0</v>
      </c>
      <c r="M43">
        <v>2021</v>
      </c>
      <c r="N43">
        <f t="shared" si="13"/>
        <v>0</v>
      </c>
      <c r="O43">
        <f t="shared" si="14"/>
        <v>0</v>
      </c>
      <c r="P43">
        <f t="shared" si="15"/>
        <v>0</v>
      </c>
      <c r="Q43">
        <f t="shared" si="16"/>
        <v>0</v>
      </c>
      <c r="R43">
        <f t="shared" si="17"/>
        <v>0</v>
      </c>
      <c r="S43" s="107"/>
      <c r="X43">
        <v>2021</v>
      </c>
      <c r="Y43">
        <f t="shared" si="20"/>
        <v>10446.799999999999</v>
      </c>
      <c r="Z43">
        <v>7970.9</v>
      </c>
      <c r="AA43">
        <v>0</v>
      </c>
      <c r="AB43">
        <v>2475.9</v>
      </c>
      <c r="AC43">
        <v>0</v>
      </c>
      <c r="AD43" s="107"/>
    </row>
    <row r="44" spans="1:30" ht="13.5" customHeight="1" x14ac:dyDescent="0.25">
      <c r="A44" s="107"/>
      <c r="B44" s="107"/>
      <c r="C44" s="107"/>
      <c r="D44" s="107"/>
      <c r="E44" s="107"/>
      <c r="F44" s="107"/>
      <c r="G44">
        <v>2022</v>
      </c>
      <c r="H44">
        <f t="shared" si="21"/>
        <v>111100.45999999999</v>
      </c>
      <c r="I44">
        <v>84769.65</v>
      </c>
      <c r="J44">
        <f>'[5]План реализации _ 10'!G266</f>
        <v>0</v>
      </c>
      <c r="K44">
        <v>26330.81</v>
      </c>
      <c r="L44">
        <f>'[5]План реализации _ 10'!I266</f>
        <v>0</v>
      </c>
      <c r="M44">
        <v>2022</v>
      </c>
      <c r="N44">
        <f t="shared" si="13"/>
        <v>-2321.4029999999912</v>
      </c>
      <c r="O44">
        <f t="shared" si="14"/>
        <v>-3185.3929999999964</v>
      </c>
      <c r="P44">
        <f t="shared" si="15"/>
        <v>0</v>
      </c>
      <c r="Q44">
        <f t="shared" si="16"/>
        <v>863.98999999999796</v>
      </c>
      <c r="R44">
        <f t="shared" si="17"/>
        <v>0</v>
      </c>
      <c r="S44" s="107"/>
      <c r="X44">
        <v>2022</v>
      </c>
      <c r="Y44">
        <f t="shared" si="20"/>
        <v>108779.057</v>
      </c>
      <c r="Z44">
        <v>81584.256999999998</v>
      </c>
      <c r="AA44">
        <v>0</v>
      </c>
      <c r="AB44">
        <v>27194.799999999999</v>
      </c>
      <c r="AC44">
        <v>0</v>
      </c>
      <c r="AD44" s="107"/>
    </row>
    <row r="45" spans="1:30" ht="13.5" customHeight="1" x14ac:dyDescent="0.25">
      <c r="A45" s="107"/>
      <c r="B45" s="107"/>
      <c r="C45" s="107"/>
      <c r="D45" s="107"/>
      <c r="E45" s="107"/>
      <c r="F45" s="107"/>
      <c r="G45">
        <v>2023</v>
      </c>
      <c r="H45">
        <f t="shared" si="21"/>
        <v>0</v>
      </c>
      <c r="I45">
        <f>'[5]План реализации _ 10'!F267</f>
        <v>0</v>
      </c>
      <c r="J45">
        <f>'[5]План реализации _ 10'!G267</f>
        <v>0</v>
      </c>
      <c r="K45">
        <f>'[5]План реализации _ 10'!H267</f>
        <v>0</v>
      </c>
      <c r="L45">
        <f>'[5]План реализации _ 10'!I267</f>
        <v>0</v>
      </c>
      <c r="M45">
        <v>2023</v>
      </c>
      <c r="N45">
        <f t="shared" si="13"/>
        <v>0</v>
      </c>
      <c r="O45">
        <f t="shared" si="14"/>
        <v>0</v>
      </c>
      <c r="P45">
        <f t="shared" si="15"/>
        <v>0</v>
      </c>
      <c r="Q45">
        <f t="shared" si="16"/>
        <v>0</v>
      </c>
      <c r="R45">
        <f t="shared" si="17"/>
        <v>0</v>
      </c>
      <c r="S45" s="107"/>
      <c r="X45">
        <v>2023</v>
      </c>
      <c r="Y45">
        <f t="shared" si="20"/>
        <v>0</v>
      </c>
      <c r="Z45">
        <v>0</v>
      </c>
      <c r="AA45">
        <v>0</v>
      </c>
      <c r="AB45">
        <v>0</v>
      </c>
      <c r="AC45">
        <v>0</v>
      </c>
      <c r="AD45" s="107"/>
    </row>
    <row r="46" spans="1:30" ht="13.5" customHeight="1" x14ac:dyDescent="0.25">
      <c r="A46" s="107"/>
      <c r="B46" s="107"/>
      <c r="C46" s="107"/>
      <c r="D46" s="107"/>
      <c r="E46" s="107"/>
      <c r="F46" s="107"/>
      <c r="G46">
        <v>2024</v>
      </c>
      <c r="H46">
        <f t="shared" si="21"/>
        <v>0</v>
      </c>
      <c r="I46">
        <f>'[5]План реализации _ 10'!F268</f>
        <v>0</v>
      </c>
      <c r="J46">
        <f>'[5]План реализации _ 10'!G268</f>
        <v>0</v>
      </c>
      <c r="K46">
        <f>'[5]План реализации _ 10'!H268</f>
        <v>0</v>
      </c>
      <c r="L46">
        <f>'[5]План реализации _ 10'!I268</f>
        <v>0</v>
      </c>
      <c r="M46">
        <v>2024</v>
      </c>
      <c r="N46">
        <f t="shared" si="13"/>
        <v>0</v>
      </c>
      <c r="O46">
        <f t="shared" si="14"/>
        <v>0</v>
      </c>
      <c r="P46">
        <f t="shared" si="15"/>
        <v>0</v>
      </c>
      <c r="Q46">
        <f t="shared" si="16"/>
        <v>0</v>
      </c>
      <c r="R46">
        <f t="shared" si="17"/>
        <v>0</v>
      </c>
      <c r="S46" s="107"/>
      <c r="X46">
        <v>2024</v>
      </c>
      <c r="Y46">
        <f t="shared" si="20"/>
        <v>0</v>
      </c>
      <c r="Z46">
        <v>0</v>
      </c>
      <c r="AA46">
        <v>0</v>
      </c>
      <c r="AB46">
        <v>0</v>
      </c>
      <c r="AC46">
        <v>0</v>
      </c>
      <c r="AD46" s="107"/>
    </row>
    <row r="47" spans="1:30" ht="13.5" customHeight="1" x14ac:dyDescent="0.25">
      <c r="A47" s="107"/>
      <c r="B47" s="107"/>
      <c r="C47" s="107"/>
      <c r="D47" s="107"/>
      <c r="E47" s="107"/>
      <c r="F47" s="107"/>
      <c r="G47">
        <v>2025</v>
      </c>
      <c r="H47">
        <f t="shared" si="21"/>
        <v>0</v>
      </c>
      <c r="I47">
        <f>'[5]План реализации _ 10'!F269</f>
        <v>0</v>
      </c>
      <c r="J47">
        <f>'[5]План реализации _ 10'!G269</f>
        <v>0</v>
      </c>
      <c r="K47">
        <f>'[5]План реализации _ 10'!H269</f>
        <v>0</v>
      </c>
      <c r="L47">
        <f>'[5]План реализации _ 10'!I269</f>
        <v>0</v>
      </c>
      <c r="M47">
        <v>2025</v>
      </c>
      <c r="N47">
        <f t="shared" si="13"/>
        <v>0</v>
      </c>
      <c r="O47">
        <f t="shared" si="14"/>
        <v>0</v>
      </c>
      <c r="P47">
        <f t="shared" si="15"/>
        <v>0</v>
      </c>
      <c r="Q47">
        <f t="shared" si="16"/>
        <v>0</v>
      </c>
      <c r="R47">
        <f t="shared" si="17"/>
        <v>0</v>
      </c>
      <c r="S47" s="107"/>
      <c r="X47">
        <v>2025</v>
      </c>
      <c r="Y47">
        <f t="shared" si="20"/>
        <v>0</v>
      </c>
      <c r="Z47">
        <v>0</v>
      </c>
      <c r="AA47">
        <v>0</v>
      </c>
      <c r="AB47">
        <v>0</v>
      </c>
      <c r="AC47">
        <v>0</v>
      </c>
      <c r="AD47" s="107"/>
    </row>
    <row r="48" spans="1:30" ht="15" customHeight="1" x14ac:dyDescent="0.25">
      <c r="A48" s="107">
        <v>7</v>
      </c>
      <c r="B48" s="107" t="s">
        <v>766</v>
      </c>
      <c r="C48" s="107" t="s">
        <v>767</v>
      </c>
      <c r="D48" s="107" t="s">
        <v>768</v>
      </c>
      <c r="E48" s="107" t="s">
        <v>769</v>
      </c>
      <c r="F48" s="107" t="s">
        <v>770</v>
      </c>
      <c r="G48" t="s">
        <v>771</v>
      </c>
      <c r="H48">
        <f t="shared" si="21"/>
        <v>500684.6</v>
      </c>
      <c r="I48">
        <f>SUM(I49:I56)</f>
        <v>277645.59999999998</v>
      </c>
      <c r="J48">
        <f>SUM(J49:J56)</f>
        <v>223039</v>
      </c>
      <c r="K48">
        <f>SUM(K49:K56)</f>
        <v>0</v>
      </c>
      <c r="L48">
        <f>SUM(L49:L56)</f>
        <v>0</v>
      </c>
      <c r="M48" t="s">
        <v>771</v>
      </c>
      <c r="N48">
        <f t="shared" si="13"/>
        <v>0</v>
      </c>
      <c r="O48">
        <f t="shared" si="14"/>
        <v>0</v>
      </c>
      <c r="P48">
        <f t="shared" si="15"/>
        <v>0</v>
      </c>
      <c r="Q48">
        <f t="shared" si="16"/>
        <v>0</v>
      </c>
      <c r="R48">
        <f t="shared" si="17"/>
        <v>0</v>
      </c>
      <c r="S48" s="107"/>
      <c r="X48" t="s">
        <v>771</v>
      </c>
      <c r="Y48">
        <f t="shared" si="20"/>
        <v>500684.6</v>
      </c>
      <c r="Z48">
        <f>SUM(Z49:Z56)</f>
        <v>277645.59999999998</v>
      </c>
      <c r="AA48">
        <f>SUM(AA49:AA56)</f>
        <v>223039</v>
      </c>
      <c r="AB48">
        <f>SUM(AB49:AB56)</f>
        <v>0</v>
      </c>
      <c r="AC48">
        <f>SUM(AC49:AC56)</f>
        <v>0</v>
      </c>
      <c r="AD48" s="107"/>
    </row>
    <row r="49" spans="1:30" x14ac:dyDescent="0.25">
      <c r="A49" s="107"/>
      <c r="B49" s="107"/>
      <c r="C49" s="107"/>
      <c r="D49" s="107"/>
      <c r="E49" s="107"/>
      <c r="F49" s="107"/>
      <c r="G49">
        <v>2014</v>
      </c>
      <c r="H49">
        <f t="shared" si="21"/>
        <v>6413.5</v>
      </c>
      <c r="I49">
        <v>6413.5</v>
      </c>
      <c r="J49">
        <v>0</v>
      </c>
      <c r="K49">
        <v>0</v>
      </c>
      <c r="L49">
        <v>0</v>
      </c>
      <c r="M49">
        <v>2014</v>
      </c>
      <c r="N49">
        <f t="shared" si="13"/>
        <v>0</v>
      </c>
      <c r="O49">
        <f t="shared" si="14"/>
        <v>0</v>
      </c>
      <c r="P49">
        <f t="shared" si="15"/>
        <v>0</v>
      </c>
      <c r="Q49">
        <f t="shared" si="16"/>
        <v>0</v>
      </c>
      <c r="R49">
        <f t="shared" si="17"/>
        <v>0</v>
      </c>
      <c r="S49" s="107"/>
      <c r="X49">
        <v>2014</v>
      </c>
      <c r="Y49">
        <f t="shared" si="20"/>
        <v>6413.5</v>
      </c>
      <c r="Z49">
        <v>6413.5</v>
      </c>
      <c r="AA49">
        <v>0</v>
      </c>
      <c r="AB49">
        <v>0</v>
      </c>
      <c r="AC49">
        <v>0</v>
      </c>
      <c r="AD49" s="107"/>
    </row>
    <row r="50" spans="1:30" x14ac:dyDescent="0.25">
      <c r="A50" s="107"/>
      <c r="B50" s="107"/>
      <c r="C50" s="107"/>
      <c r="D50" s="107"/>
      <c r="E50" s="107"/>
      <c r="F50" s="107"/>
      <c r="G50">
        <v>2015</v>
      </c>
      <c r="H50">
        <f t="shared" si="21"/>
        <v>0</v>
      </c>
      <c r="I50">
        <v>0</v>
      </c>
      <c r="J50">
        <v>0</v>
      </c>
      <c r="K50">
        <v>0</v>
      </c>
      <c r="L50">
        <v>0</v>
      </c>
      <c r="M50">
        <v>2015</v>
      </c>
      <c r="N50">
        <f t="shared" si="13"/>
        <v>0</v>
      </c>
      <c r="O50">
        <f t="shared" si="14"/>
        <v>0</v>
      </c>
      <c r="P50">
        <f t="shared" si="15"/>
        <v>0</v>
      </c>
      <c r="Q50">
        <f t="shared" si="16"/>
        <v>0</v>
      </c>
      <c r="R50">
        <f t="shared" si="17"/>
        <v>0</v>
      </c>
      <c r="S50" s="107"/>
      <c r="X50">
        <v>2015</v>
      </c>
      <c r="Y50">
        <f t="shared" si="20"/>
        <v>0</v>
      </c>
      <c r="Z50">
        <v>0</v>
      </c>
      <c r="AA50">
        <v>0</v>
      </c>
      <c r="AB50">
        <v>0</v>
      </c>
      <c r="AC50">
        <v>0</v>
      </c>
      <c r="AD50" s="107"/>
    </row>
    <row r="51" spans="1:30" x14ac:dyDescent="0.25">
      <c r="A51" s="107"/>
      <c r="B51" s="107"/>
      <c r="C51" s="107"/>
      <c r="D51" s="107"/>
      <c r="E51" s="107"/>
      <c r="F51" s="107"/>
      <c r="G51">
        <v>2016</v>
      </c>
      <c r="H51">
        <f t="shared" si="21"/>
        <v>0</v>
      </c>
      <c r="I51">
        <v>0</v>
      </c>
      <c r="J51">
        <v>0</v>
      </c>
      <c r="K51">
        <v>0</v>
      </c>
      <c r="L51">
        <v>0</v>
      </c>
      <c r="M51">
        <v>2016</v>
      </c>
      <c r="N51">
        <f t="shared" si="13"/>
        <v>0</v>
      </c>
      <c r="O51">
        <f t="shared" si="14"/>
        <v>0</v>
      </c>
      <c r="P51">
        <f t="shared" si="15"/>
        <v>0</v>
      </c>
      <c r="Q51">
        <f t="shared" si="16"/>
        <v>0</v>
      </c>
      <c r="R51">
        <f t="shared" si="17"/>
        <v>0</v>
      </c>
      <c r="S51" s="107"/>
      <c r="X51">
        <v>2016</v>
      </c>
      <c r="Y51">
        <f t="shared" si="20"/>
        <v>0</v>
      </c>
      <c r="Z51">
        <v>0</v>
      </c>
      <c r="AA51">
        <v>0</v>
      </c>
      <c r="AB51">
        <v>0</v>
      </c>
      <c r="AC51">
        <v>0</v>
      </c>
      <c r="AD51" s="107"/>
    </row>
    <row r="52" spans="1:30" x14ac:dyDescent="0.25">
      <c r="A52" s="107"/>
      <c r="B52" s="107"/>
      <c r="C52" s="107"/>
      <c r="D52" s="107"/>
      <c r="E52" s="107"/>
      <c r="F52" s="107"/>
      <c r="G52">
        <v>2017</v>
      </c>
      <c r="H52">
        <f t="shared" si="21"/>
        <v>0</v>
      </c>
      <c r="I52">
        <v>0</v>
      </c>
      <c r="J52">
        <v>0</v>
      </c>
      <c r="K52">
        <v>0</v>
      </c>
      <c r="L52">
        <v>0</v>
      </c>
      <c r="M52">
        <v>2017</v>
      </c>
      <c r="N52">
        <f t="shared" si="13"/>
        <v>0</v>
      </c>
      <c r="O52">
        <f t="shared" si="14"/>
        <v>0</v>
      </c>
      <c r="P52">
        <f t="shared" si="15"/>
        <v>0</v>
      </c>
      <c r="Q52">
        <f t="shared" si="16"/>
        <v>0</v>
      </c>
      <c r="R52">
        <f t="shared" si="17"/>
        <v>0</v>
      </c>
      <c r="S52" s="107"/>
      <c r="X52">
        <v>2017</v>
      </c>
      <c r="Y52">
        <f t="shared" si="20"/>
        <v>0</v>
      </c>
      <c r="Z52">
        <v>0</v>
      </c>
      <c r="AA52">
        <v>0</v>
      </c>
      <c r="AB52">
        <v>0</v>
      </c>
      <c r="AC52">
        <v>0</v>
      </c>
      <c r="AD52" s="107"/>
    </row>
    <row r="53" spans="1:30" x14ac:dyDescent="0.25">
      <c r="A53" s="107"/>
      <c r="B53" s="107"/>
      <c r="C53" s="107"/>
      <c r="D53" s="107"/>
      <c r="E53" s="107"/>
      <c r="F53" s="107"/>
      <c r="G53">
        <v>2018</v>
      </c>
      <c r="H53">
        <f t="shared" si="21"/>
        <v>91385.2</v>
      </c>
      <c r="I53">
        <v>91385.2</v>
      </c>
      <c r="J53">
        <v>0</v>
      </c>
      <c r="K53">
        <v>0</v>
      </c>
      <c r="L53">
        <v>0</v>
      </c>
      <c r="M53">
        <v>2018</v>
      </c>
      <c r="N53">
        <f t="shared" si="13"/>
        <v>0</v>
      </c>
      <c r="O53">
        <f t="shared" si="14"/>
        <v>0</v>
      </c>
      <c r="P53">
        <f t="shared" si="15"/>
        <v>0</v>
      </c>
      <c r="Q53">
        <f t="shared" si="16"/>
        <v>0</v>
      </c>
      <c r="R53">
        <f t="shared" si="17"/>
        <v>0</v>
      </c>
      <c r="S53" s="107"/>
      <c r="X53">
        <v>2018</v>
      </c>
      <c r="Y53">
        <f t="shared" si="20"/>
        <v>91385.2</v>
      </c>
      <c r="Z53">
        <v>91385.2</v>
      </c>
      <c r="AA53">
        <v>0</v>
      </c>
      <c r="AB53">
        <v>0</v>
      </c>
      <c r="AC53">
        <v>0</v>
      </c>
      <c r="AD53" s="107"/>
    </row>
    <row r="54" spans="1:30" x14ac:dyDescent="0.25">
      <c r="A54" s="107"/>
      <c r="B54" s="107"/>
      <c r="C54" s="107"/>
      <c r="D54" s="107"/>
      <c r="E54" s="107"/>
      <c r="F54" s="107"/>
      <c r="G54">
        <v>2019</v>
      </c>
      <c r="H54">
        <f t="shared" si="21"/>
        <v>88528.6</v>
      </c>
      <c r="I54">
        <v>68528.600000000006</v>
      </c>
      <c r="J54">
        <v>20000</v>
      </c>
      <c r="K54">
        <v>0</v>
      </c>
      <c r="L54">
        <v>0</v>
      </c>
      <c r="M54">
        <v>2019</v>
      </c>
      <c r="N54">
        <f t="shared" si="13"/>
        <v>0</v>
      </c>
      <c r="O54">
        <f t="shared" si="14"/>
        <v>0</v>
      </c>
      <c r="P54">
        <f t="shared" si="15"/>
        <v>0</v>
      </c>
      <c r="Q54">
        <f t="shared" si="16"/>
        <v>0</v>
      </c>
      <c r="R54">
        <f t="shared" si="17"/>
        <v>0</v>
      </c>
      <c r="S54" s="107"/>
      <c r="X54">
        <v>2019</v>
      </c>
      <c r="Y54">
        <f t="shared" si="20"/>
        <v>88528.6</v>
      </c>
      <c r="Z54">
        <v>68528.600000000006</v>
      </c>
      <c r="AA54">
        <v>20000</v>
      </c>
      <c r="AB54">
        <v>0</v>
      </c>
      <c r="AC54">
        <v>0</v>
      </c>
      <c r="AD54" s="107"/>
    </row>
    <row r="55" spans="1:30" x14ac:dyDescent="0.25">
      <c r="A55" s="107"/>
      <c r="B55" s="107"/>
      <c r="C55" s="107"/>
      <c r="D55" s="107"/>
      <c r="E55" s="107"/>
      <c r="F55" s="107"/>
      <c r="G55">
        <v>2020</v>
      </c>
      <c r="H55">
        <f t="shared" si="21"/>
        <v>312851.8</v>
      </c>
      <c r="I55">
        <v>109812.8</v>
      </c>
      <c r="J55">
        <v>203039</v>
      </c>
      <c r="K55">
        <v>0</v>
      </c>
      <c r="L55">
        <v>0</v>
      </c>
      <c r="M55">
        <v>2020</v>
      </c>
      <c r="N55">
        <f t="shared" si="13"/>
        <v>0</v>
      </c>
      <c r="O55">
        <f t="shared" si="14"/>
        <v>0</v>
      </c>
      <c r="P55">
        <f t="shared" si="15"/>
        <v>0</v>
      </c>
      <c r="Q55">
        <f t="shared" si="16"/>
        <v>0</v>
      </c>
      <c r="R55">
        <f t="shared" si="17"/>
        <v>0</v>
      </c>
      <c r="S55" s="107"/>
      <c r="X55">
        <v>2020</v>
      </c>
      <c r="Y55">
        <f t="shared" si="20"/>
        <v>312851.8</v>
      </c>
      <c r="Z55">
        <v>109812.8</v>
      </c>
      <c r="AA55">
        <v>203039</v>
      </c>
      <c r="AB55">
        <v>0</v>
      </c>
      <c r="AC55">
        <v>0</v>
      </c>
      <c r="AD55" s="107"/>
    </row>
    <row r="56" spans="1:30" x14ac:dyDescent="0.25">
      <c r="A56" s="107"/>
      <c r="B56" s="107"/>
      <c r="C56" s="107"/>
      <c r="D56" s="107"/>
      <c r="E56" s="107"/>
      <c r="F56" s="107"/>
      <c r="G56">
        <v>2021</v>
      </c>
      <c r="H56">
        <f t="shared" si="21"/>
        <v>1505.5</v>
      </c>
      <c r="I56">
        <v>1505.5</v>
      </c>
      <c r="J56">
        <v>0</v>
      </c>
      <c r="K56">
        <v>0</v>
      </c>
      <c r="L56">
        <v>0</v>
      </c>
      <c r="M56">
        <v>2021</v>
      </c>
      <c r="N56">
        <f t="shared" si="13"/>
        <v>0</v>
      </c>
      <c r="O56">
        <f t="shared" si="14"/>
        <v>0</v>
      </c>
      <c r="P56">
        <f t="shared" si="15"/>
        <v>0</v>
      </c>
      <c r="Q56">
        <f t="shared" si="16"/>
        <v>0</v>
      </c>
      <c r="R56">
        <f t="shared" si="17"/>
        <v>0</v>
      </c>
      <c r="S56" s="107"/>
      <c r="X56">
        <v>2021</v>
      </c>
      <c r="Y56">
        <f t="shared" si="20"/>
        <v>1505.5</v>
      </c>
      <c r="Z56">
        <v>1505.5</v>
      </c>
      <c r="AA56">
        <v>0</v>
      </c>
      <c r="AB56">
        <v>0</v>
      </c>
      <c r="AC56">
        <v>0</v>
      </c>
      <c r="AD56" s="107"/>
    </row>
    <row r="57" spans="1:30" ht="13.5" customHeight="1" x14ac:dyDescent="0.25">
      <c r="A57" s="107" t="s">
        <v>967</v>
      </c>
      <c r="B57" s="107"/>
      <c r="C57" s="107"/>
      <c r="D57" s="107"/>
      <c r="E57" s="107"/>
      <c r="F57" s="107"/>
      <c r="G57" t="s">
        <v>8</v>
      </c>
      <c r="H57">
        <f>SUM(H58:H62)</f>
        <v>0</v>
      </c>
      <c r="I57">
        <f>SUM(I58:I62)</f>
        <v>0</v>
      </c>
      <c r="J57">
        <f>'[5]План реализации _ 10'!G268</f>
        <v>0</v>
      </c>
      <c r="K57">
        <f>SUM(K58:K62)</f>
        <v>0</v>
      </c>
      <c r="L57">
        <f>'[5]План реализации _ 10'!I268</f>
        <v>0</v>
      </c>
      <c r="M57" t="s">
        <v>8</v>
      </c>
      <c r="N57">
        <f t="shared" si="13"/>
        <v>25000</v>
      </c>
      <c r="O57">
        <f t="shared" si="14"/>
        <v>25000</v>
      </c>
      <c r="P57">
        <f t="shared" si="15"/>
        <v>0</v>
      </c>
      <c r="Q57">
        <f t="shared" si="16"/>
        <v>0</v>
      </c>
      <c r="R57">
        <f t="shared" si="17"/>
        <v>0</v>
      </c>
      <c r="S57" s="107" t="s">
        <v>772</v>
      </c>
      <c r="X57" t="s">
        <v>8</v>
      </c>
      <c r="Y57">
        <f t="shared" si="20"/>
        <v>25000</v>
      </c>
      <c r="Z57">
        <f>SUM(Z58:Z62)</f>
        <v>25000</v>
      </c>
      <c r="AA57">
        <f>SUM(AA58:AA62)</f>
        <v>0</v>
      </c>
      <c r="AB57">
        <f>SUM(AB58:AB62)</f>
        <v>0</v>
      </c>
      <c r="AC57">
        <f>SUM(AC58:AC62)</f>
        <v>0</v>
      </c>
      <c r="AD57" s="107"/>
    </row>
    <row r="58" spans="1:30" ht="13.5" customHeight="1" x14ac:dyDescent="0.25">
      <c r="A58" s="107"/>
      <c r="B58" s="107"/>
      <c r="C58" s="107"/>
      <c r="D58" s="107"/>
      <c r="E58" s="107"/>
      <c r="F58" s="107"/>
      <c r="G58">
        <v>2021</v>
      </c>
      <c r="H58">
        <v>0</v>
      </c>
      <c r="I58">
        <v>0</v>
      </c>
      <c r="J58">
        <f>'[5]План реализации _ 10'!G280</f>
        <v>0</v>
      </c>
      <c r="K58">
        <v>0</v>
      </c>
      <c r="L58">
        <f>'[5]План реализации _ 10'!I280</f>
        <v>0</v>
      </c>
      <c r="M58">
        <v>2021</v>
      </c>
      <c r="N58">
        <f t="shared" si="13"/>
        <v>0</v>
      </c>
      <c r="O58">
        <f t="shared" si="14"/>
        <v>0</v>
      </c>
      <c r="P58">
        <f t="shared" si="15"/>
        <v>0</v>
      </c>
      <c r="Q58">
        <f t="shared" si="16"/>
        <v>0</v>
      </c>
      <c r="R58">
        <f t="shared" si="17"/>
        <v>0</v>
      </c>
      <c r="S58" s="107"/>
      <c r="X58">
        <v>2021</v>
      </c>
      <c r="Y58">
        <f t="shared" si="20"/>
        <v>0</v>
      </c>
      <c r="Z58">
        <v>0</v>
      </c>
      <c r="AA58">
        <v>0</v>
      </c>
      <c r="AB58">
        <v>0</v>
      </c>
      <c r="AC58">
        <v>0</v>
      </c>
      <c r="AD58" s="107"/>
    </row>
    <row r="59" spans="1:30" ht="13.5" customHeight="1" x14ac:dyDescent="0.25">
      <c r="A59" s="107"/>
      <c r="B59" s="107"/>
      <c r="C59" s="107"/>
      <c r="D59" s="107"/>
      <c r="E59" s="107"/>
      <c r="F59" s="107"/>
      <c r="G59">
        <v>2022</v>
      </c>
      <c r="H59">
        <v>0</v>
      </c>
      <c r="I59">
        <v>0</v>
      </c>
      <c r="J59">
        <f>'[5]План реализации _ 10'!G281</f>
        <v>0</v>
      </c>
      <c r="K59">
        <v>0</v>
      </c>
      <c r="L59">
        <f>'[5]План реализации _ 10'!I281</f>
        <v>0</v>
      </c>
      <c r="M59">
        <v>2022</v>
      </c>
      <c r="N59">
        <f t="shared" si="13"/>
        <v>25000</v>
      </c>
      <c r="O59">
        <f t="shared" si="14"/>
        <v>25000</v>
      </c>
      <c r="P59">
        <f t="shared" si="15"/>
        <v>0</v>
      </c>
      <c r="Q59">
        <f t="shared" si="16"/>
        <v>0</v>
      </c>
      <c r="R59">
        <f t="shared" si="17"/>
        <v>0</v>
      </c>
      <c r="S59" s="107"/>
      <c r="X59">
        <v>2022</v>
      </c>
      <c r="Y59">
        <f t="shared" si="20"/>
        <v>25000</v>
      </c>
      <c r="Z59">
        <v>25000</v>
      </c>
      <c r="AA59">
        <v>0</v>
      </c>
      <c r="AB59">
        <v>0</v>
      </c>
      <c r="AC59">
        <v>0</v>
      </c>
      <c r="AD59" s="107"/>
    </row>
    <row r="60" spans="1:30" ht="13.5" customHeight="1" x14ac:dyDescent="0.25">
      <c r="A60" s="107"/>
      <c r="B60" s="107"/>
      <c r="C60" s="107"/>
      <c r="D60" s="107"/>
      <c r="E60" s="107"/>
      <c r="F60" s="107"/>
      <c r="G60">
        <v>2023</v>
      </c>
      <c r="H60">
        <v>0</v>
      </c>
      <c r="I60">
        <v>0</v>
      </c>
      <c r="J60">
        <f>'[5]План реализации _ 10'!G282</f>
        <v>0</v>
      </c>
      <c r="K60">
        <v>0</v>
      </c>
      <c r="L60">
        <f>'[5]План реализации _ 10'!I282</f>
        <v>0</v>
      </c>
      <c r="M60">
        <v>2023</v>
      </c>
      <c r="N60">
        <f t="shared" si="13"/>
        <v>0</v>
      </c>
      <c r="O60">
        <f t="shared" si="14"/>
        <v>0</v>
      </c>
      <c r="P60">
        <f t="shared" si="15"/>
        <v>0</v>
      </c>
      <c r="Q60">
        <f t="shared" si="16"/>
        <v>0</v>
      </c>
      <c r="R60">
        <f t="shared" si="17"/>
        <v>0</v>
      </c>
      <c r="S60" s="107"/>
      <c r="X60">
        <v>2023</v>
      </c>
      <c r="Y60">
        <f t="shared" si="20"/>
        <v>0</v>
      </c>
      <c r="Z60">
        <v>0</v>
      </c>
      <c r="AA60">
        <v>0</v>
      </c>
      <c r="AB60">
        <v>0</v>
      </c>
      <c r="AC60">
        <v>0</v>
      </c>
      <c r="AD60" s="107"/>
    </row>
    <row r="61" spans="1:30" ht="13.5" customHeight="1" x14ac:dyDescent="0.25">
      <c r="A61" s="107"/>
      <c r="B61" s="107"/>
      <c r="C61" s="107"/>
      <c r="D61" s="107"/>
      <c r="E61" s="107"/>
      <c r="F61" s="107"/>
      <c r="G61">
        <v>2024</v>
      </c>
      <c r="H61">
        <v>0</v>
      </c>
      <c r="I61">
        <v>0</v>
      </c>
      <c r="J61">
        <f>'[5]План реализации _ 10'!G283</f>
        <v>0</v>
      </c>
      <c r="K61">
        <v>0</v>
      </c>
      <c r="L61">
        <f>'[5]План реализации _ 10'!I283</f>
        <v>0</v>
      </c>
      <c r="M61">
        <v>2024</v>
      </c>
      <c r="N61">
        <f t="shared" si="13"/>
        <v>0</v>
      </c>
      <c r="O61">
        <f t="shared" si="14"/>
        <v>0</v>
      </c>
      <c r="P61">
        <f t="shared" si="15"/>
        <v>0</v>
      </c>
      <c r="Q61">
        <f t="shared" si="16"/>
        <v>0</v>
      </c>
      <c r="R61">
        <f t="shared" si="17"/>
        <v>0</v>
      </c>
      <c r="S61" s="107"/>
      <c r="X61">
        <v>2024</v>
      </c>
      <c r="Y61">
        <f t="shared" si="20"/>
        <v>0</v>
      </c>
      <c r="Z61">
        <v>0</v>
      </c>
      <c r="AA61">
        <v>0</v>
      </c>
      <c r="AB61">
        <v>0</v>
      </c>
      <c r="AC61">
        <v>0</v>
      </c>
      <c r="AD61" s="107"/>
    </row>
    <row r="62" spans="1:30" ht="13.5" customHeight="1" x14ac:dyDescent="0.25">
      <c r="A62" s="107"/>
      <c r="B62" s="107"/>
      <c r="C62" s="107"/>
      <c r="D62" s="107"/>
      <c r="E62" s="107"/>
      <c r="F62" s="107"/>
      <c r="G62">
        <v>2025</v>
      </c>
      <c r="H62">
        <f>SUM(I62:L62)</f>
        <v>0</v>
      </c>
      <c r="I62">
        <f>'[5]План реализации _ 10'!F284</f>
        <v>0</v>
      </c>
      <c r="J62">
        <f>'[5]План реализации _ 10'!G284</f>
        <v>0</v>
      </c>
      <c r="K62">
        <f>'[5]План реализации _ 10'!H284</f>
        <v>0</v>
      </c>
      <c r="L62">
        <f>'[5]План реализации _ 10'!I284</f>
        <v>0</v>
      </c>
      <c r="M62">
        <v>2025</v>
      </c>
      <c r="N62">
        <f t="shared" si="13"/>
        <v>0</v>
      </c>
      <c r="O62">
        <f t="shared" si="14"/>
        <v>0</v>
      </c>
      <c r="P62">
        <f t="shared" si="15"/>
        <v>0</v>
      </c>
      <c r="Q62">
        <f t="shared" si="16"/>
        <v>0</v>
      </c>
      <c r="R62">
        <f t="shared" si="17"/>
        <v>0</v>
      </c>
      <c r="S62" s="107"/>
      <c r="X62">
        <v>2025</v>
      </c>
      <c r="Y62">
        <f t="shared" si="20"/>
        <v>0</v>
      </c>
      <c r="Z62">
        <v>0</v>
      </c>
      <c r="AA62">
        <v>0</v>
      </c>
      <c r="AB62">
        <v>0</v>
      </c>
      <c r="AC62">
        <v>0</v>
      </c>
      <c r="AD62" s="107"/>
    </row>
    <row r="63" spans="1:30" ht="13.5" customHeight="1" x14ac:dyDescent="0.25">
      <c r="A63" s="107" t="s">
        <v>968</v>
      </c>
      <c r="B63" s="107"/>
      <c r="C63" s="107"/>
      <c r="D63" s="107"/>
      <c r="E63" s="107"/>
      <c r="F63" s="107"/>
      <c r="G63" t="s">
        <v>8</v>
      </c>
      <c r="H63">
        <f>SUM(H64:H68)</f>
        <v>6000</v>
      </c>
      <c r="I63">
        <f>SUM(I64:I68)</f>
        <v>6000</v>
      </c>
      <c r="J63">
        <f>'[5]План реализации _ 10'!G274</f>
        <v>0</v>
      </c>
      <c r="K63">
        <f>SUM(K64:K68)</f>
        <v>0</v>
      </c>
      <c r="L63">
        <f>'[5]План реализации _ 10'!I274</f>
        <v>0</v>
      </c>
      <c r="M63" t="s">
        <v>8</v>
      </c>
      <c r="N63">
        <f t="shared" si="13"/>
        <v>334000</v>
      </c>
      <c r="O63">
        <f t="shared" si="14"/>
        <v>334000</v>
      </c>
      <c r="P63">
        <f t="shared" si="15"/>
        <v>0</v>
      </c>
      <c r="Q63">
        <f t="shared" si="16"/>
        <v>0</v>
      </c>
      <c r="R63">
        <f t="shared" si="17"/>
        <v>0</v>
      </c>
      <c r="S63" s="107" t="s">
        <v>777</v>
      </c>
      <c r="X63" t="s">
        <v>8</v>
      </c>
      <c r="Y63">
        <f t="shared" si="20"/>
        <v>340000</v>
      </c>
      <c r="Z63">
        <f>SUM(Z64:Z68)</f>
        <v>340000</v>
      </c>
      <c r="AA63">
        <f>SUM(AA64:AA68)</f>
        <v>0</v>
      </c>
      <c r="AB63">
        <f>SUM(AB64:AB68)</f>
        <v>0</v>
      </c>
      <c r="AC63">
        <f>SUM(AC64:AC68)</f>
        <v>0</v>
      </c>
      <c r="AD63" s="107"/>
    </row>
    <row r="64" spans="1:30" ht="13.5" customHeight="1" x14ac:dyDescent="0.25">
      <c r="A64" s="107"/>
      <c r="B64" s="107"/>
      <c r="C64" s="107"/>
      <c r="D64" s="107"/>
      <c r="E64" s="107"/>
      <c r="F64" s="107"/>
      <c r="G64">
        <v>2021</v>
      </c>
      <c r="H64">
        <v>0</v>
      </c>
      <c r="I64">
        <v>0</v>
      </c>
      <c r="J64">
        <f>'[5]План реализации _ 10'!G286</f>
        <v>0</v>
      </c>
      <c r="K64">
        <v>0</v>
      </c>
      <c r="L64">
        <f>'[5]План реализации _ 10'!I286</f>
        <v>0</v>
      </c>
      <c r="M64">
        <v>2021</v>
      </c>
      <c r="N64">
        <f t="shared" si="13"/>
        <v>0</v>
      </c>
      <c r="O64">
        <f t="shared" si="14"/>
        <v>0</v>
      </c>
      <c r="P64">
        <f t="shared" si="15"/>
        <v>0</v>
      </c>
      <c r="Q64">
        <f t="shared" si="16"/>
        <v>0</v>
      </c>
      <c r="R64">
        <f t="shared" si="17"/>
        <v>0</v>
      </c>
      <c r="S64" s="107"/>
      <c r="X64">
        <v>2021</v>
      </c>
      <c r="Y64">
        <f t="shared" si="20"/>
        <v>0</v>
      </c>
      <c r="Z64">
        <v>0</v>
      </c>
      <c r="AA64">
        <v>0</v>
      </c>
      <c r="AB64">
        <v>0</v>
      </c>
      <c r="AC64">
        <v>0</v>
      </c>
      <c r="AD64" s="107"/>
    </row>
    <row r="65" spans="1:30" ht="13.5" customHeight="1" x14ac:dyDescent="0.25">
      <c r="A65" s="107"/>
      <c r="B65" s="107"/>
      <c r="C65" s="107"/>
      <c r="D65" s="107"/>
      <c r="E65" s="107"/>
      <c r="F65" s="107"/>
      <c r="G65">
        <v>2022</v>
      </c>
      <c r="H65">
        <v>0</v>
      </c>
      <c r="I65">
        <v>0</v>
      </c>
      <c r="J65">
        <f>'[5]План реализации _ 10'!G287</f>
        <v>0</v>
      </c>
      <c r="K65">
        <v>0</v>
      </c>
      <c r="L65">
        <f>'[5]План реализации _ 10'!I287</f>
        <v>0</v>
      </c>
      <c r="M65">
        <v>2022</v>
      </c>
      <c r="N65">
        <f t="shared" si="13"/>
        <v>50000</v>
      </c>
      <c r="O65">
        <f t="shared" si="14"/>
        <v>50000</v>
      </c>
      <c r="P65">
        <f t="shared" si="15"/>
        <v>0</v>
      </c>
      <c r="Q65">
        <f t="shared" si="16"/>
        <v>0</v>
      </c>
      <c r="R65">
        <f t="shared" si="17"/>
        <v>0</v>
      </c>
      <c r="S65" s="107"/>
      <c r="X65">
        <v>2022</v>
      </c>
      <c r="Y65">
        <f t="shared" si="20"/>
        <v>50000</v>
      </c>
      <c r="Z65">
        <v>50000</v>
      </c>
      <c r="AA65">
        <v>0</v>
      </c>
      <c r="AB65">
        <v>0</v>
      </c>
      <c r="AC65">
        <v>0</v>
      </c>
      <c r="AD65" s="107"/>
    </row>
    <row r="66" spans="1:30" ht="13.5" customHeight="1" x14ac:dyDescent="0.25">
      <c r="A66" s="107"/>
      <c r="B66" s="107"/>
      <c r="C66" s="107"/>
      <c r="D66" s="107"/>
      <c r="E66" s="107"/>
      <c r="F66" s="107"/>
      <c r="G66">
        <v>2023</v>
      </c>
      <c r="H66">
        <v>0</v>
      </c>
      <c r="I66">
        <v>0</v>
      </c>
      <c r="J66">
        <f>'[5]План реализации _ 10'!G288</f>
        <v>0</v>
      </c>
      <c r="K66">
        <v>0</v>
      </c>
      <c r="L66">
        <f>'[5]План реализации _ 10'!I288</f>
        <v>0</v>
      </c>
      <c r="M66">
        <v>2023</v>
      </c>
      <c r="N66">
        <f t="shared" si="13"/>
        <v>290000</v>
      </c>
      <c r="O66">
        <f t="shared" si="14"/>
        <v>290000</v>
      </c>
      <c r="P66">
        <f t="shared" si="15"/>
        <v>0</v>
      </c>
      <c r="Q66">
        <f t="shared" si="16"/>
        <v>0</v>
      </c>
      <c r="R66">
        <f t="shared" si="17"/>
        <v>0</v>
      </c>
      <c r="S66" s="107"/>
      <c r="X66">
        <v>2023</v>
      </c>
      <c r="Y66">
        <f t="shared" si="20"/>
        <v>290000</v>
      </c>
      <c r="Z66">
        <v>290000</v>
      </c>
      <c r="AA66">
        <v>0</v>
      </c>
      <c r="AB66">
        <v>0</v>
      </c>
      <c r="AC66">
        <v>0</v>
      </c>
      <c r="AD66" s="107"/>
    </row>
    <row r="67" spans="1:30" ht="13.5" customHeight="1" x14ac:dyDescent="0.25">
      <c r="A67" s="107"/>
      <c r="B67" s="107"/>
      <c r="C67" s="107"/>
      <c r="D67" s="107"/>
      <c r="E67" s="107"/>
      <c r="F67" s="107"/>
      <c r="G67">
        <v>2024</v>
      </c>
      <c r="H67">
        <v>0</v>
      </c>
      <c r="I67">
        <v>0</v>
      </c>
      <c r="J67">
        <f>'[5]План реализации _ 10'!G289</f>
        <v>0</v>
      </c>
      <c r="K67">
        <v>0</v>
      </c>
      <c r="L67">
        <f>'[5]План реализации _ 10'!I289</f>
        <v>0</v>
      </c>
      <c r="M67">
        <v>2024</v>
      </c>
      <c r="N67">
        <f t="shared" si="13"/>
        <v>0</v>
      </c>
      <c r="O67">
        <f t="shared" si="14"/>
        <v>0</v>
      </c>
      <c r="P67">
        <f t="shared" si="15"/>
        <v>0</v>
      </c>
      <c r="Q67">
        <f t="shared" si="16"/>
        <v>0</v>
      </c>
      <c r="R67">
        <f t="shared" si="17"/>
        <v>0</v>
      </c>
      <c r="S67" s="107"/>
      <c r="X67">
        <v>2024</v>
      </c>
      <c r="Y67">
        <f t="shared" si="20"/>
        <v>0</v>
      </c>
      <c r="Z67">
        <v>0</v>
      </c>
      <c r="AA67">
        <v>0</v>
      </c>
      <c r="AB67">
        <v>0</v>
      </c>
      <c r="AC67">
        <v>0</v>
      </c>
      <c r="AD67" s="107"/>
    </row>
    <row r="68" spans="1:30" ht="13.5" customHeight="1" x14ac:dyDescent="0.25">
      <c r="A68" s="107"/>
      <c r="B68" s="107"/>
      <c r="C68" s="107"/>
      <c r="D68" s="107"/>
      <c r="E68" s="107"/>
      <c r="F68" s="107"/>
      <c r="G68">
        <v>2025</v>
      </c>
      <c r="H68">
        <f>SUM(I68:L68)</f>
        <v>6000</v>
      </c>
      <c r="I68">
        <f>'[5]План реализации _ 10'!F290</f>
        <v>6000</v>
      </c>
      <c r="J68">
        <f>'[5]План реализации _ 10'!G290</f>
        <v>0</v>
      </c>
      <c r="K68">
        <f>'[5]План реализации _ 10'!H290</f>
        <v>0</v>
      </c>
      <c r="L68">
        <f>'[5]План реализации _ 10'!I290</f>
        <v>0</v>
      </c>
      <c r="M68">
        <v>2025</v>
      </c>
      <c r="N68">
        <f t="shared" si="13"/>
        <v>-6000</v>
      </c>
      <c r="O68">
        <f t="shared" si="14"/>
        <v>-6000</v>
      </c>
      <c r="P68">
        <f t="shared" si="15"/>
        <v>0</v>
      </c>
      <c r="Q68">
        <f t="shared" si="16"/>
        <v>0</v>
      </c>
      <c r="R68">
        <f t="shared" si="17"/>
        <v>0</v>
      </c>
      <c r="S68" s="107"/>
      <c r="X68">
        <v>2025</v>
      </c>
      <c r="Y68">
        <f t="shared" si="20"/>
        <v>0</v>
      </c>
      <c r="Z68">
        <v>0</v>
      </c>
      <c r="AA68">
        <v>0</v>
      </c>
      <c r="AB68">
        <v>0</v>
      </c>
      <c r="AC68">
        <v>0</v>
      </c>
      <c r="AD68" s="107"/>
    </row>
    <row r="69" spans="1:30" ht="13.5" customHeight="1" x14ac:dyDescent="0.25">
      <c r="A69" s="107" t="s">
        <v>969</v>
      </c>
      <c r="B69" s="107"/>
      <c r="C69" s="107"/>
      <c r="D69" s="107"/>
      <c r="E69" s="107"/>
      <c r="F69" s="107"/>
      <c r="G69" t="s">
        <v>8</v>
      </c>
      <c r="H69">
        <f>SUM(H70:H74)</f>
        <v>0</v>
      </c>
      <c r="I69">
        <f>SUM(I70:I74)</f>
        <v>0</v>
      </c>
      <c r="J69">
        <f>'[5]План реализации _ 10'!G280</f>
        <v>0</v>
      </c>
      <c r="K69">
        <f>SUM(K70:K74)</f>
        <v>0</v>
      </c>
      <c r="L69">
        <f>'[5]План реализации _ 10'!I280</f>
        <v>0</v>
      </c>
      <c r="M69" t="s">
        <v>8</v>
      </c>
      <c r="N69">
        <f t="shared" si="13"/>
        <v>5000</v>
      </c>
      <c r="O69">
        <f t="shared" si="14"/>
        <v>4750</v>
      </c>
      <c r="P69">
        <f t="shared" si="15"/>
        <v>0</v>
      </c>
      <c r="Q69">
        <f t="shared" si="16"/>
        <v>250</v>
      </c>
      <c r="R69">
        <f t="shared" si="17"/>
        <v>0</v>
      </c>
      <c r="S69" s="107" t="s">
        <v>780</v>
      </c>
      <c r="X69" t="s">
        <v>8</v>
      </c>
      <c r="Y69">
        <f t="shared" si="20"/>
        <v>5000</v>
      </c>
      <c r="Z69">
        <f>SUM(Z70:Z74)</f>
        <v>4750</v>
      </c>
      <c r="AA69">
        <f>SUM(AA70:AA74)</f>
        <v>0</v>
      </c>
      <c r="AB69">
        <f>SUM(AB70:AB74)</f>
        <v>250</v>
      </c>
      <c r="AC69">
        <f>SUM(AC70:AC74)</f>
        <v>0</v>
      </c>
      <c r="AD69" s="107"/>
    </row>
    <row r="70" spans="1:30" ht="13.5" customHeight="1" x14ac:dyDescent="0.25">
      <c r="A70" s="107"/>
      <c r="B70" s="107"/>
      <c r="C70" s="107"/>
      <c r="D70" s="107"/>
      <c r="E70" s="107"/>
      <c r="F70" s="107"/>
      <c r="G70">
        <v>2021</v>
      </c>
      <c r="H70">
        <v>0</v>
      </c>
      <c r="I70">
        <v>0</v>
      </c>
      <c r="J70">
        <f>'[5]План реализации _ 10'!G292</f>
        <v>0</v>
      </c>
      <c r="K70">
        <v>0</v>
      </c>
      <c r="L70">
        <f>'[5]План реализации _ 10'!I292</f>
        <v>0</v>
      </c>
      <c r="M70">
        <v>2021</v>
      </c>
      <c r="N70">
        <f t="shared" si="13"/>
        <v>0</v>
      </c>
      <c r="O70">
        <f t="shared" si="14"/>
        <v>0</v>
      </c>
      <c r="P70">
        <f t="shared" si="15"/>
        <v>0</v>
      </c>
      <c r="Q70">
        <f t="shared" si="16"/>
        <v>0</v>
      </c>
      <c r="R70">
        <f t="shared" si="17"/>
        <v>0</v>
      </c>
      <c r="S70" s="107"/>
      <c r="X70">
        <v>2021</v>
      </c>
      <c r="Y70">
        <f t="shared" si="20"/>
        <v>0</v>
      </c>
      <c r="Z70">
        <v>0</v>
      </c>
      <c r="AA70">
        <v>0</v>
      </c>
      <c r="AB70">
        <v>0</v>
      </c>
      <c r="AC70">
        <v>0</v>
      </c>
      <c r="AD70" s="107"/>
    </row>
    <row r="71" spans="1:30" ht="13.5" customHeight="1" x14ac:dyDescent="0.25">
      <c r="A71" s="107"/>
      <c r="B71" s="107"/>
      <c r="C71" s="107"/>
      <c r="D71" s="107"/>
      <c r="E71" s="107"/>
      <c r="F71" s="107"/>
      <c r="G71">
        <v>2022</v>
      </c>
      <c r="H71">
        <v>0</v>
      </c>
      <c r="I71">
        <v>0</v>
      </c>
      <c r="J71">
        <f>'[5]План реализации _ 10'!G293</f>
        <v>0</v>
      </c>
      <c r="K71">
        <v>0</v>
      </c>
      <c r="L71">
        <f>'[5]План реализации _ 10'!I293</f>
        <v>0</v>
      </c>
      <c r="M71">
        <v>2022</v>
      </c>
      <c r="N71">
        <f t="shared" si="13"/>
        <v>5000</v>
      </c>
      <c r="O71">
        <f t="shared" si="14"/>
        <v>4750</v>
      </c>
      <c r="P71">
        <f t="shared" si="15"/>
        <v>0</v>
      </c>
      <c r="Q71">
        <f t="shared" si="16"/>
        <v>250</v>
      </c>
      <c r="R71">
        <f t="shared" si="17"/>
        <v>0</v>
      </c>
      <c r="S71" s="107"/>
      <c r="X71">
        <v>2022</v>
      </c>
      <c r="Y71">
        <f t="shared" si="20"/>
        <v>5000</v>
      </c>
      <c r="Z71">
        <f>4750000/1000</f>
        <v>4750</v>
      </c>
      <c r="AA71">
        <v>0</v>
      </c>
      <c r="AB71">
        <f>Z71*5%/95%</f>
        <v>250</v>
      </c>
      <c r="AC71">
        <v>0</v>
      </c>
      <c r="AD71" s="107"/>
    </row>
    <row r="72" spans="1:30" ht="13.5" customHeight="1" x14ac:dyDescent="0.25">
      <c r="A72" s="107"/>
      <c r="B72" s="107"/>
      <c r="C72" s="107"/>
      <c r="D72" s="107"/>
      <c r="E72" s="107"/>
      <c r="F72" s="107"/>
      <c r="G72">
        <v>2023</v>
      </c>
      <c r="H72">
        <v>0</v>
      </c>
      <c r="I72">
        <v>0</v>
      </c>
      <c r="J72">
        <f>'[5]План реализации _ 10'!G294</f>
        <v>0</v>
      </c>
      <c r="K72">
        <v>0</v>
      </c>
      <c r="L72">
        <f>'[5]План реализации _ 10'!I294</f>
        <v>0</v>
      </c>
      <c r="M72">
        <v>2023</v>
      </c>
      <c r="N72">
        <f t="shared" si="13"/>
        <v>0</v>
      </c>
      <c r="O72">
        <f t="shared" si="14"/>
        <v>0</v>
      </c>
      <c r="P72">
        <f t="shared" si="15"/>
        <v>0</v>
      </c>
      <c r="Q72">
        <f t="shared" si="16"/>
        <v>0</v>
      </c>
      <c r="R72">
        <f t="shared" si="17"/>
        <v>0</v>
      </c>
      <c r="S72" s="107"/>
      <c r="X72">
        <v>2023</v>
      </c>
      <c r="Y72">
        <f t="shared" si="20"/>
        <v>0</v>
      </c>
      <c r="Z72">
        <v>0</v>
      </c>
      <c r="AA72">
        <v>0</v>
      </c>
      <c r="AB72">
        <v>0</v>
      </c>
      <c r="AC72">
        <v>0</v>
      </c>
      <c r="AD72" s="107"/>
    </row>
    <row r="73" spans="1:30" ht="13.5" customHeight="1" x14ac:dyDescent="0.25">
      <c r="A73" s="107"/>
      <c r="B73" s="107"/>
      <c r="C73" s="107"/>
      <c r="D73" s="107"/>
      <c r="E73" s="107"/>
      <c r="F73" s="107"/>
      <c r="G73">
        <v>2024</v>
      </c>
      <c r="H73">
        <v>0</v>
      </c>
      <c r="I73">
        <v>0</v>
      </c>
      <c r="J73">
        <f>'[5]План реализации _ 10'!G295</f>
        <v>0</v>
      </c>
      <c r="K73">
        <v>0</v>
      </c>
      <c r="L73">
        <f>'[5]План реализации _ 10'!I295</f>
        <v>0</v>
      </c>
      <c r="M73">
        <v>2024</v>
      </c>
      <c r="N73">
        <f t="shared" si="13"/>
        <v>0</v>
      </c>
      <c r="O73">
        <f t="shared" si="14"/>
        <v>0</v>
      </c>
      <c r="P73">
        <f t="shared" si="15"/>
        <v>0</v>
      </c>
      <c r="Q73">
        <f t="shared" si="16"/>
        <v>0</v>
      </c>
      <c r="R73">
        <f t="shared" si="17"/>
        <v>0</v>
      </c>
      <c r="S73" s="107"/>
      <c r="X73">
        <v>2024</v>
      </c>
      <c r="Y73">
        <f t="shared" si="20"/>
        <v>0</v>
      </c>
      <c r="Z73">
        <v>0</v>
      </c>
      <c r="AA73">
        <v>0</v>
      </c>
      <c r="AB73">
        <v>0</v>
      </c>
      <c r="AC73">
        <v>0</v>
      </c>
      <c r="AD73" s="107"/>
    </row>
    <row r="74" spans="1:30" ht="13.5" customHeight="1" x14ac:dyDescent="0.25">
      <c r="A74" s="107"/>
      <c r="B74" s="107"/>
      <c r="C74" s="107"/>
      <c r="D74" s="107"/>
      <c r="E74" s="107"/>
      <c r="F74" s="107"/>
      <c r="G74">
        <v>2025</v>
      </c>
      <c r="H74">
        <f>SUM(I74:L74)</f>
        <v>0</v>
      </c>
      <c r="I74">
        <f>'[5]План реализации _ 10'!F296</f>
        <v>0</v>
      </c>
      <c r="J74">
        <f>'[5]План реализации _ 10'!G296</f>
        <v>0</v>
      </c>
      <c r="K74">
        <f>'[5]План реализации _ 10'!H296</f>
        <v>0</v>
      </c>
      <c r="L74">
        <f>'[5]План реализации _ 10'!I296</f>
        <v>0</v>
      </c>
      <c r="M74">
        <v>2025</v>
      </c>
      <c r="N74">
        <f t="shared" si="13"/>
        <v>0</v>
      </c>
      <c r="O74">
        <f t="shared" si="14"/>
        <v>0</v>
      </c>
      <c r="P74">
        <f t="shared" si="15"/>
        <v>0</v>
      </c>
      <c r="Q74">
        <f t="shared" si="16"/>
        <v>0</v>
      </c>
      <c r="R74">
        <f t="shared" si="17"/>
        <v>0</v>
      </c>
      <c r="S74" s="107"/>
      <c r="X74">
        <v>2025</v>
      </c>
      <c r="Y74">
        <f t="shared" si="20"/>
        <v>0</v>
      </c>
      <c r="Z74">
        <v>0</v>
      </c>
      <c r="AA74">
        <v>0</v>
      </c>
      <c r="AB74">
        <v>0</v>
      </c>
      <c r="AC74">
        <v>0</v>
      </c>
      <c r="AD74" s="107"/>
    </row>
    <row r="75" spans="1:30" ht="13.5" customHeight="1" x14ac:dyDescent="0.25">
      <c r="A75" s="107" t="s">
        <v>970</v>
      </c>
      <c r="B75" s="107"/>
      <c r="C75" s="107"/>
      <c r="D75" s="107"/>
      <c r="E75" s="107"/>
      <c r="F75" s="107"/>
      <c r="G75" t="s">
        <v>8</v>
      </c>
      <c r="H75">
        <f>SUM(H76:H80)</f>
        <v>0</v>
      </c>
      <c r="I75">
        <f>SUM(I76:I80)</f>
        <v>0</v>
      </c>
      <c r="J75">
        <f>'[5]План реализации _ 10'!G286</f>
        <v>0</v>
      </c>
      <c r="K75">
        <f>SUM(K76:K80)</f>
        <v>0</v>
      </c>
      <c r="L75">
        <f>'[5]План реализации _ 10'!I286</f>
        <v>0</v>
      </c>
      <c r="M75" t="s">
        <v>8</v>
      </c>
      <c r="N75">
        <f t="shared" si="13"/>
        <v>6717.1717171717173</v>
      </c>
      <c r="O75">
        <f t="shared" si="14"/>
        <v>6650</v>
      </c>
      <c r="P75">
        <f t="shared" si="15"/>
        <v>0</v>
      </c>
      <c r="Q75">
        <f t="shared" si="16"/>
        <v>67.171717171717177</v>
      </c>
      <c r="R75">
        <f t="shared" si="17"/>
        <v>0</v>
      </c>
      <c r="S75" s="107" t="s">
        <v>784</v>
      </c>
      <c r="X75" t="s">
        <v>8</v>
      </c>
      <c r="Y75">
        <f t="shared" si="20"/>
        <v>6717.1717171717173</v>
      </c>
      <c r="Z75">
        <f>SUM(Z76:Z80)</f>
        <v>6650</v>
      </c>
      <c r="AA75">
        <f t="shared" ref="AA75:AA81" si="22">SUM(AA76:AA80)</f>
        <v>0</v>
      </c>
      <c r="AB75">
        <f>SUM(AB76:AB80)</f>
        <v>67.171717171717177</v>
      </c>
      <c r="AC75">
        <f t="shared" ref="AC75:AC93" si="23">SUM(AC76:AC80)</f>
        <v>0</v>
      </c>
      <c r="AD75" s="107"/>
    </row>
    <row r="76" spans="1:30" ht="13.5" customHeight="1" x14ac:dyDescent="0.25">
      <c r="A76" s="107"/>
      <c r="B76" s="107"/>
      <c r="C76" s="107"/>
      <c r="D76" s="107"/>
      <c r="E76" s="107"/>
      <c r="F76" s="107"/>
      <c r="G76">
        <v>2021</v>
      </c>
      <c r="H76">
        <v>0</v>
      </c>
      <c r="I76">
        <v>0</v>
      </c>
      <c r="J76">
        <f>'[5]План реализации _ 10'!G298</f>
        <v>0</v>
      </c>
      <c r="K76">
        <v>0</v>
      </c>
      <c r="L76">
        <f>'[5]План реализации _ 10'!I298</f>
        <v>0</v>
      </c>
      <c r="M76">
        <v>2021</v>
      </c>
      <c r="N76">
        <f t="shared" si="13"/>
        <v>0</v>
      </c>
      <c r="O76">
        <f t="shared" si="14"/>
        <v>0</v>
      </c>
      <c r="P76">
        <f t="shared" si="15"/>
        <v>0</v>
      </c>
      <c r="Q76">
        <f t="shared" si="16"/>
        <v>0</v>
      </c>
      <c r="R76">
        <f t="shared" si="17"/>
        <v>0</v>
      </c>
      <c r="S76" s="107"/>
      <c r="X76">
        <v>2021</v>
      </c>
      <c r="Y76">
        <f t="shared" si="20"/>
        <v>0</v>
      </c>
      <c r="Z76">
        <v>0</v>
      </c>
      <c r="AA76">
        <f t="shared" si="22"/>
        <v>0</v>
      </c>
      <c r="AB76">
        <v>0</v>
      </c>
      <c r="AC76">
        <f t="shared" si="23"/>
        <v>0</v>
      </c>
      <c r="AD76" s="107"/>
    </row>
    <row r="77" spans="1:30" ht="13.5" customHeight="1" x14ac:dyDescent="0.25">
      <c r="A77" s="107"/>
      <c r="B77" s="107"/>
      <c r="C77" s="107"/>
      <c r="D77" s="107"/>
      <c r="E77" s="107"/>
      <c r="F77" s="107"/>
      <c r="G77">
        <v>2022</v>
      </c>
      <c r="H77">
        <v>0</v>
      </c>
      <c r="I77">
        <v>0</v>
      </c>
      <c r="J77">
        <f>'[5]План реализации _ 10'!G299</f>
        <v>0</v>
      </c>
      <c r="K77">
        <v>0</v>
      </c>
      <c r="L77">
        <f>'[5]План реализации _ 10'!I299</f>
        <v>0</v>
      </c>
      <c r="M77">
        <v>2022</v>
      </c>
      <c r="N77">
        <f t="shared" si="13"/>
        <v>6717.1717171717173</v>
      </c>
      <c r="O77">
        <f t="shared" si="14"/>
        <v>6650</v>
      </c>
      <c r="P77">
        <f t="shared" si="15"/>
        <v>0</v>
      </c>
      <c r="Q77">
        <f t="shared" si="16"/>
        <v>67.171717171717177</v>
      </c>
      <c r="R77">
        <f t="shared" si="17"/>
        <v>0</v>
      </c>
      <c r="S77" s="107"/>
      <c r="X77">
        <v>2022</v>
      </c>
      <c r="Y77">
        <f t="shared" si="20"/>
        <v>6717.1717171717173</v>
      </c>
      <c r="Z77">
        <f>6650000/1000</f>
        <v>6650</v>
      </c>
      <c r="AA77">
        <f t="shared" si="22"/>
        <v>0</v>
      </c>
      <c r="AB77">
        <f>(6650000*1%/99%)/1000</f>
        <v>67.171717171717177</v>
      </c>
      <c r="AC77">
        <f t="shared" si="23"/>
        <v>0</v>
      </c>
      <c r="AD77" s="107"/>
    </row>
    <row r="78" spans="1:30" ht="13.5" customHeight="1" x14ac:dyDescent="0.25">
      <c r="A78" s="107"/>
      <c r="B78" s="107"/>
      <c r="C78" s="107"/>
      <c r="D78" s="107"/>
      <c r="E78" s="107"/>
      <c r="F78" s="107"/>
      <c r="G78">
        <v>2023</v>
      </c>
      <c r="H78">
        <v>0</v>
      </c>
      <c r="I78">
        <v>0</v>
      </c>
      <c r="J78">
        <f>'[5]План реализации _ 10'!G300</f>
        <v>0</v>
      </c>
      <c r="K78">
        <v>0</v>
      </c>
      <c r="L78">
        <f>'[5]План реализации _ 10'!I300</f>
        <v>0</v>
      </c>
      <c r="M78">
        <v>2023</v>
      </c>
      <c r="N78">
        <f t="shared" si="13"/>
        <v>0</v>
      </c>
      <c r="O78">
        <f t="shared" si="14"/>
        <v>0</v>
      </c>
      <c r="P78">
        <f t="shared" si="15"/>
        <v>0</v>
      </c>
      <c r="Q78">
        <f t="shared" si="16"/>
        <v>0</v>
      </c>
      <c r="R78">
        <f t="shared" si="17"/>
        <v>0</v>
      </c>
      <c r="S78" s="107"/>
      <c r="X78">
        <v>2023</v>
      </c>
      <c r="Y78">
        <f t="shared" si="20"/>
        <v>0</v>
      </c>
      <c r="Z78">
        <v>0</v>
      </c>
      <c r="AA78">
        <f t="shared" si="22"/>
        <v>0</v>
      </c>
      <c r="AB78">
        <v>0</v>
      </c>
      <c r="AC78">
        <f t="shared" si="23"/>
        <v>0</v>
      </c>
      <c r="AD78" s="107"/>
    </row>
    <row r="79" spans="1:30" ht="13.5" customHeight="1" x14ac:dyDescent="0.25">
      <c r="A79" s="107"/>
      <c r="B79" s="107"/>
      <c r="C79" s="107"/>
      <c r="D79" s="107"/>
      <c r="E79" s="107"/>
      <c r="F79" s="107"/>
      <c r="G79">
        <v>2024</v>
      </c>
      <c r="H79">
        <v>0</v>
      </c>
      <c r="I79">
        <v>0</v>
      </c>
      <c r="J79">
        <f>'[5]План реализации _ 10'!G301</f>
        <v>0</v>
      </c>
      <c r="K79">
        <v>0</v>
      </c>
      <c r="L79">
        <f>'[5]План реализации _ 10'!I301</f>
        <v>0</v>
      </c>
      <c r="M79">
        <v>2024</v>
      </c>
      <c r="N79">
        <f t="shared" si="13"/>
        <v>0</v>
      </c>
      <c r="O79">
        <f t="shared" si="14"/>
        <v>0</v>
      </c>
      <c r="P79">
        <f t="shared" si="15"/>
        <v>0</v>
      </c>
      <c r="Q79">
        <f t="shared" si="16"/>
        <v>0</v>
      </c>
      <c r="R79">
        <f t="shared" si="17"/>
        <v>0</v>
      </c>
      <c r="S79" s="107"/>
      <c r="X79">
        <v>2024</v>
      </c>
      <c r="Y79">
        <f t="shared" si="20"/>
        <v>0</v>
      </c>
      <c r="Z79">
        <v>0</v>
      </c>
      <c r="AA79">
        <f t="shared" si="22"/>
        <v>0</v>
      </c>
      <c r="AB79">
        <v>0</v>
      </c>
      <c r="AC79">
        <f t="shared" si="23"/>
        <v>0</v>
      </c>
      <c r="AD79" s="107"/>
    </row>
    <row r="80" spans="1:30" ht="13.5" customHeight="1" x14ac:dyDescent="0.25">
      <c r="A80" s="107"/>
      <c r="B80" s="107"/>
      <c r="C80" s="107"/>
      <c r="D80" s="107"/>
      <c r="E80" s="107"/>
      <c r="F80" s="107"/>
      <c r="G80">
        <v>2025</v>
      </c>
      <c r="H80">
        <f>SUM(I80:L80)</f>
        <v>0</v>
      </c>
      <c r="I80">
        <f>'[5]План реализации _ 10'!F302</f>
        <v>0</v>
      </c>
      <c r="J80">
        <f>'[5]План реализации _ 10'!G302</f>
        <v>0</v>
      </c>
      <c r="K80">
        <f>'[5]План реализации _ 10'!H302</f>
        <v>0</v>
      </c>
      <c r="L80">
        <f>'[5]План реализации _ 10'!I302</f>
        <v>0</v>
      </c>
      <c r="M80">
        <v>2025</v>
      </c>
      <c r="N80">
        <f t="shared" si="13"/>
        <v>0</v>
      </c>
      <c r="O80">
        <f t="shared" si="14"/>
        <v>0</v>
      </c>
      <c r="P80">
        <f t="shared" si="15"/>
        <v>0</v>
      </c>
      <c r="Q80">
        <f t="shared" si="16"/>
        <v>0</v>
      </c>
      <c r="R80">
        <f t="shared" si="17"/>
        <v>0</v>
      </c>
      <c r="S80" s="107"/>
      <c r="X80">
        <v>2025</v>
      </c>
      <c r="Y80">
        <f t="shared" si="20"/>
        <v>0</v>
      </c>
      <c r="Z80">
        <v>0</v>
      </c>
      <c r="AA80">
        <f t="shared" si="22"/>
        <v>0</v>
      </c>
      <c r="AB80">
        <v>0</v>
      </c>
      <c r="AC80">
        <f t="shared" si="23"/>
        <v>0</v>
      </c>
      <c r="AD80" s="107"/>
    </row>
    <row r="81" spans="1:30" ht="13.5" customHeight="1" x14ac:dyDescent="0.25">
      <c r="A81" s="107" t="s">
        <v>971</v>
      </c>
      <c r="B81" s="107"/>
      <c r="C81" s="107"/>
      <c r="D81" s="107"/>
      <c r="E81" s="107"/>
      <c r="F81" s="107"/>
      <c r="G81" t="s">
        <v>8</v>
      </c>
      <c r="H81">
        <f>SUM(H82:H86)</f>
        <v>0</v>
      </c>
      <c r="I81">
        <f>SUM(I82:I86)</f>
        <v>0</v>
      </c>
      <c r="J81">
        <f>'[5]План реализации _ 10'!G292</f>
        <v>0</v>
      </c>
      <c r="K81">
        <f>SUM(K82:K86)</f>
        <v>0</v>
      </c>
      <c r="L81">
        <f>'[5]План реализации _ 10'!I292</f>
        <v>0</v>
      </c>
      <c r="M81" t="s">
        <v>8</v>
      </c>
      <c r="N81">
        <f t="shared" si="13"/>
        <v>6815.7889999999998</v>
      </c>
      <c r="O81">
        <f t="shared" si="14"/>
        <v>6475</v>
      </c>
      <c r="P81">
        <f t="shared" si="15"/>
        <v>0</v>
      </c>
      <c r="Q81">
        <f t="shared" si="16"/>
        <v>340.78899999999999</v>
      </c>
      <c r="R81">
        <f t="shared" si="17"/>
        <v>0</v>
      </c>
      <c r="S81" s="107" t="s">
        <v>787</v>
      </c>
      <c r="X81" t="s">
        <v>8</v>
      </c>
      <c r="Y81">
        <f t="shared" si="20"/>
        <v>6815.7889999999998</v>
      </c>
      <c r="Z81">
        <f>SUM(Z82:Z86)</f>
        <v>6475</v>
      </c>
      <c r="AA81">
        <f t="shared" si="22"/>
        <v>0</v>
      </c>
      <c r="AB81">
        <f>SUM(AB82:AB86)</f>
        <v>340.78899999999999</v>
      </c>
      <c r="AC81">
        <f t="shared" si="23"/>
        <v>0</v>
      </c>
      <c r="AD81" s="107"/>
    </row>
    <row r="82" spans="1:30" ht="13.5" customHeight="1" x14ac:dyDescent="0.25">
      <c r="A82" s="107"/>
      <c r="B82" s="107"/>
      <c r="C82" s="107"/>
      <c r="D82" s="107"/>
      <c r="E82" s="107"/>
      <c r="F82" s="107"/>
      <c r="G82">
        <v>2021</v>
      </c>
      <c r="H82">
        <v>0</v>
      </c>
      <c r="I82">
        <v>0</v>
      </c>
      <c r="J82">
        <f>'[5]План реализации _ 10'!G304</f>
        <v>0</v>
      </c>
      <c r="K82">
        <v>0</v>
      </c>
      <c r="L82">
        <f>'[5]План реализации _ 10'!I304</f>
        <v>0</v>
      </c>
      <c r="M82">
        <v>2021</v>
      </c>
      <c r="N82">
        <f t="shared" si="13"/>
        <v>0</v>
      </c>
      <c r="O82">
        <f t="shared" si="14"/>
        <v>0</v>
      </c>
      <c r="P82">
        <f t="shared" si="15"/>
        <v>0</v>
      </c>
      <c r="Q82">
        <f t="shared" si="16"/>
        <v>0</v>
      </c>
      <c r="R82">
        <f t="shared" si="17"/>
        <v>0</v>
      </c>
      <c r="S82" s="107"/>
      <c r="X82">
        <v>2021</v>
      </c>
      <c r="Y82">
        <f t="shared" si="20"/>
        <v>0</v>
      </c>
      <c r="Z82">
        <v>0</v>
      </c>
      <c r="AA82">
        <v>0</v>
      </c>
      <c r="AB82">
        <v>0</v>
      </c>
      <c r="AC82">
        <f t="shared" si="23"/>
        <v>0</v>
      </c>
      <c r="AD82" s="107"/>
    </row>
    <row r="83" spans="1:30" ht="13.5" customHeight="1" x14ac:dyDescent="0.25">
      <c r="A83" s="107"/>
      <c r="B83" s="107"/>
      <c r="C83" s="107"/>
      <c r="D83" s="107"/>
      <c r="E83" s="107"/>
      <c r="F83" s="107"/>
      <c r="G83">
        <v>2022</v>
      </c>
      <c r="H83">
        <v>0</v>
      </c>
      <c r="I83">
        <v>0</v>
      </c>
      <c r="J83">
        <f>'[5]План реализации _ 10'!G305</f>
        <v>0</v>
      </c>
      <c r="K83">
        <v>0</v>
      </c>
      <c r="L83">
        <f>'[5]План реализации _ 10'!I305</f>
        <v>0</v>
      </c>
      <c r="M83">
        <v>2022</v>
      </c>
      <c r="N83">
        <f t="shared" si="13"/>
        <v>6815.7889999999998</v>
      </c>
      <c r="O83">
        <f t="shared" si="14"/>
        <v>6475</v>
      </c>
      <c r="P83">
        <f t="shared" si="15"/>
        <v>0</v>
      </c>
      <c r="Q83">
        <f t="shared" si="16"/>
        <v>340.78899999999999</v>
      </c>
      <c r="R83">
        <f t="shared" si="17"/>
        <v>0</v>
      </c>
      <c r="S83" s="107"/>
      <c r="X83">
        <v>2022</v>
      </c>
      <c r="Y83">
        <f t="shared" si="20"/>
        <v>6815.7889999999998</v>
      </c>
      <c r="Z83">
        <v>6475</v>
      </c>
      <c r="AA83">
        <v>0</v>
      </c>
      <c r="AB83">
        <v>340.78899999999999</v>
      </c>
      <c r="AC83">
        <f t="shared" si="23"/>
        <v>0</v>
      </c>
      <c r="AD83" s="107"/>
    </row>
    <row r="84" spans="1:30" ht="13.5" customHeight="1" x14ac:dyDescent="0.25">
      <c r="A84" s="107"/>
      <c r="B84" s="107"/>
      <c r="C84" s="107"/>
      <c r="D84" s="107"/>
      <c r="E84" s="107"/>
      <c r="F84" s="107"/>
      <c r="G84">
        <v>2023</v>
      </c>
      <c r="H84">
        <v>0</v>
      </c>
      <c r="I84">
        <v>0</v>
      </c>
      <c r="J84">
        <f>'[5]План реализации _ 10'!G306</f>
        <v>0</v>
      </c>
      <c r="K84">
        <v>0</v>
      </c>
      <c r="L84">
        <f>'[5]План реализации _ 10'!I306</f>
        <v>0</v>
      </c>
      <c r="M84">
        <v>2023</v>
      </c>
      <c r="N84">
        <f t="shared" si="13"/>
        <v>0</v>
      </c>
      <c r="O84">
        <f t="shared" si="14"/>
        <v>0</v>
      </c>
      <c r="P84">
        <f t="shared" si="15"/>
        <v>0</v>
      </c>
      <c r="Q84">
        <f t="shared" si="16"/>
        <v>0</v>
      </c>
      <c r="R84">
        <f t="shared" si="17"/>
        <v>0</v>
      </c>
      <c r="S84" s="107"/>
      <c r="X84">
        <v>2023</v>
      </c>
      <c r="Y84">
        <f t="shared" si="20"/>
        <v>0</v>
      </c>
      <c r="Z84">
        <v>0</v>
      </c>
      <c r="AA84">
        <v>0</v>
      </c>
      <c r="AB84">
        <v>0</v>
      </c>
      <c r="AC84">
        <f t="shared" si="23"/>
        <v>0</v>
      </c>
      <c r="AD84" s="107"/>
    </row>
    <row r="85" spans="1:30" ht="13.5" customHeight="1" x14ac:dyDescent="0.25">
      <c r="A85" s="107"/>
      <c r="B85" s="107"/>
      <c r="C85" s="107"/>
      <c r="D85" s="107"/>
      <c r="E85" s="107"/>
      <c r="F85" s="107"/>
      <c r="G85">
        <v>2024</v>
      </c>
      <c r="H85">
        <v>0</v>
      </c>
      <c r="I85">
        <v>0</v>
      </c>
      <c r="J85">
        <f>'[5]План реализации _ 10'!G307</f>
        <v>0</v>
      </c>
      <c r="K85">
        <v>0</v>
      </c>
      <c r="L85">
        <f>'[5]План реализации _ 10'!I307</f>
        <v>0</v>
      </c>
      <c r="M85">
        <v>2024</v>
      </c>
      <c r="N85">
        <f t="shared" si="13"/>
        <v>0</v>
      </c>
      <c r="O85">
        <f t="shared" si="14"/>
        <v>0</v>
      </c>
      <c r="P85">
        <f t="shared" si="15"/>
        <v>0</v>
      </c>
      <c r="Q85">
        <f t="shared" si="16"/>
        <v>0</v>
      </c>
      <c r="R85">
        <f t="shared" si="17"/>
        <v>0</v>
      </c>
      <c r="S85" s="107"/>
      <c r="X85">
        <v>2024</v>
      </c>
      <c r="Y85">
        <f t="shared" si="20"/>
        <v>0</v>
      </c>
      <c r="Z85">
        <v>0</v>
      </c>
      <c r="AA85">
        <v>0</v>
      </c>
      <c r="AB85">
        <v>0</v>
      </c>
      <c r="AC85">
        <f t="shared" si="23"/>
        <v>0</v>
      </c>
      <c r="AD85" s="107"/>
    </row>
    <row r="86" spans="1:30" ht="13.5" customHeight="1" x14ac:dyDescent="0.25">
      <c r="A86" s="107"/>
      <c r="B86" s="107"/>
      <c r="C86" s="107"/>
      <c r="D86" s="107"/>
      <c r="E86" s="107"/>
      <c r="F86" s="107"/>
      <c r="G86">
        <v>2025</v>
      </c>
      <c r="H86">
        <f>SUM(I86:L86)</f>
        <v>0</v>
      </c>
      <c r="I86">
        <f>'[5]План реализации _ 10'!F308</f>
        <v>0</v>
      </c>
      <c r="J86">
        <f>'[5]План реализации _ 10'!G308</f>
        <v>0</v>
      </c>
      <c r="K86">
        <f>'[5]План реализации _ 10'!H308</f>
        <v>0</v>
      </c>
      <c r="L86">
        <f>'[5]План реализации _ 10'!I308</f>
        <v>0</v>
      </c>
      <c r="M86">
        <v>2025</v>
      </c>
      <c r="N86">
        <f t="shared" si="13"/>
        <v>0</v>
      </c>
      <c r="O86">
        <f t="shared" si="14"/>
        <v>0</v>
      </c>
      <c r="P86">
        <f t="shared" si="15"/>
        <v>0</v>
      </c>
      <c r="Q86">
        <f t="shared" si="16"/>
        <v>0</v>
      </c>
      <c r="R86">
        <f t="shared" si="17"/>
        <v>0</v>
      </c>
      <c r="S86" s="107"/>
      <c r="X86">
        <v>2025</v>
      </c>
      <c r="Y86">
        <f t="shared" si="20"/>
        <v>0</v>
      </c>
      <c r="Z86">
        <v>0</v>
      </c>
      <c r="AA86">
        <v>0</v>
      </c>
      <c r="AB86">
        <v>0</v>
      </c>
      <c r="AC86">
        <f t="shared" si="23"/>
        <v>0</v>
      </c>
      <c r="AD86" s="107"/>
    </row>
    <row r="87" spans="1:30" ht="13.5" customHeight="1" x14ac:dyDescent="0.25">
      <c r="A87" s="107" t="s">
        <v>972</v>
      </c>
      <c r="B87" s="107"/>
      <c r="C87" s="107"/>
      <c r="D87" s="107"/>
      <c r="E87" s="107"/>
      <c r="F87" s="107"/>
      <c r="G87" t="s">
        <v>8</v>
      </c>
      <c r="H87">
        <f>SUM(H88:H92)</f>
        <v>0</v>
      </c>
      <c r="I87">
        <f>SUM(I88:I92)</f>
        <v>0</v>
      </c>
      <c r="J87">
        <f>'[5]План реализации _ 10'!G298</f>
        <v>0</v>
      </c>
      <c r="K87">
        <f>SUM(K88:K92)</f>
        <v>0</v>
      </c>
      <c r="L87">
        <f>'[5]План реализации _ 10'!I298</f>
        <v>0</v>
      </c>
      <c r="M87" t="s">
        <v>8</v>
      </c>
      <c r="N87">
        <f t="shared" si="13"/>
        <v>6717.1717171717173</v>
      </c>
      <c r="O87">
        <f t="shared" si="14"/>
        <v>6650</v>
      </c>
      <c r="P87">
        <f t="shared" si="15"/>
        <v>0</v>
      </c>
      <c r="Q87">
        <f t="shared" si="16"/>
        <v>67.171717171717177</v>
      </c>
      <c r="R87">
        <f t="shared" si="17"/>
        <v>0</v>
      </c>
      <c r="S87" s="107" t="s">
        <v>790</v>
      </c>
      <c r="X87" t="s">
        <v>8</v>
      </c>
      <c r="Y87">
        <f t="shared" si="20"/>
        <v>6717.1717171717173</v>
      </c>
      <c r="Z87">
        <f>SUM(Z88:Z92)</f>
        <v>6650</v>
      </c>
      <c r="AA87">
        <v>0</v>
      </c>
      <c r="AB87">
        <f>SUM(AB88:AB92)</f>
        <v>67.171717171717177</v>
      </c>
      <c r="AC87">
        <f t="shared" si="23"/>
        <v>0</v>
      </c>
      <c r="AD87" s="107"/>
    </row>
    <row r="88" spans="1:30" ht="13.5" customHeight="1" x14ac:dyDescent="0.25">
      <c r="A88" s="107"/>
      <c r="B88" s="107"/>
      <c r="C88" s="107"/>
      <c r="D88" s="107"/>
      <c r="E88" s="107"/>
      <c r="F88" s="107"/>
      <c r="G88">
        <v>2021</v>
      </c>
      <c r="H88">
        <v>0</v>
      </c>
      <c r="I88">
        <v>0</v>
      </c>
      <c r="J88">
        <f>'[5]План реализации _ 10'!G310</f>
        <v>0</v>
      </c>
      <c r="K88">
        <v>0</v>
      </c>
      <c r="L88">
        <f>'[5]План реализации _ 10'!I310</f>
        <v>0</v>
      </c>
      <c r="M88">
        <v>2021</v>
      </c>
      <c r="N88">
        <f t="shared" si="13"/>
        <v>0</v>
      </c>
      <c r="O88">
        <f t="shared" si="14"/>
        <v>0</v>
      </c>
      <c r="P88">
        <f t="shared" si="15"/>
        <v>0</v>
      </c>
      <c r="Q88">
        <f t="shared" si="16"/>
        <v>0</v>
      </c>
      <c r="R88">
        <f t="shared" si="17"/>
        <v>0</v>
      </c>
      <c r="S88" s="107"/>
      <c r="X88">
        <v>2021</v>
      </c>
      <c r="Y88">
        <f t="shared" si="20"/>
        <v>0</v>
      </c>
      <c r="Z88">
        <v>0</v>
      </c>
      <c r="AA88">
        <v>0</v>
      </c>
      <c r="AB88">
        <v>0</v>
      </c>
      <c r="AC88">
        <f t="shared" si="23"/>
        <v>0</v>
      </c>
      <c r="AD88" s="107"/>
    </row>
    <row r="89" spans="1:30" ht="13.5" customHeight="1" x14ac:dyDescent="0.25">
      <c r="A89" s="107"/>
      <c r="B89" s="107"/>
      <c r="C89" s="107"/>
      <c r="D89" s="107"/>
      <c r="E89" s="107"/>
      <c r="F89" s="107"/>
      <c r="G89">
        <v>2022</v>
      </c>
      <c r="H89">
        <v>0</v>
      </c>
      <c r="I89">
        <v>0</v>
      </c>
      <c r="J89">
        <f>'[5]План реализации _ 10'!G311</f>
        <v>0</v>
      </c>
      <c r="K89">
        <v>0</v>
      </c>
      <c r="L89">
        <f>'[5]План реализации _ 10'!I311</f>
        <v>0</v>
      </c>
      <c r="M89">
        <v>2022</v>
      </c>
      <c r="N89">
        <f t="shared" si="13"/>
        <v>6717.1717171717173</v>
      </c>
      <c r="O89">
        <f t="shared" si="14"/>
        <v>6650</v>
      </c>
      <c r="P89">
        <f t="shared" si="15"/>
        <v>0</v>
      </c>
      <c r="Q89">
        <f t="shared" si="16"/>
        <v>67.171717171717177</v>
      </c>
      <c r="R89">
        <f t="shared" si="17"/>
        <v>0</v>
      </c>
      <c r="S89" s="107"/>
      <c r="X89">
        <v>2022</v>
      </c>
      <c r="Y89">
        <f t="shared" si="20"/>
        <v>6717.1717171717173</v>
      </c>
      <c r="Z89">
        <v>6650</v>
      </c>
      <c r="AA89">
        <v>0</v>
      </c>
      <c r="AB89">
        <f>[4]Лист1!$L$110/1000</f>
        <v>67.171717171717177</v>
      </c>
      <c r="AC89">
        <f t="shared" si="23"/>
        <v>0</v>
      </c>
      <c r="AD89" s="107"/>
    </row>
    <row r="90" spans="1:30" ht="13.5" customHeight="1" x14ac:dyDescent="0.25">
      <c r="A90" s="107"/>
      <c r="B90" s="107"/>
      <c r="C90" s="107"/>
      <c r="D90" s="107"/>
      <c r="E90" s="107"/>
      <c r="F90" s="107"/>
      <c r="G90">
        <v>2023</v>
      </c>
      <c r="H90">
        <v>0</v>
      </c>
      <c r="I90">
        <v>0</v>
      </c>
      <c r="J90">
        <f>'[5]План реализации _ 10'!G312</f>
        <v>0</v>
      </c>
      <c r="K90">
        <v>0</v>
      </c>
      <c r="L90">
        <f>'[5]План реализации _ 10'!I312</f>
        <v>0</v>
      </c>
      <c r="M90">
        <v>2023</v>
      </c>
      <c r="N90">
        <f t="shared" si="13"/>
        <v>0</v>
      </c>
      <c r="O90">
        <f t="shared" si="14"/>
        <v>0</v>
      </c>
      <c r="P90">
        <f t="shared" si="15"/>
        <v>0</v>
      </c>
      <c r="Q90">
        <f t="shared" si="16"/>
        <v>0</v>
      </c>
      <c r="R90">
        <f t="shared" si="17"/>
        <v>0</v>
      </c>
      <c r="S90" s="107"/>
      <c r="X90">
        <v>2023</v>
      </c>
      <c r="Y90">
        <f t="shared" si="20"/>
        <v>0</v>
      </c>
      <c r="Z90">
        <v>0</v>
      </c>
      <c r="AA90">
        <v>0</v>
      </c>
      <c r="AB90">
        <v>0</v>
      </c>
      <c r="AC90">
        <f t="shared" si="23"/>
        <v>0</v>
      </c>
      <c r="AD90" s="107"/>
    </row>
    <row r="91" spans="1:30" ht="13.5" customHeight="1" x14ac:dyDescent="0.25">
      <c r="A91" s="107"/>
      <c r="B91" s="107"/>
      <c r="C91" s="107"/>
      <c r="D91" s="107"/>
      <c r="E91" s="107"/>
      <c r="F91" s="107"/>
      <c r="G91">
        <v>2024</v>
      </c>
      <c r="H91">
        <v>0</v>
      </c>
      <c r="I91">
        <v>0</v>
      </c>
      <c r="J91">
        <f>'[5]План реализации _ 10'!G313</f>
        <v>0</v>
      </c>
      <c r="K91">
        <v>0</v>
      </c>
      <c r="L91">
        <f>'[5]План реализации _ 10'!I313</f>
        <v>0</v>
      </c>
      <c r="M91">
        <v>2024</v>
      </c>
      <c r="N91">
        <f t="shared" si="13"/>
        <v>0</v>
      </c>
      <c r="O91">
        <f t="shared" si="14"/>
        <v>0</v>
      </c>
      <c r="P91">
        <f t="shared" si="15"/>
        <v>0</v>
      </c>
      <c r="Q91">
        <f t="shared" si="16"/>
        <v>0</v>
      </c>
      <c r="R91">
        <f t="shared" si="17"/>
        <v>0</v>
      </c>
      <c r="S91" s="107"/>
      <c r="X91">
        <v>2024</v>
      </c>
      <c r="Y91">
        <f t="shared" si="20"/>
        <v>0</v>
      </c>
      <c r="Z91">
        <v>0</v>
      </c>
      <c r="AA91">
        <v>0</v>
      </c>
      <c r="AB91">
        <v>0</v>
      </c>
      <c r="AC91">
        <f t="shared" si="23"/>
        <v>0</v>
      </c>
      <c r="AD91" s="107"/>
    </row>
    <row r="92" spans="1:30" ht="13.5" customHeight="1" x14ac:dyDescent="0.25">
      <c r="A92" s="107"/>
      <c r="B92" s="107"/>
      <c r="C92" s="107"/>
      <c r="D92" s="107"/>
      <c r="E92" s="107"/>
      <c r="F92" s="107"/>
      <c r="G92">
        <v>2025</v>
      </c>
      <c r="H92">
        <f>SUM(I92:L92)</f>
        <v>0</v>
      </c>
      <c r="I92">
        <f>'[5]План реализации _ 10'!F314</f>
        <v>0</v>
      </c>
      <c r="J92">
        <f>'[5]План реализации _ 10'!G314</f>
        <v>0</v>
      </c>
      <c r="K92">
        <f>'[5]План реализации _ 10'!H314</f>
        <v>0</v>
      </c>
      <c r="L92">
        <f>'[5]План реализации _ 10'!I314</f>
        <v>0</v>
      </c>
      <c r="M92">
        <v>2025</v>
      </c>
      <c r="N92">
        <f t="shared" si="13"/>
        <v>0</v>
      </c>
      <c r="O92">
        <f t="shared" si="14"/>
        <v>0</v>
      </c>
      <c r="P92">
        <f t="shared" si="15"/>
        <v>0</v>
      </c>
      <c r="Q92">
        <f t="shared" si="16"/>
        <v>0</v>
      </c>
      <c r="R92">
        <f t="shared" si="17"/>
        <v>0</v>
      </c>
      <c r="S92" s="107"/>
      <c r="X92">
        <v>2025</v>
      </c>
      <c r="Y92">
        <f t="shared" si="20"/>
        <v>0</v>
      </c>
      <c r="Z92">
        <v>0</v>
      </c>
      <c r="AA92">
        <v>0</v>
      </c>
      <c r="AB92">
        <v>0</v>
      </c>
      <c r="AC92">
        <f t="shared" si="23"/>
        <v>0</v>
      </c>
      <c r="AD92" s="107"/>
    </row>
    <row r="93" spans="1:30" ht="13.5" customHeight="1" x14ac:dyDescent="0.25">
      <c r="A93" s="107" t="s">
        <v>973</v>
      </c>
      <c r="B93" s="107"/>
      <c r="C93" s="107"/>
      <c r="D93" s="107"/>
      <c r="E93" s="107"/>
      <c r="F93" s="107"/>
      <c r="G93" t="s">
        <v>8</v>
      </c>
      <c r="H93">
        <f>SUM(H94:H98)</f>
        <v>0</v>
      </c>
      <c r="I93">
        <f>SUM(I94:I98)</f>
        <v>0</v>
      </c>
      <c r="J93">
        <f>'[5]План реализации _ 10'!G304</f>
        <v>0</v>
      </c>
      <c r="K93">
        <f>SUM(K94:K98)</f>
        <v>0</v>
      </c>
      <c r="L93">
        <f>'[5]План реализации _ 10'!I304</f>
        <v>0</v>
      </c>
      <c r="M93" t="s">
        <v>8</v>
      </c>
      <c r="N93">
        <f t="shared" si="13"/>
        <v>340000</v>
      </c>
      <c r="O93">
        <f t="shared" si="14"/>
        <v>340000</v>
      </c>
      <c r="P93">
        <f t="shared" si="15"/>
        <v>0</v>
      </c>
      <c r="Q93">
        <f t="shared" si="16"/>
        <v>0</v>
      </c>
      <c r="R93">
        <f t="shared" si="17"/>
        <v>0</v>
      </c>
      <c r="S93" s="107" t="s">
        <v>791</v>
      </c>
      <c r="X93" t="s">
        <v>8</v>
      </c>
      <c r="Y93">
        <f t="shared" si="20"/>
        <v>340000</v>
      </c>
      <c r="Z93">
        <f>SUM(Z94:Z98)</f>
        <v>340000</v>
      </c>
      <c r="AA93">
        <v>0</v>
      </c>
      <c r="AB93">
        <f>SUM(AB94:AB98)</f>
        <v>0</v>
      </c>
      <c r="AC93">
        <f t="shared" si="23"/>
        <v>0</v>
      </c>
      <c r="AD93" s="107"/>
    </row>
    <row r="94" spans="1:30" ht="13.5" customHeight="1" x14ac:dyDescent="0.25">
      <c r="A94" s="107"/>
      <c r="B94" s="107"/>
      <c r="C94" s="107"/>
      <c r="D94" s="107"/>
      <c r="E94" s="107"/>
      <c r="F94" s="107"/>
      <c r="G94">
        <v>2021</v>
      </c>
      <c r="H94">
        <v>0</v>
      </c>
      <c r="I94">
        <v>0</v>
      </c>
      <c r="J94">
        <f>'[5]План реализации _ 10'!G316</f>
        <v>0</v>
      </c>
      <c r="K94">
        <v>0</v>
      </c>
      <c r="L94">
        <f>'[5]План реализации _ 10'!I316</f>
        <v>0</v>
      </c>
      <c r="M94">
        <v>2021</v>
      </c>
      <c r="N94">
        <f t="shared" ref="N94:N110" si="24">Y94-H94</f>
        <v>0</v>
      </c>
      <c r="O94">
        <f t="shared" ref="O94:O110" si="25">Z94-I94</f>
        <v>0</v>
      </c>
      <c r="P94">
        <f t="shared" ref="P94:P110" si="26">AA94-J94</f>
        <v>0</v>
      </c>
      <c r="Q94">
        <f t="shared" ref="Q94:Q110" si="27">AB94-K94</f>
        <v>0</v>
      </c>
      <c r="R94">
        <f t="shared" ref="R94:R110" si="28">AC95-L94</f>
        <v>0</v>
      </c>
      <c r="S94" s="107"/>
      <c r="X94">
        <v>2021</v>
      </c>
      <c r="Y94">
        <f t="shared" si="20"/>
        <v>0</v>
      </c>
      <c r="Z94">
        <v>0</v>
      </c>
      <c r="AA94">
        <v>0</v>
      </c>
      <c r="AB94">
        <v>0</v>
      </c>
      <c r="AC94">
        <v>0</v>
      </c>
      <c r="AD94" s="107"/>
    </row>
    <row r="95" spans="1:30" ht="13.5" customHeight="1" x14ac:dyDescent="0.25">
      <c r="A95" s="107"/>
      <c r="B95" s="107"/>
      <c r="C95" s="107"/>
      <c r="D95" s="107"/>
      <c r="E95" s="107"/>
      <c r="F95" s="107"/>
      <c r="G95">
        <v>2022</v>
      </c>
      <c r="H95">
        <v>0</v>
      </c>
      <c r="I95">
        <v>0</v>
      </c>
      <c r="J95">
        <f>'[5]План реализации _ 10'!G317</f>
        <v>0</v>
      </c>
      <c r="K95">
        <v>0</v>
      </c>
      <c r="L95">
        <f>'[5]План реализации _ 10'!I317</f>
        <v>0</v>
      </c>
      <c r="M95">
        <v>2022</v>
      </c>
      <c r="N95">
        <f t="shared" si="24"/>
        <v>50000</v>
      </c>
      <c r="O95">
        <f t="shared" si="25"/>
        <v>50000</v>
      </c>
      <c r="P95">
        <f t="shared" si="26"/>
        <v>0</v>
      </c>
      <c r="Q95">
        <f t="shared" si="27"/>
        <v>0</v>
      </c>
      <c r="R95">
        <f t="shared" si="28"/>
        <v>0</v>
      </c>
      <c r="S95" s="107"/>
      <c r="X95">
        <v>2022</v>
      </c>
      <c r="Y95">
        <f t="shared" si="20"/>
        <v>50000</v>
      </c>
      <c r="Z95">
        <v>50000</v>
      </c>
      <c r="AA95">
        <v>0</v>
      </c>
      <c r="AB95">
        <v>0</v>
      </c>
      <c r="AC95">
        <v>0</v>
      </c>
      <c r="AD95" s="107"/>
    </row>
    <row r="96" spans="1:30" ht="13.5" customHeight="1" x14ac:dyDescent="0.25">
      <c r="A96" s="107"/>
      <c r="B96" s="107"/>
      <c r="C96" s="107"/>
      <c r="D96" s="107"/>
      <c r="E96" s="107"/>
      <c r="F96" s="107"/>
      <c r="G96">
        <v>2023</v>
      </c>
      <c r="H96">
        <v>0</v>
      </c>
      <c r="I96">
        <v>0</v>
      </c>
      <c r="J96">
        <f>'[5]План реализации _ 10'!G318</f>
        <v>0</v>
      </c>
      <c r="K96">
        <v>0</v>
      </c>
      <c r="L96">
        <f>'[5]План реализации _ 10'!I318</f>
        <v>0</v>
      </c>
      <c r="M96">
        <v>2023</v>
      </c>
      <c r="N96">
        <f t="shared" si="24"/>
        <v>290000</v>
      </c>
      <c r="O96">
        <f t="shared" si="25"/>
        <v>290000</v>
      </c>
      <c r="P96">
        <f t="shared" si="26"/>
        <v>0</v>
      </c>
      <c r="Q96">
        <f t="shared" si="27"/>
        <v>0</v>
      </c>
      <c r="R96">
        <f t="shared" si="28"/>
        <v>0</v>
      </c>
      <c r="S96" s="107"/>
      <c r="X96">
        <v>2023</v>
      </c>
      <c r="Y96">
        <f t="shared" si="20"/>
        <v>290000</v>
      </c>
      <c r="Z96">
        <v>290000</v>
      </c>
      <c r="AA96">
        <v>0</v>
      </c>
      <c r="AB96">
        <v>0</v>
      </c>
      <c r="AC96">
        <v>0</v>
      </c>
      <c r="AD96" s="107"/>
    </row>
    <row r="97" spans="1:30" ht="13.5" customHeight="1" x14ac:dyDescent="0.25">
      <c r="A97" s="107"/>
      <c r="B97" s="107"/>
      <c r="C97" s="107"/>
      <c r="D97" s="107"/>
      <c r="E97" s="107"/>
      <c r="F97" s="107"/>
      <c r="G97">
        <v>2024</v>
      </c>
      <c r="H97">
        <v>0</v>
      </c>
      <c r="I97">
        <v>0</v>
      </c>
      <c r="J97">
        <f>'[5]План реализации _ 10'!G319</f>
        <v>0</v>
      </c>
      <c r="K97">
        <v>0</v>
      </c>
      <c r="L97">
        <f>'[5]План реализации _ 10'!I319</f>
        <v>0</v>
      </c>
      <c r="M97">
        <v>2024</v>
      </c>
      <c r="N97">
        <f t="shared" si="24"/>
        <v>0</v>
      </c>
      <c r="O97">
        <f t="shared" si="25"/>
        <v>0</v>
      </c>
      <c r="P97">
        <f t="shared" si="26"/>
        <v>0</v>
      </c>
      <c r="Q97">
        <f t="shared" si="27"/>
        <v>0</v>
      </c>
      <c r="R97">
        <f t="shared" si="28"/>
        <v>0</v>
      </c>
      <c r="S97" s="107"/>
      <c r="X97">
        <v>2024</v>
      </c>
      <c r="Y97">
        <f t="shared" si="20"/>
        <v>0</v>
      </c>
      <c r="Z97">
        <v>0</v>
      </c>
      <c r="AA97">
        <v>0</v>
      </c>
      <c r="AB97">
        <v>0</v>
      </c>
      <c r="AC97">
        <v>0</v>
      </c>
      <c r="AD97" s="107"/>
    </row>
    <row r="98" spans="1:30" ht="13.5" customHeight="1" x14ac:dyDescent="0.25">
      <c r="A98" s="107"/>
      <c r="B98" s="107"/>
      <c r="C98" s="107"/>
      <c r="D98" s="107"/>
      <c r="E98" s="107"/>
      <c r="F98" s="107"/>
      <c r="G98">
        <v>2025</v>
      </c>
      <c r="H98">
        <f>SUM(I98:L98)</f>
        <v>0</v>
      </c>
      <c r="I98">
        <f>'[5]План реализации _ 10'!F320</f>
        <v>0</v>
      </c>
      <c r="J98">
        <f>'[5]План реализации _ 10'!G320</f>
        <v>0</v>
      </c>
      <c r="K98">
        <f>'[5]План реализации _ 10'!H320</f>
        <v>0</v>
      </c>
      <c r="L98">
        <f>'[5]План реализации _ 10'!I320</f>
        <v>0</v>
      </c>
      <c r="M98">
        <v>2025</v>
      </c>
      <c r="N98">
        <f t="shared" si="24"/>
        <v>0</v>
      </c>
      <c r="O98">
        <f t="shared" si="25"/>
        <v>0</v>
      </c>
      <c r="P98">
        <f t="shared" si="26"/>
        <v>0</v>
      </c>
      <c r="Q98">
        <f t="shared" si="27"/>
        <v>0</v>
      </c>
      <c r="R98">
        <f t="shared" si="28"/>
        <v>0</v>
      </c>
      <c r="S98" s="107"/>
      <c r="X98">
        <v>2025</v>
      </c>
      <c r="Y98">
        <f t="shared" si="20"/>
        <v>0</v>
      </c>
      <c r="Z98">
        <v>0</v>
      </c>
      <c r="AA98">
        <v>0</v>
      </c>
      <c r="AB98">
        <v>0</v>
      </c>
      <c r="AC98">
        <v>0</v>
      </c>
      <c r="AD98" s="107"/>
    </row>
    <row r="99" spans="1:30" ht="13.5" customHeight="1" x14ac:dyDescent="0.25">
      <c r="A99" s="107" t="s">
        <v>974</v>
      </c>
      <c r="B99" s="107"/>
      <c r="C99" s="107"/>
      <c r="D99" s="107"/>
      <c r="E99" s="107"/>
      <c r="F99" s="107"/>
      <c r="G99" t="s">
        <v>8</v>
      </c>
      <c r="H99">
        <f>SUM(H100:H104)</f>
        <v>0</v>
      </c>
      <c r="I99">
        <f>SUM(I100:I104)</f>
        <v>0</v>
      </c>
      <c r="J99">
        <f>'[5]План реализации _ 10'!G310</f>
        <v>0</v>
      </c>
      <c r="K99">
        <f>SUM(K100:K104)</f>
        <v>0</v>
      </c>
      <c r="L99">
        <f>'[5]План реализации _ 10'!I310</f>
        <v>0</v>
      </c>
      <c r="M99" t="s">
        <v>8</v>
      </c>
      <c r="N99">
        <f t="shared" si="24"/>
        <v>98000</v>
      </c>
      <c r="O99">
        <f t="shared" si="25"/>
        <v>98000</v>
      </c>
      <c r="P99">
        <f t="shared" si="26"/>
        <v>0</v>
      </c>
      <c r="Q99">
        <f t="shared" si="27"/>
        <v>0</v>
      </c>
      <c r="R99">
        <f t="shared" si="28"/>
        <v>0</v>
      </c>
      <c r="S99" s="107" t="s">
        <v>793</v>
      </c>
      <c r="X99" t="s">
        <v>8</v>
      </c>
      <c r="Y99">
        <f t="shared" si="20"/>
        <v>98000</v>
      </c>
      <c r="Z99">
        <f>SUM(Z100:Z104)</f>
        <v>98000</v>
      </c>
      <c r="AA99">
        <f>SUM(AA100:AA104)</f>
        <v>0</v>
      </c>
      <c r="AB99">
        <f>SUM(AB100:AB104)</f>
        <v>0</v>
      </c>
      <c r="AC99">
        <f>SUM(AC100:AC104)</f>
        <v>0</v>
      </c>
      <c r="AD99" s="107"/>
    </row>
    <row r="100" spans="1:30" ht="13.5" customHeight="1" x14ac:dyDescent="0.25">
      <c r="A100" s="107"/>
      <c r="B100" s="107"/>
      <c r="C100" s="107"/>
      <c r="D100" s="107"/>
      <c r="E100" s="107"/>
      <c r="F100" s="107"/>
      <c r="G100">
        <v>2021</v>
      </c>
      <c r="H100">
        <v>0</v>
      </c>
      <c r="I100">
        <v>0</v>
      </c>
      <c r="J100">
        <f>'[5]План реализации _ 10'!G322</f>
        <v>0</v>
      </c>
      <c r="K100">
        <v>0</v>
      </c>
      <c r="L100">
        <f>'[5]План реализации _ 10'!I322</f>
        <v>0</v>
      </c>
      <c r="M100">
        <v>2021</v>
      </c>
      <c r="N100">
        <f t="shared" si="24"/>
        <v>0</v>
      </c>
      <c r="O100">
        <f t="shared" si="25"/>
        <v>0</v>
      </c>
      <c r="P100">
        <f t="shared" si="26"/>
        <v>0</v>
      </c>
      <c r="Q100">
        <f t="shared" si="27"/>
        <v>0</v>
      </c>
      <c r="R100">
        <f t="shared" si="28"/>
        <v>0</v>
      </c>
      <c r="S100" s="107"/>
      <c r="X100">
        <v>2021</v>
      </c>
      <c r="Y100">
        <f t="shared" si="20"/>
        <v>0</v>
      </c>
      <c r="Z100">
        <v>0</v>
      </c>
      <c r="AA100">
        <v>0</v>
      </c>
      <c r="AB100">
        <v>0</v>
      </c>
      <c r="AC100">
        <v>0</v>
      </c>
      <c r="AD100" s="107"/>
    </row>
    <row r="101" spans="1:30" ht="13.5" customHeight="1" x14ac:dyDescent="0.25">
      <c r="A101" s="107"/>
      <c r="B101" s="107"/>
      <c r="C101" s="107"/>
      <c r="D101" s="107"/>
      <c r="E101" s="107"/>
      <c r="F101" s="107"/>
      <c r="G101">
        <v>2022</v>
      </c>
      <c r="H101">
        <v>0</v>
      </c>
      <c r="I101">
        <v>0</v>
      </c>
      <c r="J101">
        <f>'[5]План реализации _ 10'!G323</f>
        <v>0</v>
      </c>
      <c r="K101">
        <v>0</v>
      </c>
      <c r="L101">
        <f>'[5]План реализации _ 10'!I323</f>
        <v>0</v>
      </c>
      <c r="M101">
        <v>2022</v>
      </c>
      <c r="N101">
        <f t="shared" si="24"/>
        <v>98000</v>
      </c>
      <c r="O101">
        <f t="shared" si="25"/>
        <v>98000</v>
      </c>
      <c r="P101">
        <f t="shared" si="26"/>
        <v>0</v>
      </c>
      <c r="Q101">
        <f t="shared" si="27"/>
        <v>0</v>
      </c>
      <c r="R101">
        <f t="shared" si="28"/>
        <v>0</v>
      </c>
      <c r="S101" s="107"/>
      <c r="X101">
        <v>2022</v>
      </c>
      <c r="Y101">
        <f t="shared" ref="Y101:Y104" si="29">SUM(Z101:AC101)</f>
        <v>98000</v>
      </c>
      <c r="Z101">
        <v>98000</v>
      </c>
      <c r="AA101">
        <v>0</v>
      </c>
      <c r="AB101">
        <v>0</v>
      </c>
      <c r="AC101">
        <v>0</v>
      </c>
      <c r="AD101" s="107"/>
    </row>
    <row r="102" spans="1:30" ht="13.5" customHeight="1" x14ac:dyDescent="0.25">
      <c r="A102" s="107"/>
      <c r="B102" s="107"/>
      <c r="C102" s="107"/>
      <c r="D102" s="107"/>
      <c r="E102" s="107"/>
      <c r="F102" s="107"/>
      <c r="G102">
        <v>2023</v>
      </c>
      <c r="H102">
        <v>0</v>
      </c>
      <c r="I102">
        <v>0</v>
      </c>
      <c r="J102">
        <f>'[5]План реализации _ 10'!G324</f>
        <v>0</v>
      </c>
      <c r="K102">
        <v>0</v>
      </c>
      <c r="L102">
        <f>'[5]План реализации _ 10'!I324</f>
        <v>0</v>
      </c>
      <c r="M102">
        <v>2023</v>
      </c>
      <c r="N102">
        <f t="shared" si="24"/>
        <v>0</v>
      </c>
      <c r="O102">
        <f t="shared" si="25"/>
        <v>0</v>
      </c>
      <c r="P102">
        <f t="shared" si="26"/>
        <v>0</v>
      </c>
      <c r="Q102">
        <f t="shared" si="27"/>
        <v>0</v>
      </c>
      <c r="R102">
        <f t="shared" si="28"/>
        <v>0</v>
      </c>
      <c r="S102" s="107"/>
      <c r="X102">
        <v>2023</v>
      </c>
      <c r="Y102">
        <f t="shared" si="29"/>
        <v>0</v>
      </c>
      <c r="Z102">
        <v>0</v>
      </c>
      <c r="AA102">
        <v>0</v>
      </c>
      <c r="AB102">
        <v>0</v>
      </c>
      <c r="AC102">
        <v>0</v>
      </c>
      <c r="AD102" s="107"/>
    </row>
    <row r="103" spans="1:30" ht="13.5" customHeight="1" x14ac:dyDescent="0.25">
      <c r="A103" s="107"/>
      <c r="B103" s="107"/>
      <c r="C103" s="107"/>
      <c r="D103" s="107"/>
      <c r="E103" s="107"/>
      <c r="F103" s="107"/>
      <c r="G103">
        <v>2024</v>
      </c>
      <c r="H103">
        <v>0</v>
      </c>
      <c r="I103">
        <v>0</v>
      </c>
      <c r="J103">
        <f>'[5]План реализации _ 10'!G325</f>
        <v>0</v>
      </c>
      <c r="K103">
        <v>0</v>
      </c>
      <c r="L103">
        <f>'[5]План реализации _ 10'!I325</f>
        <v>0</v>
      </c>
      <c r="M103">
        <v>2024</v>
      </c>
      <c r="N103">
        <f t="shared" si="24"/>
        <v>0</v>
      </c>
      <c r="O103">
        <f t="shared" si="25"/>
        <v>0</v>
      </c>
      <c r="P103">
        <f t="shared" si="26"/>
        <v>0</v>
      </c>
      <c r="Q103">
        <f t="shared" si="27"/>
        <v>0</v>
      </c>
      <c r="R103">
        <f t="shared" si="28"/>
        <v>0</v>
      </c>
      <c r="S103" s="107"/>
      <c r="X103">
        <v>2024</v>
      </c>
      <c r="Y103">
        <f t="shared" si="29"/>
        <v>0</v>
      </c>
      <c r="Z103">
        <v>0</v>
      </c>
      <c r="AA103">
        <v>0</v>
      </c>
      <c r="AB103">
        <v>0</v>
      </c>
      <c r="AC103">
        <v>0</v>
      </c>
      <c r="AD103" s="107"/>
    </row>
    <row r="104" spans="1:30" ht="13.5" customHeight="1" x14ac:dyDescent="0.25">
      <c r="A104" s="107"/>
      <c r="B104" s="107"/>
      <c r="C104" s="107"/>
      <c r="D104" s="107"/>
      <c r="E104" s="107"/>
      <c r="F104" s="107"/>
      <c r="G104">
        <v>2025</v>
      </c>
      <c r="H104">
        <f>SUM(I104:L104)</f>
        <v>0</v>
      </c>
      <c r="I104">
        <f>'[5]План реализации _ 10'!F326</f>
        <v>0</v>
      </c>
      <c r="J104">
        <f>'[5]План реализации _ 10'!G326</f>
        <v>0</v>
      </c>
      <c r="K104">
        <f>'[5]План реализации _ 10'!H326</f>
        <v>0</v>
      </c>
      <c r="L104">
        <f>'[5]План реализации _ 10'!I326</f>
        <v>0</v>
      </c>
      <c r="M104">
        <v>2025</v>
      </c>
      <c r="N104">
        <f t="shared" si="24"/>
        <v>0</v>
      </c>
      <c r="O104">
        <f t="shared" si="25"/>
        <v>0</v>
      </c>
      <c r="P104">
        <f t="shared" si="26"/>
        <v>0</v>
      </c>
      <c r="Q104">
        <f t="shared" si="27"/>
        <v>0</v>
      </c>
      <c r="R104">
        <f t="shared" si="28"/>
        <v>0</v>
      </c>
      <c r="S104" s="107"/>
      <c r="X104">
        <v>2025</v>
      </c>
      <c r="Y104">
        <f t="shared" si="29"/>
        <v>0</v>
      </c>
      <c r="Z104">
        <v>0</v>
      </c>
      <c r="AA104">
        <v>0</v>
      </c>
      <c r="AB104">
        <v>0</v>
      </c>
      <c r="AC104">
        <v>0</v>
      </c>
      <c r="AD104" s="107"/>
    </row>
    <row r="105" spans="1:30" ht="13.5" customHeight="1" x14ac:dyDescent="0.25">
      <c r="A105" s="107" t="s">
        <v>975</v>
      </c>
      <c r="B105" s="107"/>
      <c r="C105" s="107"/>
      <c r="D105" s="107"/>
      <c r="E105" s="107"/>
      <c r="F105" s="107"/>
      <c r="G105" t="s">
        <v>8</v>
      </c>
      <c r="H105">
        <f>SUM(H106:H110)</f>
        <v>0</v>
      </c>
      <c r="I105">
        <f>SUM(I106:I110)</f>
        <v>0</v>
      </c>
      <c r="J105">
        <f>'[5]План реализации _ 10'!G316</f>
        <v>0</v>
      </c>
      <c r="K105">
        <f>SUM(K106:K110)</f>
        <v>0</v>
      </c>
      <c r="L105">
        <f>'[5]План реализации _ 10'!I316</f>
        <v>0</v>
      </c>
      <c r="M105" t="s">
        <v>8</v>
      </c>
      <c r="N105">
        <f t="shared" si="24"/>
        <v>5405.3319999999994</v>
      </c>
      <c r="O105">
        <f t="shared" si="25"/>
        <v>5135.0659999999998</v>
      </c>
      <c r="P105">
        <f t="shared" si="26"/>
        <v>0</v>
      </c>
      <c r="Q105">
        <f t="shared" si="27"/>
        <v>270.26600000000002</v>
      </c>
      <c r="R105">
        <f t="shared" si="28"/>
        <v>0</v>
      </c>
      <c r="S105" s="107" t="s">
        <v>796</v>
      </c>
      <c r="X105" t="s">
        <v>8</v>
      </c>
      <c r="Y105">
        <f t="shared" ref="Y105:Y110" si="30">SUM(Z105:AC105)</f>
        <v>5405.3319999999994</v>
      </c>
      <c r="Z105">
        <f>SUM(Z106:Z110)</f>
        <v>5135.0659999999998</v>
      </c>
      <c r="AA105">
        <f t="shared" ref="AA105:AA110" si="31">SUM(AA106:AA110)</f>
        <v>0</v>
      </c>
      <c r="AB105">
        <f>SUM(AB106:AB110)</f>
        <v>270.26600000000002</v>
      </c>
      <c r="AC105">
        <f t="shared" ref="AC105:AC110" si="32">SUM(AC106:AC110)</f>
        <v>0</v>
      </c>
      <c r="AD105" s="107"/>
    </row>
    <row r="106" spans="1:30" ht="13.5" customHeight="1" x14ac:dyDescent="0.25">
      <c r="A106" s="107"/>
      <c r="B106" s="107"/>
      <c r="C106" s="107"/>
      <c r="D106" s="107"/>
      <c r="E106" s="107"/>
      <c r="F106" s="107"/>
      <c r="G106">
        <v>2021</v>
      </c>
      <c r="H106">
        <v>0</v>
      </c>
      <c r="I106">
        <v>0</v>
      </c>
      <c r="J106">
        <f>'[5]План реализации _ 10'!G328</f>
        <v>0</v>
      </c>
      <c r="K106">
        <v>0</v>
      </c>
      <c r="L106">
        <f>'[5]План реализации _ 10'!I328</f>
        <v>0</v>
      </c>
      <c r="M106">
        <v>2021</v>
      </c>
      <c r="N106">
        <f t="shared" si="24"/>
        <v>0</v>
      </c>
      <c r="O106">
        <f t="shared" si="25"/>
        <v>0</v>
      </c>
      <c r="P106">
        <f t="shared" si="26"/>
        <v>0</v>
      </c>
      <c r="Q106">
        <f t="shared" si="27"/>
        <v>0</v>
      </c>
      <c r="R106">
        <f t="shared" si="28"/>
        <v>0</v>
      </c>
      <c r="S106" s="107"/>
      <c r="X106">
        <v>2021</v>
      </c>
      <c r="Y106">
        <f t="shared" si="30"/>
        <v>0</v>
      </c>
      <c r="Z106">
        <v>0</v>
      </c>
      <c r="AA106">
        <f t="shared" si="31"/>
        <v>0</v>
      </c>
      <c r="AC106">
        <f t="shared" si="32"/>
        <v>0</v>
      </c>
      <c r="AD106" s="107"/>
    </row>
    <row r="107" spans="1:30" ht="13.5" customHeight="1" x14ac:dyDescent="0.25">
      <c r="A107" s="107"/>
      <c r="B107" s="107"/>
      <c r="C107" s="107"/>
      <c r="D107" s="107"/>
      <c r="E107" s="107"/>
      <c r="F107" s="107"/>
      <c r="G107">
        <v>2022</v>
      </c>
      <c r="H107">
        <v>0</v>
      </c>
      <c r="I107">
        <v>0</v>
      </c>
      <c r="J107">
        <f>'[5]План реализации _ 10'!G329</f>
        <v>0</v>
      </c>
      <c r="K107">
        <v>0</v>
      </c>
      <c r="L107">
        <f>'[5]План реализации _ 10'!I329</f>
        <v>0</v>
      </c>
      <c r="M107">
        <v>2022</v>
      </c>
      <c r="N107">
        <f t="shared" si="24"/>
        <v>5405.3319999999994</v>
      </c>
      <c r="O107">
        <f t="shared" si="25"/>
        <v>5135.0659999999998</v>
      </c>
      <c r="P107">
        <f t="shared" si="26"/>
        <v>0</v>
      </c>
      <c r="Q107">
        <f t="shared" si="27"/>
        <v>270.26600000000002</v>
      </c>
      <c r="R107">
        <f t="shared" si="28"/>
        <v>0</v>
      </c>
      <c r="S107" s="107"/>
      <c r="X107">
        <v>2022</v>
      </c>
      <c r="Y107">
        <f t="shared" si="30"/>
        <v>5405.3319999999994</v>
      </c>
      <c r="Z107">
        <v>5135.0659999999998</v>
      </c>
      <c r="AA107">
        <f t="shared" si="31"/>
        <v>0</v>
      </c>
      <c r="AB107">
        <v>270.26600000000002</v>
      </c>
      <c r="AC107">
        <f t="shared" si="32"/>
        <v>0</v>
      </c>
      <c r="AD107" s="107"/>
    </row>
    <row r="108" spans="1:30" ht="13.5" customHeight="1" x14ac:dyDescent="0.25">
      <c r="A108" s="107"/>
      <c r="B108" s="107"/>
      <c r="C108" s="107"/>
      <c r="D108" s="107"/>
      <c r="E108" s="107"/>
      <c r="F108" s="107"/>
      <c r="G108">
        <v>2023</v>
      </c>
      <c r="H108">
        <v>0</v>
      </c>
      <c r="I108">
        <v>0</v>
      </c>
      <c r="J108">
        <f>'[5]План реализации _ 10'!G330</f>
        <v>0</v>
      </c>
      <c r="K108">
        <v>0</v>
      </c>
      <c r="L108">
        <f>'[5]План реализации _ 10'!I330</f>
        <v>0</v>
      </c>
      <c r="M108">
        <v>2023</v>
      </c>
      <c r="N108">
        <f t="shared" si="24"/>
        <v>0</v>
      </c>
      <c r="O108">
        <f t="shared" si="25"/>
        <v>0</v>
      </c>
      <c r="P108">
        <f t="shared" si="26"/>
        <v>0</v>
      </c>
      <c r="Q108">
        <f t="shared" si="27"/>
        <v>0</v>
      </c>
      <c r="R108">
        <f t="shared" si="28"/>
        <v>0</v>
      </c>
      <c r="S108" s="107"/>
      <c r="X108">
        <v>2023</v>
      </c>
      <c r="Y108">
        <f t="shared" si="30"/>
        <v>0</v>
      </c>
      <c r="Z108">
        <v>0</v>
      </c>
      <c r="AA108">
        <f t="shared" si="31"/>
        <v>0</v>
      </c>
      <c r="AC108">
        <f t="shared" si="32"/>
        <v>0</v>
      </c>
      <c r="AD108" s="107"/>
    </row>
    <row r="109" spans="1:30" ht="13.5" customHeight="1" x14ac:dyDescent="0.25">
      <c r="A109" s="107"/>
      <c r="B109" s="107"/>
      <c r="C109" s="107"/>
      <c r="D109" s="107"/>
      <c r="E109" s="107"/>
      <c r="F109" s="107"/>
      <c r="G109">
        <v>2024</v>
      </c>
      <c r="H109">
        <v>0</v>
      </c>
      <c r="I109">
        <v>0</v>
      </c>
      <c r="J109">
        <f>'[5]План реализации _ 10'!G331</f>
        <v>0</v>
      </c>
      <c r="K109">
        <v>0</v>
      </c>
      <c r="L109">
        <f>'[5]План реализации _ 10'!I331</f>
        <v>0</v>
      </c>
      <c r="M109">
        <v>2024</v>
      </c>
      <c r="N109">
        <f t="shared" si="24"/>
        <v>0</v>
      </c>
      <c r="O109">
        <f t="shared" si="25"/>
        <v>0</v>
      </c>
      <c r="P109">
        <f t="shared" si="26"/>
        <v>0</v>
      </c>
      <c r="Q109">
        <f t="shared" si="27"/>
        <v>0</v>
      </c>
      <c r="R109">
        <f t="shared" si="28"/>
        <v>0</v>
      </c>
      <c r="S109" s="107"/>
      <c r="X109">
        <v>2024</v>
      </c>
      <c r="Y109">
        <f t="shared" si="30"/>
        <v>0</v>
      </c>
      <c r="Z109">
        <v>0</v>
      </c>
      <c r="AA109">
        <f t="shared" si="31"/>
        <v>0</v>
      </c>
      <c r="AC109">
        <f t="shared" si="32"/>
        <v>0</v>
      </c>
      <c r="AD109" s="107"/>
    </row>
    <row r="110" spans="1:30" ht="13.5" customHeight="1" x14ac:dyDescent="0.25">
      <c r="A110" s="107"/>
      <c r="B110" s="107"/>
      <c r="C110" s="107"/>
      <c r="D110" s="107"/>
      <c r="E110" s="107"/>
      <c r="F110" s="107"/>
      <c r="G110">
        <v>2025</v>
      </c>
      <c r="H110">
        <f>SUM(I110:L110)</f>
        <v>0</v>
      </c>
      <c r="I110">
        <f>'[5]План реализации _ 10'!F332</f>
        <v>0</v>
      </c>
      <c r="J110">
        <f>'[5]План реализации _ 10'!G332</f>
        <v>0</v>
      </c>
      <c r="K110">
        <f>'[5]План реализации _ 10'!H332</f>
        <v>0</v>
      </c>
      <c r="L110">
        <f>'[5]План реализации _ 10'!I332</f>
        <v>0</v>
      </c>
      <c r="M110">
        <v>2025</v>
      </c>
      <c r="N110">
        <f t="shared" si="24"/>
        <v>0</v>
      </c>
      <c r="O110">
        <f t="shared" si="25"/>
        <v>0</v>
      </c>
      <c r="P110">
        <f t="shared" si="26"/>
        <v>0</v>
      </c>
      <c r="Q110">
        <f t="shared" si="27"/>
        <v>0</v>
      </c>
      <c r="R110">
        <f t="shared" si="28"/>
        <v>0</v>
      </c>
      <c r="S110" s="107"/>
      <c r="X110">
        <v>2025</v>
      </c>
      <c r="Y110">
        <f t="shared" si="30"/>
        <v>0</v>
      </c>
      <c r="Z110">
        <v>0</v>
      </c>
      <c r="AA110">
        <f t="shared" si="31"/>
        <v>0</v>
      </c>
      <c r="AC110">
        <f t="shared" si="32"/>
        <v>0</v>
      </c>
      <c r="AD110" s="107"/>
    </row>
  </sheetData>
  <mergeCells count="147">
    <mergeCell ref="A105:A110"/>
    <mergeCell ref="B105:B110"/>
    <mergeCell ref="C105:C110"/>
    <mergeCell ref="D105:D110"/>
    <mergeCell ref="E105:E110"/>
    <mergeCell ref="F105:F110"/>
    <mergeCell ref="S105:S110"/>
    <mergeCell ref="AD105:AD110"/>
    <mergeCell ref="A93:A98"/>
    <mergeCell ref="B93:B98"/>
    <mergeCell ref="C93:C98"/>
    <mergeCell ref="D93:D98"/>
    <mergeCell ref="E93:E98"/>
    <mergeCell ref="F93:F98"/>
    <mergeCell ref="S93:S98"/>
    <mergeCell ref="AD93:AD98"/>
    <mergeCell ref="A99:A104"/>
    <mergeCell ref="B99:B104"/>
    <mergeCell ref="C99:C104"/>
    <mergeCell ref="D99:D104"/>
    <mergeCell ref="E99:E104"/>
    <mergeCell ref="F99:F104"/>
    <mergeCell ref="S99:S104"/>
    <mergeCell ref="AD99:AD104"/>
    <mergeCell ref="A81:A86"/>
    <mergeCell ref="B81:B86"/>
    <mergeCell ref="C81:C86"/>
    <mergeCell ref="D81:D86"/>
    <mergeCell ref="E81:E86"/>
    <mergeCell ref="F81:F86"/>
    <mergeCell ref="S81:S86"/>
    <mergeCell ref="AD81:AD86"/>
    <mergeCell ref="A87:A92"/>
    <mergeCell ref="B87:B92"/>
    <mergeCell ref="C87:C92"/>
    <mergeCell ref="D87:D92"/>
    <mergeCell ref="E87:E92"/>
    <mergeCell ref="F87:F92"/>
    <mergeCell ref="S87:S92"/>
    <mergeCell ref="AD87:AD92"/>
    <mergeCell ref="A69:A74"/>
    <mergeCell ref="B69:B74"/>
    <mergeCell ref="C69:C74"/>
    <mergeCell ref="D69:D74"/>
    <mergeCell ref="E69:E74"/>
    <mergeCell ref="F69:F74"/>
    <mergeCell ref="S69:S74"/>
    <mergeCell ref="AD69:AD74"/>
    <mergeCell ref="A75:A80"/>
    <mergeCell ref="B75:B80"/>
    <mergeCell ref="C75:C80"/>
    <mergeCell ref="D75:D80"/>
    <mergeCell ref="E75:E80"/>
    <mergeCell ref="F75:F80"/>
    <mergeCell ref="S75:S80"/>
    <mergeCell ref="AD75:AD80"/>
    <mergeCell ref="A57:A62"/>
    <mergeCell ref="B57:B62"/>
    <mergeCell ref="C57:C62"/>
    <mergeCell ref="D57:D62"/>
    <mergeCell ref="E57:E62"/>
    <mergeCell ref="F57:F62"/>
    <mergeCell ref="S57:S62"/>
    <mergeCell ref="AD57:AD62"/>
    <mergeCell ref="A63:A68"/>
    <mergeCell ref="B63:B68"/>
    <mergeCell ref="C63:C68"/>
    <mergeCell ref="D63:D68"/>
    <mergeCell ref="E63:E68"/>
    <mergeCell ref="F63:F68"/>
    <mergeCell ref="S63:S68"/>
    <mergeCell ref="AD63:AD68"/>
    <mergeCell ref="A42:A47"/>
    <mergeCell ref="B42:B47"/>
    <mergeCell ref="C42:C47"/>
    <mergeCell ref="D42:D47"/>
    <mergeCell ref="E42:E47"/>
    <mergeCell ref="F42:F47"/>
    <mergeCell ref="S42:S47"/>
    <mergeCell ref="AD42:AD47"/>
    <mergeCell ref="A48:A56"/>
    <mergeCell ref="B48:B56"/>
    <mergeCell ref="C48:C56"/>
    <mergeCell ref="D48:D56"/>
    <mergeCell ref="E48:E56"/>
    <mergeCell ref="F48:F56"/>
    <mergeCell ref="S48:S56"/>
    <mergeCell ref="AD48:AD56"/>
    <mergeCell ref="A29:A35"/>
    <mergeCell ref="B29:B35"/>
    <mergeCell ref="C29:C35"/>
    <mergeCell ref="D29:D35"/>
    <mergeCell ref="E29:E35"/>
    <mergeCell ref="F29:F35"/>
    <mergeCell ref="S29:S35"/>
    <mergeCell ref="AD29:AD35"/>
    <mergeCell ref="A36:A41"/>
    <mergeCell ref="B36:B41"/>
    <mergeCell ref="C36:C41"/>
    <mergeCell ref="D36:D41"/>
    <mergeCell ref="E36:E41"/>
    <mergeCell ref="F36:F41"/>
    <mergeCell ref="S36:S41"/>
    <mergeCell ref="AD36:AD41"/>
    <mergeCell ref="A18:A22"/>
    <mergeCell ref="B18:B22"/>
    <mergeCell ref="C18:C22"/>
    <mergeCell ref="D18:D22"/>
    <mergeCell ref="E18:E22"/>
    <mergeCell ref="F18:F22"/>
    <mergeCell ref="S18:S22"/>
    <mergeCell ref="AD18:AD22"/>
    <mergeCell ref="A23:A28"/>
    <mergeCell ref="B23:B28"/>
    <mergeCell ref="C23:C28"/>
    <mergeCell ref="D23:D28"/>
    <mergeCell ref="E23:E28"/>
    <mergeCell ref="F23:F28"/>
    <mergeCell ref="S23:S28"/>
    <mergeCell ref="AD23:AD28"/>
    <mergeCell ref="A5:A12"/>
    <mergeCell ref="B5:B12"/>
    <mergeCell ref="C5:C12"/>
    <mergeCell ref="D5:D12"/>
    <mergeCell ref="E5:E12"/>
    <mergeCell ref="F5:F12"/>
    <mergeCell ref="S5:S12"/>
    <mergeCell ref="AD5:AD12"/>
    <mergeCell ref="A13:A17"/>
    <mergeCell ref="B13:B17"/>
    <mergeCell ref="C13:C17"/>
    <mergeCell ref="D13:D17"/>
    <mergeCell ref="E13:E17"/>
    <mergeCell ref="F13:F17"/>
    <mergeCell ref="S13:S17"/>
    <mergeCell ref="AD13:AD17"/>
    <mergeCell ref="A1:L1"/>
    <mergeCell ref="A2:L2"/>
    <mergeCell ref="M2:R2"/>
    <mergeCell ref="A3:A4"/>
    <mergeCell ref="B3:B4"/>
    <mergeCell ref="C3:C4"/>
    <mergeCell ref="D3:D4"/>
    <mergeCell ref="E3:E4"/>
    <mergeCell ref="F3:F4"/>
    <mergeCell ref="G3:L3"/>
    <mergeCell ref="M3:R3"/>
  </mergeCells>
  <pageMargins left="0.7" right="0.7" top="0.75" bottom="0.75" header="0.3" footer="0.3"/>
  <pageSetup paperSize="9" firstPageNumber="429496729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2"/>
  <sheetViews>
    <sheetView topLeftCell="A139" workbookViewId="0">
      <selection activeCell="E35" sqref="E35"/>
    </sheetView>
  </sheetViews>
  <sheetFormatPr defaultRowHeight="15" x14ac:dyDescent="0.25"/>
  <sheetData>
    <row r="1" spans="1:11" x14ac:dyDescent="0.25">
      <c r="A1" s="107" t="s">
        <v>0</v>
      </c>
      <c r="B1" s="107"/>
      <c r="C1" s="107"/>
      <c r="D1" s="107"/>
      <c r="E1" s="107"/>
      <c r="F1" s="107"/>
      <c r="G1" s="107"/>
      <c r="H1" s="107"/>
      <c r="I1" s="107"/>
      <c r="J1" s="107"/>
      <c r="K1" s="107"/>
    </row>
    <row r="2" spans="1:11" x14ac:dyDescent="0.25">
      <c r="A2" s="107"/>
      <c r="B2" s="107"/>
      <c r="C2" s="107"/>
      <c r="D2" s="107"/>
      <c r="E2" s="107"/>
      <c r="F2" s="107"/>
      <c r="G2" s="107"/>
      <c r="H2" s="107"/>
      <c r="I2" s="107"/>
      <c r="J2" s="107"/>
      <c r="K2" s="107"/>
    </row>
    <row r="3" spans="1:11" x14ac:dyDescent="0.25">
      <c r="A3" s="107" t="s">
        <v>1</v>
      </c>
      <c r="B3" s="107" t="s">
        <v>2</v>
      </c>
      <c r="C3" s="107" t="s">
        <v>3</v>
      </c>
      <c r="D3" s="107" t="s">
        <v>4</v>
      </c>
      <c r="E3" s="107"/>
      <c r="F3" s="107"/>
      <c r="G3" s="107"/>
      <c r="H3" s="107"/>
      <c r="I3" s="107"/>
      <c r="J3" s="107" t="s">
        <v>5</v>
      </c>
      <c r="K3" s="107" t="s">
        <v>6</v>
      </c>
    </row>
    <row r="4" spans="1:11" x14ac:dyDescent="0.25">
      <c r="A4" s="107"/>
      <c r="B4" s="107"/>
      <c r="C4" s="107"/>
      <c r="D4" t="s">
        <v>7</v>
      </c>
      <c r="E4" t="s">
        <v>8</v>
      </c>
      <c r="F4" t="s">
        <v>9</v>
      </c>
      <c r="G4" t="s">
        <v>10</v>
      </c>
      <c r="H4" t="s">
        <v>11</v>
      </c>
      <c r="I4" t="s">
        <v>12</v>
      </c>
      <c r="J4" s="107"/>
      <c r="K4" s="107"/>
    </row>
    <row r="5" spans="1:11" x14ac:dyDescent="0.25">
      <c r="A5" s="107"/>
      <c r="B5" s="107" t="s">
        <v>976</v>
      </c>
      <c r="C5" s="107" t="s">
        <v>14</v>
      </c>
      <c r="D5" t="s">
        <v>8</v>
      </c>
      <c r="E5">
        <f t="shared" ref="E5:E34" si="0">SUM(F5:I5)</f>
        <v>5435317.9800799992</v>
      </c>
      <c r="F5">
        <f>SUM(F6:F10)</f>
        <v>4891816.74608</v>
      </c>
      <c r="G5">
        <f>SUM(G6:G10)</f>
        <v>448121.10000000003</v>
      </c>
      <c r="H5">
        <f>SUM(H6:H10)</f>
        <v>95380.133999999991</v>
      </c>
      <c r="I5">
        <f>SUM(I6:I10)</f>
        <v>0</v>
      </c>
      <c r="J5" s="107"/>
      <c r="K5" s="107" t="s">
        <v>15</v>
      </c>
    </row>
    <row r="6" spans="1:11" x14ac:dyDescent="0.25">
      <c r="A6" s="107"/>
      <c r="B6" s="107"/>
      <c r="C6" s="107"/>
      <c r="D6">
        <v>2021</v>
      </c>
      <c r="E6">
        <f t="shared" si="0"/>
        <v>1436942.7119599998</v>
      </c>
      <c r="F6">
        <f t="shared" ref="F6:I10" si="1">F24+F84+F156+F216</f>
        <v>1096300.8989599999</v>
      </c>
      <c r="G6">
        <f t="shared" si="1"/>
        <v>298898.90000000002</v>
      </c>
      <c r="H6">
        <f t="shared" si="1"/>
        <v>41742.913</v>
      </c>
      <c r="I6">
        <f t="shared" si="1"/>
        <v>0</v>
      </c>
      <c r="J6" s="107"/>
      <c r="K6" s="107"/>
    </row>
    <row r="7" spans="1:11" x14ac:dyDescent="0.25">
      <c r="A7" s="107"/>
      <c r="B7" s="107"/>
      <c r="C7" s="107"/>
      <c r="D7">
        <v>2022</v>
      </c>
      <c r="E7">
        <f t="shared" si="0"/>
        <v>1490469.0877699999</v>
      </c>
      <c r="F7">
        <f t="shared" si="1"/>
        <v>1305690.16677</v>
      </c>
      <c r="G7">
        <f t="shared" si="1"/>
        <v>131141.70000000001</v>
      </c>
      <c r="H7">
        <f t="shared" si="1"/>
        <v>53637.220999999998</v>
      </c>
      <c r="I7">
        <f t="shared" si="1"/>
        <v>0</v>
      </c>
      <c r="J7" s="107"/>
      <c r="K7" s="107"/>
    </row>
    <row r="8" spans="1:11" x14ac:dyDescent="0.25">
      <c r="A8" s="107"/>
      <c r="B8" s="107"/>
      <c r="C8" s="107"/>
      <c r="D8">
        <v>2023</v>
      </c>
      <c r="E8">
        <f t="shared" si="0"/>
        <v>848022.39244999993</v>
      </c>
      <c r="F8">
        <f t="shared" si="1"/>
        <v>829941.89244999993</v>
      </c>
      <c r="G8">
        <f t="shared" si="1"/>
        <v>18080.5</v>
      </c>
      <c r="H8">
        <f t="shared" si="1"/>
        <v>0</v>
      </c>
      <c r="I8">
        <f t="shared" si="1"/>
        <v>0</v>
      </c>
      <c r="J8" s="107"/>
      <c r="K8" s="107"/>
    </row>
    <row r="9" spans="1:11" x14ac:dyDescent="0.25">
      <c r="A9" s="107"/>
      <c r="B9" s="107"/>
      <c r="C9" s="107"/>
      <c r="D9">
        <v>2024</v>
      </c>
      <c r="E9">
        <f t="shared" si="0"/>
        <v>829941.89544999995</v>
      </c>
      <c r="F9">
        <f t="shared" si="1"/>
        <v>829941.89544999995</v>
      </c>
      <c r="G9">
        <f t="shared" si="1"/>
        <v>0</v>
      </c>
      <c r="H9">
        <f t="shared" si="1"/>
        <v>0</v>
      </c>
      <c r="I9">
        <f t="shared" si="1"/>
        <v>0</v>
      </c>
      <c r="J9" s="107"/>
      <c r="K9" s="107"/>
    </row>
    <row r="10" spans="1:11" x14ac:dyDescent="0.25">
      <c r="A10" s="107"/>
      <c r="B10" s="107"/>
      <c r="C10" s="107"/>
      <c r="D10">
        <v>2025</v>
      </c>
      <c r="E10">
        <f t="shared" si="0"/>
        <v>829941.89244999993</v>
      </c>
      <c r="F10">
        <f t="shared" si="1"/>
        <v>829941.89244999993</v>
      </c>
      <c r="G10">
        <f t="shared" si="1"/>
        <v>0</v>
      </c>
      <c r="H10">
        <f t="shared" si="1"/>
        <v>0</v>
      </c>
      <c r="I10">
        <f t="shared" si="1"/>
        <v>0</v>
      </c>
      <c r="J10" s="107"/>
      <c r="K10" s="107"/>
    </row>
    <row r="11" spans="1:11" x14ac:dyDescent="0.25">
      <c r="A11" s="107"/>
      <c r="B11" s="107" t="s">
        <v>16</v>
      </c>
      <c r="C11" s="107" t="s">
        <v>14</v>
      </c>
      <c r="D11" t="s">
        <v>8</v>
      </c>
      <c r="E11">
        <f t="shared" si="0"/>
        <v>4305596.1680799993</v>
      </c>
      <c r="F11">
        <f>SUM(F12:F16)</f>
        <v>4228421.0080800001</v>
      </c>
      <c r="G11">
        <f>SUM(G12:G16)</f>
        <v>73121.10000000002</v>
      </c>
      <c r="H11">
        <f>SUM(H12:H16)</f>
        <v>4054.0599999999977</v>
      </c>
      <c r="I11">
        <f>SUM(I12:I16)</f>
        <v>0</v>
      </c>
      <c r="J11" s="107"/>
      <c r="K11" s="107" t="s">
        <v>17</v>
      </c>
    </row>
    <row r="12" spans="1:11" x14ac:dyDescent="0.25">
      <c r="A12" s="107"/>
      <c r="B12" s="107"/>
      <c r="C12" s="107"/>
      <c r="D12">
        <v>2021</v>
      </c>
      <c r="E12">
        <f t="shared" si="0"/>
        <v>944770.94796000002</v>
      </c>
      <c r="F12">
        <f>F6-F18</f>
        <v>903041.68795999989</v>
      </c>
      <c r="G12">
        <f t="shared" ref="F12:I16" si="2">G6-G18</f>
        <v>37675.200000000012</v>
      </c>
      <c r="H12">
        <f t="shared" si="2"/>
        <v>4054.0599999999977</v>
      </c>
      <c r="I12">
        <f t="shared" si="2"/>
        <v>0</v>
      </c>
      <c r="J12" s="107"/>
      <c r="K12" s="107"/>
    </row>
    <row r="13" spans="1:11" x14ac:dyDescent="0.25">
      <c r="A13" s="107"/>
      <c r="B13" s="107"/>
      <c r="C13" s="107"/>
      <c r="D13">
        <v>2022</v>
      </c>
      <c r="E13">
        <f t="shared" si="0"/>
        <v>852919.03977000003</v>
      </c>
      <c r="F13">
        <f t="shared" si="2"/>
        <v>835553.63977000001</v>
      </c>
      <c r="G13">
        <f t="shared" si="2"/>
        <v>17365.400000000009</v>
      </c>
      <c r="H13">
        <f t="shared" si="2"/>
        <v>0</v>
      </c>
      <c r="I13">
        <f t="shared" si="2"/>
        <v>0</v>
      </c>
      <c r="J13" s="107"/>
      <c r="K13" s="107"/>
    </row>
    <row r="14" spans="1:11" x14ac:dyDescent="0.25">
      <c r="A14" s="107"/>
      <c r="B14" s="107"/>
      <c r="C14" s="107"/>
      <c r="D14">
        <v>2023</v>
      </c>
      <c r="E14">
        <f t="shared" si="0"/>
        <v>848022.39244999993</v>
      </c>
      <c r="F14">
        <f t="shared" si="2"/>
        <v>829941.89244999993</v>
      </c>
      <c r="G14">
        <f t="shared" si="2"/>
        <v>18080.5</v>
      </c>
      <c r="H14">
        <f t="shared" si="2"/>
        <v>0</v>
      </c>
      <c r="I14">
        <f t="shared" si="2"/>
        <v>0</v>
      </c>
      <c r="J14" s="107"/>
      <c r="K14" s="107"/>
    </row>
    <row r="15" spans="1:11" x14ac:dyDescent="0.25">
      <c r="A15" s="107"/>
      <c r="B15" s="107"/>
      <c r="C15" s="107"/>
      <c r="D15">
        <v>2024</v>
      </c>
      <c r="E15">
        <f t="shared" si="0"/>
        <v>829941.89544999995</v>
      </c>
      <c r="F15">
        <f t="shared" si="2"/>
        <v>829941.89544999995</v>
      </c>
      <c r="G15">
        <f t="shared" si="2"/>
        <v>0</v>
      </c>
      <c r="H15">
        <f t="shared" si="2"/>
        <v>0</v>
      </c>
      <c r="I15">
        <f t="shared" si="2"/>
        <v>0</v>
      </c>
      <c r="J15" s="107"/>
      <c r="K15" s="107"/>
    </row>
    <row r="16" spans="1:11" x14ac:dyDescent="0.25">
      <c r="A16" s="107"/>
      <c r="B16" s="107"/>
      <c r="C16" s="107"/>
      <c r="D16">
        <v>2025</v>
      </c>
      <c r="E16">
        <f t="shared" si="0"/>
        <v>829941.89244999993</v>
      </c>
      <c r="F16">
        <f t="shared" si="2"/>
        <v>829941.89244999993</v>
      </c>
      <c r="G16">
        <f t="shared" si="2"/>
        <v>0</v>
      </c>
      <c r="H16">
        <f t="shared" si="2"/>
        <v>0</v>
      </c>
      <c r="I16">
        <f t="shared" si="2"/>
        <v>0</v>
      </c>
      <c r="J16" s="107"/>
      <c r="K16" s="107"/>
    </row>
    <row r="17" spans="1:11" x14ac:dyDescent="0.25">
      <c r="A17" s="107"/>
      <c r="B17" s="107" t="s">
        <v>18</v>
      </c>
      <c r="C17" s="107" t="s">
        <v>14</v>
      </c>
      <c r="D17" t="s">
        <v>8</v>
      </c>
      <c r="E17">
        <f t="shared" si="0"/>
        <v>1129721.8119999999</v>
      </c>
      <c r="F17">
        <f>SUM(F18:F22)</f>
        <v>663395.73800000001</v>
      </c>
      <c r="G17">
        <f>SUM(G18:G22)</f>
        <v>375000</v>
      </c>
      <c r="H17">
        <f>SUM(H18:H22)</f>
        <v>91326.073999999993</v>
      </c>
      <c r="I17">
        <f>SUM(I18:I22)</f>
        <v>0</v>
      </c>
      <c r="J17" s="107"/>
      <c r="K17" s="107" t="s">
        <v>20</v>
      </c>
    </row>
    <row r="18" spans="1:11" x14ac:dyDescent="0.25">
      <c r="A18" s="107"/>
      <c r="B18" s="107"/>
      <c r="C18" s="107"/>
      <c r="D18">
        <v>2021</v>
      </c>
      <c r="E18">
        <f t="shared" si="0"/>
        <v>492171.76399999997</v>
      </c>
      <c r="F18">
        <f t="shared" ref="F18:H19" si="3">F204+F210+F168</f>
        <v>193259.21099999998</v>
      </c>
      <c r="G18">
        <f t="shared" si="3"/>
        <v>261223.7</v>
      </c>
      <c r="H18">
        <f t="shared" si="3"/>
        <v>37688.853000000003</v>
      </c>
      <c r="I18">
        <f t="shared" ref="I18:I22" si="4">I204+I210</f>
        <v>0</v>
      </c>
      <c r="J18" s="107"/>
      <c r="K18" s="107"/>
    </row>
    <row r="19" spans="1:11" x14ac:dyDescent="0.25">
      <c r="A19" s="107"/>
      <c r="B19" s="107"/>
      <c r="C19" s="107"/>
      <c r="D19">
        <v>2022</v>
      </c>
      <c r="E19">
        <f t="shared" si="0"/>
        <v>637550.04800000007</v>
      </c>
      <c r="F19">
        <f t="shared" si="3"/>
        <v>470136.527</v>
      </c>
      <c r="G19">
        <f t="shared" si="3"/>
        <v>113776.3</v>
      </c>
      <c r="H19">
        <f t="shared" si="3"/>
        <v>53637.220999999998</v>
      </c>
      <c r="I19">
        <f t="shared" si="4"/>
        <v>0</v>
      </c>
      <c r="J19" s="107"/>
      <c r="K19" s="107"/>
    </row>
    <row r="20" spans="1:11" x14ac:dyDescent="0.25">
      <c r="A20" s="107"/>
      <c r="B20" s="107"/>
      <c r="C20" s="107"/>
      <c r="D20">
        <v>2023</v>
      </c>
      <c r="E20">
        <f t="shared" si="0"/>
        <v>0</v>
      </c>
      <c r="F20">
        <f t="shared" ref="F20:H22" si="5">F206+F212</f>
        <v>0</v>
      </c>
      <c r="G20">
        <f t="shared" si="5"/>
        <v>0</v>
      </c>
      <c r="H20">
        <f t="shared" si="5"/>
        <v>0</v>
      </c>
      <c r="I20">
        <f t="shared" si="4"/>
        <v>0</v>
      </c>
      <c r="J20" s="107"/>
      <c r="K20" s="107"/>
    </row>
    <row r="21" spans="1:11" x14ac:dyDescent="0.25">
      <c r="A21" s="107"/>
      <c r="B21" s="107"/>
      <c r="C21" s="107"/>
      <c r="D21">
        <v>2024</v>
      </c>
      <c r="E21">
        <f t="shared" si="0"/>
        <v>0</v>
      </c>
      <c r="F21">
        <f t="shared" si="5"/>
        <v>0</v>
      </c>
      <c r="G21">
        <f t="shared" si="5"/>
        <v>0</v>
      </c>
      <c r="H21">
        <f t="shared" si="5"/>
        <v>0</v>
      </c>
      <c r="I21">
        <f t="shared" si="4"/>
        <v>0</v>
      </c>
      <c r="J21" s="107"/>
      <c r="K21" s="107"/>
    </row>
    <row r="22" spans="1:11" x14ac:dyDescent="0.25">
      <c r="A22" s="107"/>
      <c r="B22" s="107"/>
      <c r="C22" s="107"/>
      <c r="D22">
        <v>2025</v>
      </c>
      <c r="E22">
        <f t="shared" si="0"/>
        <v>0</v>
      </c>
      <c r="F22">
        <f t="shared" si="5"/>
        <v>0</v>
      </c>
      <c r="G22">
        <f t="shared" si="5"/>
        <v>0</v>
      </c>
      <c r="H22">
        <f t="shared" si="5"/>
        <v>0</v>
      </c>
      <c r="I22">
        <f t="shared" si="4"/>
        <v>0</v>
      </c>
      <c r="J22" s="107"/>
      <c r="K22" s="107"/>
    </row>
    <row r="23" spans="1:11" x14ac:dyDescent="0.25">
      <c r="A23" s="107" t="s">
        <v>625</v>
      </c>
      <c r="B23" s="107" t="s">
        <v>818</v>
      </c>
      <c r="C23" s="107" t="s">
        <v>14</v>
      </c>
      <c r="D23" t="s">
        <v>8</v>
      </c>
      <c r="E23">
        <f t="shared" si="0"/>
        <v>197629.89036000002</v>
      </c>
      <c r="F23">
        <f>SUM(F24:F28)</f>
        <v>192725.79036000001</v>
      </c>
      <c r="G23">
        <f>SUM(G24:G28)</f>
        <v>4904.1000000000004</v>
      </c>
      <c r="H23">
        <f>SUM(H24:H28)</f>
        <v>0</v>
      </c>
      <c r="I23">
        <f>SUM(I24:I28)</f>
        <v>0</v>
      </c>
      <c r="J23" s="107"/>
      <c r="K23" s="107" t="s">
        <v>22</v>
      </c>
    </row>
    <row r="24" spans="1:11" x14ac:dyDescent="0.25">
      <c r="A24" s="107"/>
      <c r="B24" s="107"/>
      <c r="C24" s="107"/>
      <c r="D24">
        <v>2021</v>
      </c>
      <c r="E24">
        <f t="shared" si="0"/>
        <v>58984.41807</v>
      </c>
      <c r="F24">
        <f t="shared" ref="F24:I28" si="6">F30+F42+F60</f>
        <v>57717.018069999998</v>
      </c>
      <c r="G24">
        <f t="shared" si="6"/>
        <v>1267.4000000000001</v>
      </c>
      <c r="H24">
        <f t="shared" si="6"/>
        <v>0</v>
      </c>
      <c r="I24">
        <f t="shared" si="6"/>
        <v>0</v>
      </c>
      <c r="J24" s="107"/>
      <c r="K24" s="107"/>
    </row>
    <row r="25" spans="1:11" x14ac:dyDescent="0.25">
      <c r="A25" s="107"/>
      <c r="B25" s="107"/>
      <c r="C25" s="107"/>
      <c r="D25">
        <v>2022</v>
      </c>
      <c r="E25">
        <f t="shared" si="0"/>
        <v>35570.269139999997</v>
      </c>
      <c r="F25">
        <f t="shared" si="6"/>
        <v>33752.169139999998</v>
      </c>
      <c r="G25">
        <f t="shared" si="6"/>
        <v>1818.1</v>
      </c>
      <c r="H25">
        <f t="shared" si="6"/>
        <v>0</v>
      </c>
      <c r="I25">
        <f t="shared" si="6"/>
        <v>0</v>
      </c>
      <c r="J25" s="107"/>
      <c r="K25" s="107"/>
    </row>
    <row r="26" spans="1:11" x14ac:dyDescent="0.25">
      <c r="A26" s="107"/>
      <c r="B26" s="107"/>
      <c r="C26" s="107"/>
      <c r="D26">
        <v>2023</v>
      </c>
      <c r="E26">
        <f t="shared" si="0"/>
        <v>35570.801050000002</v>
      </c>
      <c r="F26">
        <f t="shared" si="6"/>
        <v>33752.201050000003</v>
      </c>
      <c r="G26">
        <f t="shared" si="6"/>
        <v>1818.6</v>
      </c>
      <c r="H26">
        <f t="shared" si="6"/>
        <v>0</v>
      </c>
      <c r="I26">
        <f t="shared" si="6"/>
        <v>0</v>
      </c>
      <c r="J26" s="107"/>
      <c r="K26" s="107"/>
    </row>
    <row r="27" spans="1:11" x14ac:dyDescent="0.25">
      <c r="A27" s="107"/>
      <c r="B27" s="107"/>
      <c r="C27" s="107"/>
      <c r="D27">
        <v>2024</v>
      </c>
      <c r="E27">
        <f t="shared" si="0"/>
        <v>33752.201050000003</v>
      </c>
      <c r="F27">
        <f t="shared" si="6"/>
        <v>33752.201050000003</v>
      </c>
      <c r="G27">
        <f t="shared" si="6"/>
        <v>0</v>
      </c>
      <c r="H27">
        <f t="shared" si="6"/>
        <v>0</v>
      </c>
      <c r="I27">
        <f t="shared" si="6"/>
        <v>0</v>
      </c>
      <c r="J27" s="107"/>
      <c r="K27" s="107"/>
    </row>
    <row r="28" spans="1:11" x14ac:dyDescent="0.25">
      <c r="A28" s="107"/>
      <c r="B28" s="107"/>
      <c r="C28" s="107"/>
      <c r="D28">
        <v>2025</v>
      </c>
      <c r="E28">
        <f t="shared" si="0"/>
        <v>33752.201050000003</v>
      </c>
      <c r="F28">
        <f t="shared" si="6"/>
        <v>33752.201050000003</v>
      </c>
      <c r="G28">
        <f t="shared" si="6"/>
        <v>0</v>
      </c>
      <c r="H28">
        <f t="shared" si="6"/>
        <v>0</v>
      </c>
      <c r="I28">
        <f t="shared" si="6"/>
        <v>0</v>
      </c>
      <c r="J28" s="107"/>
      <c r="K28" s="107"/>
    </row>
    <row r="29" spans="1:11" x14ac:dyDescent="0.25">
      <c r="A29" s="107" t="s">
        <v>808</v>
      </c>
      <c r="B29" s="107" t="s">
        <v>977</v>
      </c>
      <c r="C29" s="107" t="s">
        <v>14</v>
      </c>
      <c r="D29" t="s">
        <v>8</v>
      </c>
      <c r="E29">
        <f t="shared" si="0"/>
        <v>16000</v>
      </c>
      <c r="F29">
        <f>SUM(F30:F34)</f>
        <v>16000</v>
      </c>
      <c r="G29">
        <f>SUM(G30:G34)</f>
        <v>0</v>
      </c>
      <c r="H29">
        <f>SUM(H30:H34)</f>
        <v>0</v>
      </c>
      <c r="I29">
        <f>SUM(I30:I34)</f>
        <v>0</v>
      </c>
      <c r="J29" s="107" t="s">
        <v>978</v>
      </c>
      <c r="K29" s="107" t="s">
        <v>26</v>
      </c>
    </row>
    <row r="30" spans="1:11" x14ac:dyDescent="0.25">
      <c r="A30" s="107"/>
      <c r="B30" s="107"/>
      <c r="C30" s="107"/>
      <c r="D30">
        <v>2021</v>
      </c>
      <c r="E30">
        <f t="shared" si="0"/>
        <v>16000</v>
      </c>
      <c r="F30">
        <f t="shared" ref="F30:I34" si="7">F36</f>
        <v>16000</v>
      </c>
      <c r="G30">
        <f t="shared" si="7"/>
        <v>0</v>
      </c>
      <c r="H30">
        <f t="shared" si="7"/>
        <v>0</v>
      </c>
      <c r="I30">
        <f t="shared" si="7"/>
        <v>0</v>
      </c>
      <c r="J30" s="107"/>
      <c r="K30" s="107"/>
    </row>
    <row r="31" spans="1:11" x14ac:dyDescent="0.25">
      <c r="A31" s="107"/>
      <c r="B31" s="107"/>
      <c r="C31" s="107"/>
      <c r="D31">
        <v>2022</v>
      </c>
      <c r="E31">
        <f t="shared" si="0"/>
        <v>0</v>
      </c>
      <c r="F31">
        <f t="shared" si="7"/>
        <v>0</v>
      </c>
      <c r="G31">
        <f t="shared" si="7"/>
        <v>0</v>
      </c>
      <c r="H31">
        <f t="shared" si="7"/>
        <v>0</v>
      </c>
      <c r="I31">
        <f t="shared" si="7"/>
        <v>0</v>
      </c>
      <c r="J31" s="107"/>
      <c r="K31" s="107"/>
    </row>
    <row r="32" spans="1:11" x14ac:dyDescent="0.25">
      <c r="A32" s="107"/>
      <c r="B32" s="107"/>
      <c r="C32" s="107"/>
      <c r="D32">
        <v>2023</v>
      </c>
      <c r="E32">
        <f t="shared" si="0"/>
        <v>0</v>
      </c>
      <c r="F32">
        <f t="shared" si="7"/>
        <v>0</v>
      </c>
      <c r="G32">
        <f t="shared" si="7"/>
        <v>0</v>
      </c>
      <c r="H32">
        <f t="shared" si="7"/>
        <v>0</v>
      </c>
      <c r="I32">
        <f t="shared" si="7"/>
        <v>0</v>
      </c>
      <c r="J32" s="107"/>
      <c r="K32" s="107"/>
    </row>
    <row r="33" spans="1:11" x14ac:dyDescent="0.25">
      <c r="A33" s="107"/>
      <c r="B33" s="107"/>
      <c r="C33" s="107"/>
      <c r="D33">
        <v>2024</v>
      </c>
      <c r="E33">
        <f t="shared" si="0"/>
        <v>0</v>
      </c>
      <c r="F33">
        <f t="shared" si="7"/>
        <v>0</v>
      </c>
      <c r="G33">
        <f t="shared" si="7"/>
        <v>0</v>
      </c>
      <c r="H33">
        <f t="shared" si="7"/>
        <v>0</v>
      </c>
      <c r="I33">
        <f t="shared" si="7"/>
        <v>0</v>
      </c>
      <c r="J33" s="107"/>
      <c r="K33" s="107"/>
    </row>
    <row r="34" spans="1:11" x14ac:dyDescent="0.25">
      <c r="A34" s="107"/>
      <c r="B34" s="107"/>
      <c r="C34" s="107"/>
      <c r="D34">
        <v>2025</v>
      </c>
      <c r="E34">
        <f t="shared" si="0"/>
        <v>0</v>
      </c>
      <c r="F34">
        <f t="shared" si="7"/>
        <v>0</v>
      </c>
      <c r="G34">
        <f>G40</f>
        <v>0</v>
      </c>
      <c r="H34">
        <f>H40</f>
        <v>0</v>
      </c>
      <c r="I34">
        <f>I40</f>
        <v>0</v>
      </c>
      <c r="J34" s="107"/>
      <c r="K34" s="107"/>
    </row>
    <row r="35" spans="1:11" x14ac:dyDescent="0.25">
      <c r="A35" s="107" t="s">
        <v>979</v>
      </c>
      <c r="B35" s="107" t="s">
        <v>28</v>
      </c>
      <c r="C35" s="107" t="s">
        <v>14</v>
      </c>
      <c r="D35" t="s">
        <v>8</v>
      </c>
      <c r="E35">
        <f>SUM(E36:E40)</f>
        <v>16000</v>
      </c>
      <c r="F35">
        <f>SUM(F36:F40)</f>
        <v>16000</v>
      </c>
      <c r="G35">
        <f>SUM(G36:G40)</f>
        <v>0</v>
      </c>
      <c r="H35">
        <f>SUM(H36:H40)</f>
        <v>0</v>
      </c>
      <c r="I35">
        <f>SUM(I36:I40)</f>
        <v>0</v>
      </c>
      <c r="J35" s="107" t="s">
        <v>980</v>
      </c>
      <c r="K35" s="107" t="s">
        <v>26</v>
      </c>
    </row>
    <row r="36" spans="1:11" x14ac:dyDescent="0.25">
      <c r="A36" s="107"/>
      <c r="B36" s="107"/>
      <c r="C36" s="107"/>
      <c r="D36">
        <v>2021</v>
      </c>
      <c r="E36">
        <f>SUM(F36:I36)</f>
        <v>16000</v>
      </c>
      <c r="F36">
        <v>16000</v>
      </c>
      <c r="G36">
        <v>0</v>
      </c>
      <c r="H36">
        <v>0</v>
      </c>
      <c r="I36">
        <v>0</v>
      </c>
      <c r="J36" s="107"/>
      <c r="K36" s="107"/>
    </row>
    <row r="37" spans="1:11" x14ac:dyDescent="0.25">
      <c r="A37" s="107"/>
      <c r="B37" s="107"/>
      <c r="C37" s="107"/>
      <c r="D37">
        <v>2022</v>
      </c>
      <c r="E37">
        <v>0</v>
      </c>
      <c r="F37">
        <v>0</v>
      </c>
      <c r="G37">
        <v>0</v>
      </c>
      <c r="H37">
        <v>0</v>
      </c>
      <c r="I37">
        <v>0</v>
      </c>
      <c r="J37" s="107"/>
      <c r="K37" s="107"/>
    </row>
    <row r="38" spans="1:11" x14ac:dyDescent="0.25">
      <c r="A38" s="107"/>
      <c r="B38" s="107"/>
      <c r="C38" s="107"/>
      <c r="D38">
        <v>2023</v>
      </c>
      <c r="E38">
        <v>0</v>
      </c>
      <c r="F38">
        <v>0</v>
      </c>
      <c r="G38">
        <v>0</v>
      </c>
      <c r="H38">
        <v>0</v>
      </c>
      <c r="I38">
        <v>0</v>
      </c>
      <c r="J38" s="107"/>
      <c r="K38" s="107"/>
    </row>
    <row r="39" spans="1:11" x14ac:dyDescent="0.25">
      <c r="A39" s="107"/>
      <c r="B39" s="107"/>
      <c r="C39" s="107"/>
      <c r="D39">
        <v>2024</v>
      </c>
      <c r="E39">
        <v>0</v>
      </c>
      <c r="F39">
        <v>0</v>
      </c>
      <c r="G39">
        <v>0</v>
      </c>
      <c r="H39">
        <v>0</v>
      </c>
      <c r="I39">
        <v>0</v>
      </c>
      <c r="J39" s="107"/>
      <c r="K39" s="107"/>
    </row>
    <row r="40" spans="1:11" x14ac:dyDescent="0.25">
      <c r="A40" s="107"/>
      <c r="B40" s="107"/>
      <c r="C40" s="107"/>
      <c r="D40">
        <v>2025</v>
      </c>
      <c r="E40">
        <v>0</v>
      </c>
      <c r="F40">
        <v>0</v>
      </c>
      <c r="G40">
        <v>0</v>
      </c>
      <c r="H40">
        <v>0</v>
      </c>
      <c r="I40">
        <v>0</v>
      </c>
      <c r="J40" s="107"/>
      <c r="K40" s="107"/>
    </row>
    <row r="41" spans="1:11" x14ac:dyDescent="0.25">
      <c r="A41" s="107" t="s">
        <v>628</v>
      </c>
      <c r="B41" s="107" t="s">
        <v>981</v>
      </c>
      <c r="C41" s="107" t="s">
        <v>14</v>
      </c>
      <c r="D41" t="s">
        <v>8</v>
      </c>
      <c r="E41">
        <f t="shared" ref="E41:E52" si="8">SUM(F41:I41)</f>
        <v>158000</v>
      </c>
      <c r="F41">
        <f>SUM(F42:F46)</f>
        <v>158000</v>
      </c>
      <c r="G41">
        <f>SUM(G42:G46)</f>
        <v>0</v>
      </c>
      <c r="H41">
        <f>SUM(H42:H46)</f>
        <v>0</v>
      </c>
      <c r="I41">
        <f>SUM(I42:I46)</f>
        <v>0</v>
      </c>
      <c r="J41" s="107" t="s">
        <v>982</v>
      </c>
      <c r="K41" s="107" t="s">
        <v>17</v>
      </c>
    </row>
    <row r="42" spans="1:11" x14ac:dyDescent="0.25">
      <c r="A42" s="107"/>
      <c r="B42" s="107"/>
      <c r="C42" s="107"/>
      <c r="D42">
        <v>2021</v>
      </c>
      <c r="E42">
        <f t="shared" si="8"/>
        <v>38000</v>
      </c>
      <c r="F42">
        <f t="shared" ref="F42:I46" si="9">F48+F54</f>
        <v>38000</v>
      </c>
      <c r="G42">
        <f t="shared" si="9"/>
        <v>0</v>
      </c>
      <c r="H42">
        <f t="shared" si="9"/>
        <v>0</v>
      </c>
      <c r="I42">
        <f t="shared" si="9"/>
        <v>0</v>
      </c>
      <c r="J42" s="107"/>
      <c r="K42" s="107"/>
    </row>
    <row r="43" spans="1:11" x14ac:dyDescent="0.25">
      <c r="A43" s="107"/>
      <c r="B43" s="107"/>
      <c r="C43" s="107"/>
      <c r="D43">
        <v>2022</v>
      </c>
      <c r="E43">
        <f t="shared" si="8"/>
        <v>30000</v>
      </c>
      <c r="F43">
        <f t="shared" si="9"/>
        <v>30000</v>
      </c>
      <c r="G43">
        <f t="shared" si="9"/>
        <v>0</v>
      </c>
      <c r="H43">
        <f t="shared" si="9"/>
        <v>0</v>
      </c>
      <c r="I43">
        <f t="shared" si="9"/>
        <v>0</v>
      </c>
      <c r="J43" s="107"/>
      <c r="K43" s="107"/>
    </row>
    <row r="44" spans="1:11" x14ac:dyDescent="0.25">
      <c r="A44" s="107"/>
      <c r="B44" s="107"/>
      <c r="C44" s="107"/>
      <c r="D44">
        <v>2023</v>
      </c>
      <c r="E44">
        <f t="shared" si="8"/>
        <v>30000</v>
      </c>
      <c r="F44">
        <f t="shared" si="9"/>
        <v>30000</v>
      </c>
      <c r="G44">
        <f t="shared" si="9"/>
        <v>0</v>
      </c>
      <c r="H44">
        <f t="shared" si="9"/>
        <v>0</v>
      </c>
      <c r="I44">
        <f t="shared" si="9"/>
        <v>0</v>
      </c>
      <c r="J44" s="107"/>
      <c r="K44" s="107"/>
    </row>
    <row r="45" spans="1:11" x14ac:dyDescent="0.25">
      <c r="A45" s="107"/>
      <c r="B45" s="107"/>
      <c r="C45" s="107"/>
      <c r="D45">
        <v>2024</v>
      </c>
      <c r="E45">
        <f t="shared" si="8"/>
        <v>30000</v>
      </c>
      <c r="F45">
        <f t="shared" si="9"/>
        <v>30000</v>
      </c>
      <c r="G45">
        <f t="shared" si="9"/>
        <v>0</v>
      </c>
      <c r="H45">
        <f t="shared" si="9"/>
        <v>0</v>
      </c>
      <c r="I45">
        <f t="shared" si="9"/>
        <v>0</v>
      </c>
      <c r="J45" s="107"/>
      <c r="K45" s="107"/>
    </row>
    <row r="46" spans="1:11" x14ac:dyDescent="0.25">
      <c r="A46" s="107"/>
      <c r="B46" s="107"/>
      <c r="C46" s="107"/>
      <c r="D46">
        <v>2025</v>
      </c>
      <c r="E46">
        <f t="shared" si="8"/>
        <v>30000</v>
      </c>
      <c r="F46">
        <f t="shared" si="9"/>
        <v>30000</v>
      </c>
      <c r="G46">
        <f>G52+-G58</f>
        <v>0</v>
      </c>
      <c r="H46">
        <f>H52+H58</f>
        <v>0</v>
      </c>
      <c r="I46">
        <f>SUM(I52+I58)</f>
        <v>0</v>
      </c>
      <c r="J46" s="107"/>
      <c r="K46" s="107"/>
    </row>
    <row r="47" spans="1:11" x14ac:dyDescent="0.25">
      <c r="A47" s="107" t="s">
        <v>630</v>
      </c>
      <c r="B47" s="107" t="s">
        <v>983</v>
      </c>
      <c r="C47" s="107" t="s">
        <v>14</v>
      </c>
      <c r="D47" t="s">
        <v>8</v>
      </c>
      <c r="E47">
        <f t="shared" si="8"/>
        <v>150000</v>
      </c>
      <c r="F47">
        <f>SUM(F48:F52)</f>
        <v>150000</v>
      </c>
      <c r="G47">
        <f>SUM(G48:G52)</f>
        <v>0</v>
      </c>
      <c r="H47">
        <f>SUM(H48:H52)</f>
        <v>0</v>
      </c>
      <c r="I47">
        <f>SUM(I48:I52)</f>
        <v>0</v>
      </c>
      <c r="J47" s="107" t="s">
        <v>35</v>
      </c>
      <c r="K47" s="107" t="s">
        <v>17</v>
      </c>
    </row>
    <row r="48" spans="1:11" x14ac:dyDescent="0.25">
      <c r="A48" s="107"/>
      <c r="B48" s="107"/>
      <c r="C48" s="107"/>
      <c r="D48">
        <v>2021</v>
      </c>
      <c r="E48">
        <f t="shared" si="8"/>
        <v>30000</v>
      </c>
      <c r="F48">
        <v>30000</v>
      </c>
      <c r="G48">
        <v>0</v>
      </c>
      <c r="H48">
        <v>0</v>
      </c>
      <c r="I48">
        <v>0</v>
      </c>
      <c r="J48" s="107"/>
      <c r="K48" s="107"/>
    </row>
    <row r="49" spans="1:11" x14ac:dyDescent="0.25">
      <c r="A49" s="107"/>
      <c r="B49" s="107"/>
      <c r="C49" s="107"/>
      <c r="D49">
        <v>2022</v>
      </c>
      <c r="E49">
        <f t="shared" si="8"/>
        <v>30000</v>
      </c>
      <c r="F49">
        <v>30000</v>
      </c>
      <c r="G49">
        <v>0</v>
      </c>
      <c r="H49">
        <v>0</v>
      </c>
      <c r="I49">
        <v>0</v>
      </c>
      <c r="J49" s="107"/>
      <c r="K49" s="107"/>
    </row>
    <row r="50" spans="1:11" x14ac:dyDescent="0.25">
      <c r="A50" s="107"/>
      <c r="B50" s="107"/>
      <c r="C50" s="107"/>
      <c r="D50">
        <v>2023</v>
      </c>
      <c r="E50">
        <f t="shared" si="8"/>
        <v>30000</v>
      </c>
      <c r="F50">
        <v>30000</v>
      </c>
      <c r="G50">
        <v>0</v>
      </c>
      <c r="H50">
        <v>0</v>
      </c>
      <c r="I50">
        <v>0</v>
      </c>
      <c r="J50" s="107"/>
      <c r="K50" s="107"/>
    </row>
    <row r="51" spans="1:11" x14ac:dyDescent="0.25">
      <c r="A51" s="107"/>
      <c r="B51" s="107"/>
      <c r="C51" s="107"/>
      <c r="D51">
        <v>2024</v>
      </c>
      <c r="E51">
        <f t="shared" si="8"/>
        <v>30000</v>
      </c>
      <c r="F51">
        <v>30000</v>
      </c>
      <c r="G51">
        <v>0</v>
      </c>
      <c r="H51">
        <v>0</v>
      </c>
      <c r="I51">
        <v>0</v>
      </c>
      <c r="J51" s="107"/>
      <c r="K51" s="107"/>
    </row>
    <row r="52" spans="1:11" x14ac:dyDescent="0.25">
      <c r="A52" s="107"/>
      <c r="B52" s="107"/>
      <c r="C52" s="107"/>
      <c r="D52">
        <v>2025</v>
      </c>
      <c r="E52">
        <f t="shared" si="8"/>
        <v>30000</v>
      </c>
      <c r="F52">
        <v>30000</v>
      </c>
      <c r="G52">
        <v>0</v>
      </c>
      <c r="H52">
        <v>0</v>
      </c>
      <c r="I52">
        <v>0</v>
      </c>
      <c r="J52" s="107"/>
      <c r="K52" s="107"/>
    </row>
    <row r="53" spans="1:11" x14ac:dyDescent="0.25">
      <c r="A53" s="107" t="s">
        <v>637</v>
      </c>
      <c r="B53" s="107" t="s">
        <v>37</v>
      </c>
      <c r="C53" s="107">
        <v>2021</v>
      </c>
      <c r="D53" t="s">
        <v>8</v>
      </c>
      <c r="E53">
        <f>SUM(E54:E58)</f>
        <v>8000</v>
      </c>
      <c r="F53">
        <f>SUM(F54:F58)</f>
        <v>8000</v>
      </c>
      <c r="G53">
        <f>SUM(G54:G58)</f>
        <v>0</v>
      </c>
      <c r="H53">
        <f>SUM(H54:H58)</f>
        <v>0</v>
      </c>
      <c r="I53">
        <f>SUM(I54:I58)</f>
        <v>0</v>
      </c>
      <c r="J53" s="107" t="s">
        <v>38</v>
      </c>
      <c r="K53" s="107" t="s">
        <v>17</v>
      </c>
    </row>
    <row r="54" spans="1:11" x14ac:dyDescent="0.25">
      <c r="A54" s="107"/>
      <c r="B54" s="107"/>
      <c r="C54" s="107"/>
      <c r="D54">
        <v>2021</v>
      </c>
      <c r="E54">
        <f t="shared" ref="E54:E117" si="10">SUM(F54:I54)</f>
        <v>8000</v>
      </c>
      <c r="F54">
        <v>8000</v>
      </c>
      <c r="G54">
        <v>0</v>
      </c>
      <c r="H54">
        <v>0</v>
      </c>
      <c r="I54">
        <v>0</v>
      </c>
      <c r="J54" s="107"/>
      <c r="K54" s="107"/>
    </row>
    <row r="55" spans="1:11" x14ac:dyDescent="0.25">
      <c r="A55" s="107"/>
      <c r="B55" s="107"/>
      <c r="C55" s="107"/>
      <c r="D55">
        <v>2022</v>
      </c>
      <c r="E55">
        <f t="shared" si="10"/>
        <v>0</v>
      </c>
      <c r="F55">
        <v>0</v>
      </c>
      <c r="G55">
        <v>0</v>
      </c>
      <c r="H55">
        <v>0</v>
      </c>
      <c r="I55">
        <v>0</v>
      </c>
      <c r="J55" s="107"/>
      <c r="K55" s="107"/>
    </row>
    <row r="56" spans="1:11" x14ac:dyDescent="0.25">
      <c r="A56" s="107"/>
      <c r="B56" s="107"/>
      <c r="C56" s="107"/>
      <c r="D56">
        <v>2023</v>
      </c>
      <c r="E56">
        <f t="shared" si="10"/>
        <v>0</v>
      </c>
      <c r="F56">
        <v>0</v>
      </c>
      <c r="G56">
        <v>0</v>
      </c>
      <c r="H56">
        <v>0</v>
      </c>
      <c r="I56">
        <v>0</v>
      </c>
      <c r="J56" s="107"/>
      <c r="K56" s="107"/>
    </row>
    <row r="57" spans="1:11" x14ac:dyDescent="0.25">
      <c r="A57" s="107"/>
      <c r="B57" s="107"/>
      <c r="C57" s="107"/>
      <c r="D57">
        <v>2024</v>
      </c>
      <c r="E57">
        <f t="shared" si="10"/>
        <v>0</v>
      </c>
      <c r="F57">
        <v>0</v>
      </c>
      <c r="G57">
        <v>0</v>
      </c>
      <c r="H57">
        <v>0</v>
      </c>
      <c r="I57">
        <v>0</v>
      </c>
      <c r="J57" s="107"/>
      <c r="K57" s="107"/>
    </row>
    <row r="58" spans="1:11" x14ac:dyDescent="0.25">
      <c r="A58" s="107"/>
      <c r="B58" s="107"/>
      <c r="C58" s="107"/>
      <c r="D58">
        <v>2025</v>
      </c>
      <c r="E58">
        <f t="shared" si="10"/>
        <v>0</v>
      </c>
      <c r="F58">
        <v>0</v>
      </c>
      <c r="G58">
        <v>0</v>
      </c>
      <c r="H58">
        <v>0</v>
      </c>
      <c r="I58">
        <v>0</v>
      </c>
      <c r="J58" s="107"/>
      <c r="K58" s="107"/>
    </row>
    <row r="59" spans="1:11" x14ac:dyDescent="0.25">
      <c r="A59" s="107" t="s">
        <v>811</v>
      </c>
      <c r="B59" s="107" t="s">
        <v>40</v>
      </c>
      <c r="C59" s="107" t="s">
        <v>41</v>
      </c>
      <c r="D59" t="s">
        <v>8</v>
      </c>
      <c r="E59">
        <f t="shared" si="10"/>
        <v>23629.890359999998</v>
      </c>
      <c r="F59">
        <f>SUM(F60:F64)</f>
        <v>18725.790359999999</v>
      </c>
      <c r="G59">
        <f>SUM(G60:G64)</f>
        <v>4904.1000000000004</v>
      </c>
      <c r="H59">
        <f>SUM(H60:H64)</f>
        <v>0</v>
      </c>
      <c r="I59">
        <f>SUM(I60:I64)</f>
        <v>0</v>
      </c>
      <c r="J59" s="107" t="s">
        <v>984</v>
      </c>
      <c r="K59" s="107" t="s">
        <v>43</v>
      </c>
    </row>
    <row r="60" spans="1:11" x14ac:dyDescent="0.25">
      <c r="A60" s="107"/>
      <c r="B60" s="107"/>
      <c r="C60" s="107"/>
      <c r="D60">
        <v>2021</v>
      </c>
      <c r="E60">
        <f t="shared" si="10"/>
        <v>4984.4180699999997</v>
      </c>
      <c r="F60">
        <f t="shared" ref="F60:I64" si="11">F72+F78+F66</f>
        <v>3717.0180700000001</v>
      </c>
      <c r="G60">
        <f t="shared" si="11"/>
        <v>1267.4000000000001</v>
      </c>
      <c r="H60">
        <f t="shared" si="11"/>
        <v>0</v>
      </c>
      <c r="I60">
        <f t="shared" si="11"/>
        <v>0</v>
      </c>
      <c r="J60" s="107"/>
      <c r="K60" s="107"/>
    </row>
    <row r="61" spans="1:11" x14ac:dyDescent="0.25">
      <c r="A61" s="107"/>
      <c r="B61" s="107"/>
      <c r="C61" s="107"/>
      <c r="D61">
        <v>2022</v>
      </c>
      <c r="E61">
        <f t="shared" si="10"/>
        <v>5570.2691400000003</v>
      </c>
      <c r="F61">
        <f t="shared" si="11"/>
        <v>3752.1691400000004</v>
      </c>
      <c r="G61">
        <f t="shared" si="11"/>
        <v>1818.1</v>
      </c>
      <c r="H61">
        <f t="shared" si="11"/>
        <v>0</v>
      </c>
      <c r="I61">
        <f t="shared" si="11"/>
        <v>0</v>
      </c>
      <c r="J61" s="107"/>
      <c r="K61" s="107"/>
    </row>
    <row r="62" spans="1:11" x14ac:dyDescent="0.25">
      <c r="A62" s="107"/>
      <c r="B62" s="107"/>
      <c r="C62" s="107"/>
      <c r="D62">
        <v>2023</v>
      </c>
      <c r="E62">
        <f t="shared" si="10"/>
        <v>5570.80105</v>
      </c>
      <c r="F62">
        <f t="shared" si="11"/>
        <v>3752.2010500000001</v>
      </c>
      <c r="G62">
        <f>G74+G80+G68</f>
        <v>1818.6</v>
      </c>
      <c r="H62">
        <f t="shared" si="11"/>
        <v>0</v>
      </c>
      <c r="I62">
        <f t="shared" si="11"/>
        <v>0</v>
      </c>
      <c r="J62" s="107"/>
      <c r="K62" s="107"/>
    </row>
    <row r="63" spans="1:11" x14ac:dyDescent="0.25">
      <c r="A63" s="107"/>
      <c r="B63" s="107"/>
      <c r="C63" s="107"/>
      <c r="D63">
        <v>2024</v>
      </c>
      <c r="E63">
        <f t="shared" si="10"/>
        <v>3752.2010500000001</v>
      </c>
      <c r="F63">
        <f t="shared" si="11"/>
        <v>3752.2010500000001</v>
      </c>
      <c r="G63">
        <f t="shared" si="11"/>
        <v>0</v>
      </c>
      <c r="H63">
        <f t="shared" si="11"/>
        <v>0</v>
      </c>
      <c r="I63">
        <f t="shared" si="11"/>
        <v>0</v>
      </c>
      <c r="J63" s="107"/>
      <c r="K63" s="107"/>
    </row>
    <row r="64" spans="1:11" x14ac:dyDescent="0.25">
      <c r="A64" s="107"/>
      <c r="B64" s="107"/>
      <c r="C64" s="107"/>
      <c r="D64">
        <v>2025</v>
      </c>
      <c r="E64">
        <f t="shared" si="10"/>
        <v>3752.2010500000001</v>
      </c>
      <c r="F64">
        <f t="shared" si="11"/>
        <v>3752.2010500000001</v>
      </c>
      <c r="G64">
        <f t="shared" si="11"/>
        <v>0</v>
      </c>
      <c r="H64">
        <f t="shared" si="11"/>
        <v>0</v>
      </c>
      <c r="I64">
        <f t="shared" si="11"/>
        <v>0</v>
      </c>
      <c r="J64" s="107"/>
      <c r="K64" s="107"/>
    </row>
    <row r="65" spans="1:11" x14ac:dyDescent="0.25">
      <c r="A65" s="107" t="s">
        <v>985</v>
      </c>
      <c r="B65" s="107" t="s">
        <v>45</v>
      </c>
      <c r="C65" s="107" t="s">
        <v>41</v>
      </c>
      <c r="D65" t="s">
        <v>8</v>
      </c>
      <c r="E65">
        <f t="shared" si="10"/>
        <v>5449.2893600000007</v>
      </c>
      <c r="F65">
        <f>SUM(F66:F70)</f>
        <v>545.18935999999997</v>
      </c>
      <c r="G65">
        <f>SUM(G66:G70)</f>
        <v>4904.1000000000004</v>
      </c>
      <c r="H65">
        <f>SUM(H66:H70)</f>
        <v>0</v>
      </c>
      <c r="I65">
        <f>SUM(I66:I70)</f>
        <v>0</v>
      </c>
      <c r="J65" s="107" t="s">
        <v>986</v>
      </c>
      <c r="K65" s="107" t="s">
        <v>47</v>
      </c>
    </row>
    <row r="66" spans="1:11" x14ac:dyDescent="0.25">
      <c r="A66" s="107"/>
      <c r="B66" s="107"/>
      <c r="C66" s="107"/>
      <c r="D66">
        <v>2021</v>
      </c>
      <c r="E66">
        <f t="shared" si="10"/>
        <v>1348.2978700000001</v>
      </c>
      <c r="F66">
        <v>80.897869999999998</v>
      </c>
      <c r="G66">
        <v>1267.4000000000001</v>
      </c>
      <c r="H66">
        <v>0</v>
      </c>
      <c r="I66">
        <v>0</v>
      </c>
      <c r="J66" s="107"/>
      <c r="K66" s="107"/>
    </row>
    <row r="67" spans="1:11" x14ac:dyDescent="0.25">
      <c r="A67" s="107"/>
      <c r="B67" s="107"/>
      <c r="C67" s="107"/>
      <c r="D67">
        <v>2022</v>
      </c>
      <c r="E67">
        <f t="shared" si="10"/>
        <v>1934.1489399999998</v>
      </c>
      <c r="F67">
        <v>116.04894</v>
      </c>
      <c r="G67">
        <v>1818.1</v>
      </c>
      <c r="H67">
        <v>0</v>
      </c>
      <c r="I67">
        <v>0</v>
      </c>
      <c r="J67" s="107"/>
      <c r="K67" s="107"/>
    </row>
    <row r="68" spans="1:11" x14ac:dyDescent="0.25">
      <c r="A68" s="107"/>
      <c r="B68" s="107"/>
      <c r="C68" s="107"/>
      <c r="D68">
        <v>2023</v>
      </c>
      <c r="E68">
        <f t="shared" si="10"/>
        <v>1934.68085</v>
      </c>
      <c r="F68">
        <v>116.08085</v>
      </c>
      <c r="G68">
        <v>1818.6</v>
      </c>
      <c r="H68">
        <v>0</v>
      </c>
      <c r="I68">
        <v>0</v>
      </c>
      <c r="J68" s="107"/>
      <c r="K68" s="107"/>
    </row>
    <row r="69" spans="1:11" x14ac:dyDescent="0.25">
      <c r="A69" s="107"/>
      <c r="B69" s="107"/>
      <c r="C69" s="107"/>
      <c r="D69">
        <v>2024</v>
      </c>
      <c r="E69">
        <f t="shared" si="10"/>
        <v>116.08085</v>
      </c>
      <c r="F69">
        <v>116.08085</v>
      </c>
      <c r="G69">
        <v>0</v>
      </c>
      <c r="H69">
        <v>0</v>
      </c>
      <c r="I69">
        <v>0</v>
      </c>
      <c r="J69" s="107"/>
      <c r="K69" s="107"/>
    </row>
    <row r="70" spans="1:11" x14ac:dyDescent="0.25">
      <c r="A70" s="107"/>
      <c r="B70" s="107"/>
      <c r="C70" s="107"/>
      <c r="D70">
        <v>2025</v>
      </c>
      <c r="E70">
        <f t="shared" si="10"/>
        <v>116.08085</v>
      </c>
      <c r="F70">
        <v>116.08085</v>
      </c>
      <c r="G70">
        <v>0</v>
      </c>
      <c r="H70">
        <v>0</v>
      </c>
      <c r="I70">
        <v>0</v>
      </c>
      <c r="J70" s="107"/>
      <c r="K70" s="107"/>
    </row>
    <row r="71" spans="1:11" x14ac:dyDescent="0.25">
      <c r="A71" s="107" t="s">
        <v>987</v>
      </c>
      <c r="B71" s="107" t="s">
        <v>49</v>
      </c>
      <c r="C71" s="107" t="s">
        <v>41</v>
      </c>
      <c r="D71" t="s">
        <v>8</v>
      </c>
      <c r="E71">
        <f t="shared" si="10"/>
        <v>8180.6010000000006</v>
      </c>
      <c r="F71">
        <f>SUM(F72:F76)</f>
        <v>8180.6010000000006</v>
      </c>
      <c r="G71">
        <f>SUM(G72:G76)</f>
        <v>0</v>
      </c>
      <c r="H71">
        <f>SUM(H72:H76)</f>
        <v>0</v>
      </c>
      <c r="I71">
        <f>SUM(I72:I76)</f>
        <v>0</v>
      </c>
      <c r="J71" s="107" t="s">
        <v>50</v>
      </c>
      <c r="K71" s="107" t="s">
        <v>17</v>
      </c>
    </row>
    <row r="72" spans="1:11" x14ac:dyDescent="0.25">
      <c r="A72" s="107"/>
      <c r="B72" s="107"/>
      <c r="C72" s="107"/>
      <c r="D72">
        <v>2021</v>
      </c>
      <c r="E72">
        <f t="shared" si="10"/>
        <v>1636.1202000000001</v>
      </c>
      <c r="F72">
        <v>1636.1202000000001</v>
      </c>
      <c r="G72">
        <v>0</v>
      </c>
      <c r="H72">
        <v>0</v>
      </c>
      <c r="I72">
        <v>0</v>
      </c>
      <c r="J72" s="107"/>
      <c r="K72" s="107"/>
    </row>
    <row r="73" spans="1:11" x14ac:dyDescent="0.25">
      <c r="A73" s="107"/>
      <c r="B73" s="107"/>
      <c r="C73" s="107"/>
      <c r="D73">
        <v>2022</v>
      </c>
      <c r="E73">
        <f t="shared" si="10"/>
        <v>1636.1202000000001</v>
      </c>
      <c r="F73">
        <v>1636.1202000000001</v>
      </c>
      <c r="G73">
        <v>0</v>
      </c>
      <c r="H73">
        <v>0</v>
      </c>
      <c r="I73">
        <v>0</v>
      </c>
      <c r="J73" s="107"/>
      <c r="K73" s="107"/>
    </row>
    <row r="74" spans="1:11" x14ac:dyDescent="0.25">
      <c r="A74" s="107"/>
      <c r="B74" s="107"/>
      <c r="C74" s="107"/>
      <c r="D74">
        <v>2023</v>
      </c>
      <c r="E74">
        <f t="shared" si="10"/>
        <v>1636.1202000000001</v>
      </c>
      <c r="F74">
        <v>1636.1202000000001</v>
      </c>
      <c r="G74">
        <v>0</v>
      </c>
      <c r="H74">
        <v>0</v>
      </c>
      <c r="I74">
        <v>0</v>
      </c>
      <c r="J74" s="107"/>
      <c r="K74" s="107"/>
    </row>
    <row r="75" spans="1:11" x14ac:dyDescent="0.25">
      <c r="A75" s="107"/>
      <c r="B75" s="107"/>
      <c r="C75" s="107"/>
      <c r="D75">
        <v>2024</v>
      </c>
      <c r="E75">
        <f t="shared" si="10"/>
        <v>1636.1202000000001</v>
      </c>
      <c r="F75">
        <v>1636.1202000000001</v>
      </c>
      <c r="G75">
        <v>0</v>
      </c>
      <c r="H75">
        <v>0</v>
      </c>
      <c r="I75">
        <v>0</v>
      </c>
      <c r="J75" s="107"/>
      <c r="K75" s="107"/>
    </row>
    <row r="76" spans="1:11" x14ac:dyDescent="0.25">
      <c r="A76" s="107"/>
      <c r="B76" s="107"/>
      <c r="C76" s="107"/>
      <c r="D76">
        <v>2025</v>
      </c>
      <c r="E76">
        <f t="shared" si="10"/>
        <v>1636.1202000000001</v>
      </c>
      <c r="F76">
        <v>1636.1202000000001</v>
      </c>
      <c r="G76">
        <v>0</v>
      </c>
      <c r="H76">
        <v>0</v>
      </c>
      <c r="I76">
        <v>0</v>
      </c>
      <c r="J76" s="107"/>
      <c r="K76" s="107"/>
    </row>
    <row r="77" spans="1:11" x14ac:dyDescent="0.25">
      <c r="A77" s="107" t="s">
        <v>988</v>
      </c>
      <c r="B77" s="107" t="s">
        <v>52</v>
      </c>
      <c r="C77" s="107" t="s">
        <v>41</v>
      </c>
      <c r="D77" t="s">
        <v>8</v>
      </c>
      <c r="E77">
        <f t="shared" si="10"/>
        <v>10000</v>
      </c>
      <c r="F77">
        <f>SUM(F78:F82)</f>
        <v>10000</v>
      </c>
      <c r="G77">
        <f>SUM(G78:G82)</f>
        <v>0</v>
      </c>
      <c r="H77">
        <f>SUM(H78:H82)</f>
        <v>0</v>
      </c>
      <c r="I77">
        <f>SUM(I78:I82)</f>
        <v>0</v>
      </c>
      <c r="J77" s="107" t="s">
        <v>53</v>
      </c>
      <c r="K77" s="107" t="s">
        <v>17</v>
      </c>
    </row>
    <row r="78" spans="1:11" x14ac:dyDescent="0.25">
      <c r="A78" s="107"/>
      <c r="B78" s="107"/>
      <c r="C78" s="107"/>
      <c r="D78">
        <v>2021</v>
      </c>
      <c r="E78">
        <f t="shared" si="10"/>
        <v>2000</v>
      </c>
      <c r="F78">
        <v>2000</v>
      </c>
      <c r="G78">
        <v>0</v>
      </c>
      <c r="H78">
        <v>0</v>
      </c>
      <c r="I78">
        <v>0</v>
      </c>
      <c r="J78" s="107"/>
      <c r="K78" s="107"/>
    </row>
    <row r="79" spans="1:11" x14ac:dyDescent="0.25">
      <c r="A79" s="107"/>
      <c r="B79" s="107"/>
      <c r="C79" s="107"/>
      <c r="D79">
        <v>2022</v>
      </c>
      <c r="E79">
        <f t="shared" si="10"/>
        <v>2000</v>
      </c>
      <c r="F79">
        <v>2000</v>
      </c>
      <c r="G79">
        <v>0</v>
      </c>
      <c r="H79">
        <v>0</v>
      </c>
      <c r="I79">
        <v>0</v>
      </c>
      <c r="J79" s="107"/>
      <c r="K79" s="107"/>
    </row>
    <row r="80" spans="1:11" x14ac:dyDescent="0.25">
      <c r="A80" s="107"/>
      <c r="B80" s="107"/>
      <c r="C80" s="107"/>
      <c r="D80">
        <v>2023</v>
      </c>
      <c r="E80">
        <f t="shared" si="10"/>
        <v>2000</v>
      </c>
      <c r="F80">
        <v>2000</v>
      </c>
      <c r="G80">
        <v>0</v>
      </c>
      <c r="H80">
        <v>0</v>
      </c>
      <c r="I80">
        <v>0</v>
      </c>
      <c r="J80" s="107"/>
      <c r="K80" s="107"/>
    </row>
    <row r="81" spans="1:11" x14ac:dyDescent="0.25">
      <c r="A81" s="107"/>
      <c r="B81" s="107"/>
      <c r="C81" s="107"/>
      <c r="D81">
        <v>2024</v>
      </c>
      <c r="E81">
        <f t="shared" si="10"/>
        <v>2000</v>
      </c>
      <c r="F81">
        <v>2000</v>
      </c>
      <c r="G81">
        <v>0</v>
      </c>
      <c r="H81">
        <v>0</v>
      </c>
      <c r="I81">
        <v>0</v>
      </c>
      <c r="J81" s="107"/>
      <c r="K81" s="107"/>
    </row>
    <row r="82" spans="1:11" x14ac:dyDescent="0.25">
      <c r="A82" s="107"/>
      <c r="B82" s="107"/>
      <c r="C82" s="107"/>
      <c r="D82">
        <v>2025</v>
      </c>
      <c r="E82">
        <f t="shared" si="10"/>
        <v>2000</v>
      </c>
      <c r="F82">
        <v>2000</v>
      </c>
      <c r="G82">
        <v>0</v>
      </c>
      <c r="H82">
        <v>0</v>
      </c>
      <c r="I82">
        <v>0</v>
      </c>
      <c r="J82" s="107"/>
      <c r="K82" s="107"/>
    </row>
    <row r="83" spans="1:11" x14ac:dyDescent="0.25">
      <c r="A83" s="107" t="s">
        <v>645</v>
      </c>
      <c r="B83" s="107" t="s">
        <v>55</v>
      </c>
      <c r="C83" s="107" t="s">
        <v>14</v>
      </c>
      <c r="D83" t="s">
        <v>8</v>
      </c>
      <c r="E83">
        <f t="shared" si="10"/>
        <v>3766529.4127199999</v>
      </c>
      <c r="F83">
        <f>SUM(F84:F88)</f>
        <v>3698312.4127199999</v>
      </c>
      <c r="G83">
        <f>SUM(G84:G88)</f>
        <v>68217</v>
      </c>
      <c r="H83">
        <f>SUM(H84:H88)</f>
        <v>0</v>
      </c>
      <c r="I83">
        <f>SUM(I84:I88)</f>
        <v>0</v>
      </c>
      <c r="J83" s="107"/>
      <c r="K83" s="107" t="s">
        <v>43</v>
      </c>
    </row>
    <row r="84" spans="1:11" x14ac:dyDescent="0.25">
      <c r="A84" s="107"/>
      <c r="B84" s="107"/>
      <c r="C84" s="107"/>
      <c r="D84">
        <v>2021</v>
      </c>
      <c r="E84">
        <f t="shared" si="10"/>
        <v>772223.30089000007</v>
      </c>
      <c r="F84">
        <f t="shared" ref="F84:I88" si="12">F90+F126+F144</f>
        <v>735815.50089000002</v>
      </c>
      <c r="G84">
        <f t="shared" si="12"/>
        <v>36407.800000000003</v>
      </c>
      <c r="H84">
        <f t="shared" si="12"/>
        <v>0</v>
      </c>
      <c r="I84">
        <f t="shared" si="12"/>
        <v>0</v>
      </c>
      <c r="J84" s="107"/>
      <c r="K84" s="107"/>
    </row>
    <row r="85" spans="1:11" x14ac:dyDescent="0.25">
      <c r="A85" s="107"/>
      <c r="B85" s="107"/>
      <c r="C85" s="107"/>
      <c r="D85">
        <v>2022</v>
      </c>
      <c r="E85">
        <f t="shared" si="10"/>
        <v>760380.36162999994</v>
      </c>
      <c r="F85">
        <f t="shared" si="12"/>
        <v>744833.06162999989</v>
      </c>
      <c r="G85">
        <f t="shared" si="12"/>
        <v>15547.3</v>
      </c>
      <c r="H85">
        <f t="shared" si="12"/>
        <v>0</v>
      </c>
      <c r="I85">
        <f t="shared" si="12"/>
        <v>0</v>
      </c>
      <c r="J85" s="107"/>
      <c r="K85" s="107"/>
    </row>
    <row r="86" spans="1:11" x14ac:dyDescent="0.25">
      <c r="A86" s="107"/>
      <c r="B86" s="107"/>
      <c r="C86" s="107"/>
      <c r="D86">
        <v>2023</v>
      </c>
      <c r="E86">
        <f t="shared" si="10"/>
        <v>755483.18239999993</v>
      </c>
      <c r="F86">
        <f t="shared" si="12"/>
        <v>739221.28239999991</v>
      </c>
      <c r="G86">
        <f t="shared" si="12"/>
        <v>16261.9</v>
      </c>
      <c r="H86">
        <f t="shared" si="12"/>
        <v>0</v>
      </c>
      <c r="I86">
        <f t="shared" si="12"/>
        <v>0</v>
      </c>
      <c r="J86" s="107"/>
      <c r="K86" s="107"/>
    </row>
    <row r="87" spans="1:11" x14ac:dyDescent="0.25">
      <c r="A87" s="107"/>
      <c r="B87" s="107"/>
      <c r="C87" s="107"/>
      <c r="D87">
        <v>2024</v>
      </c>
      <c r="E87">
        <f t="shared" si="10"/>
        <v>739221.28539999994</v>
      </c>
      <c r="F87">
        <f t="shared" si="12"/>
        <v>739221.28539999994</v>
      </c>
      <c r="G87">
        <f t="shared" si="12"/>
        <v>0</v>
      </c>
      <c r="H87">
        <f t="shared" si="12"/>
        <v>0</v>
      </c>
      <c r="I87">
        <f t="shared" si="12"/>
        <v>0</v>
      </c>
      <c r="J87" s="107"/>
      <c r="K87" s="107"/>
    </row>
    <row r="88" spans="1:11" x14ac:dyDescent="0.25">
      <c r="A88" s="107"/>
      <c r="B88" s="107"/>
      <c r="C88" s="107"/>
      <c r="D88">
        <v>2025</v>
      </c>
      <c r="E88">
        <f t="shared" si="10"/>
        <v>739221.28239999991</v>
      </c>
      <c r="F88">
        <f t="shared" si="12"/>
        <v>739221.28239999991</v>
      </c>
      <c r="G88">
        <f t="shared" si="12"/>
        <v>0</v>
      </c>
      <c r="H88">
        <f t="shared" si="12"/>
        <v>0</v>
      </c>
      <c r="I88">
        <f t="shared" si="12"/>
        <v>0</v>
      </c>
      <c r="J88" s="107"/>
      <c r="K88" s="107"/>
    </row>
    <row r="89" spans="1:11" x14ac:dyDescent="0.25">
      <c r="A89" s="107" t="s">
        <v>813</v>
      </c>
      <c r="B89" s="107" t="s">
        <v>989</v>
      </c>
      <c r="C89" s="107" t="s">
        <v>14</v>
      </c>
      <c r="D89" t="s">
        <v>8</v>
      </c>
      <c r="E89">
        <f t="shared" si="10"/>
        <v>3677305.2249999996</v>
      </c>
      <c r="F89">
        <f>SUM(F90:F94)</f>
        <v>3677305.2249999996</v>
      </c>
      <c r="G89">
        <f>SUM(G90:G94)</f>
        <v>0</v>
      </c>
      <c r="H89">
        <f>SUM(H90:H94)</f>
        <v>0</v>
      </c>
      <c r="I89">
        <f>SUM(I90:I94)</f>
        <v>0</v>
      </c>
      <c r="J89" s="107" t="s">
        <v>990</v>
      </c>
      <c r="K89" s="107" t="s">
        <v>59</v>
      </c>
    </row>
    <row r="90" spans="1:11" x14ac:dyDescent="0.25">
      <c r="A90" s="107"/>
      <c r="B90" s="107"/>
      <c r="C90" s="107"/>
      <c r="D90">
        <v>2021</v>
      </c>
      <c r="E90">
        <f t="shared" si="10"/>
        <v>725530.01800000004</v>
      </c>
      <c r="F90">
        <f t="shared" ref="F90:I93" si="13">F96+F102+F108+F114+F120</f>
        <v>725530.01800000004</v>
      </c>
      <c r="G90">
        <f t="shared" si="13"/>
        <v>0</v>
      </c>
      <c r="H90">
        <f t="shared" si="13"/>
        <v>0</v>
      </c>
      <c r="I90">
        <f t="shared" si="13"/>
        <v>0</v>
      </c>
      <c r="J90" s="107"/>
      <c r="K90" s="107"/>
    </row>
    <row r="91" spans="1:11" x14ac:dyDescent="0.25">
      <c r="A91" s="107"/>
      <c r="B91" s="107"/>
      <c r="C91" s="107"/>
      <c r="D91">
        <v>2022</v>
      </c>
      <c r="E91">
        <f t="shared" si="10"/>
        <v>742186.84499999997</v>
      </c>
      <c r="F91">
        <f t="shared" si="13"/>
        <v>742186.84499999997</v>
      </c>
      <c r="G91">
        <f t="shared" si="13"/>
        <v>0</v>
      </c>
      <c r="H91">
        <f t="shared" si="13"/>
        <v>0</v>
      </c>
      <c r="I91">
        <f t="shared" si="13"/>
        <v>0</v>
      </c>
      <c r="J91" s="107"/>
      <c r="K91" s="107"/>
    </row>
    <row r="92" spans="1:11" x14ac:dyDescent="0.25">
      <c r="A92" s="107"/>
      <c r="B92" s="107"/>
      <c r="C92" s="107"/>
      <c r="D92">
        <v>2023</v>
      </c>
      <c r="E92">
        <f t="shared" si="10"/>
        <v>736529.45299999998</v>
      </c>
      <c r="F92">
        <f t="shared" si="13"/>
        <v>736529.45299999998</v>
      </c>
      <c r="G92">
        <f t="shared" si="13"/>
        <v>0</v>
      </c>
      <c r="H92">
        <f t="shared" si="13"/>
        <v>0</v>
      </c>
      <c r="I92">
        <f t="shared" si="13"/>
        <v>0</v>
      </c>
      <c r="J92" s="107"/>
      <c r="K92" s="107"/>
    </row>
    <row r="93" spans="1:11" x14ac:dyDescent="0.25">
      <c r="A93" s="107"/>
      <c r="B93" s="107"/>
      <c r="C93" s="107"/>
      <c r="D93">
        <v>2024</v>
      </c>
      <c r="E93">
        <f t="shared" si="10"/>
        <v>736529.45600000001</v>
      </c>
      <c r="F93">
        <f t="shared" si="13"/>
        <v>736529.45600000001</v>
      </c>
      <c r="G93">
        <f t="shared" si="13"/>
        <v>0</v>
      </c>
      <c r="H93">
        <f t="shared" si="13"/>
        <v>0</v>
      </c>
      <c r="I93">
        <f t="shared" si="13"/>
        <v>0</v>
      </c>
      <c r="J93" s="107"/>
      <c r="K93" s="107"/>
    </row>
    <row r="94" spans="1:11" x14ac:dyDescent="0.25">
      <c r="A94" s="107"/>
      <c r="B94" s="107"/>
      <c r="C94" s="107"/>
      <c r="D94">
        <v>2025</v>
      </c>
      <c r="E94">
        <f t="shared" si="10"/>
        <v>736529.45299999998</v>
      </c>
      <c r="F94">
        <f>F100+F106+F112+F118+F124</f>
        <v>736529.45299999998</v>
      </c>
      <c r="G94">
        <f>G100+G52+G106+G112+G136+G58+G142</f>
        <v>0</v>
      </c>
      <c r="H94">
        <f>H100+H106+H112+H118+H124</f>
        <v>0</v>
      </c>
      <c r="I94">
        <f>I100+I106+I112+I118+I124</f>
        <v>0</v>
      </c>
      <c r="J94" s="107"/>
      <c r="K94" s="107"/>
    </row>
    <row r="95" spans="1:11" x14ac:dyDescent="0.25">
      <c r="A95" s="107" t="s">
        <v>991</v>
      </c>
      <c r="B95" s="107" t="s">
        <v>61</v>
      </c>
      <c r="C95" s="107" t="s">
        <v>14</v>
      </c>
      <c r="D95" t="s">
        <v>8</v>
      </c>
      <c r="E95">
        <f t="shared" si="10"/>
        <v>10533.328000000001</v>
      </c>
      <c r="F95">
        <f>SUM(F96:F100)</f>
        <v>10533.328000000001</v>
      </c>
      <c r="G95">
        <f>SUM(G96:G100)</f>
        <v>0</v>
      </c>
      <c r="H95">
        <f>SUM(H96:H100)</f>
        <v>0</v>
      </c>
      <c r="I95">
        <f>SUM(I96:I100)</f>
        <v>0</v>
      </c>
      <c r="J95" s="107" t="s">
        <v>62</v>
      </c>
      <c r="K95" s="107" t="s">
        <v>992</v>
      </c>
    </row>
    <row r="96" spans="1:11" x14ac:dyDescent="0.25">
      <c r="A96" s="107"/>
      <c r="B96" s="107"/>
      <c r="C96" s="107"/>
      <c r="D96">
        <v>2021</v>
      </c>
      <c r="E96">
        <f t="shared" si="10"/>
        <v>2106.6999999999998</v>
      </c>
      <c r="F96">
        <v>2106.6999999999998</v>
      </c>
      <c r="G96">
        <v>0</v>
      </c>
      <c r="H96">
        <v>0</v>
      </c>
      <c r="I96">
        <v>0</v>
      </c>
      <c r="J96" s="107"/>
      <c r="K96" s="107"/>
    </row>
    <row r="97" spans="1:11" x14ac:dyDescent="0.25">
      <c r="A97" s="107"/>
      <c r="B97" s="107"/>
      <c r="C97" s="107"/>
      <c r="D97">
        <v>2022</v>
      </c>
      <c r="E97">
        <f t="shared" si="10"/>
        <v>2106.6570000000002</v>
      </c>
      <c r="F97">
        <v>2106.6570000000002</v>
      </c>
      <c r="G97">
        <v>0</v>
      </c>
      <c r="H97">
        <v>0</v>
      </c>
      <c r="I97">
        <v>0</v>
      </c>
      <c r="J97" s="107"/>
      <c r="K97" s="107"/>
    </row>
    <row r="98" spans="1:11" x14ac:dyDescent="0.25">
      <c r="A98" s="107"/>
      <c r="B98" s="107"/>
      <c r="C98" s="107"/>
      <c r="D98">
        <v>2023</v>
      </c>
      <c r="E98">
        <f t="shared" si="10"/>
        <v>2106.6570000000002</v>
      </c>
      <c r="F98">
        <v>2106.6570000000002</v>
      </c>
      <c r="G98">
        <v>0</v>
      </c>
      <c r="H98">
        <v>0</v>
      </c>
      <c r="I98">
        <v>0</v>
      </c>
      <c r="J98" s="107"/>
      <c r="K98" s="107"/>
    </row>
    <row r="99" spans="1:11" x14ac:dyDescent="0.25">
      <c r="A99" s="107"/>
      <c r="B99" s="107"/>
      <c r="C99" s="107"/>
      <c r="D99">
        <v>2024</v>
      </c>
      <c r="E99">
        <f t="shared" si="10"/>
        <v>2106.6570000000002</v>
      </c>
      <c r="F99">
        <v>2106.6570000000002</v>
      </c>
      <c r="G99">
        <v>0</v>
      </c>
      <c r="H99">
        <v>0</v>
      </c>
      <c r="I99">
        <v>0</v>
      </c>
      <c r="J99" s="107"/>
      <c r="K99" s="107"/>
    </row>
    <row r="100" spans="1:11" x14ac:dyDescent="0.25">
      <c r="A100" s="107"/>
      <c r="B100" s="107"/>
      <c r="C100" s="107"/>
      <c r="D100">
        <v>2025</v>
      </c>
      <c r="E100">
        <f t="shared" si="10"/>
        <v>2106.6570000000002</v>
      </c>
      <c r="F100">
        <v>2106.6570000000002</v>
      </c>
      <c r="G100">
        <f>+G106+G112+G118+G124</f>
        <v>0</v>
      </c>
      <c r="H100">
        <v>0</v>
      </c>
      <c r="I100">
        <v>0</v>
      </c>
      <c r="J100" s="107"/>
      <c r="K100" s="107"/>
    </row>
    <row r="101" spans="1:11" x14ac:dyDescent="0.25">
      <c r="A101" s="107" t="s">
        <v>993</v>
      </c>
      <c r="B101" s="107" t="s">
        <v>64</v>
      </c>
      <c r="C101" s="107" t="s">
        <v>14</v>
      </c>
      <c r="D101" t="s">
        <v>8</v>
      </c>
      <c r="E101">
        <f t="shared" si="10"/>
        <v>5420</v>
      </c>
      <c r="F101">
        <f>SUM(F102:F106)</f>
        <v>5420</v>
      </c>
      <c r="G101">
        <f>SUM(G102:G106)</f>
        <v>0</v>
      </c>
      <c r="H101">
        <f>SUM(H102:H106)</f>
        <v>0</v>
      </c>
      <c r="I101">
        <f>SUM(I102:I106)</f>
        <v>0</v>
      </c>
      <c r="J101" s="107" t="s">
        <v>994</v>
      </c>
      <c r="K101" s="107" t="s">
        <v>17</v>
      </c>
    </row>
    <row r="102" spans="1:11" x14ac:dyDescent="0.25">
      <c r="A102" s="107"/>
      <c r="B102" s="107"/>
      <c r="C102" s="107"/>
      <c r="D102">
        <v>2021</v>
      </c>
      <c r="E102">
        <f t="shared" si="10"/>
        <v>1084</v>
      </c>
      <c r="F102">
        <v>1084</v>
      </c>
      <c r="G102">
        <v>0</v>
      </c>
      <c r="H102">
        <v>0</v>
      </c>
      <c r="I102">
        <v>0</v>
      </c>
      <c r="J102" s="107"/>
      <c r="K102" s="107"/>
    </row>
    <row r="103" spans="1:11" x14ac:dyDescent="0.25">
      <c r="A103" s="107"/>
      <c r="B103" s="107"/>
      <c r="C103" s="107"/>
      <c r="D103">
        <v>2022</v>
      </c>
      <c r="E103">
        <f t="shared" si="10"/>
        <v>1084</v>
      </c>
      <c r="F103">
        <v>1084</v>
      </c>
      <c r="G103">
        <v>0</v>
      </c>
      <c r="H103">
        <v>0</v>
      </c>
      <c r="I103">
        <v>0</v>
      </c>
      <c r="J103" s="107"/>
      <c r="K103" s="107"/>
    </row>
    <row r="104" spans="1:11" x14ac:dyDescent="0.25">
      <c r="A104" s="107"/>
      <c r="B104" s="107"/>
      <c r="C104" s="107"/>
      <c r="D104">
        <v>2023</v>
      </c>
      <c r="E104">
        <f t="shared" si="10"/>
        <v>1084</v>
      </c>
      <c r="F104">
        <v>1084</v>
      </c>
      <c r="G104">
        <v>0</v>
      </c>
      <c r="H104">
        <v>0</v>
      </c>
      <c r="I104">
        <v>0</v>
      </c>
      <c r="J104" s="107"/>
      <c r="K104" s="107"/>
    </row>
    <row r="105" spans="1:11" x14ac:dyDescent="0.25">
      <c r="A105" s="107"/>
      <c r="B105" s="107"/>
      <c r="C105" s="107"/>
      <c r="D105">
        <v>2024</v>
      </c>
      <c r="E105">
        <f t="shared" si="10"/>
        <v>1084</v>
      </c>
      <c r="F105">
        <v>1084</v>
      </c>
      <c r="G105">
        <v>0</v>
      </c>
      <c r="H105">
        <v>0</v>
      </c>
      <c r="I105">
        <v>0</v>
      </c>
      <c r="J105" s="107"/>
      <c r="K105" s="107"/>
    </row>
    <row r="106" spans="1:11" x14ac:dyDescent="0.25">
      <c r="A106" s="107"/>
      <c r="B106" s="107"/>
      <c r="C106" s="107"/>
      <c r="D106">
        <v>2025</v>
      </c>
      <c r="E106">
        <f t="shared" si="10"/>
        <v>1084</v>
      </c>
      <c r="F106">
        <v>1084</v>
      </c>
      <c r="G106">
        <v>0</v>
      </c>
      <c r="H106">
        <v>0</v>
      </c>
      <c r="I106">
        <v>0</v>
      </c>
      <c r="J106" s="107"/>
      <c r="K106" s="107"/>
    </row>
    <row r="107" spans="1:11" x14ac:dyDescent="0.25">
      <c r="A107" s="107" t="s">
        <v>995</v>
      </c>
      <c r="B107" s="107" t="s">
        <v>67</v>
      </c>
      <c r="C107" s="107" t="s">
        <v>14</v>
      </c>
      <c r="D107" t="s">
        <v>8</v>
      </c>
      <c r="E107">
        <f t="shared" si="10"/>
        <v>160.35</v>
      </c>
      <c r="F107">
        <f>SUM(F108:F112)</f>
        <v>160.35</v>
      </c>
      <c r="G107">
        <f>SUM(G108:G112)</f>
        <v>0</v>
      </c>
      <c r="H107">
        <f>SUM(H108:H112)</f>
        <v>0</v>
      </c>
      <c r="I107">
        <f>SUM(I108:I112)</f>
        <v>0</v>
      </c>
      <c r="J107" s="107" t="s">
        <v>68</v>
      </c>
      <c r="K107" s="107" t="s">
        <v>69</v>
      </c>
    </row>
    <row r="108" spans="1:11" x14ac:dyDescent="0.25">
      <c r="A108" s="107"/>
      <c r="B108" s="107"/>
      <c r="C108" s="107"/>
      <c r="D108">
        <v>2021</v>
      </c>
      <c r="E108">
        <f t="shared" si="10"/>
        <v>32.07</v>
      </c>
      <c r="F108">
        <v>32.07</v>
      </c>
      <c r="G108">
        <v>0</v>
      </c>
      <c r="H108">
        <v>0</v>
      </c>
      <c r="I108">
        <v>0</v>
      </c>
      <c r="J108" s="107"/>
      <c r="K108" s="107"/>
    </row>
    <row r="109" spans="1:11" x14ac:dyDescent="0.25">
      <c r="A109" s="107"/>
      <c r="B109" s="107"/>
      <c r="C109" s="107"/>
      <c r="D109">
        <v>2022</v>
      </c>
      <c r="E109">
        <f t="shared" si="10"/>
        <v>32.07</v>
      </c>
      <c r="F109">
        <v>32.07</v>
      </c>
      <c r="G109">
        <v>0</v>
      </c>
      <c r="H109">
        <v>0</v>
      </c>
      <c r="I109">
        <v>0</v>
      </c>
      <c r="J109" s="107"/>
      <c r="K109" s="107"/>
    </row>
    <row r="110" spans="1:11" x14ac:dyDescent="0.25">
      <c r="A110" s="107"/>
      <c r="B110" s="107"/>
      <c r="C110" s="107"/>
      <c r="D110">
        <v>2023</v>
      </c>
      <c r="E110">
        <f t="shared" si="10"/>
        <v>32.07</v>
      </c>
      <c r="F110">
        <v>32.07</v>
      </c>
      <c r="G110">
        <v>0</v>
      </c>
      <c r="H110">
        <v>0</v>
      </c>
      <c r="I110">
        <v>0</v>
      </c>
      <c r="J110" s="107"/>
      <c r="K110" s="107"/>
    </row>
    <row r="111" spans="1:11" x14ac:dyDescent="0.25">
      <c r="A111" s="107"/>
      <c r="B111" s="107"/>
      <c r="C111" s="107"/>
      <c r="D111">
        <v>2024</v>
      </c>
      <c r="E111">
        <f t="shared" si="10"/>
        <v>32.07</v>
      </c>
      <c r="F111">
        <v>32.07</v>
      </c>
      <c r="G111">
        <v>0</v>
      </c>
      <c r="H111">
        <v>0</v>
      </c>
      <c r="I111">
        <v>0</v>
      </c>
      <c r="J111" s="107"/>
      <c r="K111" s="107"/>
    </row>
    <row r="112" spans="1:11" x14ac:dyDescent="0.25">
      <c r="A112" s="107"/>
      <c r="B112" s="107"/>
      <c r="C112" s="107"/>
      <c r="D112">
        <v>2025</v>
      </c>
      <c r="E112">
        <f t="shared" si="10"/>
        <v>32.07</v>
      </c>
      <c r="F112">
        <v>32.07</v>
      </c>
      <c r="G112">
        <v>0</v>
      </c>
      <c r="H112">
        <v>0</v>
      </c>
      <c r="I112">
        <v>0</v>
      </c>
      <c r="J112" s="107"/>
      <c r="K112" s="107"/>
    </row>
    <row r="113" spans="1:11" x14ac:dyDescent="0.25">
      <c r="A113" s="107" t="s">
        <v>996</v>
      </c>
      <c r="B113" s="107" t="s">
        <v>71</v>
      </c>
      <c r="C113" s="107" t="s">
        <v>14</v>
      </c>
      <c r="D113" t="s">
        <v>8</v>
      </c>
      <c r="E113">
        <f t="shared" si="10"/>
        <v>3643385.0469999998</v>
      </c>
      <c r="F113">
        <f>SUM(F114:F118)</f>
        <v>3643385.0469999998</v>
      </c>
      <c r="G113">
        <f>SUM(G114:G118)</f>
        <v>0</v>
      </c>
      <c r="H113">
        <f>SUM(H114:H118)</f>
        <v>0</v>
      </c>
      <c r="I113">
        <f>SUM(I114:I118)</f>
        <v>0</v>
      </c>
      <c r="J113" s="107" t="s">
        <v>72</v>
      </c>
      <c r="K113" s="107" t="s">
        <v>73</v>
      </c>
    </row>
    <row r="114" spans="1:11" x14ac:dyDescent="0.25">
      <c r="A114" s="107"/>
      <c r="B114" s="107"/>
      <c r="C114" s="107"/>
      <c r="D114">
        <v>2021</v>
      </c>
      <c r="E114">
        <f t="shared" si="10"/>
        <v>718745.94799999997</v>
      </c>
      <c r="F114">
        <v>718745.94799999997</v>
      </c>
      <c r="G114">
        <v>0</v>
      </c>
      <c r="H114">
        <v>0</v>
      </c>
      <c r="I114">
        <v>0</v>
      </c>
      <c r="J114" s="107"/>
      <c r="K114" s="107"/>
    </row>
    <row r="115" spans="1:11" x14ac:dyDescent="0.25">
      <c r="A115" s="107"/>
      <c r="B115" s="107"/>
      <c r="C115" s="107"/>
      <c r="D115">
        <v>2022</v>
      </c>
      <c r="E115">
        <f t="shared" si="10"/>
        <v>735402.81799999997</v>
      </c>
      <c r="F115">
        <v>735402.81799999997</v>
      </c>
      <c r="G115">
        <v>0</v>
      </c>
      <c r="H115">
        <v>0</v>
      </c>
      <c r="I115">
        <v>0</v>
      </c>
      <c r="J115" s="107"/>
      <c r="K115" s="107"/>
    </row>
    <row r="116" spans="1:11" x14ac:dyDescent="0.25">
      <c r="A116" s="107"/>
      <c r="B116" s="107"/>
      <c r="C116" s="107"/>
      <c r="D116">
        <v>2023</v>
      </c>
      <c r="E116">
        <f t="shared" si="10"/>
        <v>729745.42599999998</v>
      </c>
      <c r="F116">
        <v>729745.42599999998</v>
      </c>
      <c r="G116">
        <v>0</v>
      </c>
      <c r="H116">
        <v>0</v>
      </c>
      <c r="I116">
        <v>0</v>
      </c>
      <c r="J116" s="107"/>
      <c r="K116" s="107"/>
    </row>
    <row r="117" spans="1:11" x14ac:dyDescent="0.25">
      <c r="A117" s="107"/>
      <c r="B117" s="107"/>
      <c r="C117" s="107"/>
      <c r="D117">
        <v>2024</v>
      </c>
      <c r="E117">
        <f t="shared" si="10"/>
        <v>729745.429</v>
      </c>
      <c r="F117">
        <v>729745.429</v>
      </c>
      <c r="G117">
        <v>0</v>
      </c>
      <c r="H117">
        <v>0</v>
      </c>
      <c r="I117">
        <v>0</v>
      </c>
      <c r="J117" s="107"/>
      <c r="K117" s="107"/>
    </row>
    <row r="118" spans="1:11" x14ac:dyDescent="0.25">
      <c r="A118" s="107"/>
      <c r="B118" s="107"/>
      <c r="C118" s="107"/>
      <c r="D118">
        <v>2025</v>
      </c>
      <c r="E118">
        <f t="shared" ref="E118:E123" si="14">SUM(F118:I118)</f>
        <v>729745.42599999998</v>
      </c>
      <c r="F118">
        <v>729745.42599999998</v>
      </c>
      <c r="G118">
        <v>0</v>
      </c>
      <c r="H118">
        <v>0</v>
      </c>
      <c r="I118">
        <v>0</v>
      </c>
      <c r="J118" s="107"/>
      <c r="K118" s="107"/>
    </row>
    <row r="119" spans="1:11" x14ac:dyDescent="0.25">
      <c r="A119" s="107" t="s">
        <v>997</v>
      </c>
      <c r="B119" s="107" t="s">
        <v>75</v>
      </c>
      <c r="C119" s="107" t="s">
        <v>14</v>
      </c>
      <c r="D119" t="s">
        <v>8</v>
      </c>
      <c r="E119">
        <f t="shared" si="14"/>
        <v>17806.5</v>
      </c>
      <c r="F119">
        <f>SUM(F120:F124)</f>
        <v>17806.5</v>
      </c>
      <c r="G119">
        <f>SUM(G120:G124)</f>
        <v>0</v>
      </c>
      <c r="H119">
        <f>SUM(H120:H124)</f>
        <v>0</v>
      </c>
      <c r="I119">
        <f>SUM(I120:I124)</f>
        <v>0</v>
      </c>
      <c r="J119" s="107" t="s">
        <v>76</v>
      </c>
      <c r="K119" s="107" t="s">
        <v>77</v>
      </c>
    </row>
    <row r="120" spans="1:11" x14ac:dyDescent="0.25">
      <c r="A120" s="107"/>
      <c r="B120" s="107"/>
      <c r="C120" s="107"/>
      <c r="D120">
        <v>2021</v>
      </c>
      <c r="E120">
        <f t="shared" si="14"/>
        <v>3561.3</v>
      </c>
      <c r="F120">
        <v>3561.3</v>
      </c>
      <c r="G120">
        <v>0</v>
      </c>
      <c r="H120">
        <v>0</v>
      </c>
      <c r="I120">
        <v>0</v>
      </c>
      <c r="J120" s="107"/>
      <c r="K120" s="107"/>
    </row>
    <row r="121" spans="1:11" x14ac:dyDescent="0.25">
      <c r="A121" s="107"/>
      <c r="B121" s="107"/>
      <c r="C121" s="107"/>
      <c r="D121">
        <v>2022</v>
      </c>
      <c r="E121">
        <f t="shared" si="14"/>
        <v>3561.3</v>
      </c>
      <c r="F121">
        <v>3561.3</v>
      </c>
      <c r="G121">
        <v>0</v>
      </c>
      <c r="H121">
        <v>0</v>
      </c>
      <c r="I121">
        <v>0</v>
      </c>
      <c r="J121" s="107"/>
      <c r="K121" s="107"/>
    </row>
    <row r="122" spans="1:11" x14ac:dyDescent="0.25">
      <c r="A122" s="107"/>
      <c r="B122" s="107"/>
      <c r="C122" s="107"/>
      <c r="D122">
        <v>2023</v>
      </c>
      <c r="E122">
        <f t="shared" si="14"/>
        <v>3561.3</v>
      </c>
      <c r="F122">
        <v>3561.3</v>
      </c>
      <c r="G122">
        <v>0</v>
      </c>
      <c r="H122">
        <v>0</v>
      </c>
      <c r="I122">
        <v>0</v>
      </c>
      <c r="J122" s="107"/>
      <c r="K122" s="107"/>
    </row>
    <row r="123" spans="1:11" x14ac:dyDescent="0.25">
      <c r="A123" s="107"/>
      <c r="B123" s="107"/>
      <c r="C123" s="107"/>
      <c r="D123">
        <v>2024</v>
      </c>
      <c r="E123">
        <f t="shared" si="14"/>
        <v>3561.3</v>
      </c>
      <c r="F123">
        <v>3561.3</v>
      </c>
      <c r="G123">
        <v>0</v>
      </c>
      <c r="H123">
        <v>0</v>
      </c>
      <c r="I123">
        <v>0</v>
      </c>
      <c r="J123" s="107"/>
      <c r="K123" s="107"/>
    </row>
    <row r="124" spans="1:11" x14ac:dyDescent="0.25">
      <c r="A124" s="107"/>
      <c r="B124" s="107"/>
      <c r="C124" s="107"/>
      <c r="D124">
        <v>2025</v>
      </c>
      <c r="E124">
        <f t="shared" ref="E124:E136" si="15">SUM(F124:I124)</f>
        <v>3561.3</v>
      </c>
      <c r="F124">
        <v>3561.3</v>
      </c>
      <c r="G124">
        <v>0</v>
      </c>
      <c r="H124">
        <v>0</v>
      </c>
      <c r="I124">
        <v>0</v>
      </c>
      <c r="J124" s="107"/>
      <c r="K124" s="107"/>
    </row>
    <row r="125" spans="1:11" x14ac:dyDescent="0.25">
      <c r="A125" s="107" t="s">
        <v>815</v>
      </c>
      <c r="B125" s="107" t="s">
        <v>79</v>
      </c>
      <c r="C125" s="107" t="s">
        <v>14</v>
      </c>
      <c r="D125" t="s">
        <v>8</v>
      </c>
      <c r="E125">
        <f t="shared" si="15"/>
        <v>30220.732400000001</v>
      </c>
      <c r="F125">
        <f>SUM(F126:F130)</f>
        <v>16091.432400000002</v>
      </c>
      <c r="G125">
        <f>SUM(G126:G130)</f>
        <v>14129.3</v>
      </c>
      <c r="H125">
        <f>SUM(H126:H130)</f>
        <v>0</v>
      </c>
      <c r="I125">
        <f>SUM(I126:I130)</f>
        <v>0</v>
      </c>
      <c r="J125" s="107" t="s">
        <v>998</v>
      </c>
      <c r="K125" s="107" t="s">
        <v>26</v>
      </c>
    </row>
    <row r="126" spans="1:11" x14ac:dyDescent="0.25">
      <c r="A126" s="107"/>
      <c r="B126" s="107"/>
      <c r="C126" s="107"/>
      <c r="D126">
        <v>2021</v>
      </c>
      <c r="E126">
        <f t="shared" si="15"/>
        <v>12782.112679999998</v>
      </c>
      <c r="F126">
        <f t="shared" ref="F126:I130" si="16">F132+F138</f>
        <v>8250.8126799999991</v>
      </c>
      <c r="G126">
        <f t="shared" si="16"/>
        <v>4531.3</v>
      </c>
      <c r="H126">
        <f t="shared" si="16"/>
        <v>0</v>
      </c>
      <c r="I126">
        <f t="shared" si="16"/>
        <v>0</v>
      </c>
      <c r="J126" s="107"/>
      <c r="K126" s="107"/>
    </row>
    <row r="127" spans="1:11" x14ac:dyDescent="0.25">
      <c r="A127" s="107"/>
      <c r="B127" s="107"/>
      <c r="C127" s="107"/>
      <c r="D127">
        <v>2022</v>
      </c>
      <c r="E127">
        <f t="shared" si="15"/>
        <v>6759.1549299999997</v>
      </c>
      <c r="F127">
        <f t="shared" si="16"/>
        <v>1960.1549299999999</v>
      </c>
      <c r="G127">
        <f t="shared" si="16"/>
        <v>4799</v>
      </c>
      <c r="H127">
        <f t="shared" si="16"/>
        <v>0</v>
      </c>
      <c r="I127">
        <f t="shared" si="16"/>
        <v>0</v>
      </c>
      <c r="J127" s="107"/>
      <c r="K127" s="107"/>
    </row>
    <row r="128" spans="1:11" x14ac:dyDescent="0.25">
      <c r="A128" s="107"/>
      <c r="B128" s="107"/>
      <c r="C128" s="107"/>
      <c r="D128">
        <v>2023</v>
      </c>
      <c r="E128">
        <f t="shared" si="15"/>
        <v>6759.1549299999997</v>
      </c>
      <c r="F128">
        <f t="shared" si="16"/>
        <v>1960.1549299999999</v>
      </c>
      <c r="G128">
        <f t="shared" si="16"/>
        <v>4799</v>
      </c>
      <c r="H128">
        <f t="shared" si="16"/>
        <v>0</v>
      </c>
      <c r="I128">
        <f t="shared" si="16"/>
        <v>0</v>
      </c>
      <c r="J128" s="107"/>
      <c r="K128" s="107"/>
    </row>
    <row r="129" spans="1:11" x14ac:dyDescent="0.25">
      <c r="A129" s="107"/>
      <c r="B129" s="107"/>
      <c r="C129" s="107"/>
      <c r="D129">
        <v>2024</v>
      </c>
      <c r="E129">
        <f t="shared" si="15"/>
        <v>1960.1549299999999</v>
      </c>
      <c r="F129">
        <f t="shared" si="16"/>
        <v>1960.1549299999999</v>
      </c>
      <c r="G129">
        <f t="shared" si="16"/>
        <v>0</v>
      </c>
      <c r="H129">
        <f t="shared" si="16"/>
        <v>0</v>
      </c>
      <c r="I129">
        <f t="shared" si="16"/>
        <v>0</v>
      </c>
      <c r="J129" s="107"/>
      <c r="K129" s="107"/>
    </row>
    <row r="130" spans="1:11" x14ac:dyDescent="0.25">
      <c r="A130" s="107"/>
      <c r="B130" s="107"/>
      <c r="C130" s="107"/>
      <c r="D130">
        <v>2025</v>
      </c>
      <c r="E130">
        <f t="shared" si="15"/>
        <v>1960.1549299999999</v>
      </c>
      <c r="F130">
        <f t="shared" si="16"/>
        <v>1960.1549299999999</v>
      </c>
      <c r="G130">
        <f t="shared" si="16"/>
        <v>0</v>
      </c>
      <c r="H130">
        <f t="shared" si="16"/>
        <v>0</v>
      </c>
      <c r="I130">
        <f t="shared" si="16"/>
        <v>0</v>
      </c>
      <c r="J130" s="107"/>
      <c r="K130" s="107"/>
    </row>
    <row r="131" spans="1:11" x14ac:dyDescent="0.25">
      <c r="A131" s="107" t="s">
        <v>999</v>
      </c>
      <c r="B131" s="107" t="s">
        <v>90</v>
      </c>
      <c r="C131" s="107" t="s">
        <v>14</v>
      </c>
      <c r="D131" t="s">
        <v>8</v>
      </c>
      <c r="E131">
        <f t="shared" si="15"/>
        <v>23820.732400000001</v>
      </c>
      <c r="F131">
        <f>SUM(F132:F136)</f>
        <v>9691.4323999999997</v>
      </c>
      <c r="G131">
        <f>SUM(G132:G136)</f>
        <v>14129.3</v>
      </c>
      <c r="H131">
        <f>SUM(H132:H136)</f>
        <v>0</v>
      </c>
      <c r="I131">
        <f>SUM(I132:I136)</f>
        <v>0</v>
      </c>
      <c r="J131" s="107" t="s">
        <v>1000</v>
      </c>
      <c r="K131" s="107" t="s">
        <v>92</v>
      </c>
    </row>
    <row r="132" spans="1:11" x14ac:dyDescent="0.25">
      <c r="A132" s="107"/>
      <c r="B132" s="107"/>
      <c r="C132" s="107"/>
      <c r="D132">
        <v>2021</v>
      </c>
      <c r="E132">
        <f t="shared" si="15"/>
        <v>6382.1126800000002</v>
      </c>
      <c r="F132">
        <v>1850.81268</v>
      </c>
      <c r="G132">
        <v>4531.3</v>
      </c>
      <c r="H132">
        <v>0</v>
      </c>
      <c r="I132">
        <v>0</v>
      </c>
      <c r="J132" s="107"/>
      <c r="K132" s="107"/>
    </row>
    <row r="133" spans="1:11" x14ac:dyDescent="0.25">
      <c r="A133" s="107"/>
      <c r="B133" s="107"/>
      <c r="C133" s="107"/>
      <c r="D133">
        <v>2022</v>
      </c>
      <c r="E133">
        <f t="shared" si="15"/>
        <v>6759.1549299999997</v>
      </c>
      <c r="F133">
        <v>1960.1549299999999</v>
      </c>
      <c r="G133">
        <v>4799</v>
      </c>
      <c r="H133">
        <v>0</v>
      </c>
      <c r="I133">
        <v>0</v>
      </c>
      <c r="J133" s="107"/>
      <c r="K133" s="107"/>
    </row>
    <row r="134" spans="1:11" x14ac:dyDescent="0.25">
      <c r="A134" s="107"/>
      <c r="B134" s="107"/>
      <c r="C134" s="107"/>
      <c r="D134">
        <v>2023</v>
      </c>
      <c r="E134">
        <f t="shared" si="15"/>
        <v>6759.1549299999997</v>
      </c>
      <c r="F134">
        <v>1960.1549299999999</v>
      </c>
      <c r="G134">
        <v>4799</v>
      </c>
      <c r="H134">
        <v>0</v>
      </c>
      <c r="I134">
        <v>0</v>
      </c>
      <c r="J134" s="107"/>
      <c r="K134" s="107"/>
    </row>
    <row r="135" spans="1:11" x14ac:dyDescent="0.25">
      <c r="A135" s="107"/>
      <c r="B135" s="107"/>
      <c r="C135" s="107"/>
      <c r="D135">
        <v>2024</v>
      </c>
      <c r="E135">
        <f t="shared" si="15"/>
        <v>1960.1549299999999</v>
      </c>
      <c r="F135">
        <v>1960.1549299999999</v>
      </c>
      <c r="G135">
        <v>0</v>
      </c>
      <c r="H135">
        <v>0</v>
      </c>
      <c r="I135">
        <v>0</v>
      </c>
      <c r="J135" s="107"/>
      <c r="K135" s="107"/>
    </row>
    <row r="136" spans="1:11" x14ac:dyDescent="0.25">
      <c r="A136" s="107"/>
      <c r="B136" s="107"/>
      <c r="C136" s="107"/>
      <c r="D136">
        <v>2025</v>
      </c>
      <c r="E136">
        <f t="shared" si="15"/>
        <v>1960.1549299999999</v>
      </c>
      <c r="F136">
        <v>1960.1549299999999</v>
      </c>
      <c r="G136">
        <v>0</v>
      </c>
      <c r="H136">
        <v>0</v>
      </c>
      <c r="I136">
        <v>0</v>
      </c>
      <c r="J136" s="107"/>
      <c r="K136" s="107"/>
    </row>
    <row r="137" spans="1:11" x14ac:dyDescent="0.25">
      <c r="A137" s="107" t="s">
        <v>1001</v>
      </c>
      <c r="B137" s="107" t="s">
        <v>82</v>
      </c>
      <c r="C137" s="107">
        <v>2021</v>
      </c>
      <c r="D137" t="s">
        <v>8</v>
      </c>
      <c r="E137">
        <f>SUM(E138:E142)</f>
        <v>6400</v>
      </c>
      <c r="F137">
        <f>SUM(F138:F142)</f>
        <v>6400</v>
      </c>
      <c r="G137">
        <f>SUM(G138:G142)</f>
        <v>0</v>
      </c>
      <c r="H137">
        <f>SUM(H138:H142)</f>
        <v>0</v>
      </c>
      <c r="I137">
        <f>SUM(I138:I142)</f>
        <v>0</v>
      </c>
      <c r="J137" s="107" t="s">
        <v>83</v>
      </c>
      <c r="K137" s="107" t="s">
        <v>17</v>
      </c>
    </row>
    <row r="138" spans="1:11" x14ac:dyDescent="0.25">
      <c r="A138" s="107"/>
      <c r="B138" s="107"/>
      <c r="C138" s="107"/>
      <c r="D138">
        <v>2021</v>
      </c>
      <c r="E138">
        <f t="shared" ref="E138:E166" si="17">SUM(F138:I138)</f>
        <v>6400</v>
      </c>
      <c r="F138">
        <v>6400</v>
      </c>
      <c r="G138">
        <v>0</v>
      </c>
      <c r="H138">
        <v>0</v>
      </c>
      <c r="I138">
        <v>0</v>
      </c>
      <c r="J138" s="107"/>
      <c r="K138" s="107"/>
    </row>
    <row r="139" spans="1:11" x14ac:dyDescent="0.25">
      <c r="A139" s="107"/>
      <c r="B139" s="107"/>
      <c r="C139" s="107"/>
      <c r="D139">
        <v>2022</v>
      </c>
      <c r="E139">
        <f t="shared" si="17"/>
        <v>0</v>
      </c>
      <c r="F139">
        <v>0</v>
      </c>
      <c r="G139">
        <v>0</v>
      </c>
      <c r="H139">
        <v>0</v>
      </c>
      <c r="I139">
        <v>0</v>
      </c>
      <c r="J139" s="107"/>
      <c r="K139" s="107"/>
    </row>
    <row r="140" spans="1:11" x14ac:dyDescent="0.25">
      <c r="A140" s="107"/>
      <c r="B140" s="107"/>
      <c r="C140" s="107"/>
      <c r="D140">
        <v>2023</v>
      </c>
      <c r="E140">
        <f t="shared" si="17"/>
        <v>0</v>
      </c>
      <c r="F140">
        <v>0</v>
      </c>
      <c r="G140">
        <v>0</v>
      </c>
      <c r="H140">
        <v>0</v>
      </c>
      <c r="I140">
        <v>0</v>
      </c>
      <c r="J140" s="107"/>
      <c r="K140" s="107"/>
    </row>
    <row r="141" spans="1:11" x14ac:dyDescent="0.25">
      <c r="A141" s="107"/>
      <c r="B141" s="107"/>
      <c r="C141" s="107"/>
      <c r="D141">
        <v>2024</v>
      </c>
      <c r="E141">
        <f t="shared" si="17"/>
        <v>0</v>
      </c>
      <c r="F141">
        <v>0</v>
      </c>
      <c r="G141">
        <v>0</v>
      </c>
      <c r="H141">
        <v>0</v>
      </c>
      <c r="I141">
        <v>0</v>
      </c>
      <c r="J141" s="107"/>
      <c r="K141" s="107"/>
    </row>
    <row r="142" spans="1:11" x14ac:dyDescent="0.25">
      <c r="A142" s="107"/>
      <c r="B142" s="107"/>
      <c r="C142" s="107"/>
      <c r="D142">
        <v>2025</v>
      </c>
      <c r="E142">
        <f t="shared" si="17"/>
        <v>0</v>
      </c>
      <c r="F142">
        <v>0</v>
      </c>
      <c r="G142">
        <v>0</v>
      </c>
      <c r="H142">
        <v>0</v>
      </c>
      <c r="I142">
        <v>0</v>
      </c>
      <c r="J142" s="107"/>
      <c r="K142" s="107"/>
    </row>
    <row r="143" spans="1:11" x14ac:dyDescent="0.25">
      <c r="A143" s="107" t="s">
        <v>1002</v>
      </c>
      <c r="B143" s="107" t="s">
        <v>40</v>
      </c>
      <c r="C143" s="107" t="s">
        <v>41</v>
      </c>
      <c r="D143" t="s">
        <v>8</v>
      </c>
      <c r="E143">
        <f t="shared" si="17"/>
        <v>59003.455320000008</v>
      </c>
      <c r="F143">
        <f>SUM(F144:F148)</f>
        <v>4915.7553200000002</v>
      </c>
      <c r="G143">
        <f>SUM(G144:G148)</f>
        <v>54087.700000000004</v>
      </c>
      <c r="H143">
        <f>SUM(H144:H148)</f>
        <v>0</v>
      </c>
      <c r="I143">
        <f>SUM(I144:I148)</f>
        <v>0</v>
      </c>
      <c r="J143" s="107" t="s">
        <v>1003</v>
      </c>
      <c r="K143" s="107" t="s">
        <v>1004</v>
      </c>
    </row>
    <row r="144" spans="1:11" x14ac:dyDescent="0.25">
      <c r="A144" s="107"/>
      <c r="B144" s="107"/>
      <c r="C144" s="107"/>
      <c r="D144">
        <v>2021</v>
      </c>
      <c r="E144">
        <f t="shared" si="17"/>
        <v>33911.170209999997</v>
      </c>
      <c r="F144">
        <f t="shared" ref="F144:I148" si="18">F150</f>
        <v>2034.67021</v>
      </c>
      <c r="G144">
        <f t="shared" si="18"/>
        <v>31876.5</v>
      </c>
      <c r="H144">
        <f t="shared" si="18"/>
        <v>0</v>
      </c>
      <c r="I144">
        <f t="shared" si="18"/>
        <v>0</v>
      </c>
      <c r="J144" s="107"/>
      <c r="K144" s="107"/>
    </row>
    <row r="145" spans="1:11" x14ac:dyDescent="0.25">
      <c r="A145" s="107"/>
      <c r="B145" s="107"/>
      <c r="C145" s="107"/>
      <c r="D145">
        <v>2022</v>
      </c>
      <c r="E145">
        <f t="shared" si="17"/>
        <v>11434.361699999999</v>
      </c>
      <c r="F145">
        <f t="shared" si="18"/>
        <v>686.06169999999997</v>
      </c>
      <c r="G145">
        <f t="shared" si="18"/>
        <v>10748.3</v>
      </c>
      <c r="H145">
        <f t="shared" si="18"/>
        <v>0</v>
      </c>
      <c r="I145">
        <f t="shared" si="18"/>
        <v>0</v>
      </c>
      <c r="J145" s="107"/>
      <c r="K145" s="107"/>
    </row>
    <row r="146" spans="1:11" x14ac:dyDescent="0.25">
      <c r="A146" s="107"/>
      <c r="B146" s="107"/>
      <c r="C146" s="107"/>
      <c r="D146">
        <v>2023</v>
      </c>
      <c r="E146">
        <f t="shared" si="17"/>
        <v>12194.57447</v>
      </c>
      <c r="F146">
        <f t="shared" si="18"/>
        <v>731.67447000000004</v>
      </c>
      <c r="G146">
        <f t="shared" si="18"/>
        <v>11462.9</v>
      </c>
      <c r="H146">
        <f t="shared" si="18"/>
        <v>0</v>
      </c>
      <c r="I146">
        <f t="shared" si="18"/>
        <v>0</v>
      </c>
      <c r="J146" s="107"/>
      <c r="K146" s="107"/>
    </row>
    <row r="147" spans="1:11" x14ac:dyDescent="0.25">
      <c r="A147" s="107"/>
      <c r="B147" s="107"/>
      <c r="C147" s="107"/>
      <c r="D147">
        <v>2024</v>
      </c>
      <c r="E147">
        <f t="shared" si="17"/>
        <v>731.67447000000004</v>
      </c>
      <c r="F147">
        <f t="shared" si="18"/>
        <v>731.67447000000004</v>
      </c>
      <c r="G147">
        <f t="shared" si="18"/>
        <v>0</v>
      </c>
      <c r="H147">
        <f t="shared" si="18"/>
        <v>0</v>
      </c>
      <c r="I147">
        <f t="shared" si="18"/>
        <v>0</v>
      </c>
      <c r="J147" s="107"/>
      <c r="K147" s="107"/>
    </row>
    <row r="148" spans="1:11" x14ac:dyDescent="0.25">
      <c r="A148" s="107"/>
      <c r="B148" s="107"/>
      <c r="C148" s="107"/>
      <c r="D148">
        <v>2025</v>
      </c>
      <c r="E148">
        <f t="shared" si="17"/>
        <v>731.67447000000004</v>
      </c>
      <c r="F148">
        <f t="shared" si="18"/>
        <v>731.67447000000004</v>
      </c>
      <c r="G148">
        <f t="shared" si="18"/>
        <v>0</v>
      </c>
      <c r="H148">
        <f t="shared" si="18"/>
        <v>0</v>
      </c>
      <c r="I148">
        <f t="shared" si="18"/>
        <v>0</v>
      </c>
      <c r="J148" s="107"/>
      <c r="K148" s="107"/>
    </row>
    <row r="149" spans="1:11" x14ac:dyDescent="0.25">
      <c r="A149" s="107" t="s">
        <v>1005</v>
      </c>
      <c r="B149" s="107" t="s">
        <v>87</v>
      </c>
      <c r="C149" s="107" t="s">
        <v>41</v>
      </c>
      <c r="D149" t="s">
        <v>8</v>
      </c>
      <c r="E149">
        <f t="shared" si="17"/>
        <v>59003.455320000008</v>
      </c>
      <c r="F149">
        <f>SUM(F150:F154)</f>
        <v>4915.7553200000002</v>
      </c>
      <c r="G149">
        <f>SUM(G150:G154)</f>
        <v>54087.700000000004</v>
      </c>
      <c r="H149">
        <f>SUM(H150:H154)</f>
        <v>0</v>
      </c>
      <c r="I149">
        <f>SUM(I150:I154)</f>
        <v>0</v>
      </c>
      <c r="J149" s="107" t="s">
        <v>1006</v>
      </c>
      <c r="K149" s="107" t="s">
        <v>89</v>
      </c>
    </row>
    <row r="150" spans="1:11" x14ac:dyDescent="0.25">
      <c r="A150" s="107"/>
      <c r="B150" s="107"/>
      <c r="C150" s="107"/>
      <c r="D150">
        <v>2021</v>
      </c>
      <c r="E150">
        <f t="shared" si="17"/>
        <v>33911.170209999997</v>
      </c>
      <c r="F150">
        <v>2034.67021</v>
      </c>
      <c r="G150">
        <v>31876.5</v>
      </c>
      <c r="H150">
        <v>0</v>
      </c>
      <c r="I150">
        <v>0</v>
      </c>
      <c r="J150" s="107"/>
      <c r="K150" s="107"/>
    </row>
    <row r="151" spans="1:11" x14ac:dyDescent="0.25">
      <c r="A151" s="107"/>
      <c r="B151" s="107"/>
      <c r="C151" s="107"/>
      <c r="D151">
        <v>2022</v>
      </c>
      <c r="E151">
        <f t="shared" si="17"/>
        <v>11434.361699999999</v>
      </c>
      <c r="F151">
        <v>686.06169999999997</v>
      </c>
      <c r="G151">
        <v>10748.3</v>
      </c>
      <c r="H151">
        <v>0</v>
      </c>
      <c r="I151">
        <v>0</v>
      </c>
      <c r="J151" s="107"/>
      <c r="K151" s="107"/>
    </row>
    <row r="152" spans="1:11" x14ac:dyDescent="0.25">
      <c r="A152" s="107"/>
      <c r="B152" s="107"/>
      <c r="C152" s="107"/>
      <c r="D152">
        <v>2023</v>
      </c>
      <c r="E152">
        <f t="shared" si="17"/>
        <v>12194.57447</v>
      </c>
      <c r="F152">
        <v>731.67447000000004</v>
      </c>
      <c r="G152">
        <v>11462.9</v>
      </c>
      <c r="H152">
        <v>0</v>
      </c>
      <c r="I152">
        <v>0</v>
      </c>
      <c r="J152" s="107"/>
      <c r="K152" s="107"/>
    </row>
    <row r="153" spans="1:11" x14ac:dyDescent="0.25">
      <c r="A153" s="107"/>
      <c r="B153" s="107"/>
      <c r="C153" s="107"/>
      <c r="D153">
        <v>2024</v>
      </c>
      <c r="E153">
        <f t="shared" si="17"/>
        <v>731.67447000000004</v>
      </c>
      <c r="F153">
        <v>731.67447000000004</v>
      </c>
      <c r="G153">
        <v>0</v>
      </c>
      <c r="H153">
        <v>0</v>
      </c>
      <c r="I153">
        <v>0</v>
      </c>
      <c r="J153" s="107"/>
      <c r="K153" s="107"/>
    </row>
    <row r="154" spans="1:11" x14ac:dyDescent="0.25">
      <c r="A154" s="107"/>
      <c r="B154" s="107"/>
      <c r="C154" s="107"/>
      <c r="D154">
        <v>2025</v>
      </c>
      <c r="E154">
        <f t="shared" si="17"/>
        <v>731.67447000000004</v>
      </c>
      <c r="F154">
        <v>731.67447000000004</v>
      </c>
      <c r="G154">
        <v>0</v>
      </c>
      <c r="H154">
        <v>0</v>
      </c>
      <c r="I154">
        <v>0</v>
      </c>
      <c r="J154" s="107"/>
      <c r="K154" s="107"/>
    </row>
    <row r="155" spans="1:11" x14ac:dyDescent="0.25">
      <c r="A155" s="107" t="s">
        <v>671</v>
      </c>
      <c r="B155" s="107" t="s">
        <v>94</v>
      </c>
      <c r="C155" s="107" t="s">
        <v>14</v>
      </c>
      <c r="D155" t="s">
        <v>8</v>
      </c>
      <c r="E155">
        <f t="shared" si="17"/>
        <v>1236225.872</v>
      </c>
      <c r="F155">
        <f>SUM(F156:F160)</f>
        <v>765845.73800000001</v>
      </c>
      <c r="G155">
        <f>SUM(G156:G160)</f>
        <v>375000</v>
      </c>
      <c r="H155">
        <f>SUM(H156:H160)</f>
        <v>95380.133999999991</v>
      </c>
      <c r="I155">
        <f>SUM(I156:I160)</f>
        <v>0</v>
      </c>
      <c r="J155" s="107"/>
      <c r="K155" s="107" t="s">
        <v>95</v>
      </c>
    </row>
    <row r="156" spans="1:11" x14ac:dyDescent="0.25">
      <c r="A156" s="107"/>
      <c r="B156" s="107"/>
      <c r="C156" s="107"/>
      <c r="D156">
        <v>2021</v>
      </c>
      <c r="E156">
        <f t="shared" si="17"/>
        <v>558475.82400000002</v>
      </c>
      <c r="F156">
        <f t="shared" ref="F156:I160" si="19">F162+F174+F192</f>
        <v>255509.21099999998</v>
      </c>
      <c r="G156">
        <f t="shared" si="19"/>
        <v>261223.7</v>
      </c>
      <c r="H156">
        <f t="shared" si="19"/>
        <v>41742.913</v>
      </c>
      <c r="I156">
        <f t="shared" si="19"/>
        <v>0</v>
      </c>
      <c r="J156" s="107"/>
      <c r="K156" s="107"/>
    </row>
    <row r="157" spans="1:11" x14ac:dyDescent="0.25">
      <c r="A157" s="107"/>
      <c r="B157" s="107"/>
      <c r="C157" s="107"/>
      <c r="D157">
        <v>2022</v>
      </c>
      <c r="E157">
        <f t="shared" si="17"/>
        <v>647600.04800000007</v>
      </c>
      <c r="F157">
        <f t="shared" si="19"/>
        <v>480186.527</v>
      </c>
      <c r="G157">
        <f t="shared" si="19"/>
        <v>113776.3</v>
      </c>
      <c r="H157">
        <f t="shared" si="19"/>
        <v>53637.220999999998</v>
      </c>
      <c r="I157">
        <f t="shared" si="19"/>
        <v>0</v>
      </c>
      <c r="J157" s="107"/>
      <c r="K157" s="107"/>
    </row>
    <row r="158" spans="1:11" x14ac:dyDescent="0.25">
      <c r="A158" s="107"/>
      <c r="B158" s="107"/>
      <c r="C158" s="107"/>
      <c r="D158">
        <v>2023</v>
      </c>
      <c r="E158">
        <f t="shared" si="17"/>
        <v>10050</v>
      </c>
      <c r="F158">
        <f t="shared" si="19"/>
        <v>10050</v>
      </c>
      <c r="G158">
        <f t="shared" si="19"/>
        <v>0</v>
      </c>
      <c r="H158">
        <f t="shared" si="19"/>
        <v>0</v>
      </c>
      <c r="I158">
        <f t="shared" si="19"/>
        <v>0</v>
      </c>
      <c r="J158" s="107"/>
      <c r="K158" s="107"/>
    </row>
    <row r="159" spans="1:11" x14ac:dyDescent="0.25">
      <c r="A159" s="107"/>
      <c r="B159" s="107"/>
      <c r="C159" s="107"/>
      <c r="D159">
        <v>2024</v>
      </c>
      <c r="E159">
        <f t="shared" si="17"/>
        <v>10050</v>
      </c>
      <c r="F159">
        <f t="shared" si="19"/>
        <v>10050</v>
      </c>
      <c r="G159">
        <f t="shared" si="19"/>
        <v>0</v>
      </c>
      <c r="H159">
        <f t="shared" si="19"/>
        <v>0</v>
      </c>
      <c r="I159">
        <f t="shared" si="19"/>
        <v>0</v>
      </c>
      <c r="J159" s="107"/>
      <c r="K159" s="107"/>
    </row>
    <row r="160" spans="1:11" x14ac:dyDescent="0.25">
      <c r="A160" s="107"/>
      <c r="B160" s="107"/>
      <c r="C160" s="107"/>
      <c r="D160">
        <v>2025</v>
      </c>
      <c r="E160">
        <f t="shared" si="17"/>
        <v>10050</v>
      </c>
      <c r="F160">
        <f t="shared" si="19"/>
        <v>10050</v>
      </c>
      <c r="G160">
        <f t="shared" si="19"/>
        <v>0</v>
      </c>
      <c r="H160">
        <f t="shared" si="19"/>
        <v>0</v>
      </c>
      <c r="I160">
        <f t="shared" si="19"/>
        <v>0</v>
      </c>
      <c r="J160" s="107"/>
      <c r="K160" s="107"/>
    </row>
    <row r="161" spans="1:11" x14ac:dyDescent="0.25">
      <c r="A161" s="107" t="s">
        <v>817</v>
      </c>
      <c r="B161" s="107" t="s">
        <v>97</v>
      </c>
      <c r="C161" s="107" t="s">
        <v>14</v>
      </c>
      <c r="D161" t="s">
        <v>8</v>
      </c>
      <c r="E161">
        <f t="shared" si="17"/>
        <v>439262.14</v>
      </c>
      <c r="F161">
        <f>SUM(F162:F166)</f>
        <v>363709.05</v>
      </c>
      <c r="G161">
        <f>SUM(G162:G166)</f>
        <v>0</v>
      </c>
      <c r="H161">
        <f>SUM(H162:H166)</f>
        <v>75553.09</v>
      </c>
      <c r="I161">
        <f>SUM(I162:I166)</f>
        <v>0</v>
      </c>
      <c r="J161" s="107" t="s">
        <v>676</v>
      </c>
      <c r="K161" s="107" t="s">
        <v>99</v>
      </c>
    </row>
    <row r="162" spans="1:11" x14ac:dyDescent="0.25">
      <c r="A162" s="107"/>
      <c r="B162" s="107"/>
      <c r="C162" s="107"/>
      <c r="D162">
        <v>2021</v>
      </c>
      <c r="E162">
        <f t="shared" si="17"/>
        <v>214274.21</v>
      </c>
      <c r="F162">
        <f t="shared" ref="F162:F163" si="20">F168</f>
        <v>177419.05</v>
      </c>
      <c r="G162">
        <v>0</v>
      </c>
      <c r="H162">
        <f t="shared" ref="H162:H163" si="21">H168</f>
        <v>36855.160000000003</v>
      </c>
      <c r="I162">
        <v>0</v>
      </c>
      <c r="J162" s="107"/>
      <c r="K162" s="107"/>
    </row>
    <row r="163" spans="1:11" x14ac:dyDescent="0.25">
      <c r="A163" s="107"/>
      <c r="B163" s="107"/>
      <c r="C163" s="107"/>
      <c r="D163">
        <v>2022</v>
      </c>
      <c r="E163">
        <f t="shared" si="17"/>
        <v>224987.93</v>
      </c>
      <c r="F163">
        <f t="shared" si="20"/>
        <v>186290</v>
      </c>
      <c r="G163">
        <v>0</v>
      </c>
      <c r="H163">
        <f t="shared" si="21"/>
        <v>38697.93</v>
      </c>
      <c r="I163">
        <v>0</v>
      </c>
      <c r="J163" s="107"/>
      <c r="K163" s="107"/>
    </row>
    <row r="164" spans="1:11" x14ac:dyDescent="0.25">
      <c r="A164" s="107"/>
      <c r="B164" s="107"/>
      <c r="C164" s="107"/>
      <c r="D164">
        <v>2023</v>
      </c>
      <c r="E164">
        <f t="shared" si="17"/>
        <v>0</v>
      </c>
      <c r="F164">
        <v>0</v>
      </c>
      <c r="G164">
        <v>0</v>
      </c>
      <c r="H164">
        <v>0</v>
      </c>
      <c r="I164">
        <v>0</v>
      </c>
      <c r="J164" s="107"/>
      <c r="K164" s="107"/>
    </row>
    <row r="165" spans="1:11" x14ac:dyDescent="0.25">
      <c r="A165" s="107"/>
      <c r="B165" s="107"/>
      <c r="C165" s="107"/>
      <c r="D165">
        <v>2024</v>
      </c>
      <c r="E165">
        <f t="shared" si="17"/>
        <v>0</v>
      </c>
      <c r="F165">
        <v>0</v>
      </c>
      <c r="G165">
        <v>0</v>
      </c>
      <c r="H165">
        <v>0</v>
      </c>
      <c r="I165">
        <v>0</v>
      </c>
      <c r="J165" s="107"/>
      <c r="K165" s="107"/>
    </row>
    <row r="166" spans="1:11" x14ac:dyDescent="0.25">
      <c r="A166" s="107"/>
      <c r="B166" s="107"/>
      <c r="C166" s="107"/>
      <c r="D166">
        <v>2025</v>
      </c>
      <c r="E166">
        <f t="shared" si="17"/>
        <v>0</v>
      </c>
      <c r="F166">
        <v>0</v>
      </c>
      <c r="G166">
        <v>0</v>
      </c>
      <c r="H166">
        <v>0</v>
      </c>
      <c r="I166">
        <v>0</v>
      </c>
      <c r="J166" s="107"/>
      <c r="K166" s="107"/>
    </row>
    <row r="167" spans="1:11" x14ac:dyDescent="0.25">
      <c r="A167" s="107" t="s">
        <v>1007</v>
      </c>
      <c r="B167" s="107" t="s">
        <v>1008</v>
      </c>
      <c r="C167" s="107" t="s">
        <v>14</v>
      </c>
      <c r="D167" t="s">
        <v>8</v>
      </c>
      <c r="E167">
        <f>SUM(E168:E172)</f>
        <v>439262.14</v>
      </c>
      <c r="F167">
        <f>SUM(F168:F172)</f>
        <v>363709.05</v>
      </c>
      <c r="G167">
        <f>SUM(G168:G172)</f>
        <v>0</v>
      </c>
      <c r="H167">
        <f>SUM(H168:H172)</f>
        <v>75553.09</v>
      </c>
      <c r="I167">
        <f>SUM(I168:I172)</f>
        <v>0</v>
      </c>
      <c r="J167" s="107" t="s">
        <v>1009</v>
      </c>
      <c r="K167" s="107" t="s">
        <v>103</v>
      </c>
    </row>
    <row r="168" spans="1:11" x14ac:dyDescent="0.25">
      <c r="A168" s="107"/>
      <c r="B168" s="107"/>
      <c r="C168" s="107"/>
      <c r="D168">
        <v>2021</v>
      </c>
      <c r="E168">
        <f t="shared" ref="E168:E231" si="22">SUM(F168:I168)</f>
        <v>214274.21</v>
      </c>
      <c r="F168">
        <v>177419.05</v>
      </c>
      <c r="G168">
        <v>0</v>
      </c>
      <c r="H168">
        <v>36855.160000000003</v>
      </c>
      <c r="I168">
        <v>0</v>
      </c>
      <c r="J168" s="107"/>
      <c r="K168" s="107"/>
    </row>
    <row r="169" spans="1:11" x14ac:dyDescent="0.25">
      <c r="A169" s="107"/>
      <c r="B169" s="107"/>
      <c r="C169" s="107"/>
      <c r="D169">
        <v>2022</v>
      </c>
      <c r="E169">
        <f t="shared" si="22"/>
        <v>224987.93</v>
      </c>
      <c r="F169">
        <v>186290</v>
      </c>
      <c r="G169">
        <v>0</v>
      </c>
      <c r="H169">
        <v>38697.93</v>
      </c>
      <c r="I169">
        <v>0</v>
      </c>
      <c r="J169" s="107"/>
      <c r="K169" s="107"/>
    </row>
    <row r="170" spans="1:11" x14ac:dyDescent="0.25">
      <c r="A170" s="107"/>
      <c r="B170" s="107"/>
      <c r="C170" s="107"/>
      <c r="D170">
        <v>2023</v>
      </c>
      <c r="E170">
        <f t="shared" si="22"/>
        <v>0</v>
      </c>
      <c r="F170">
        <v>0</v>
      </c>
      <c r="G170">
        <v>0</v>
      </c>
      <c r="H170">
        <v>0</v>
      </c>
      <c r="I170">
        <v>0</v>
      </c>
      <c r="J170" s="107"/>
      <c r="K170" s="107"/>
    </row>
    <row r="171" spans="1:11" x14ac:dyDescent="0.25">
      <c r="A171" s="107"/>
      <c r="B171" s="107"/>
      <c r="C171" s="107"/>
      <c r="D171">
        <v>2024</v>
      </c>
      <c r="E171">
        <f t="shared" si="22"/>
        <v>0</v>
      </c>
      <c r="F171">
        <v>0</v>
      </c>
      <c r="G171">
        <v>0</v>
      </c>
      <c r="H171">
        <v>0</v>
      </c>
      <c r="I171">
        <v>0</v>
      </c>
      <c r="J171" s="107"/>
      <c r="K171" s="107"/>
    </row>
    <row r="172" spans="1:11" x14ac:dyDescent="0.25">
      <c r="A172" s="107"/>
      <c r="B172" s="107"/>
      <c r="C172" s="107"/>
      <c r="D172">
        <v>2025</v>
      </c>
      <c r="E172">
        <f t="shared" si="22"/>
        <v>0</v>
      </c>
      <c r="F172">
        <v>0</v>
      </c>
      <c r="G172">
        <v>0</v>
      </c>
      <c r="H172">
        <v>0</v>
      </c>
      <c r="I172">
        <v>0</v>
      </c>
      <c r="J172" s="107"/>
      <c r="K172" s="107"/>
    </row>
    <row r="173" spans="1:11" x14ac:dyDescent="0.25">
      <c r="A173" s="107" t="s">
        <v>672</v>
      </c>
      <c r="B173" s="107" t="s">
        <v>105</v>
      </c>
      <c r="C173" s="107" t="s">
        <v>14</v>
      </c>
      <c r="D173" t="s">
        <v>8</v>
      </c>
      <c r="E173">
        <f t="shared" si="22"/>
        <v>57027.03</v>
      </c>
      <c r="F173">
        <f>SUM(F174:F178)</f>
        <v>55000</v>
      </c>
      <c r="G173">
        <f>SUM(G174:G178)</f>
        <v>0</v>
      </c>
      <c r="H173">
        <f>SUM(H174:H178)</f>
        <v>2027.03</v>
      </c>
      <c r="I173">
        <f>SUM(I174:I178)</f>
        <v>0</v>
      </c>
      <c r="J173" s="107" t="s">
        <v>1010</v>
      </c>
      <c r="K173" s="107" t="s">
        <v>107</v>
      </c>
    </row>
    <row r="174" spans="1:11" x14ac:dyDescent="0.25">
      <c r="A174" s="107"/>
      <c r="B174" s="107"/>
      <c r="C174" s="107"/>
      <c r="D174">
        <v>2021</v>
      </c>
      <c r="E174">
        <f t="shared" si="22"/>
        <v>33027.03</v>
      </c>
      <c r="F174">
        <f t="shared" ref="F174:I178" si="23">F180+F186</f>
        <v>31000</v>
      </c>
      <c r="G174">
        <f t="shared" si="23"/>
        <v>0</v>
      </c>
      <c r="H174">
        <f t="shared" si="23"/>
        <v>2027.03</v>
      </c>
      <c r="I174">
        <f t="shared" si="23"/>
        <v>0</v>
      </c>
      <c r="J174" s="107"/>
      <c r="K174" s="107"/>
    </row>
    <row r="175" spans="1:11" x14ac:dyDescent="0.25">
      <c r="A175" s="107"/>
      <c r="B175" s="107"/>
      <c r="C175" s="107"/>
      <c r="D175">
        <v>2022</v>
      </c>
      <c r="E175">
        <f t="shared" si="22"/>
        <v>6000</v>
      </c>
      <c r="F175">
        <f t="shared" si="23"/>
        <v>6000</v>
      </c>
      <c r="G175">
        <f t="shared" si="23"/>
        <v>0</v>
      </c>
      <c r="H175">
        <f t="shared" si="23"/>
        <v>0</v>
      </c>
      <c r="I175">
        <f t="shared" si="23"/>
        <v>0</v>
      </c>
      <c r="J175" s="107"/>
      <c r="K175" s="107"/>
    </row>
    <row r="176" spans="1:11" x14ac:dyDescent="0.25">
      <c r="A176" s="107"/>
      <c r="B176" s="107"/>
      <c r="C176" s="107"/>
      <c r="D176">
        <v>2023</v>
      </c>
      <c r="E176">
        <f t="shared" si="22"/>
        <v>6000</v>
      </c>
      <c r="F176">
        <f t="shared" si="23"/>
        <v>6000</v>
      </c>
      <c r="G176">
        <f t="shared" si="23"/>
        <v>0</v>
      </c>
      <c r="H176">
        <f t="shared" si="23"/>
        <v>0</v>
      </c>
      <c r="I176">
        <f t="shared" si="23"/>
        <v>0</v>
      </c>
      <c r="J176" s="107"/>
      <c r="K176" s="107"/>
    </row>
    <row r="177" spans="1:11" x14ac:dyDescent="0.25">
      <c r="A177" s="107"/>
      <c r="B177" s="107"/>
      <c r="C177" s="107"/>
      <c r="D177">
        <v>2024</v>
      </c>
      <c r="E177">
        <f t="shared" si="22"/>
        <v>6000</v>
      </c>
      <c r="F177">
        <f t="shared" si="23"/>
        <v>6000</v>
      </c>
      <c r="G177">
        <f t="shared" si="23"/>
        <v>0</v>
      </c>
      <c r="H177">
        <f t="shared" si="23"/>
        <v>0</v>
      </c>
      <c r="I177">
        <f t="shared" si="23"/>
        <v>0</v>
      </c>
      <c r="J177" s="107"/>
      <c r="K177" s="107"/>
    </row>
    <row r="178" spans="1:11" x14ac:dyDescent="0.25">
      <c r="A178" s="107"/>
      <c r="B178" s="107"/>
      <c r="C178" s="107"/>
      <c r="D178">
        <v>2025</v>
      </c>
      <c r="E178">
        <f t="shared" si="22"/>
        <v>6000</v>
      </c>
      <c r="F178">
        <f t="shared" si="23"/>
        <v>6000</v>
      </c>
      <c r="G178">
        <f>G184+G190</f>
        <v>0</v>
      </c>
      <c r="H178">
        <f>H184+H190</f>
        <v>0</v>
      </c>
      <c r="I178">
        <f>SUM(I184+I190)</f>
        <v>0</v>
      </c>
      <c r="J178" s="107"/>
      <c r="K178" s="107"/>
    </row>
    <row r="179" spans="1:11" x14ac:dyDescent="0.25">
      <c r="A179" s="107" t="s">
        <v>1011</v>
      </c>
      <c r="B179" s="107" t="s">
        <v>1012</v>
      </c>
      <c r="C179" s="107">
        <v>2021</v>
      </c>
      <c r="D179" t="s">
        <v>8</v>
      </c>
      <c r="E179">
        <f t="shared" si="22"/>
        <v>27027.03</v>
      </c>
      <c r="F179">
        <f>SUM(F180:F184)</f>
        <v>25000</v>
      </c>
      <c r="G179">
        <f>SUM(G180:G184)</f>
        <v>0</v>
      </c>
      <c r="H179">
        <f>SUM(H180:H184)</f>
        <v>2027.03</v>
      </c>
      <c r="I179">
        <f>SUM(I180:I184)</f>
        <v>0</v>
      </c>
      <c r="J179" s="107" t="s">
        <v>1013</v>
      </c>
      <c r="K179" s="107" t="s">
        <v>111</v>
      </c>
    </row>
    <row r="180" spans="1:11" x14ac:dyDescent="0.25">
      <c r="A180" s="107"/>
      <c r="B180" s="107"/>
      <c r="C180" s="107"/>
      <c r="D180">
        <v>2021</v>
      </c>
      <c r="E180">
        <f t="shared" si="22"/>
        <v>27027.03</v>
      </c>
      <c r="F180">
        <v>25000</v>
      </c>
      <c r="G180">
        <v>0</v>
      </c>
      <c r="H180">
        <v>2027.03</v>
      </c>
      <c r="I180">
        <v>0</v>
      </c>
      <c r="J180" s="107"/>
      <c r="K180" s="107"/>
    </row>
    <row r="181" spans="1:11" x14ac:dyDescent="0.25">
      <c r="A181" s="107"/>
      <c r="B181" s="107"/>
      <c r="C181" s="107"/>
      <c r="D181">
        <v>2022</v>
      </c>
      <c r="E181">
        <f t="shared" si="22"/>
        <v>0</v>
      </c>
      <c r="F181">
        <v>0</v>
      </c>
      <c r="G181">
        <v>0</v>
      </c>
      <c r="H181">
        <f>+H187</f>
        <v>0</v>
      </c>
      <c r="I181">
        <v>0</v>
      </c>
      <c r="J181" s="107"/>
      <c r="K181" s="107"/>
    </row>
    <row r="182" spans="1:11" x14ac:dyDescent="0.25">
      <c r="A182" s="107"/>
      <c r="B182" s="107"/>
      <c r="C182" s="107"/>
      <c r="D182">
        <v>2023</v>
      </c>
      <c r="E182">
        <f t="shared" si="22"/>
        <v>0</v>
      </c>
      <c r="F182">
        <v>0</v>
      </c>
      <c r="G182">
        <v>0</v>
      </c>
      <c r="H182">
        <v>0</v>
      </c>
      <c r="I182">
        <v>0</v>
      </c>
      <c r="J182" s="107"/>
      <c r="K182" s="107"/>
    </row>
    <row r="183" spans="1:11" x14ac:dyDescent="0.25">
      <c r="A183" s="107"/>
      <c r="B183" s="107"/>
      <c r="C183" s="107"/>
      <c r="D183">
        <v>2024</v>
      </c>
      <c r="E183">
        <f t="shared" si="22"/>
        <v>0</v>
      </c>
      <c r="F183">
        <v>0</v>
      </c>
      <c r="G183">
        <v>0</v>
      </c>
      <c r="H183">
        <v>0</v>
      </c>
      <c r="I183">
        <v>0</v>
      </c>
      <c r="J183" s="107"/>
      <c r="K183" s="107"/>
    </row>
    <row r="184" spans="1:11" x14ac:dyDescent="0.25">
      <c r="A184" s="107"/>
      <c r="B184" s="107"/>
      <c r="C184" s="107"/>
      <c r="D184">
        <v>2025</v>
      </c>
      <c r="E184">
        <f t="shared" si="22"/>
        <v>0</v>
      </c>
      <c r="F184">
        <v>0</v>
      </c>
      <c r="G184">
        <v>0</v>
      </c>
      <c r="H184">
        <v>0</v>
      </c>
      <c r="I184">
        <v>0</v>
      </c>
      <c r="J184" s="107"/>
      <c r="K184" s="107"/>
    </row>
    <row r="185" spans="1:11" x14ac:dyDescent="0.25">
      <c r="A185" s="107" t="s">
        <v>1014</v>
      </c>
      <c r="B185" s="107" t="s">
        <v>113</v>
      </c>
      <c r="C185" s="107" t="s">
        <v>14</v>
      </c>
      <c r="D185" t="s">
        <v>8</v>
      </c>
      <c r="E185">
        <f t="shared" si="22"/>
        <v>30000</v>
      </c>
      <c r="F185">
        <f>SUM(F186:F190)</f>
        <v>30000</v>
      </c>
      <c r="G185">
        <f>SUM(G186:G190)</f>
        <v>0</v>
      </c>
      <c r="H185">
        <f>SUM(H186:H190)</f>
        <v>0</v>
      </c>
      <c r="I185">
        <f>SUM(I186:I190)</f>
        <v>0</v>
      </c>
      <c r="J185" s="107" t="s">
        <v>114</v>
      </c>
      <c r="K185" s="107" t="s">
        <v>115</v>
      </c>
    </row>
    <row r="186" spans="1:11" x14ac:dyDescent="0.25">
      <c r="A186" s="107"/>
      <c r="B186" s="107"/>
      <c r="C186" s="107"/>
      <c r="D186">
        <v>2021</v>
      </c>
      <c r="E186">
        <f t="shared" si="22"/>
        <v>6000</v>
      </c>
      <c r="F186">
        <v>6000</v>
      </c>
      <c r="G186">
        <v>0</v>
      </c>
      <c r="H186">
        <v>0</v>
      </c>
      <c r="I186">
        <v>0</v>
      </c>
      <c r="J186" s="107"/>
      <c r="K186" s="107"/>
    </row>
    <row r="187" spans="1:11" x14ac:dyDescent="0.25">
      <c r="A187" s="107"/>
      <c r="B187" s="107"/>
      <c r="C187" s="107"/>
      <c r="D187">
        <v>2022</v>
      </c>
      <c r="E187">
        <f t="shared" si="22"/>
        <v>6000</v>
      </c>
      <c r="F187">
        <v>6000</v>
      </c>
      <c r="G187">
        <v>0</v>
      </c>
      <c r="H187">
        <v>0</v>
      </c>
      <c r="I187">
        <v>0</v>
      </c>
      <c r="J187" s="107"/>
      <c r="K187" s="107"/>
    </row>
    <row r="188" spans="1:11" x14ac:dyDescent="0.25">
      <c r="A188" s="107"/>
      <c r="B188" s="107"/>
      <c r="C188" s="107"/>
      <c r="D188">
        <v>2023</v>
      </c>
      <c r="E188">
        <f t="shared" si="22"/>
        <v>6000</v>
      </c>
      <c r="F188">
        <v>6000</v>
      </c>
      <c r="G188">
        <v>0</v>
      </c>
      <c r="H188">
        <v>0</v>
      </c>
      <c r="I188">
        <v>0</v>
      </c>
      <c r="J188" s="107"/>
      <c r="K188" s="107"/>
    </row>
    <row r="189" spans="1:11" x14ac:dyDescent="0.25">
      <c r="A189" s="107"/>
      <c r="B189" s="107"/>
      <c r="C189" s="107"/>
      <c r="D189">
        <v>2024</v>
      </c>
      <c r="E189">
        <f t="shared" si="22"/>
        <v>6000</v>
      </c>
      <c r="F189">
        <v>6000</v>
      </c>
      <c r="G189">
        <v>0</v>
      </c>
      <c r="H189">
        <v>0</v>
      </c>
      <c r="I189">
        <v>0</v>
      </c>
      <c r="J189" s="107"/>
      <c r="K189" s="107"/>
    </row>
    <row r="190" spans="1:11" x14ac:dyDescent="0.25">
      <c r="A190" s="107"/>
      <c r="B190" s="107"/>
      <c r="C190" s="107"/>
      <c r="D190">
        <v>2025</v>
      </c>
      <c r="E190">
        <f t="shared" si="22"/>
        <v>6000</v>
      </c>
      <c r="F190">
        <v>6000</v>
      </c>
      <c r="G190">
        <v>0</v>
      </c>
      <c r="H190">
        <v>0</v>
      </c>
      <c r="I190">
        <v>0</v>
      </c>
      <c r="J190" s="107"/>
      <c r="K190" s="107"/>
    </row>
    <row r="191" spans="1:11" x14ac:dyDescent="0.25">
      <c r="A191" s="107" t="s">
        <v>1015</v>
      </c>
      <c r="B191" s="107" t="s">
        <v>40</v>
      </c>
      <c r="C191" s="107" t="s">
        <v>41</v>
      </c>
      <c r="D191" t="s">
        <v>8</v>
      </c>
      <c r="E191">
        <f t="shared" si="22"/>
        <v>739936.70200000005</v>
      </c>
      <c r="F191">
        <f>SUM(F192:F196)</f>
        <v>347136.68800000002</v>
      </c>
      <c r="G191">
        <f>SUM(G192:G196)</f>
        <v>375000</v>
      </c>
      <c r="H191">
        <f>SUM(H192:H196)</f>
        <v>17800.013999999999</v>
      </c>
      <c r="I191">
        <f>SUM(I192:I196)</f>
        <v>0</v>
      </c>
      <c r="J191" s="107" t="s">
        <v>1016</v>
      </c>
      <c r="K191" s="107" t="s">
        <v>118</v>
      </c>
    </row>
    <row r="192" spans="1:11" x14ac:dyDescent="0.25">
      <c r="A192" s="107"/>
      <c r="B192" s="107"/>
      <c r="C192" s="107"/>
      <c r="D192">
        <v>2021</v>
      </c>
      <c r="E192">
        <f t="shared" si="22"/>
        <v>311174.58400000003</v>
      </c>
      <c r="F192">
        <f t="shared" ref="F192:F196" si="24">F198+F204+F210+F180</f>
        <v>47090.161</v>
      </c>
      <c r="G192">
        <f>G198+G204+G210+-G180</f>
        <v>261223.7</v>
      </c>
      <c r="H192">
        <f t="shared" ref="H192:H194" si="25">H198+H204+H210+H180</f>
        <v>2860.723</v>
      </c>
      <c r="I192">
        <f>I198+I204+I210</f>
        <v>0</v>
      </c>
      <c r="J192" s="107"/>
      <c r="K192" s="107"/>
    </row>
    <row r="193" spans="1:11" x14ac:dyDescent="0.25">
      <c r="A193" s="107"/>
      <c r="B193" s="107"/>
      <c r="C193" s="107"/>
      <c r="D193">
        <v>2022</v>
      </c>
      <c r="E193">
        <f t="shared" si="22"/>
        <v>416612.11800000002</v>
      </c>
      <c r="F193">
        <f t="shared" si="24"/>
        <v>287896.527</v>
      </c>
      <c r="G193">
        <f t="shared" ref="G193:G196" si="26">G199+G205+G211+G181</f>
        <v>113776.3</v>
      </c>
      <c r="H193">
        <f t="shared" si="25"/>
        <v>14939.290999999999</v>
      </c>
      <c r="I193">
        <f t="shared" ref="I193:I196" si="27">I199+I205+I211+I181</f>
        <v>0</v>
      </c>
      <c r="J193" s="107"/>
      <c r="K193" s="107"/>
    </row>
    <row r="194" spans="1:11" x14ac:dyDescent="0.25">
      <c r="A194" s="107"/>
      <c r="B194" s="107"/>
      <c r="C194" s="107"/>
      <c r="D194">
        <v>2023</v>
      </c>
      <c r="E194">
        <f t="shared" si="22"/>
        <v>4050</v>
      </c>
      <c r="F194">
        <f t="shared" si="24"/>
        <v>4050</v>
      </c>
      <c r="G194">
        <f t="shared" si="26"/>
        <v>0</v>
      </c>
      <c r="H194">
        <f t="shared" si="25"/>
        <v>0</v>
      </c>
      <c r="I194">
        <f t="shared" si="27"/>
        <v>0</v>
      </c>
      <c r="J194" s="107"/>
      <c r="K194" s="107"/>
    </row>
    <row r="195" spans="1:11" x14ac:dyDescent="0.25">
      <c r="A195" s="107"/>
      <c r="B195" s="107"/>
      <c r="C195" s="107"/>
      <c r="D195">
        <v>2024</v>
      </c>
      <c r="E195">
        <f t="shared" si="22"/>
        <v>4050</v>
      </c>
      <c r="F195">
        <f t="shared" si="24"/>
        <v>4050</v>
      </c>
      <c r="G195">
        <f t="shared" si="26"/>
        <v>0</v>
      </c>
      <c r="H195">
        <f>H201+H207+H213</f>
        <v>0</v>
      </c>
      <c r="I195">
        <f t="shared" si="27"/>
        <v>0</v>
      </c>
      <c r="J195" s="107"/>
      <c r="K195" s="107"/>
    </row>
    <row r="196" spans="1:11" x14ac:dyDescent="0.25">
      <c r="A196" s="107"/>
      <c r="B196" s="107"/>
      <c r="C196" s="107"/>
      <c r="D196">
        <v>2025</v>
      </c>
      <c r="E196">
        <f t="shared" si="22"/>
        <v>4050</v>
      </c>
      <c r="F196">
        <f t="shared" si="24"/>
        <v>4050</v>
      </c>
      <c r="G196">
        <f t="shared" si="26"/>
        <v>0</v>
      </c>
      <c r="H196">
        <f>H202+H208+H214+H184</f>
        <v>0</v>
      </c>
      <c r="I196">
        <f t="shared" si="27"/>
        <v>0</v>
      </c>
      <c r="J196" s="107"/>
      <c r="K196" s="107"/>
    </row>
    <row r="197" spans="1:11" x14ac:dyDescent="0.25">
      <c r="A197" s="107" t="s">
        <v>1017</v>
      </c>
      <c r="B197" s="107" t="s">
        <v>120</v>
      </c>
      <c r="C197" s="107" t="s">
        <v>41</v>
      </c>
      <c r="D197" t="s">
        <v>8</v>
      </c>
      <c r="E197">
        <f t="shared" si="22"/>
        <v>22450</v>
      </c>
      <c r="F197">
        <f>SUM(F198:F202)</f>
        <v>22450</v>
      </c>
      <c r="G197">
        <f>SUM(G198:G202)</f>
        <v>0</v>
      </c>
      <c r="H197">
        <f>SUM(H198:H202)</f>
        <v>0</v>
      </c>
      <c r="I197">
        <f>SUM(I198:I202)</f>
        <v>0</v>
      </c>
      <c r="J197" s="107" t="s">
        <v>121</v>
      </c>
      <c r="K197" s="107" t="s">
        <v>17</v>
      </c>
    </row>
    <row r="198" spans="1:11" x14ac:dyDescent="0.25">
      <c r="A198" s="107"/>
      <c r="B198" s="107"/>
      <c r="C198" s="107"/>
      <c r="D198">
        <v>2021</v>
      </c>
      <c r="E198">
        <f t="shared" si="22"/>
        <v>6250</v>
      </c>
      <c r="F198">
        <v>6250</v>
      </c>
      <c r="G198">
        <v>0</v>
      </c>
      <c r="H198">
        <v>0</v>
      </c>
      <c r="I198">
        <v>0</v>
      </c>
      <c r="J198" s="107"/>
      <c r="K198" s="107"/>
    </row>
    <row r="199" spans="1:11" x14ac:dyDescent="0.25">
      <c r="A199" s="107"/>
      <c r="B199" s="107"/>
      <c r="C199" s="107"/>
      <c r="D199">
        <v>2022</v>
      </c>
      <c r="E199">
        <f t="shared" si="22"/>
        <v>4050</v>
      </c>
      <c r="F199">
        <v>4050</v>
      </c>
      <c r="G199">
        <v>0</v>
      </c>
      <c r="H199">
        <v>0</v>
      </c>
      <c r="I199">
        <v>0</v>
      </c>
      <c r="J199" s="107"/>
      <c r="K199" s="107"/>
    </row>
    <row r="200" spans="1:11" x14ac:dyDescent="0.25">
      <c r="A200" s="107"/>
      <c r="B200" s="107"/>
      <c r="C200" s="107"/>
      <c r="D200">
        <v>2023</v>
      </c>
      <c r="E200">
        <f t="shared" si="22"/>
        <v>4050</v>
      </c>
      <c r="F200">
        <v>4050</v>
      </c>
      <c r="G200">
        <v>0</v>
      </c>
      <c r="H200">
        <v>0</v>
      </c>
      <c r="I200">
        <v>0</v>
      </c>
      <c r="J200" s="107"/>
      <c r="K200" s="107"/>
    </row>
    <row r="201" spans="1:11" x14ac:dyDescent="0.25">
      <c r="A201" s="107"/>
      <c r="B201" s="107"/>
      <c r="C201" s="107"/>
      <c r="D201">
        <v>2024</v>
      </c>
      <c r="E201">
        <f t="shared" si="22"/>
        <v>4050</v>
      </c>
      <c r="F201">
        <v>4050</v>
      </c>
      <c r="G201">
        <v>0</v>
      </c>
      <c r="H201">
        <v>0</v>
      </c>
      <c r="I201">
        <v>0</v>
      </c>
      <c r="J201" s="107"/>
      <c r="K201" s="107"/>
    </row>
    <row r="202" spans="1:11" x14ac:dyDescent="0.25">
      <c r="A202" s="107"/>
      <c r="B202" s="107"/>
      <c r="C202" s="107"/>
      <c r="D202">
        <v>2025</v>
      </c>
      <c r="E202">
        <f t="shared" si="22"/>
        <v>4050</v>
      </c>
      <c r="F202">
        <v>4050</v>
      </c>
      <c r="G202">
        <v>0</v>
      </c>
      <c r="H202">
        <v>0</v>
      </c>
      <c r="I202">
        <v>0</v>
      </c>
      <c r="J202" s="107"/>
      <c r="K202" s="107"/>
    </row>
    <row r="203" spans="1:11" x14ac:dyDescent="0.25">
      <c r="A203" s="107" t="s">
        <v>1018</v>
      </c>
      <c r="B203" s="107" t="s">
        <v>123</v>
      </c>
      <c r="C203" s="107" t="s">
        <v>41</v>
      </c>
      <c r="D203" t="s">
        <v>8</v>
      </c>
      <c r="E203">
        <f t="shared" si="22"/>
        <v>286456.68299999996</v>
      </c>
      <c r="F203">
        <f>SUM(F204:F208)</f>
        <v>156936.079</v>
      </c>
      <c r="G203">
        <f>SUM(G204:G208)</f>
        <v>121260.81</v>
      </c>
      <c r="H203">
        <f>SUM(H204:H208)</f>
        <v>8259.7939999999999</v>
      </c>
      <c r="I203">
        <f>SUM(I204:I208)</f>
        <v>0</v>
      </c>
      <c r="J203" s="107" t="s">
        <v>1009</v>
      </c>
      <c r="K203" s="107" t="s">
        <v>20</v>
      </c>
    </row>
    <row r="204" spans="1:11" x14ac:dyDescent="0.25">
      <c r="A204" s="107"/>
      <c r="B204" s="107"/>
      <c r="C204" s="107"/>
      <c r="D204">
        <v>2021</v>
      </c>
      <c r="E204">
        <f t="shared" si="22"/>
        <v>95756.203000000009</v>
      </c>
      <c r="F204">
        <v>5458.1040000000003</v>
      </c>
      <c r="G204">
        <v>90010.83</v>
      </c>
      <c r="H204">
        <v>287.26900000000001</v>
      </c>
      <c r="I204">
        <v>0</v>
      </c>
      <c r="J204" s="107"/>
      <c r="K204" s="107"/>
    </row>
    <row r="205" spans="1:11" x14ac:dyDescent="0.25">
      <c r="A205" s="107"/>
      <c r="B205" s="107"/>
      <c r="C205" s="107"/>
      <c r="D205">
        <v>2022</v>
      </c>
      <c r="E205">
        <f t="shared" si="22"/>
        <v>190700.48</v>
      </c>
      <c r="F205">
        <v>151477.97500000001</v>
      </c>
      <c r="G205">
        <v>31249.98</v>
      </c>
      <c r="H205">
        <v>7972.5249999999996</v>
      </c>
      <c r="I205">
        <v>0</v>
      </c>
      <c r="J205" s="107"/>
      <c r="K205" s="107"/>
    </row>
    <row r="206" spans="1:11" x14ac:dyDescent="0.25">
      <c r="A206" s="107"/>
      <c r="B206" s="107"/>
      <c r="C206" s="107"/>
      <c r="D206">
        <v>2023</v>
      </c>
      <c r="E206">
        <f t="shared" si="22"/>
        <v>0</v>
      </c>
      <c r="F206">
        <v>0</v>
      </c>
      <c r="G206">
        <v>0</v>
      </c>
      <c r="H206">
        <v>0</v>
      </c>
      <c r="I206">
        <v>0</v>
      </c>
      <c r="J206" s="107"/>
      <c r="K206" s="107"/>
    </row>
    <row r="207" spans="1:11" x14ac:dyDescent="0.25">
      <c r="A207" s="107"/>
      <c r="B207" s="107"/>
      <c r="C207" s="107"/>
      <c r="D207">
        <v>2024</v>
      </c>
      <c r="E207">
        <f t="shared" si="22"/>
        <v>0</v>
      </c>
      <c r="F207">
        <v>0</v>
      </c>
      <c r="G207">
        <v>0</v>
      </c>
      <c r="H207">
        <v>0</v>
      </c>
      <c r="I207">
        <v>0</v>
      </c>
      <c r="J207" s="107"/>
      <c r="K207" s="107"/>
    </row>
    <row r="208" spans="1:11" x14ac:dyDescent="0.25">
      <c r="A208" s="107"/>
      <c r="B208" s="107"/>
      <c r="C208" s="107"/>
      <c r="D208">
        <v>2025</v>
      </c>
      <c r="E208">
        <f t="shared" si="22"/>
        <v>0</v>
      </c>
      <c r="F208">
        <v>0</v>
      </c>
      <c r="G208">
        <v>0</v>
      </c>
      <c r="H208">
        <v>0</v>
      </c>
      <c r="I208">
        <v>0</v>
      </c>
      <c r="J208" s="107"/>
      <c r="K208" s="107"/>
    </row>
    <row r="209" spans="1:11" x14ac:dyDescent="0.25">
      <c r="A209" s="107" t="s">
        <v>1019</v>
      </c>
      <c r="B209" s="107" t="s">
        <v>127</v>
      </c>
      <c r="C209" s="107" t="s">
        <v>41</v>
      </c>
      <c r="D209" t="s">
        <v>8</v>
      </c>
      <c r="E209">
        <f t="shared" si="22"/>
        <v>404002.989</v>
      </c>
      <c r="F209">
        <f>SUM(F210:F214)</f>
        <v>142750.609</v>
      </c>
      <c r="G209">
        <f>SUM(G210:G214)</f>
        <v>253739.19</v>
      </c>
      <c r="H209">
        <f>SUM(H210:H214)</f>
        <v>7513.19</v>
      </c>
      <c r="I209">
        <f>SUM(I210:I214)</f>
        <v>0</v>
      </c>
      <c r="J209" s="107" t="s">
        <v>1009</v>
      </c>
      <c r="K209" s="107" t="s">
        <v>20</v>
      </c>
    </row>
    <row r="210" spans="1:11" x14ac:dyDescent="0.25">
      <c r="A210" s="107"/>
      <c r="B210" s="107"/>
      <c r="C210" s="107"/>
      <c r="D210">
        <v>2021</v>
      </c>
      <c r="E210">
        <f t="shared" si="22"/>
        <v>182141.351</v>
      </c>
      <c r="F210">
        <v>10382.057000000001</v>
      </c>
      <c r="G210">
        <v>171212.87</v>
      </c>
      <c r="H210">
        <v>546.42399999999998</v>
      </c>
      <c r="I210">
        <v>0</v>
      </c>
      <c r="J210" s="107"/>
      <c r="K210" s="107"/>
    </row>
    <row r="211" spans="1:11" x14ac:dyDescent="0.25">
      <c r="A211" s="107"/>
      <c r="B211" s="107"/>
      <c r="C211" s="107"/>
      <c r="D211">
        <v>2022</v>
      </c>
      <c r="E211">
        <f t="shared" si="22"/>
        <v>221861.63800000001</v>
      </c>
      <c r="F211">
        <v>132368.552</v>
      </c>
      <c r="G211">
        <v>82526.320000000007</v>
      </c>
      <c r="H211">
        <v>6966.7659999999996</v>
      </c>
      <c r="I211">
        <v>0</v>
      </c>
      <c r="J211" s="107"/>
      <c r="K211" s="107"/>
    </row>
    <row r="212" spans="1:11" x14ac:dyDescent="0.25">
      <c r="A212" s="107"/>
      <c r="B212" s="107"/>
      <c r="C212" s="107"/>
      <c r="D212">
        <v>2023</v>
      </c>
      <c r="E212">
        <f t="shared" si="22"/>
        <v>0</v>
      </c>
      <c r="F212">
        <v>0</v>
      </c>
      <c r="G212">
        <v>0</v>
      </c>
      <c r="H212">
        <v>0</v>
      </c>
      <c r="I212">
        <v>0</v>
      </c>
      <c r="J212" s="107"/>
      <c r="K212" s="107"/>
    </row>
    <row r="213" spans="1:11" x14ac:dyDescent="0.25">
      <c r="A213" s="107"/>
      <c r="B213" s="107"/>
      <c r="C213" s="107"/>
      <c r="D213">
        <v>2024</v>
      </c>
      <c r="E213">
        <f t="shared" si="22"/>
        <v>0</v>
      </c>
      <c r="F213">
        <v>0</v>
      </c>
      <c r="G213">
        <v>0</v>
      </c>
      <c r="H213">
        <v>0</v>
      </c>
      <c r="I213">
        <v>0</v>
      </c>
      <c r="J213" s="107"/>
      <c r="K213" s="107"/>
    </row>
    <row r="214" spans="1:11" x14ac:dyDescent="0.25">
      <c r="A214" s="107"/>
      <c r="B214" s="107"/>
      <c r="C214" s="107"/>
      <c r="D214">
        <v>2025</v>
      </c>
      <c r="E214">
        <f t="shared" si="22"/>
        <v>0</v>
      </c>
      <c r="F214">
        <v>0</v>
      </c>
      <c r="G214">
        <v>0</v>
      </c>
      <c r="H214">
        <v>0</v>
      </c>
      <c r="I214">
        <v>0</v>
      </c>
      <c r="J214" s="107"/>
      <c r="K214" s="107"/>
    </row>
    <row r="215" spans="1:11" x14ac:dyDescent="0.25">
      <c r="A215" s="107" t="s">
        <v>708</v>
      </c>
      <c r="B215" s="107" t="s">
        <v>132</v>
      </c>
      <c r="C215" s="107" t="s">
        <v>14</v>
      </c>
      <c r="D215" t="s">
        <v>8</v>
      </c>
      <c r="E215">
        <f t="shared" si="22"/>
        <v>234932.80499999999</v>
      </c>
      <c r="F215">
        <f>SUM(F216:F220)</f>
        <v>234932.80499999999</v>
      </c>
      <c r="G215">
        <f>SUM(G216:G220)</f>
        <v>0</v>
      </c>
      <c r="H215">
        <f>SUM(H216:H220)</f>
        <v>0</v>
      </c>
      <c r="I215">
        <f>SUM(I216:I220)</f>
        <v>0</v>
      </c>
      <c r="J215" s="107"/>
      <c r="K215" s="107" t="s">
        <v>17</v>
      </c>
    </row>
    <row r="216" spans="1:11" x14ac:dyDescent="0.25">
      <c r="A216" s="107"/>
      <c r="B216" s="107"/>
      <c r="C216" s="107"/>
      <c r="D216">
        <v>2021</v>
      </c>
      <c r="E216">
        <f t="shared" si="22"/>
        <v>47259.169000000002</v>
      </c>
      <c r="F216">
        <f t="shared" ref="F216:I220" si="28">F222</f>
        <v>47259.169000000002</v>
      </c>
      <c r="G216">
        <f t="shared" si="28"/>
        <v>0</v>
      </c>
      <c r="H216">
        <f t="shared" si="28"/>
        <v>0</v>
      </c>
      <c r="I216">
        <f t="shared" si="28"/>
        <v>0</v>
      </c>
      <c r="J216" s="107"/>
      <c r="K216" s="107"/>
    </row>
    <row r="217" spans="1:11" x14ac:dyDescent="0.25">
      <c r="A217" s="107"/>
      <c r="B217" s="107"/>
      <c r="C217" s="107"/>
      <c r="D217">
        <v>2022</v>
      </c>
      <c r="E217">
        <f t="shared" si="22"/>
        <v>46918.409</v>
      </c>
      <c r="F217">
        <f t="shared" si="28"/>
        <v>46918.409</v>
      </c>
      <c r="G217">
        <f t="shared" si="28"/>
        <v>0</v>
      </c>
      <c r="H217">
        <f t="shared" si="28"/>
        <v>0</v>
      </c>
      <c r="I217">
        <f t="shared" si="28"/>
        <v>0</v>
      </c>
      <c r="J217" s="107"/>
      <c r="K217" s="107"/>
    </row>
    <row r="218" spans="1:11" x14ac:dyDescent="0.25">
      <c r="A218" s="107"/>
      <c r="B218" s="107"/>
      <c r="C218" s="107"/>
      <c r="D218">
        <v>2023</v>
      </c>
      <c r="E218">
        <f t="shared" si="22"/>
        <v>46918.409</v>
      </c>
      <c r="F218">
        <f t="shared" si="28"/>
        <v>46918.409</v>
      </c>
      <c r="G218">
        <f t="shared" si="28"/>
        <v>0</v>
      </c>
      <c r="H218">
        <f t="shared" si="28"/>
        <v>0</v>
      </c>
      <c r="I218">
        <f t="shared" si="28"/>
        <v>0</v>
      </c>
      <c r="J218" s="107"/>
      <c r="K218" s="107"/>
    </row>
    <row r="219" spans="1:11" x14ac:dyDescent="0.25">
      <c r="A219" s="107"/>
      <c r="B219" s="107"/>
      <c r="C219" s="107"/>
      <c r="D219">
        <v>2024</v>
      </c>
      <c r="E219">
        <f t="shared" si="22"/>
        <v>46918.409</v>
      </c>
      <c r="F219">
        <f t="shared" si="28"/>
        <v>46918.409</v>
      </c>
      <c r="G219">
        <f t="shared" si="28"/>
        <v>0</v>
      </c>
      <c r="H219">
        <f t="shared" si="28"/>
        <v>0</v>
      </c>
      <c r="I219">
        <f t="shared" si="28"/>
        <v>0</v>
      </c>
      <c r="J219" s="107"/>
      <c r="K219" s="107"/>
    </row>
    <row r="220" spans="1:11" x14ac:dyDescent="0.25">
      <c r="A220" s="107"/>
      <c r="B220" s="107"/>
      <c r="C220" s="107"/>
      <c r="D220">
        <v>2025</v>
      </c>
      <c r="E220">
        <f t="shared" si="22"/>
        <v>46918.409</v>
      </c>
      <c r="F220">
        <f t="shared" si="28"/>
        <v>46918.409</v>
      </c>
      <c r="G220">
        <f t="shared" si="28"/>
        <v>0</v>
      </c>
      <c r="H220">
        <f t="shared" si="28"/>
        <v>0</v>
      </c>
      <c r="I220">
        <f t="shared" si="28"/>
        <v>0</v>
      </c>
      <c r="J220" s="107"/>
      <c r="K220" s="107"/>
    </row>
    <row r="221" spans="1:11" x14ac:dyDescent="0.25">
      <c r="A221" s="107" t="s">
        <v>709</v>
      </c>
      <c r="B221" s="107" t="s">
        <v>134</v>
      </c>
      <c r="C221" s="107" t="s">
        <v>14</v>
      </c>
      <c r="D221" t="s">
        <v>8</v>
      </c>
      <c r="E221">
        <f t="shared" si="22"/>
        <v>234932.80499999999</v>
      </c>
      <c r="F221">
        <f>SUM(F222:F226)</f>
        <v>234932.80499999999</v>
      </c>
      <c r="G221">
        <f>SUM(G222:G226)</f>
        <v>0</v>
      </c>
      <c r="H221">
        <f>SUM(H222:H226)</f>
        <v>0</v>
      </c>
      <c r="I221">
        <f>SUM(I222:I226)</f>
        <v>0</v>
      </c>
      <c r="J221" s="107" t="s">
        <v>710</v>
      </c>
      <c r="K221" s="107" t="s">
        <v>17</v>
      </c>
    </row>
    <row r="222" spans="1:11" x14ac:dyDescent="0.25">
      <c r="A222" s="107"/>
      <c r="B222" s="107"/>
      <c r="C222" s="107"/>
      <c r="D222">
        <v>2021</v>
      </c>
      <c r="E222">
        <f t="shared" si="22"/>
        <v>47259.169000000002</v>
      </c>
      <c r="F222">
        <f t="shared" ref="F222:I226" si="29">F228</f>
        <v>47259.169000000002</v>
      </c>
      <c r="G222">
        <f t="shared" si="29"/>
        <v>0</v>
      </c>
      <c r="H222">
        <f t="shared" si="29"/>
        <v>0</v>
      </c>
      <c r="I222">
        <f t="shared" si="29"/>
        <v>0</v>
      </c>
      <c r="J222" s="107"/>
      <c r="K222" s="107"/>
    </row>
    <row r="223" spans="1:11" x14ac:dyDescent="0.25">
      <c r="A223" s="107"/>
      <c r="B223" s="107"/>
      <c r="C223" s="107"/>
      <c r="D223">
        <v>2022</v>
      </c>
      <c r="E223">
        <f t="shared" si="22"/>
        <v>46918.409</v>
      </c>
      <c r="F223">
        <f t="shared" si="29"/>
        <v>46918.409</v>
      </c>
      <c r="G223">
        <f t="shared" si="29"/>
        <v>0</v>
      </c>
      <c r="H223">
        <f t="shared" si="29"/>
        <v>0</v>
      </c>
      <c r="I223">
        <f t="shared" si="29"/>
        <v>0</v>
      </c>
      <c r="J223" s="107"/>
      <c r="K223" s="107"/>
    </row>
    <row r="224" spans="1:11" x14ac:dyDescent="0.25">
      <c r="A224" s="107"/>
      <c r="B224" s="107"/>
      <c r="C224" s="107"/>
      <c r="D224">
        <v>2023</v>
      </c>
      <c r="E224">
        <f t="shared" si="22"/>
        <v>46918.409</v>
      </c>
      <c r="F224">
        <f t="shared" si="29"/>
        <v>46918.409</v>
      </c>
      <c r="G224">
        <f t="shared" si="29"/>
        <v>0</v>
      </c>
      <c r="H224">
        <f t="shared" si="29"/>
        <v>0</v>
      </c>
      <c r="I224">
        <f t="shared" si="29"/>
        <v>0</v>
      </c>
      <c r="J224" s="107"/>
      <c r="K224" s="107"/>
    </row>
    <row r="225" spans="1:11" x14ac:dyDescent="0.25">
      <c r="A225" s="107"/>
      <c r="B225" s="107"/>
      <c r="C225" s="107"/>
      <c r="D225">
        <v>2024</v>
      </c>
      <c r="E225">
        <f t="shared" si="22"/>
        <v>46918.409</v>
      </c>
      <c r="F225">
        <f t="shared" si="29"/>
        <v>46918.409</v>
      </c>
      <c r="G225">
        <f t="shared" si="29"/>
        <v>0</v>
      </c>
      <c r="H225">
        <f t="shared" si="29"/>
        <v>0</v>
      </c>
      <c r="I225">
        <f t="shared" si="29"/>
        <v>0</v>
      </c>
      <c r="J225" s="107"/>
      <c r="K225" s="107"/>
    </row>
    <row r="226" spans="1:11" x14ac:dyDescent="0.25">
      <c r="A226" s="107"/>
      <c r="B226" s="107"/>
      <c r="C226" s="107"/>
      <c r="D226">
        <v>2025</v>
      </c>
      <c r="E226">
        <f t="shared" si="22"/>
        <v>46918.409</v>
      </c>
      <c r="F226">
        <f t="shared" si="29"/>
        <v>46918.409</v>
      </c>
      <c r="G226">
        <f t="shared" si="29"/>
        <v>0</v>
      </c>
      <c r="H226">
        <f t="shared" si="29"/>
        <v>0</v>
      </c>
      <c r="I226">
        <f t="shared" si="29"/>
        <v>0</v>
      </c>
      <c r="J226" s="107"/>
      <c r="K226" s="107"/>
    </row>
    <row r="227" spans="1:11" x14ac:dyDescent="0.25">
      <c r="A227" s="107" t="s">
        <v>711</v>
      </c>
      <c r="B227" s="107" t="s">
        <v>136</v>
      </c>
      <c r="C227" s="107" t="s">
        <v>14</v>
      </c>
      <c r="D227" t="s">
        <v>8</v>
      </c>
      <c r="E227">
        <f t="shared" si="22"/>
        <v>234932.80499999999</v>
      </c>
      <c r="F227">
        <f>SUM(F228:F232)</f>
        <v>234932.80499999999</v>
      </c>
      <c r="G227">
        <f>SUM(G228:G232)</f>
        <v>0</v>
      </c>
      <c r="H227">
        <f>SUM(H228:H232)</f>
        <v>0</v>
      </c>
      <c r="I227">
        <f>SUM(I228:I232)</f>
        <v>0</v>
      </c>
      <c r="J227" s="107" t="s">
        <v>137</v>
      </c>
      <c r="K227" s="107" t="s">
        <v>17</v>
      </c>
    </row>
    <row r="228" spans="1:11" x14ac:dyDescent="0.25">
      <c r="A228" s="107"/>
      <c r="B228" s="107"/>
      <c r="C228" s="107"/>
      <c r="D228">
        <v>2021</v>
      </c>
      <c r="E228">
        <f t="shared" si="22"/>
        <v>47259.169000000002</v>
      </c>
      <c r="F228">
        <v>47259.169000000002</v>
      </c>
      <c r="G228">
        <v>0</v>
      </c>
      <c r="H228">
        <v>0</v>
      </c>
      <c r="I228">
        <v>0</v>
      </c>
      <c r="J228" s="107"/>
      <c r="K228" s="107"/>
    </row>
    <row r="229" spans="1:11" x14ac:dyDescent="0.25">
      <c r="A229" s="107"/>
      <c r="B229" s="107"/>
      <c r="C229" s="107"/>
      <c r="D229">
        <v>2022</v>
      </c>
      <c r="E229">
        <f t="shared" si="22"/>
        <v>46918.409</v>
      </c>
      <c r="F229">
        <v>46918.409</v>
      </c>
      <c r="G229">
        <v>0</v>
      </c>
      <c r="H229">
        <v>0</v>
      </c>
      <c r="I229">
        <v>0</v>
      </c>
      <c r="J229" s="107"/>
      <c r="K229" s="107"/>
    </row>
    <row r="230" spans="1:11" x14ac:dyDescent="0.25">
      <c r="A230" s="107"/>
      <c r="B230" s="107"/>
      <c r="C230" s="107"/>
      <c r="D230">
        <v>2023</v>
      </c>
      <c r="E230">
        <f t="shared" si="22"/>
        <v>46918.409</v>
      </c>
      <c r="F230">
        <v>46918.409</v>
      </c>
      <c r="G230">
        <v>0</v>
      </c>
      <c r="H230">
        <v>0</v>
      </c>
      <c r="I230">
        <v>0</v>
      </c>
      <c r="J230" s="107"/>
      <c r="K230" s="107"/>
    </row>
    <row r="231" spans="1:11" x14ac:dyDescent="0.25">
      <c r="A231" s="107"/>
      <c r="B231" s="107"/>
      <c r="C231" s="107"/>
      <c r="D231">
        <v>2024</v>
      </c>
      <c r="E231">
        <f t="shared" si="22"/>
        <v>46918.409</v>
      </c>
      <c r="F231">
        <v>46918.409</v>
      </c>
      <c r="G231">
        <v>0</v>
      </c>
      <c r="H231">
        <v>0</v>
      </c>
      <c r="I231">
        <v>0</v>
      </c>
      <c r="J231" s="107"/>
      <c r="K231" s="107"/>
    </row>
    <row r="232" spans="1:11" x14ac:dyDescent="0.25">
      <c r="A232" s="107"/>
      <c r="B232" s="107"/>
      <c r="C232" s="107"/>
      <c r="D232">
        <v>2025</v>
      </c>
      <c r="E232">
        <f t="shared" ref="E232" si="30">SUM(F232:I232)</f>
        <v>46918.409</v>
      </c>
      <c r="F232">
        <v>46918.409</v>
      </c>
      <c r="G232">
        <v>0</v>
      </c>
      <c r="H232">
        <v>0</v>
      </c>
      <c r="I232">
        <v>0</v>
      </c>
      <c r="J232" s="107"/>
      <c r="K232" s="107"/>
    </row>
  </sheetData>
  <mergeCells count="197">
    <mergeCell ref="A227:A232"/>
    <mergeCell ref="B227:B232"/>
    <mergeCell ref="C227:C232"/>
    <mergeCell ref="J227:J232"/>
    <mergeCell ref="K227:K232"/>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79:A184"/>
    <mergeCell ref="B179:B184"/>
    <mergeCell ref="C179:C184"/>
    <mergeCell ref="J179:J184"/>
    <mergeCell ref="K179:K184"/>
    <mergeCell ref="A185:A190"/>
    <mergeCell ref="B185:B190"/>
    <mergeCell ref="C185:C190"/>
    <mergeCell ref="J185:J190"/>
    <mergeCell ref="K185:K190"/>
    <mergeCell ref="A167:A172"/>
    <mergeCell ref="B167:B172"/>
    <mergeCell ref="C167:C172"/>
    <mergeCell ref="J167:J172"/>
    <mergeCell ref="K167:K172"/>
    <mergeCell ref="A173:A178"/>
    <mergeCell ref="B173:B178"/>
    <mergeCell ref="C173:C178"/>
    <mergeCell ref="J173:J178"/>
    <mergeCell ref="K173:K178"/>
    <mergeCell ref="A155:A160"/>
    <mergeCell ref="B155:B160"/>
    <mergeCell ref="C155:C160"/>
    <mergeCell ref="J155:J160"/>
    <mergeCell ref="K155:K160"/>
    <mergeCell ref="A161:A166"/>
    <mergeCell ref="B161:B166"/>
    <mergeCell ref="C161:C166"/>
    <mergeCell ref="J161:J166"/>
    <mergeCell ref="K161:K166"/>
    <mergeCell ref="A143:A148"/>
    <mergeCell ref="B143:B148"/>
    <mergeCell ref="C143:C148"/>
    <mergeCell ref="J143:J148"/>
    <mergeCell ref="K143:K148"/>
    <mergeCell ref="A149:A154"/>
    <mergeCell ref="B149:B154"/>
    <mergeCell ref="C149:C154"/>
    <mergeCell ref="J149:J154"/>
    <mergeCell ref="K149:K154"/>
    <mergeCell ref="A131:A136"/>
    <mergeCell ref="B131:B136"/>
    <mergeCell ref="C131:C136"/>
    <mergeCell ref="J131:J136"/>
    <mergeCell ref="K131:K136"/>
    <mergeCell ref="A137:A142"/>
    <mergeCell ref="B137:B142"/>
    <mergeCell ref="C137:C142"/>
    <mergeCell ref="J137:J142"/>
    <mergeCell ref="K137:K142"/>
    <mergeCell ref="A119:A124"/>
    <mergeCell ref="B119:B124"/>
    <mergeCell ref="C119:C124"/>
    <mergeCell ref="J119:J124"/>
    <mergeCell ref="K119:K124"/>
    <mergeCell ref="A125:A130"/>
    <mergeCell ref="B125:B130"/>
    <mergeCell ref="C125:C130"/>
    <mergeCell ref="J125:J130"/>
    <mergeCell ref="K125:K130"/>
    <mergeCell ref="A107:A112"/>
    <mergeCell ref="B107:B112"/>
    <mergeCell ref="C107:C112"/>
    <mergeCell ref="J107:J112"/>
    <mergeCell ref="K107:K112"/>
    <mergeCell ref="A113:A118"/>
    <mergeCell ref="B113:B118"/>
    <mergeCell ref="C113:C118"/>
    <mergeCell ref="J113:J118"/>
    <mergeCell ref="K113:K118"/>
    <mergeCell ref="A95:A100"/>
    <mergeCell ref="B95:B100"/>
    <mergeCell ref="C95:C100"/>
    <mergeCell ref="J95:J100"/>
    <mergeCell ref="K95:K100"/>
    <mergeCell ref="A101:A106"/>
    <mergeCell ref="B101:B106"/>
    <mergeCell ref="C101:C106"/>
    <mergeCell ref="J101:J106"/>
    <mergeCell ref="K101:K106"/>
    <mergeCell ref="A83:A88"/>
    <mergeCell ref="B83:B88"/>
    <mergeCell ref="C83:C88"/>
    <mergeCell ref="J83:J88"/>
    <mergeCell ref="K83:K88"/>
    <mergeCell ref="A89:A94"/>
    <mergeCell ref="B89:B94"/>
    <mergeCell ref="C89:C94"/>
    <mergeCell ref="J89:J94"/>
    <mergeCell ref="K89:K94"/>
    <mergeCell ref="A71:A76"/>
    <mergeCell ref="B71:B76"/>
    <mergeCell ref="C71:C76"/>
    <mergeCell ref="J71:J76"/>
    <mergeCell ref="K71:K76"/>
    <mergeCell ref="A77:A82"/>
    <mergeCell ref="B77:B82"/>
    <mergeCell ref="C77:C82"/>
    <mergeCell ref="J77:J82"/>
    <mergeCell ref="K77:K82"/>
    <mergeCell ref="A59:A64"/>
    <mergeCell ref="B59:B64"/>
    <mergeCell ref="C59:C64"/>
    <mergeCell ref="J59:J64"/>
    <mergeCell ref="K59:K64"/>
    <mergeCell ref="A65:A70"/>
    <mergeCell ref="B65:B70"/>
    <mergeCell ref="C65:C70"/>
    <mergeCell ref="J65:J70"/>
    <mergeCell ref="K65:K70"/>
    <mergeCell ref="A47:A52"/>
    <mergeCell ref="B47:B52"/>
    <mergeCell ref="C47:C52"/>
    <mergeCell ref="J47:J52"/>
    <mergeCell ref="K47:K52"/>
    <mergeCell ref="A53:A58"/>
    <mergeCell ref="B53:B58"/>
    <mergeCell ref="C53:C58"/>
    <mergeCell ref="J53:J58"/>
    <mergeCell ref="K53:K58"/>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A29:A34"/>
    <mergeCell ref="B29:B34"/>
    <mergeCell ref="C29:C34"/>
    <mergeCell ref="J29:J34"/>
    <mergeCell ref="K29:K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7" right="0.7" top="0.75" bottom="0.75" header="0.3" footer="0.3"/>
  <pageSetup paperSize="9" scale="86" firstPageNumber="4294967295"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3"/>
  <sheetViews>
    <sheetView zoomScale="85" workbookViewId="0">
      <selection activeCell="R17" sqref="R17"/>
    </sheetView>
  </sheetViews>
  <sheetFormatPr defaultRowHeight="15" x14ac:dyDescent="0.25"/>
  <cols>
    <col min="1" max="1" width="10.140625" customWidth="1"/>
    <col min="2" max="2" width="33" customWidth="1"/>
    <col min="3" max="6" width="5.28515625" hidden="1" customWidth="1"/>
    <col min="7" max="7" width="5.42578125" hidden="1" customWidth="1"/>
    <col min="8" max="9" width="5.28515625" hidden="1" customWidth="1"/>
    <col min="10" max="10" width="6.140625" customWidth="1"/>
    <col min="11" max="11" width="5.85546875" customWidth="1"/>
    <col min="12" max="12" width="6" customWidth="1"/>
    <col min="13" max="14" width="3.140625" hidden="1" customWidth="1"/>
    <col min="15" max="16" width="3.28515625" hidden="1" customWidth="1"/>
    <col min="17" max="17" width="6" customWidth="1"/>
    <col min="18" max="18" width="13.7109375" customWidth="1"/>
    <col min="19" max="19" width="6.42578125" customWidth="1"/>
    <col min="20" max="20" width="6.140625" customWidth="1"/>
    <col min="21" max="21" width="5.85546875" customWidth="1"/>
    <col min="22" max="22" width="6.7109375" customWidth="1"/>
    <col min="23" max="23" width="5.140625" hidden="1" customWidth="1"/>
    <col min="24" max="24" width="7.140625" bestFit="1" customWidth="1"/>
    <col min="25" max="25" width="31" customWidth="1"/>
  </cols>
  <sheetData>
    <row r="1" spans="1:25" x14ac:dyDescent="0.25">
      <c r="Y1" t="s">
        <v>1020</v>
      </c>
    </row>
    <row r="2" spans="1:25" x14ac:dyDescent="0.25">
      <c r="A2" s="107" t="s">
        <v>1021</v>
      </c>
      <c r="B2" s="107"/>
      <c r="C2" s="107"/>
      <c r="D2" s="107"/>
      <c r="E2" s="107"/>
      <c r="F2" s="107"/>
      <c r="G2" s="107"/>
      <c r="H2" s="107"/>
      <c r="I2" s="107"/>
      <c r="J2" s="107"/>
      <c r="K2" s="107"/>
      <c r="L2" s="107"/>
      <c r="M2" s="107"/>
      <c r="N2" s="107"/>
      <c r="O2" s="107"/>
      <c r="P2" s="107"/>
      <c r="Q2" s="107"/>
      <c r="R2" s="107"/>
      <c r="S2" s="107"/>
      <c r="T2" s="107"/>
      <c r="U2" s="107"/>
      <c r="V2" s="107"/>
      <c r="W2" s="107"/>
      <c r="X2" s="107"/>
      <c r="Y2" s="107"/>
    </row>
    <row r="4" spans="1:25" ht="19.5" customHeight="1" x14ac:dyDescent="0.25">
      <c r="A4" s="107" t="s">
        <v>1022</v>
      </c>
      <c r="B4" s="107" t="s">
        <v>1023</v>
      </c>
      <c r="C4" s="107"/>
      <c r="D4" s="107"/>
      <c r="E4" s="107"/>
      <c r="F4" s="107"/>
      <c r="G4" s="107"/>
      <c r="H4" s="107"/>
      <c r="I4" s="107"/>
      <c r="J4" s="107"/>
      <c r="K4" s="107"/>
      <c r="L4" s="107"/>
      <c r="M4" s="107"/>
      <c r="N4" s="107"/>
      <c r="O4" s="107"/>
      <c r="P4" s="107"/>
      <c r="R4" s="107" t="s">
        <v>1024</v>
      </c>
      <c r="S4" s="107"/>
      <c r="T4" s="107"/>
      <c r="U4" s="107"/>
      <c r="V4" s="107"/>
      <c r="W4" s="107"/>
      <c r="X4" s="107"/>
      <c r="Y4" s="107" t="s">
        <v>621</v>
      </c>
    </row>
    <row r="5" spans="1:25" ht="19.5" customHeight="1" x14ac:dyDescent="0.25">
      <c r="A5" s="107"/>
      <c r="B5" s="107" t="s">
        <v>1025</v>
      </c>
      <c r="C5">
        <v>2012</v>
      </c>
      <c r="D5" s="107">
        <v>2013</v>
      </c>
      <c r="E5" s="107"/>
      <c r="F5" s="107">
        <v>2014</v>
      </c>
      <c r="G5" s="107"/>
      <c r="H5" s="107">
        <v>2015</v>
      </c>
      <c r="I5" s="107"/>
      <c r="J5" s="107">
        <v>2018</v>
      </c>
      <c r="K5" s="107"/>
      <c r="L5">
        <v>2019</v>
      </c>
      <c r="M5" s="107">
        <v>2018</v>
      </c>
      <c r="N5" s="107"/>
      <c r="O5" s="107">
        <v>2019</v>
      </c>
      <c r="P5" s="107"/>
      <c r="Q5">
        <v>2020</v>
      </c>
      <c r="R5" s="107" t="s">
        <v>1026</v>
      </c>
      <c r="S5" s="107">
        <v>2018</v>
      </c>
      <c r="T5" s="107"/>
      <c r="U5" s="107">
        <v>2019</v>
      </c>
      <c r="V5" s="107"/>
      <c r="W5">
        <v>2019</v>
      </c>
      <c r="X5">
        <v>2020</v>
      </c>
      <c r="Y5" s="107"/>
    </row>
    <row r="6" spans="1:25" ht="19.5" customHeight="1" x14ac:dyDescent="0.25">
      <c r="A6" s="107"/>
      <c r="B6" s="107"/>
      <c r="C6" t="s">
        <v>1027</v>
      </c>
      <c r="D6" t="s">
        <v>1028</v>
      </c>
      <c r="E6" t="s">
        <v>1027</v>
      </c>
      <c r="F6" t="s">
        <v>1028</v>
      </c>
      <c r="G6" t="s">
        <v>1027</v>
      </c>
      <c r="H6" t="s">
        <v>1028</v>
      </c>
      <c r="I6" t="s">
        <v>1027</v>
      </c>
      <c r="J6" t="s">
        <v>1028</v>
      </c>
      <c r="K6" t="s">
        <v>1027</v>
      </c>
      <c r="L6" t="s">
        <v>1028</v>
      </c>
      <c r="M6" s="107" t="s">
        <v>1028</v>
      </c>
      <c r="N6" s="107"/>
      <c r="O6" s="107" t="s">
        <v>1028</v>
      </c>
      <c r="P6" s="107"/>
      <c r="Q6" t="s">
        <v>1028</v>
      </c>
      <c r="R6" s="107"/>
      <c r="S6" t="s">
        <v>1028</v>
      </c>
      <c r="T6" t="s">
        <v>1027</v>
      </c>
      <c r="U6" t="s">
        <v>1028</v>
      </c>
      <c r="V6" t="s">
        <v>1027</v>
      </c>
      <c r="W6" t="s">
        <v>1028</v>
      </c>
      <c r="X6" t="s">
        <v>1028</v>
      </c>
      <c r="Y6" s="107"/>
    </row>
    <row r="7" spans="1:25" ht="29.25" customHeight="1" x14ac:dyDescent="0.25">
      <c r="A7" s="107" t="s">
        <v>1029</v>
      </c>
      <c r="B7" s="107"/>
      <c r="C7" s="107"/>
      <c r="D7" s="107"/>
      <c r="E7" s="107"/>
      <c r="F7" s="107"/>
      <c r="G7" s="107"/>
      <c r="H7" s="107"/>
      <c r="I7" s="107"/>
      <c r="J7" s="107"/>
      <c r="K7" s="107"/>
      <c r="L7" s="107"/>
      <c r="M7" s="107"/>
      <c r="N7" s="107"/>
      <c r="O7" s="107"/>
      <c r="P7" s="107"/>
      <c r="Q7" s="107"/>
      <c r="R7" s="107"/>
      <c r="S7" s="107"/>
      <c r="T7" s="107"/>
      <c r="U7" s="107"/>
      <c r="V7" s="107"/>
      <c r="W7" s="107"/>
      <c r="X7" s="107"/>
      <c r="Y7" s="107"/>
    </row>
    <row r="8" spans="1:25" x14ac:dyDescent="0.25">
      <c r="A8" t="s">
        <v>1030</v>
      </c>
      <c r="B8" t="s">
        <v>978</v>
      </c>
      <c r="J8">
        <v>38</v>
      </c>
      <c r="K8">
        <v>40.9</v>
      </c>
      <c r="L8">
        <v>41.5</v>
      </c>
      <c r="M8" s="107"/>
      <c r="N8" s="107"/>
      <c r="O8" s="107"/>
      <c r="P8" s="107"/>
      <c r="Q8">
        <v>42.6</v>
      </c>
      <c r="S8">
        <v>38</v>
      </c>
      <c r="T8">
        <v>40.9</v>
      </c>
      <c r="U8">
        <v>41.5</v>
      </c>
      <c r="V8">
        <v>43.4</v>
      </c>
      <c r="X8">
        <v>42.6</v>
      </c>
      <c r="Y8" t="s">
        <v>1031</v>
      </c>
    </row>
    <row r="9" spans="1:25" x14ac:dyDescent="0.25">
      <c r="A9" t="s">
        <v>1032</v>
      </c>
      <c r="B9" t="s">
        <v>1033</v>
      </c>
      <c r="J9">
        <v>167.5</v>
      </c>
      <c r="K9">
        <v>178.7</v>
      </c>
      <c r="L9">
        <v>183.2</v>
      </c>
      <c r="M9" s="107"/>
      <c r="N9" s="107"/>
      <c r="O9" s="107"/>
      <c r="P9" s="107"/>
      <c r="Q9">
        <v>183.5</v>
      </c>
      <c r="S9">
        <v>167.5</v>
      </c>
      <c r="T9">
        <v>178.7</v>
      </c>
      <c r="U9">
        <v>183.2</v>
      </c>
      <c r="V9">
        <v>183.3</v>
      </c>
      <c r="X9">
        <v>183.5</v>
      </c>
      <c r="Y9" t="s">
        <v>1031</v>
      </c>
    </row>
    <row r="10" spans="1:25" ht="24" customHeight="1" x14ac:dyDescent="0.25">
      <c r="A10">
        <v>1</v>
      </c>
      <c r="B10" s="107" t="s">
        <v>627</v>
      </c>
      <c r="C10" s="107"/>
      <c r="D10" s="107"/>
      <c r="E10" s="107"/>
      <c r="F10" s="107"/>
      <c r="G10" s="107"/>
      <c r="H10" s="107"/>
      <c r="I10" s="107"/>
      <c r="J10" s="107"/>
      <c r="K10" s="107"/>
      <c r="L10" s="107"/>
      <c r="M10" s="107"/>
      <c r="N10" s="107"/>
      <c r="O10" s="107"/>
      <c r="P10" s="107"/>
      <c r="Q10" s="107"/>
      <c r="R10" s="107"/>
      <c r="S10" s="107"/>
      <c r="T10" s="107"/>
      <c r="U10" s="107"/>
      <c r="V10" s="107"/>
      <c r="W10" s="107"/>
      <c r="X10" s="107"/>
    </row>
    <row r="11" spans="1:25" x14ac:dyDescent="0.25">
      <c r="A11" t="s">
        <v>808</v>
      </c>
      <c r="B11" t="s">
        <v>1034</v>
      </c>
      <c r="J11">
        <v>85</v>
      </c>
      <c r="K11">
        <v>94.4</v>
      </c>
      <c r="L11">
        <v>94.6</v>
      </c>
      <c r="M11" s="107"/>
      <c r="N11" s="107"/>
      <c r="O11" s="107"/>
      <c r="P11" s="107"/>
      <c r="Q11">
        <v>95</v>
      </c>
      <c r="S11">
        <v>85</v>
      </c>
      <c r="T11">
        <v>94.4</v>
      </c>
      <c r="U11">
        <v>94.6</v>
      </c>
      <c r="V11">
        <v>94.6</v>
      </c>
      <c r="X11">
        <v>95</v>
      </c>
      <c r="Y11" t="s">
        <v>1031</v>
      </c>
    </row>
    <row r="12" spans="1:25" x14ac:dyDescent="0.25">
      <c r="A12" t="s">
        <v>628</v>
      </c>
      <c r="B12" t="s">
        <v>1035</v>
      </c>
      <c r="J12">
        <v>40</v>
      </c>
      <c r="K12">
        <v>44</v>
      </c>
      <c r="L12">
        <v>47</v>
      </c>
      <c r="M12" s="107"/>
      <c r="N12" s="107"/>
      <c r="O12" s="107"/>
      <c r="P12" s="107"/>
      <c r="Q12">
        <v>50</v>
      </c>
      <c r="S12">
        <v>40</v>
      </c>
      <c r="T12">
        <v>44</v>
      </c>
      <c r="U12">
        <v>47</v>
      </c>
      <c r="V12">
        <v>54.1</v>
      </c>
      <c r="X12">
        <v>50</v>
      </c>
      <c r="Y12" t="s">
        <v>1031</v>
      </c>
    </row>
    <row r="13" spans="1:25" x14ac:dyDescent="0.25">
      <c r="A13" t="s">
        <v>811</v>
      </c>
      <c r="B13" t="s">
        <v>1036</v>
      </c>
      <c r="J13">
        <v>21</v>
      </c>
      <c r="K13">
        <v>21.8</v>
      </c>
      <c r="L13">
        <v>22</v>
      </c>
      <c r="M13" s="107"/>
      <c r="N13" s="107"/>
      <c r="O13" s="107"/>
      <c r="P13" s="107"/>
      <c r="Q13">
        <v>22.3</v>
      </c>
      <c r="S13">
        <v>21</v>
      </c>
      <c r="T13">
        <v>21.8</v>
      </c>
      <c r="U13">
        <v>22</v>
      </c>
      <c r="V13">
        <v>23.5</v>
      </c>
      <c r="X13">
        <v>22.3</v>
      </c>
      <c r="Y13" t="s">
        <v>1031</v>
      </c>
    </row>
    <row r="14" spans="1:25" x14ac:dyDescent="0.25">
      <c r="A14" t="s">
        <v>1037</v>
      </c>
      <c r="B14" t="s">
        <v>1038</v>
      </c>
      <c r="J14">
        <v>16</v>
      </c>
      <c r="K14">
        <v>18.7</v>
      </c>
      <c r="L14">
        <v>19.2</v>
      </c>
      <c r="M14" s="107"/>
      <c r="N14" s="107"/>
      <c r="O14" s="107"/>
      <c r="P14" s="107"/>
      <c r="Q14">
        <v>20</v>
      </c>
      <c r="S14">
        <v>16</v>
      </c>
      <c r="T14">
        <v>18.7</v>
      </c>
      <c r="U14">
        <v>19.2</v>
      </c>
      <c r="V14">
        <v>18</v>
      </c>
      <c r="X14">
        <v>20</v>
      </c>
      <c r="Y14" t="s">
        <v>1031</v>
      </c>
    </row>
    <row r="15" spans="1:25" ht="24" customHeight="1" x14ac:dyDescent="0.25">
      <c r="A15">
        <v>2</v>
      </c>
      <c r="B15" s="107" t="s">
        <v>646</v>
      </c>
      <c r="C15" s="107"/>
      <c r="D15" s="107"/>
      <c r="E15" s="107"/>
      <c r="F15" s="107"/>
      <c r="G15" s="107"/>
      <c r="H15" s="107"/>
      <c r="I15" s="107"/>
      <c r="J15" s="107"/>
      <c r="K15" s="107"/>
      <c r="L15" s="107"/>
      <c r="M15" s="107"/>
      <c r="N15" s="107"/>
      <c r="O15" s="107"/>
      <c r="P15" s="107"/>
      <c r="Q15" s="107"/>
      <c r="R15" s="107"/>
      <c r="S15" s="107"/>
      <c r="T15" s="107"/>
      <c r="U15" s="107"/>
      <c r="V15" s="107"/>
      <c r="W15" s="107"/>
      <c r="X15" s="107"/>
    </row>
    <row r="16" spans="1:25" x14ac:dyDescent="0.25">
      <c r="A16" t="s">
        <v>813</v>
      </c>
      <c r="B16" t="s">
        <v>1039</v>
      </c>
      <c r="J16">
        <v>36.5</v>
      </c>
      <c r="K16">
        <v>36.5</v>
      </c>
      <c r="L16">
        <v>37</v>
      </c>
      <c r="M16" s="107"/>
      <c r="N16" s="107"/>
      <c r="O16" s="107"/>
      <c r="P16" s="107"/>
      <c r="Q16">
        <v>38</v>
      </c>
      <c r="S16">
        <v>36.5</v>
      </c>
      <c r="T16">
        <v>36.5</v>
      </c>
      <c r="U16">
        <v>37</v>
      </c>
      <c r="V16">
        <v>39.200000000000003</v>
      </c>
      <c r="X16">
        <v>38</v>
      </c>
      <c r="Y16" t="s">
        <v>1031</v>
      </c>
    </row>
    <row r="17" spans="1:25" x14ac:dyDescent="0.25">
      <c r="A17" t="s">
        <v>815</v>
      </c>
      <c r="B17" t="s">
        <v>1040</v>
      </c>
      <c r="J17">
        <v>73</v>
      </c>
      <c r="K17">
        <v>77</v>
      </c>
      <c r="L17">
        <v>79</v>
      </c>
      <c r="M17" s="107"/>
      <c r="N17" s="107"/>
      <c r="O17" s="107"/>
      <c r="P17" s="107"/>
      <c r="Q17">
        <v>80</v>
      </c>
      <c r="S17">
        <v>73</v>
      </c>
      <c r="T17">
        <v>77</v>
      </c>
      <c r="U17">
        <v>79</v>
      </c>
      <c r="V17">
        <v>79</v>
      </c>
      <c r="X17">
        <v>80</v>
      </c>
      <c r="Y17" t="s">
        <v>1031</v>
      </c>
    </row>
    <row r="18" spans="1:25" x14ac:dyDescent="0.25">
      <c r="A18" t="s">
        <v>1002</v>
      </c>
      <c r="B18" t="s">
        <v>1041</v>
      </c>
      <c r="J18">
        <v>50</v>
      </c>
      <c r="K18">
        <v>54.7</v>
      </c>
      <c r="L18">
        <v>55.5</v>
      </c>
      <c r="M18" s="107"/>
      <c r="N18" s="107"/>
      <c r="O18" s="107"/>
      <c r="P18" s="107"/>
      <c r="Q18">
        <v>57</v>
      </c>
      <c r="S18">
        <v>50</v>
      </c>
      <c r="T18">
        <v>54.7</v>
      </c>
      <c r="U18">
        <v>55.5</v>
      </c>
      <c r="V18">
        <v>48.8</v>
      </c>
      <c r="X18">
        <v>57</v>
      </c>
      <c r="Y18" t="s">
        <v>1031</v>
      </c>
    </row>
    <row r="19" spans="1:25" x14ac:dyDescent="0.25">
      <c r="A19" t="s">
        <v>1042</v>
      </c>
      <c r="B19" t="s">
        <v>1043</v>
      </c>
      <c r="J19">
        <v>14.1</v>
      </c>
      <c r="K19">
        <v>15.4</v>
      </c>
      <c r="L19">
        <v>16</v>
      </c>
      <c r="M19" s="107"/>
      <c r="N19" s="107"/>
      <c r="O19" s="107"/>
      <c r="P19" s="107"/>
      <c r="Q19">
        <v>16.5</v>
      </c>
      <c r="S19">
        <v>14.1</v>
      </c>
      <c r="T19">
        <v>15.4</v>
      </c>
      <c r="U19">
        <v>16</v>
      </c>
      <c r="V19">
        <v>14.4</v>
      </c>
      <c r="X19">
        <v>16.5</v>
      </c>
      <c r="Y19" t="s">
        <v>1031</v>
      </c>
    </row>
    <row r="20" spans="1:25" x14ac:dyDescent="0.25">
      <c r="A20" t="s">
        <v>1044</v>
      </c>
      <c r="B20" t="s">
        <v>1045</v>
      </c>
      <c r="J20">
        <v>2190</v>
      </c>
      <c r="K20">
        <v>2214</v>
      </c>
      <c r="L20">
        <v>2218</v>
      </c>
      <c r="M20" s="107"/>
      <c r="N20" s="107"/>
      <c r="O20" s="107"/>
      <c r="P20" s="107"/>
      <c r="Q20">
        <v>2242</v>
      </c>
      <c r="S20">
        <v>2190</v>
      </c>
      <c r="T20">
        <v>2214</v>
      </c>
      <c r="U20">
        <v>2218</v>
      </c>
      <c r="V20">
        <v>2252</v>
      </c>
      <c r="X20">
        <v>2242</v>
      </c>
      <c r="Y20" t="s">
        <v>1031</v>
      </c>
    </row>
    <row r="21" spans="1:25" x14ac:dyDescent="0.25">
      <c r="A21" t="s">
        <v>1046</v>
      </c>
      <c r="B21" t="s">
        <v>1047</v>
      </c>
      <c r="J21">
        <v>90</v>
      </c>
      <c r="K21">
        <v>100</v>
      </c>
      <c r="L21">
        <v>100</v>
      </c>
      <c r="M21" s="107"/>
      <c r="N21" s="107"/>
      <c r="O21" s="107"/>
      <c r="P21" s="107"/>
      <c r="Q21">
        <v>100</v>
      </c>
      <c r="S21">
        <v>90</v>
      </c>
      <c r="T21">
        <v>100</v>
      </c>
      <c r="U21">
        <v>100</v>
      </c>
      <c r="V21">
        <v>100</v>
      </c>
      <c r="X21">
        <v>100</v>
      </c>
      <c r="Y21" t="s">
        <v>1031</v>
      </c>
    </row>
    <row r="22" spans="1:25" x14ac:dyDescent="0.25">
      <c r="A22" t="s">
        <v>1048</v>
      </c>
      <c r="B22" t="s">
        <v>1049</v>
      </c>
      <c r="J22">
        <v>24</v>
      </c>
      <c r="K22">
        <v>32.200000000000003</v>
      </c>
      <c r="L22">
        <v>33</v>
      </c>
      <c r="M22" s="107"/>
      <c r="N22" s="107"/>
      <c r="O22" s="107"/>
      <c r="P22" s="107"/>
      <c r="Q22">
        <v>33.5</v>
      </c>
      <c r="S22">
        <v>24</v>
      </c>
      <c r="T22">
        <v>32.200000000000003</v>
      </c>
      <c r="U22">
        <v>33</v>
      </c>
      <c r="V22">
        <v>22.9</v>
      </c>
      <c r="X22">
        <v>33.5</v>
      </c>
      <c r="Y22" t="s">
        <v>1031</v>
      </c>
    </row>
    <row r="23" spans="1:25" ht="24" customHeight="1" x14ac:dyDescent="0.25">
      <c r="A23">
        <v>3</v>
      </c>
      <c r="B23" s="107" t="s">
        <v>94</v>
      </c>
      <c r="C23" s="107"/>
      <c r="D23" s="107"/>
      <c r="E23" s="107"/>
      <c r="F23" s="107"/>
      <c r="G23" s="107"/>
      <c r="H23" s="107"/>
      <c r="I23" s="107"/>
      <c r="J23" s="107"/>
      <c r="K23" s="107"/>
      <c r="L23" s="107"/>
      <c r="M23" s="107"/>
      <c r="N23" s="107"/>
      <c r="O23" s="107"/>
      <c r="P23" s="107"/>
      <c r="Q23" s="107"/>
      <c r="R23" s="107"/>
      <c r="S23" s="107"/>
      <c r="T23" s="107"/>
      <c r="U23" s="107"/>
      <c r="V23" s="107"/>
      <c r="W23" s="107"/>
      <c r="X23" s="107"/>
    </row>
    <row r="24" spans="1:25" ht="72.75" customHeight="1" x14ac:dyDescent="0.25">
      <c r="A24" t="s">
        <v>817</v>
      </c>
      <c r="B24" t="s">
        <v>1050</v>
      </c>
      <c r="J24">
        <v>40.700000000000003</v>
      </c>
      <c r="K24">
        <v>40.799999999999997</v>
      </c>
      <c r="L24">
        <v>43</v>
      </c>
      <c r="M24" s="107"/>
      <c r="N24" s="107"/>
      <c r="O24" s="107"/>
      <c r="P24" s="107"/>
      <c r="Q24">
        <v>45.5</v>
      </c>
      <c r="S24">
        <v>40.700000000000003</v>
      </c>
      <c r="T24">
        <v>40.799999999999997</v>
      </c>
      <c r="U24">
        <v>43</v>
      </c>
      <c r="V24">
        <v>40.299999999999997</v>
      </c>
      <c r="X24">
        <v>45.5</v>
      </c>
      <c r="Y24" t="s">
        <v>1031</v>
      </c>
    </row>
    <row r="25" spans="1:25" ht="69.75" customHeight="1" x14ac:dyDescent="0.25">
      <c r="A25" t="s">
        <v>672</v>
      </c>
      <c r="B25" t="s">
        <v>1051</v>
      </c>
      <c r="J25">
        <v>57</v>
      </c>
      <c r="K25">
        <v>57.6</v>
      </c>
      <c r="L25">
        <v>63</v>
      </c>
      <c r="M25" s="107"/>
      <c r="N25" s="107"/>
      <c r="O25" s="107"/>
      <c r="P25" s="107"/>
      <c r="Q25">
        <v>70</v>
      </c>
      <c r="S25">
        <v>57</v>
      </c>
      <c r="T25">
        <v>57.6</v>
      </c>
      <c r="U25">
        <v>63</v>
      </c>
      <c r="V25">
        <v>55.8</v>
      </c>
      <c r="X25">
        <v>70</v>
      </c>
      <c r="Y25" t="s">
        <v>1031</v>
      </c>
    </row>
    <row r="26" spans="1:25" ht="69.75" customHeight="1" x14ac:dyDescent="0.25">
      <c r="A26" t="s">
        <v>1015</v>
      </c>
      <c r="B26" t="s">
        <v>1052</v>
      </c>
      <c r="J26">
        <v>1546</v>
      </c>
      <c r="K26">
        <v>1557</v>
      </c>
      <c r="L26">
        <v>1621</v>
      </c>
      <c r="M26" s="107"/>
      <c r="N26" s="107"/>
      <c r="O26" s="107"/>
      <c r="P26" s="107"/>
      <c r="Q26">
        <v>1696</v>
      </c>
      <c r="S26">
        <v>1546</v>
      </c>
      <c r="T26">
        <v>1557</v>
      </c>
      <c r="U26">
        <v>1621</v>
      </c>
      <c r="V26">
        <v>1726</v>
      </c>
      <c r="X26">
        <v>1696</v>
      </c>
      <c r="Y26" t="s">
        <v>1031</v>
      </c>
    </row>
    <row r="27" spans="1:25" ht="69.75" customHeight="1" x14ac:dyDescent="0.25">
      <c r="A27" t="s">
        <v>675</v>
      </c>
      <c r="B27" t="s">
        <v>1053</v>
      </c>
      <c r="J27">
        <v>34</v>
      </c>
      <c r="K27">
        <v>34</v>
      </c>
      <c r="L27">
        <v>42</v>
      </c>
      <c r="M27" s="107"/>
      <c r="N27" s="107"/>
      <c r="O27" s="107"/>
      <c r="P27" s="107"/>
      <c r="Q27">
        <v>43</v>
      </c>
      <c r="S27">
        <v>34</v>
      </c>
      <c r="T27">
        <v>34</v>
      </c>
      <c r="U27">
        <v>42</v>
      </c>
      <c r="V27">
        <v>43</v>
      </c>
      <c r="X27">
        <v>43</v>
      </c>
      <c r="Y27" t="s">
        <v>1031</v>
      </c>
    </row>
    <row r="29" spans="1:25" ht="15.75" customHeight="1" x14ac:dyDescent="0.25">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row>
    <row r="30" spans="1:25" ht="18.75" customHeight="1" x14ac:dyDescent="0.25">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row>
    <row r="32" spans="1:25" x14ac:dyDescent="0.25">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row>
    <row r="33" spans="1:2" x14ac:dyDescent="0.25">
      <c r="A33" s="107"/>
      <c r="B33" s="107"/>
    </row>
  </sheetData>
  <mergeCells count="59">
    <mergeCell ref="A29:X29"/>
    <mergeCell ref="A30:X30"/>
    <mergeCell ref="A32:X32"/>
    <mergeCell ref="A33:B33"/>
    <mergeCell ref="M25:N25"/>
    <mergeCell ref="O25:P25"/>
    <mergeCell ref="M26:N26"/>
    <mergeCell ref="O26:P26"/>
    <mergeCell ref="M27:N27"/>
    <mergeCell ref="O27:P27"/>
    <mergeCell ref="M22:N22"/>
    <mergeCell ref="O22:P22"/>
    <mergeCell ref="B23:X23"/>
    <mergeCell ref="M24:N24"/>
    <mergeCell ref="O24:P24"/>
    <mergeCell ref="M19:N19"/>
    <mergeCell ref="O19:P19"/>
    <mergeCell ref="M20:N20"/>
    <mergeCell ref="O20:P20"/>
    <mergeCell ref="M21:N21"/>
    <mergeCell ref="O21:P21"/>
    <mergeCell ref="M16:N16"/>
    <mergeCell ref="O16:P16"/>
    <mergeCell ref="M17:N17"/>
    <mergeCell ref="O17:P17"/>
    <mergeCell ref="M18:N18"/>
    <mergeCell ref="O18:P18"/>
    <mergeCell ref="M13:N13"/>
    <mergeCell ref="O13:P13"/>
    <mergeCell ref="M14:N14"/>
    <mergeCell ref="O14:P14"/>
    <mergeCell ref="B15:X15"/>
    <mergeCell ref="B10:X10"/>
    <mergeCell ref="M11:N11"/>
    <mergeCell ref="O11:P11"/>
    <mergeCell ref="M12:N12"/>
    <mergeCell ref="O12:P12"/>
    <mergeCell ref="O6:P6"/>
    <mergeCell ref="A7:Y7"/>
    <mergeCell ref="M8:N8"/>
    <mergeCell ref="O8:P8"/>
    <mergeCell ref="M9:N9"/>
    <mergeCell ref="O9:P9"/>
    <mergeCell ref="A2:Y2"/>
    <mergeCell ref="A4:A6"/>
    <mergeCell ref="B4:P4"/>
    <mergeCell ref="R4:X4"/>
    <mergeCell ref="Y4:Y6"/>
    <mergeCell ref="B5:B6"/>
    <mergeCell ref="D5:E5"/>
    <mergeCell ref="F5:G5"/>
    <mergeCell ref="H5:I5"/>
    <mergeCell ref="J5:K5"/>
    <mergeCell ref="M5:N5"/>
    <mergeCell ref="O5:P5"/>
    <mergeCell ref="R5:R6"/>
    <mergeCell ref="S5:T5"/>
    <mergeCell ref="U5:V5"/>
    <mergeCell ref="M6:N6"/>
  </mergeCells>
  <pageMargins left="0.47244094488188981" right="0.51181102362204722" top="0.74803149606299213" bottom="0.74803149606299213" header="0.31496062992125984" footer="0.31496062992125984"/>
  <pageSetup paperSize="9" scale="32" firstPageNumber="4294967295"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pageSetUpPr fitToPage="1"/>
  </sheetPr>
  <dimension ref="A1:O395"/>
  <sheetViews>
    <sheetView workbookViewId="0">
      <pane xSplit="3" ySplit="4" topLeftCell="D5" activePane="bottomRight" state="frozen"/>
      <selection activeCell="J390" sqref="J390:J395"/>
      <selection pane="topRight"/>
      <selection pane="bottomLeft"/>
      <selection pane="bottomRight" activeCell="D5" sqref="D5"/>
    </sheetView>
  </sheetViews>
  <sheetFormatPr defaultRowHeight="15" outlineLevelRow="1" x14ac:dyDescent="0.25"/>
  <cols>
    <col min="1" max="1" width="5.8554687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2" width="13" customWidth="1"/>
    <col min="14" max="14" width="13" customWidth="1"/>
  </cols>
  <sheetData>
    <row r="1" spans="1:15" ht="15.75" customHeight="1" x14ac:dyDescent="0.25">
      <c r="A1" s="107" t="s">
        <v>0</v>
      </c>
      <c r="B1" s="107"/>
      <c r="C1" s="107"/>
      <c r="D1" s="107"/>
      <c r="E1" s="107"/>
      <c r="F1" s="107"/>
      <c r="G1" s="107"/>
      <c r="H1" s="107"/>
      <c r="I1" s="107"/>
      <c r="J1" s="107"/>
      <c r="K1" s="107"/>
    </row>
    <row r="2" spans="1:15" x14ac:dyDescent="0.25">
      <c r="A2" s="107"/>
      <c r="B2" s="107"/>
      <c r="C2" s="107"/>
      <c r="D2" s="107"/>
      <c r="E2" s="107"/>
      <c r="F2" s="107"/>
      <c r="G2" s="107"/>
      <c r="H2" s="107"/>
      <c r="I2" s="107"/>
      <c r="J2" s="107"/>
      <c r="K2" s="107"/>
    </row>
    <row r="3" spans="1:15" ht="15" customHeight="1" x14ac:dyDescent="0.25">
      <c r="A3" s="107" t="s">
        <v>1</v>
      </c>
      <c r="B3" s="107" t="s">
        <v>2</v>
      </c>
      <c r="C3" s="107" t="s">
        <v>3</v>
      </c>
      <c r="D3" s="107" t="s">
        <v>4</v>
      </c>
      <c r="E3" s="107"/>
      <c r="F3" s="107"/>
      <c r="G3" s="107"/>
      <c r="H3" s="107"/>
      <c r="I3" s="107"/>
      <c r="J3" s="107" t="s">
        <v>5</v>
      </c>
      <c r="K3" s="107" t="s">
        <v>6</v>
      </c>
    </row>
    <row r="4" spans="1:15" ht="36.75" customHeight="1" x14ac:dyDescent="0.25">
      <c r="A4" s="107"/>
      <c r="B4" s="107"/>
      <c r="C4" s="107"/>
      <c r="D4" t="s">
        <v>7</v>
      </c>
      <c r="E4" t="s">
        <v>8</v>
      </c>
      <c r="F4" t="s">
        <v>9</v>
      </c>
      <c r="G4" t="s">
        <v>10</v>
      </c>
      <c r="H4" t="s">
        <v>11</v>
      </c>
      <c r="I4" t="s">
        <v>12</v>
      </c>
      <c r="J4" s="107"/>
      <c r="K4" s="107"/>
    </row>
    <row r="5" spans="1:15" ht="15" customHeight="1" x14ac:dyDescent="0.25">
      <c r="A5" s="107"/>
      <c r="B5" s="107" t="s">
        <v>13</v>
      </c>
      <c r="C5" s="107" t="s">
        <v>14</v>
      </c>
      <c r="D5" t="s">
        <v>8</v>
      </c>
      <c r="E5">
        <f t="shared" ref="E5:E34" si="0">SUM(F5:I5)</f>
        <v>5536667.4248926369</v>
      </c>
      <c r="F5">
        <f>SUM(F6:F10)</f>
        <v>4852333.9230867503</v>
      </c>
      <c r="G5">
        <f>SUM(G6:G10)</f>
        <v>599464.19999999995</v>
      </c>
      <c r="H5">
        <f>SUM(H6:H10)</f>
        <v>84869.301805886556</v>
      </c>
      <c r="I5">
        <f>SUM(I6:I10)</f>
        <v>0</v>
      </c>
      <c r="J5" s="107"/>
      <c r="K5" s="107" t="s">
        <v>482</v>
      </c>
    </row>
    <row r="6" spans="1:15" x14ac:dyDescent="0.25">
      <c r="A6" s="107"/>
      <c r="B6" s="107"/>
      <c r="C6" s="107"/>
      <c r="D6">
        <v>2021</v>
      </c>
      <c r="E6">
        <f t="shared" si="0"/>
        <v>1604993.6144657943</v>
      </c>
      <c r="F6">
        <f t="shared" ref="F6:G10" si="1">F24+F116+F218+F379</f>
        <v>1245686.26565675</v>
      </c>
      <c r="G6">
        <f t="shared" si="1"/>
        <v>316136.2</v>
      </c>
      <c r="H6">
        <f>H12+H18</f>
        <v>43171.148809044447</v>
      </c>
      <c r="I6">
        <f t="shared" ref="I6:I10" si="2">I24+I116+I218+I379</f>
        <v>0</v>
      </c>
      <c r="J6" s="107"/>
      <c r="K6" s="107"/>
    </row>
    <row r="7" spans="1:15" x14ac:dyDescent="0.25">
      <c r="A7" s="107"/>
      <c r="B7" s="107"/>
      <c r="C7" s="107"/>
      <c r="D7">
        <v>2022</v>
      </c>
      <c r="E7">
        <f t="shared" si="0"/>
        <v>1297102.9152600002</v>
      </c>
      <c r="F7">
        <f t="shared" si="1"/>
        <v>1119492.557</v>
      </c>
      <c r="G7">
        <f t="shared" si="1"/>
        <v>136318.79999999999</v>
      </c>
      <c r="H7">
        <f t="shared" ref="H7:H10" si="3">H25+H117+H219+H380</f>
        <v>41291.558260000005</v>
      </c>
      <c r="I7">
        <f t="shared" si="2"/>
        <v>0</v>
      </c>
      <c r="J7" s="107"/>
      <c r="K7" s="107"/>
    </row>
    <row r="8" spans="1:15" x14ac:dyDescent="0.25">
      <c r="A8" s="107"/>
      <c r="B8" s="107"/>
      <c r="C8" s="107"/>
      <c r="D8">
        <v>2023</v>
      </c>
      <c r="E8">
        <f t="shared" si="0"/>
        <v>985181.13771684223</v>
      </c>
      <c r="F8">
        <f t="shared" si="1"/>
        <v>837765.34298000007</v>
      </c>
      <c r="G8">
        <f t="shared" si="1"/>
        <v>147009.20000000001</v>
      </c>
      <c r="H8">
        <f t="shared" si="3"/>
        <v>406.59473684210525</v>
      </c>
      <c r="I8">
        <f t="shared" si="2"/>
        <v>0</v>
      </c>
      <c r="J8" s="107"/>
      <c r="K8" s="107"/>
    </row>
    <row r="9" spans="1:15" x14ac:dyDescent="0.25">
      <c r="A9" s="107"/>
      <c r="B9" s="107"/>
      <c r="C9" s="107"/>
      <c r="D9">
        <v>2024</v>
      </c>
      <c r="E9">
        <f t="shared" si="0"/>
        <v>829941.89545000007</v>
      </c>
      <c r="F9">
        <f t="shared" si="1"/>
        <v>829941.89545000007</v>
      </c>
      <c r="G9">
        <f t="shared" si="1"/>
        <v>0</v>
      </c>
      <c r="H9">
        <f t="shared" si="3"/>
        <v>0</v>
      </c>
      <c r="I9">
        <f t="shared" si="2"/>
        <v>0</v>
      </c>
      <c r="J9" s="107"/>
      <c r="K9" s="107"/>
    </row>
    <row r="10" spans="1:15"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5" x14ac:dyDescent="0.25">
      <c r="A11" s="107"/>
      <c r="B11" s="107" t="s">
        <v>483</v>
      </c>
      <c r="C11" s="107" t="s">
        <v>14</v>
      </c>
      <c r="D11" t="s">
        <v>8</v>
      </c>
      <c r="E11">
        <f t="shared" si="0"/>
        <v>4424926.681051</v>
      </c>
      <c r="F11">
        <f>SUM(F12:F16)</f>
        <v>4308590.8899710001</v>
      </c>
      <c r="G11">
        <f>SUM(G12:G16)</f>
        <v>97073.200000000012</v>
      </c>
      <c r="H11">
        <f>SUM(H12:H16)</f>
        <v>19262.591080000002</v>
      </c>
      <c r="I11">
        <f>SUM(I12:I16)</f>
        <v>0</v>
      </c>
      <c r="J11" s="107"/>
      <c r="K11" s="107" t="s">
        <v>484</v>
      </c>
    </row>
    <row r="12" spans="1:15" x14ac:dyDescent="0.25">
      <c r="A12" s="107"/>
      <c r="B12" s="107"/>
      <c r="C12" s="107"/>
      <c r="D12">
        <v>2021</v>
      </c>
      <c r="E12">
        <f t="shared" si="0"/>
        <v>1156195.1605510002</v>
      </c>
      <c r="F12">
        <f>F24+F116+F271+F277+F283+F289+F355+F379+F343+F253</f>
        <v>1078285.0694710002</v>
      </c>
      <c r="G12">
        <f>G24+G116+G265+G355+G379</f>
        <v>58647.500000000007</v>
      </c>
      <c r="H12">
        <f>H24+H116+H271+H289+H355+H379</f>
        <v>19262.591080000002</v>
      </c>
      <c r="I12">
        <f t="shared" ref="I12:I15" si="4">I6-I18</f>
        <v>0</v>
      </c>
      <c r="J12" s="107"/>
      <c r="K12" s="107"/>
      <c r="L12">
        <f>1136630691.26/1000</f>
        <v>1136630.69126</v>
      </c>
      <c r="M12">
        <f>L12-F12-G12</f>
        <v>-301.87821100024303</v>
      </c>
      <c r="N12">
        <f>M12*1000</f>
        <v>-301878.21100024303</v>
      </c>
      <c r="O12" t="s">
        <v>485</v>
      </c>
    </row>
    <row r="13" spans="1:15" x14ac:dyDescent="0.25">
      <c r="A13" s="107"/>
      <c r="B13" s="107"/>
      <c r="C13" s="107"/>
      <c r="D13">
        <v>2022</v>
      </c>
      <c r="E13">
        <f t="shared" ref="E13:E14" si="5">SUM(F13:I13)</f>
        <v>769683.52006999997</v>
      </c>
      <c r="F13">
        <f t="shared" ref="F13:H16" si="6">F7-F19</f>
        <v>750876.02006999997</v>
      </c>
      <c r="G13">
        <f t="shared" si="6"/>
        <v>18807.499999999985</v>
      </c>
      <c r="H13">
        <f t="shared" si="6"/>
        <v>0</v>
      </c>
      <c r="I13">
        <f t="shared" si="4"/>
        <v>0</v>
      </c>
      <c r="J13" s="107"/>
      <c r="K13" s="107"/>
    </row>
    <row r="14" spans="1:15" x14ac:dyDescent="0.25">
      <c r="A14" s="107"/>
      <c r="B14" s="107"/>
      <c r="C14" s="107"/>
      <c r="D14">
        <v>2023</v>
      </c>
      <c r="E14">
        <f t="shared" si="5"/>
        <v>849658.2429800001</v>
      </c>
      <c r="F14">
        <f t="shared" si="6"/>
        <v>830040.04298000003</v>
      </c>
      <c r="G14">
        <f t="shared" si="6"/>
        <v>19618.200000000012</v>
      </c>
      <c r="H14">
        <f t="shared" si="6"/>
        <v>0</v>
      </c>
      <c r="I14">
        <f t="shared" si="4"/>
        <v>0</v>
      </c>
      <c r="J14" s="107"/>
      <c r="K14" s="107"/>
    </row>
    <row r="15" spans="1:15" x14ac:dyDescent="0.25">
      <c r="A15" s="107"/>
      <c r="B15" s="107"/>
      <c r="C15" s="107"/>
      <c r="D15">
        <v>2024</v>
      </c>
      <c r="E15">
        <f t="shared" si="0"/>
        <v>829941.89545000007</v>
      </c>
      <c r="F15">
        <f t="shared" si="6"/>
        <v>829941.89545000007</v>
      </c>
      <c r="G15">
        <f t="shared" si="6"/>
        <v>0</v>
      </c>
      <c r="H15">
        <f t="shared" si="6"/>
        <v>0</v>
      </c>
      <c r="I15">
        <f t="shared" si="4"/>
        <v>0</v>
      </c>
      <c r="J15" s="107"/>
      <c r="K15" s="107"/>
    </row>
    <row r="16" spans="1:15" x14ac:dyDescent="0.25">
      <c r="A16" s="107"/>
      <c r="B16" s="107"/>
      <c r="C16" s="107"/>
      <c r="D16">
        <v>2025</v>
      </c>
      <c r="E16">
        <f t="shared" si="0"/>
        <v>819447.86199999996</v>
      </c>
      <c r="F16">
        <f t="shared" si="6"/>
        <v>819447.86199999996</v>
      </c>
      <c r="G16">
        <f t="shared" si="6"/>
        <v>0</v>
      </c>
      <c r="H16">
        <f t="shared" si="6"/>
        <v>0</v>
      </c>
      <c r="I16">
        <f>I10-I22</f>
        <v>0</v>
      </c>
      <c r="J16" s="107"/>
      <c r="K16" s="107"/>
    </row>
    <row r="17" spans="1:11" x14ac:dyDescent="0.25">
      <c r="A17" s="107"/>
      <c r="B17" s="107" t="s">
        <v>18</v>
      </c>
      <c r="C17" s="107" t="s">
        <v>19</v>
      </c>
      <c r="D17" t="s">
        <v>8</v>
      </c>
      <c r="E17">
        <f t="shared" si="0"/>
        <v>1111740.7438416367</v>
      </c>
      <c r="F17">
        <f>SUM(F18:F22)</f>
        <v>543743.03311575006</v>
      </c>
      <c r="G17">
        <f>SUM(G18:G22)</f>
        <v>502391</v>
      </c>
      <c r="H17">
        <f>SUM(H18:H22)</f>
        <v>65606.710725886558</v>
      </c>
      <c r="I17">
        <f>SUM(I18:I22)</f>
        <v>0</v>
      </c>
      <c r="J17" s="107"/>
      <c r="K17" s="107" t="s">
        <v>20</v>
      </c>
    </row>
    <row r="18" spans="1:11" x14ac:dyDescent="0.25">
      <c r="A18" s="107"/>
      <c r="B18" s="107"/>
      <c r="C18" s="107"/>
      <c r="D18">
        <v>2021</v>
      </c>
      <c r="E18">
        <f t="shared" si="0"/>
        <v>448798.45391479443</v>
      </c>
      <c r="F18">
        <f t="shared" ref="F18:I22" si="7">F361+F367+F235+F373+F241+F295+F301+F307+F313+F319+F325+F247+F259+F331+F337</f>
        <v>167401.19618574996</v>
      </c>
      <c r="G18">
        <f t="shared" si="7"/>
        <v>257488.7</v>
      </c>
      <c r="H18">
        <f t="shared" si="7"/>
        <v>23908.557729044442</v>
      </c>
      <c r="I18">
        <f t="shared" si="7"/>
        <v>0</v>
      </c>
      <c r="J18" s="107"/>
      <c r="K18" s="107"/>
    </row>
    <row r="19" spans="1:11" x14ac:dyDescent="0.25">
      <c r="A19" s="107"/>
      <c r="B19" s="107"/>
      <c r="C19" s="107"/>
      <c r="D19">
        <v>2022</v>
      </c>
      <c r="E19">
        <f t="shared" si="0"/>
        <v>527419.39519000007</v>
      </c>
      <c r="F19">
        <f t="shared" si="7"/>
        <v>368616.53693000006</v>
      </c>
      <c r="G19">
        <f t="shared" si="7"/>
        <v>117511.3</v>
      </c>
      <c r="H19">
        <f t="shared" si="7"/>
        <v>41291.558260000005</v>
      </c>
      <c r="I19">
        <f t="shared" si="7"/>
        <v>0</v>
      </c>
      <c r="J19" s="107"/>
      <c r="K19" s="107"/>
    </row>
    <row r="20" spans="1:11" x14ac:dyDescent="0.25">
      <c r="A20" s="107"/>
      <c r="B20" s="107"/>
      <c r="C20" s="107"/>
      <c r="D20">
        <v>2023</v>
      </c>
      <c r="E20">
        <f t="shared" si="0"/>
        <v>135522.89473684211</v>
      </c>
      <c r="F20">
        <f t="shared" si="7"/>
        <v>7725.3</v>
      </c>
      <c r="G20">
        <f t="shared" si="7"/>
        <v>127391</v>
      </c>
      <c r="H20">
        <f t="shared" si="7"/>
        <v>406.59473684210525</v>
      </c>
      <c r="I20">
        <f t="shared" si="7"/>
        <v>0</v>
      </c>
      <c r="J20" s="107"/>
      <c r="K20" s="107"/>
    </row>
    <row r="21" spans="1:11" x14ac:dyDescent="0.25">
      <c r="A21" s="107"/>
      <c r="B21" s="107"/>
      <c r="C21" s="107"/>
      <c r="D21">
        <v>2024</v>
      </c>
      <c r="E21">
        <f t="shared" si="0"/>
        <v>0</v>
      </c>
      <c r="F21">
        <f t="shared" si="7"/>
        <v>0</v>
      </c>
      <c r="G21">
        <f t="shared" si="7"/>
        <v>0</v>
      </c>
      <c r="H21">
        <f t="shared" si="7"/>
        <v>0</v>
      </c>
      <c r="I21">
        <f t="shared" si="7"/>
        <v>0</v>
      </c>
      <c r="J21" s="107"/>
      <c r="K21" s="107"/>
    </row>
    <row r="22" spans="1:11" x14ac:dyDescent="0.25">
      <c r="A22" s="107"/>
      <c r="B22" s="107"/>
      <c r="C22" s="107"/>
      <c r="D22">
        <v>2025</v>
      </c>
      <c r="E22">
        <f t="shared" si="0"/>
        <v>0</v>
      </c>
      <c r="F22">
        <f t="shared" si="7"/>
        <v>0</v>
      </c>
      <c r="G22">
        <f t="shared" si="7"/>
        <v>0</v>
      </c>
      <c r="H22">
        <f t="shared" si="7"/>
        <v>0</v>
      </c>
      <c r="I22">
        <f t="shared" si="7"/>
        <v>0</v>
      </c>
      <c r="J22" s="107"/>
      <c r="K22" s="107"/>
    </row>
    <row r="23" spans="1:11" ht="15" customHeight="1" x14ac:dyDescent="0.25">
      <c r="A23" s="107">
        <v>1</v>
      </c>
      <c r="B23" s="107" t="s">
        <v>21</v>
      </c>
      <c r="C23" s="107" t="s">
        <v>14</v>
      </c>
      <c r="D23" t="s">
        <v>8</v>
      </c>
      <c r="E23">
        <f t="shared" si="0"/>
        <v>272292.80984999996</v>
      </c>
      <c r="F23">
        <f>SUM(F24:F28)</f>
        <v>247388.70984999998</v>
      </c>
      <c r="G23">
        <f>SUM(G24:G28)</f>
        <v>24904.1</v>
      </c>
      <c r="H23">
        <f>SUM(H24:H28)</f>
        <v>0</v>
      </c>
      <c r="I23">
        <f>SUM(I24:I28)</f>
        <v>0</v>
      </c>
      <c r="J23" s="107"/>
      <c r="K23" s="107" t="s">
        <v>488</v>
      </c>
    </row>
    <row r="24" spans="1:11" x14ac:dyDescent="0.25">
      <c r="A24" s="107"/>
      <c r="B24" s="107"/>
      <c r="C24" s="107"/>
      <c r="D24">
        <v>2021</v>
      </c>
      <c r="E24">
        <f t="shared" si="0"/>
        <v>137399.53860999999</v>
      </c>
      <c r="F24">
        <f t="shared" ref="F24:I28" si="8">F30+F45+F81</f>
        <v>116132.13860999999</v>
      </c>
      <c r="G24">
        <f t="shared" si="8"/>
        <v>21267.4</v>
      </c>
      <c r="H24">
        <f t="shared" si="8"/>
        <v>0</v>
      </c>
      <c r="I24">
        <f t="shared" si="8"/>
        <v>0</v>
      </c>
      <c r="J24" s="107"/>
      <c r="K24" s="107"/>
    </row>
    <row r="25" spans="1:11" x14ac:dyDescent="0.25">
      <c r="A25" s="107"/>
      <c r="B25" s="107"/>
      <c r="C25" s="107"/>
      <c r="D25">
        <v>2022</v>
      </c>
      <c r="E25">
        <f t="shared" si="0"/>
        <v>35570.269139999997</v>
      </c>
      <c r="F25">
        <f t="shared" si="8"/>
        <v>33752.169139999998</v>
      </c>
      <c r="G25">
        <f t="shared" si="8"/>
        <v>1818.1</v>
      </c>
      <c r="H25">
        <f t="shared" si="8"/>
        <v>0</v>
      </c>
      <c r="I25">
        <f t="shared" si="8"/>
        <v>0</v>
      </c>
      <c r="J25" s="107"/>
      <c r="K25" s="107"/>
    </row>
    <row r="26" spans="1:11" x14ac:dyDescent="0.25">
      <c r="A26" s="107"/>
      <c r="B26" s="107"/>
      <c r="C26" s="107"/>
      <c r="D26">
        <v>2023</v>
      </c>
      <c r="E26">
        <f t="shared" si="0"/>
        <v>35570.801050000002</v>
      </c>
      <c r="F26">
        <f t="shared" si="8"/>
        <v>33752.201050000003</v>
      </c>
      <c r="G26">
        <f t="shared" si="8"/>
        <v>1818.6</v>
      </c>
      <c r="H26">
        <f t="shared" si="8"/>
        <v>0</v>
      </c>
      <c r="I26">
        <f t="shared" si="8"/>
        <v>0</v>
      </c>
      <c r="J26" s="107"/>
      <c r="K26" s="107"/>
    </row>
    <row r="27" spans="1:11" x14ac:dyDescent="0.25">
      <c r="A27" s="107"/>
      <c r="B27" s="107"/>
      <c r="C27" s="107"/>
      <c r="D27">
        <v>2024</v>
      </c>
      <c r="E27">
        <f t="shared" si="0"/>
        <v>33752.201050000003</v>
      </c>
      <c r="F27">
        <f t="shared" si="8"/>
        <v>33752.201050000003</v>
      </c>
      <c r="G27">
        <f t="shared" si="8"/>
        <v>0</v>
      </c>
      <c r="H27">
        <f t="shared" si="8"/>
        <v>0</v>
      </c>
      <c r="I27">
        <f t="shared" si="8"/>
        <v>0</v>
      </c>
      <c r="J27" s="107"/>
      <c r="K27" s="107"/>
    </row>
    <row r="28" spans="1:11" x14ac:dyDescent="0.25">
      <c r="A28" s="107"/>
      <c r="B28" s="107"/>
      <c r="C28" s="107"/>
      <c r="D28">
        <v>2025</v>
      </c>
      <c r="E28">
        <f t="shared" si="0"/>
        <v>30000</v>
      </c>
      <c r="F28">
        <f t="shared" si="8"/>
        <v>30000</v>
      </c>
      <c r="G28">
        <f t="shared" si="8"/>
        <v>0</v>
      </c>
      <c r="H28">
        <f t="shared" si="8"/>
        <v>0</v>
      </c>
      <c r="I28">
        <f t="shared" si="8"/>
        <v>0</v>
      </c>
      <c r="J28" s="107"/>
      <c r="K28" s="107"/>
    </row>
    <row r="29" spans="1:11" x14ac:dyDescent="0.25">
      <c r="A29" s="107" t="s">
        <v>23</v>
      </c>
      <c r="B29" s="107" t="s">
        <v>24</v>
      </c>
      <c r="C29" s="107" t="s">
        <v>14</v>
      </c>
      <c r="D29" t="s">
        <v>8</v>
      </c>
      <c r="E29">
        <f t="shared" si="0"/>
        <v>0</v>
      </c>
      <c r="F29">
        <f>SUM(F30:F34)</f>
        <v>0</v>
      </c>
      <c r="G29">
        <f>SUM(G30:G34)</f>
        <v>0</v>
      </c>
      <c r="H29">
        <f>SUM(H30:H34)</f>
        <v>0</v>
      </c>
      <c r="I29">
        <f>SUM(I30:I34)</f>
        <v>0</v>
      </c>
      <c r="J29" s="107" t="s">
        <v>25</v>
      </c>
      <c r="K29" s="107" t="s">
        <v>1054</v>
      </c>
    </row>
    <row r="30" spans="1:11" x14ac:dyDescent="0.25">
      <c r="A30" s="107"/>
      <c r="B30" s="107"/>
      <c r="C30" s="107"/>
      <c r="D30">
        <v>2021</v>
      </c>
      <c r="E30">
        <f t="shared" si="0"/>
        <v>0</v>
      </c>
      <c r="F30">
        <f t="shared" ref="F30:I34" si="9">F36</f>
        <v>0</v>
      </c>
      <c r="G30">
        <f t="shared" si="9"/>
        <v>0</v>
      </c>
      <c r="H30">
        <f t="shared" si="9"/>
        <v>0</v>
      </c>
      <c r="I30">
        <f t="shared" si="9"/>
        <v>0</v>
      </c>
      <c r="J30" s="107"/>
      <c r="K30" s="107"/>
    </row>
    <row r="31" spans="1:11" x14ac:dyDescent="0.25">
      <c r="A31" s="107"/>
      <c r="B31" s="107"/>
      <c r="C31" s="107"/>
      <c r="D31">
        <v>2022</v>
      </c>
      <c r="E31">
        <f t="shared" si="0"/>
        <v>0</v>
      </c>
      <c r="F31">
        <f t="shared" si="9"/>
        <v>0</v>
      </c>
      <c r="G31">
        <f t="shared" si="9"/>
        <v>0</v>
      </c>
      <c r="H31">
        <f t="shared" si="9"/>
        <v>0</v>
      </c>
      <c r="I31">
        <f t="shared" si="9"/>
        <v>0</v>
      </c>
      <c r="J31" s="107"/>
      <c r="K31" s="107"/>
    </row>
    <row r="32" spans="1:11" x14ac:dyDescent="0.25">
      <c r="A32" s="107"/>
      <c r="B32" s="107"/>
      <c r="C32" s="107"/>
      <c r="D32">
        <v>2023</v>
      </c>
      <c r="E32">
        <f t="shared" si="0"/>
        <v>0</v>
      </c>
      <c r="F32">
        <f t="shared" si="9"/>
        <v>0</v>
      </c>
      <c r="G32">
        <f t="shared" si="9"/>
        <v>0</v>
      </c>
      <c r="H32">
        <f t="shared" si="9"/>
        <v>0</v>
      </c>
      <c r="I32">
        <f t="shared" si="9"/>
        <v>0</v>
      </c>
      <c r="J32" s="107"/>
      <c r="K32" s="107"/>
    </row>
    <row r="33" spans="1:12" x14ac:dyDescent="0.25">
      <c r="A33" s="107"/>
      <c r="B33" s="107"/>
      <c r="C33" s="107"/>
      <c r="D33">
        <v>2024</v>
      </c>
      <c r="E33">
        <f t="shared" si="0"/>
        <v>0</v>
      </c>
      <c r="F33">
        <f t="shared" si="9"/>
        <v>0</v>
      </c>
      <c r="G33">
        <f t="shared" si="9"/>
        <v>0</v>
      </c>
      <c r="H33">
        <f t="shared" si="9"/>
        <v>0</v>
      </c>
      <c r="I33">
        <f t="shared" si="9"/>
        <v>0</v>
      </c>
      <c r="J33" s="107"/>
      <c r="K33" s="107"/>
    </row>
    <row r="34" spans="1:12" x14ac:dyDescent="0.25">
      <c r="A34" s="107"/>
      <c r="B34" s="107"/>
      <c r="C34" s="107"/>
      <c r="D34">
        <v>2025</v>
      </c>
      <c r="E34">
        <f t="shared" si="0"/>
        <v>0</v>
      </c>
      <c r="F34">
        <f t="shared" si="9"/>
        <v>0</v>
      </c>
      <c r="G34">
        <f>G40</f>
        <v>0</v>
      </c>
      <c r="H34">
        <f>H40</f>
        <v>0</v>
      </c>
      <c r="I34">
        <f>I40</f>
        <v>0</v>
      </c>
      <c r="J34" s="107"/>
      <c r="K34" s="107"/>
    </row>
    <row r="35" spans="1:12" x14ac:dyDescent="0.25">
      <c r="A35" s="107" t="s">
        <v>1055</v>
      </c>
      <c r="B35" s="107" t="s">
        <v>28</v>
      </c>
      <c r="C35" s="107" t="s">
        <v>490</v>
      </c>
      <c r="D35" t="s">
        <v>8</v>
      </c>
      <c r="E35">
        <f>SUM(E36:E40)</f>
        <v>0</v>
      </c>
      <c r="F35">
        <f>SUM(F36:F40)</f>
        <v>0</v>
      </c>
      <c r="G35">
        <f>SUM(G36:G40)</f>
        <v>0</v>
      </c>
      <c r="H35">
        <f>SUM(H36:H40)</f>
        <v>0</v>
      </c>
      <c r="I35">
        <f>SUM(I36:I40)</f>
        <v>0</v>
      </c>
      <c r="J35" s="107" t="s">
        <v>29</v>
      </c>
      <c r="K35" s="107" t="s">
        <v>1056</v>
      </c>
    </row>
    <row r="36" spans="1:12" x14ac:dyDescent="0.25">
      <c r="A36" s="107"/>
      <c r="B36" s="107"/>
      <c r="C36" s="107"/>
      <c r="D36">
        <v>2021</v>
      </c>
      <c r="E36">
        <f>SUM(F36:I36)</f>
        <v>0</v>
      </c>
      <c r="F36">
        <v>0</v>
      </c>
      <c r="G36">
        <v>0</v>
      </c>
      <c r="H36">
        <v>0</v>
      </c>
      <c r="I36">
        <v>0</v>
      </c>
      <c r="J36" s="107"/>
      <c r="K36" s="107"/>
    </row>
    <row r="37" spans="1:12" x14ac:dyDescent="0.25">
      <c r="A37" s="107"/>
      <c r="B37" s="107"/>
      <c r="C37" s="107"/>
      <c r="D37">
        <v>2022</v>
      </c>
      <c r="E37">
        <v>0</v>
      </c>
      <c r="F37">
        <v>0</v>
      </c>
      <c r="G37">
        <v>0</v>
      </c>
      <c r="H37">
        <v>0</v>
      </c>
      <c r="I37">
        <v>0</v>
      </c>
      <c r="J37" s="107"/>
      <c r="K37" s="107"/>
    </row>
    <row r="38" spans="1:12" x14ac:dyDescent="0.25">
      <c r="A38" s="107"/>
      <c r="B38" s="107"/>
      <c r="C38" s="107"/>
      <c r="D38">
        <v>2023</v>
      </c>
      <c r="E38">
        <v>0</v>
      </c>
      <c r="F38">
        <v>0</v>
      </c>
      <c r="G38">
        <v>0</v>
      </c>
      <c r="H38">
        <v>0</v>
      </c>
      <c r="I38">
        <v>0</v>
      </c>
      <c r="J38" s="107"/>
      <c r="K38" s="107"/>
    </row>
    <row r="39" spans="1:12" x14ac:dyDescent="0.25">
      <c r="A39" s="107"/>
      <c r="B39" s="107"/>
      <c r="C39" s="107"/>
      <c r="D39">
        <v>2024</v>
      </c>
      <c r="E39">
        <v>0</v>
      </c>
      <c r="F39">
        <v>0</v>
      </c>
      <c r="G39">
        <v>0</v>
      </c>
      <c r="H39">
        <v>0</v>
      </c>
      <c r="I39">
        <v>0</v>
      </c>
      <c r="J39" s="107"/>
      <c r="K39" s="107"/>
    </row>
    <row r="40" spans="1:12" x14ac:dyDescent="0.25">
      <c r="A40" s="107"/>
      <c r="B40" s="107"/>
      <c r="C40" s="107"/>
      <c r="D40">
        <v>2025</v>
      </c>
      <c r="E40">
        <v>0</v>
      </c>
      <c r="F40">
        <v>0</v>
      </c>
      <c r="G40">
        <v>0</v>
      </c>
      <c r="H40">
        <v>0</v>
      </c>
      <c r="I40">
        <v>0</v>
      </c>
      <c r="J40" s="107"/>
      <c r="K40" s="107"/>
    </row>
    <row r="44" spans="1:12" ht="20.25" customHeight="1" x14ac:dyDescent="0.25">
      <c r="A44" s="107" t="s">
        <v>30</v>
      </c>
      <c r="B44" s="107" t="s">
        <v>31</v>
      </c>
      <c r="C44" s="107" t="s">
        <v>14</v>
      </c>
      <c r="D44" t="s">
        <v>8</v>
      </c>
      <c r="E44">
        <f t="shared" ref="E44:E55" si="10">SUM(F44:I44)</f>
        <v>229143.125</v>
      </c>
      <c r="F44">
        <f>SUM(F45:F49)</f>
        <v>229143.125</v>
      </c>
      <c r="G44">
        <f>SUM(G45:G49)</f>
        <v>0</v>
      </c>
      <c r="H44">
        <f>SUM(H45:H49)</f>
        <v>0</v>
      </c>
      <c r="I44">
        <f>SUM(I45:I49)</f>
        <v>0</v>
      </c>
      <c r="J44" s="107" t="s">
        <v>32</v>
      </c>
      <c r="K44" s="107" t="s">
        <v>1057</v>
      </c>
    </row>
    <row r="45" spans="1:12" ht="20.25" customHeight="1" x14ac:dyDescent="0.25">
      <c r="A45" s="107"/>
      <c r="B45" s="107"/>
      <c r="C45" s="107"/>
      <c r="D45">
        <v>2021</v>
      </c>
      <c r="E45">
        <f t="shared" si="10"/>
        <v>109143.125</v>
      </c>
      <c r="F45">
        <f t="shared" ref="F45:F47" si="11">SUM(F51+F57+F63+F69+F75)</f>
        <v>109143.125</v>
      </c>
      <c r="G45">
        <f t="shared" ref="F45:I49" si="12">SUM(G51+G57+G63+G69+G75)</f>
        <v>0</v>
      </c>
      <c r="H45">
        <f t="shared" si="12"/>
        <v>0</v>
      </c>
      <c r="I45">
        <f t="shared" si="12"/>
        <v>0</v>
      </c>
      <c r="J45" s="107"/>
      <c r="K45" s="107"/>
    </row>
    <row r="46" spans="1:12" ht="20.25" customHeight="1" x14ac:dyDescent="0.25">
      <c r="A46" s="107"/>
      <c r="B46" s="107"/>
      <c r="C46" s="107"/>
      <c r="D46">
        <v>2022</v>
      </c>
      <c r="E46">
        <f t="shared" si="10"/>
        <v>30000</v>
      </c>
      <c r="F46">
        <f t="shared" si="11"/>
        <v>30000</v>
      </c>
      <c r="G46">
        <f t="shared" si="12"/>
        <v>0</v>
      </c>
      <c r="H46">
        <f t="shared" si="12"/>
        <v>0</v>
      </c>
      <c r="I46">
        <f t="shared" si="12"/>
        <v>0</v>
      </c>
      <c r="J46" s="107"/>
      <c r="K46" s="107"/>
    </row>
    <row r="47" spans="1:12" ht="20.25" customHeight="1" x14ac:dyDescent="0.25">
      <c r="A47" s="107"/>
      <c r="B47" s="107"/>
      <c r="C47" s="107"/>
      <c r="D47">
        <v>2023</v>
      </c>
      <c r="E47">
        <f t="shared" si="10"/>
        <v>30000</v>
      </c>
      <c r="F47">
        <f t="shared" si="11"/>
        <v>30000</v>
      </c>
      <c r="G47">
        <f t="shared" si="12"/>
        <v>0</v>
      </c>
      <c r="H47">
        <f t="shared" si="12"/>
        <v>0</v>
      </c>
      <c r="I47">
        <f t="shared" si="12"/>
        <v>0</v>
      </c>
      <c r="J47" s="107"/>
      <c r="K47" s="107"/>
    </row>
    <row r="48" spans="1:12" ht="20.25" customHeight="1" x14ac:dyDescent="0.25">
      <c r="A48" s="107"/>
      <c r="B48" s="107"/>
      <c r="C48" s="107"/>
      <c r="D48">
        <v>2024</v>
      </c>
      <c r="E48">
        <f t="shared" si="10"/>
        <v>30000</v>
      </c>
      <c r="F48">
        <f t="shared" si="12"/>
        <v>30000</v>
      </c>
      <c r="G48">
        <f t="shared" si="12"/>
        <v>0</v>
      </c>
      <c r="H48">
        <f t="shared" si="12"/>
        <v>0</v>
      </c>
      <c r="I48">
        <f t="shared" si="12"/>
        <v>0</v>
      </c>
      <c r="J48" s="107"/>
      <c r="K48" s="107"/>
      <c r="L48" t="s">
        <v>1058</v>
      </c>
    </row>
    <row r="49" spans="1:11" ht="20.25" customHeight="1" x14ac:dyDescent="0.25">
      <c r="A49" s="107"/>
      <c r="B49" s="107"/>
      <c r="C49" s="107"/>
      <c r="D49">
        <v>2025</v>
      </c>
      <c r="E49">
        <f t="shared" si="10"/>
        <v>30000</v>
      </c>
      <c r="F49">
        <f t="shared" si="12"/>
        <v>30000</v>
      </c>
      <c r="G49">
        <f t="shared" si="12"/>
        <v>0</v>
      </c>
      <c r="H49">
        <f t="shared" si="12"/>
        <v>0</v>
      </c>
      <c r="I49">
        <f t="shared" si="12"/>
        <v>0</v>
      </c>
      <c r="J49" s="107"/>
      <c r="K49" s="107"/>
    </row>
    <row r="50" spans="1:11" ht="15" customHeight="1" x14ac:dyDescent="0.25">
      <c r="A50" s="107" t="s">
        <v>33</v>
      </c>
      <c r="B50" s="107" t="s">
        <v>496</v>
      </c>
      <c r="C50" s="107" t="s">
        <v>14</v>
      </c>
      <c r="D50" t="s">
        <v>8</v>
      </c>
      <c r="E50">
        <f t="shared" si="10"/>
        <v>163000</v>
      </c>
      <c r="F50">
        <f>SUM(F51:F55)</f>
        <v>163000</v>
      </c>
      <c r="G50">
        <f>SUM(G51:G55)</f>
        <v>0</v>
      </c>
      <c r="H50">
        <f>SUM(H51:H55)</f>
        <v>0</v>
      </c>
      <c r="I50">
        <f>SUM(I51:I55)</f>
        <v>0</v>
      </c>
      <c r="J50" s="107" t="s">
        <v>497</v>
      </c>
      <c r="K50" s="107" t="s">
        <v>484</v>
      </c>
    </row>
    <row r="51" spans="1:11" x14ac:dyDescent="0.25">
      <c r="A51" s="107"/>
      <c r="B51" s="107"/>
      <c r="C51" s="107"/>
      <c r="D51">
        <v>2021</v>
      </c>
      <c r="E51">
        <f t="shared" si="10"/>
        <v>43000</v>
      </c>
      <c r="F51">
        <v>43000</v>
      </c>
      <c r="G51">
        <v>0</v>
      </c>
      <c r="H51">
        <v>0</v>
      </c>
      <c r="I51">
        <v>0</v>
      </c>
      <c r="J51" s="107"/>
      <c r="K51" s="107"/>
    </row>
    <row r="52" spans="1:11" x14ac:dyDescent="0.25">
      <c r="A52" s="107"/>
      <c r="B52" s="107"/>
      <c r="C52" s="107"/>
      <c r="D52">
        <v>2022</v>
      </c>
      <c r="E52">
        <f t="shared" si="10"/>
        <v>30000</v>
      </c>
      <c r="F52">
        <v>30000</v>
      </c>
      <c r="G52">
        <v>0</v>
      </c>
      <c r="H52">
        <v>0</v>
      </c>
      <c r="I52">
        <v>0</v>
      </c>
      <c r="J52" s="107"/>
      <c r="K52" s="107"/>
    </row>
    <row r="53" spans="1:11" x14ac:dyDescent="0.25">
      <c r="A53" s="107"/>
      <c r="B53" s="107"/>
      <c r="C53" s="107"/>
      <c r="D53">
        <v>2023</v>
      </c>
      <c r="E53">
        <f t="shared" si="10"/>
        <v>30000</v>
      </c>
      <c r="F53">
        <v>30000</v>
      </c>
      <c r="G53">
        <v>0</v>
      </c>
      <c r="H53">
        <v>0</v>
      </c>
      <c r="I53">
        <v>0</v>
      </c>
      <c r="J53" s="107"/>
      <c r="K53" s="107"/>
    </row>
    <row r="54" spans="1:11" x14ac:dyDescent="0.25">
      <c r="A54" s="107"/>
      <c r="B54" s="107"/>
      <c r="C54" s="107"/>
      <c r="D54">
        <v>2024</v>
      </c>
      <c r="E54">
        <f t="shared" si="10"/>
        <v>30000</v>
      </c>
      <c r="F54">
        <v>30000</v>
      </c>
      <c r="G54">
        <v>0</v>
      </c>
      <c r="H54">
        <v>0</v>
      </c>
      <c r="I54">
        <v>0</v>
      </c>
      <c r="J54" s="107"/>
      <c r="K54" s="107"/>
    </row>
    <row r="55" spans="1:11" x14ac:dyDescent="0.25">
      <c r="A55" s="107"/>
      <c r="B55" s="107"/>
      <c r="C55" s="107"/>
      <c r="D55">
        <v>2025</v>
      </c>
      <c r="E55">
        <f t="shared" si="10"/>
        <v>30000</v>
      </c>
      <c r="F55">
        <v>30000</v>
      </c>
      <c r="G55">
        <v>0</v>
      </c>
      <c r="H55">
        <v>0</v>
      </c>
      <c r="I55">
        <v>0</v>
      </c>
      <c r="J55" s="107"/>
      <c r="K55" s="107"/>
    </row>
    <row r="56" spans="1:11" ht="13.5" customHeight="1" outlineLevel="1" x14ac:dyDescent="0.25">
      <c r="A56" s="107" t="s">
        <v>36</v>
      </c>
      <c r="B56" s="107" t="s">
        <v>498</v>
      </c>
      <c r="C56" s="107">
        <v>2021</v>
      </c>
      <c r="D56" t="s">
        <v>8</v>
      </c>
      <c r="E56">
        <f>SUM(E57:E61)</f>
        <v>0</v>
      </c>
      <c r="F56">
        <f>SUM(F57:F61)</f>
        <v>0</v>
      </c>
      <c r="G56">
        <f>SUM(G57:G61)</f>
        <v>0</v>
      </c>
      <c r="H56">
        <f>SUM(H57:H61)</f>
        <v>0</v>
      </c>
      <c r="I56">
        <f>SUM(I57:I61)</f>
        <v>0</v>
      </c>
      <c r="J56" s="107" t="s">
        <v>499</v>
      </c>
      <c r="K56" s="107" t="s">
        <v>484</v>
      </c>
    </row>
    <row r="57" spans="1:11" ht="13.5" customHeight="1" outlineLevel="1" x14ac:dyDescent="0.25">
      <c r="A57" s="107"/>
      <c r="B57" s="107"/>
      <c r="C57" s="107"/>
      <c r="D57">
        <v>2021</v>
      </c>
      <c r="E57">
        <f t="shared" ref="E57:E61" si="13">SUM(F57:I57)</f>
        <v>0</v>
      </c>
      <c r="F57">
        <v>0</v>
      </c>
      <c r="G57">
        <v>0</v>
      </c>
      <c r="H57">
        <v>0</v>
      </c>
      <c r="I57">
        <v>0</v>
      </c>
      <c r="J57" s="107"/>
      <c r="K57" s="107"/>
    </row>
    <row r="58" spans="1:11" ht="13.5" customHeight="1" outlineLevel="1" x14ac:dyDescent="0.25">
      <c r="A58" s="107"/>
      <c r="B58" s="107"/>
      <c r="C58" s="107"/>
      <c r="D58">
        <v>2022</v>
      </c>
      <c r="E58">
        <f t="shared" si="13"/>
        <v>0</v>
      </c>
      <c r="F58">
        <v>0</v>
      </c>
      <c r="G58">
        <v>0</v>
      </c>
      <c r="H58">
        <v>0</v>
      </c>
      <c r="I58">
        <v>0</v>
      </c>
      <c r="J58" s="107"/>
      <c r="K58" s="107"/>
    </row>
    <row r="59" spans="1:11" ht="13.5" customHeight="1" outlineLevel="1" x14ac:dyDescent="0.25">
      <c r="A59" s="107"/>
      <c r="B59" s="107"/>
      <c r="C59" s="107"/>
      <c r="D59">
        <v>2023</v>
      </c>
      <c r="E59">
        <f t="shared" si="13"/>
        <v>0</v>
      </c>
      <c r="F59">
        <v>0</v>
      </c>
      <c r="G59">
        <v>0</v>
      </c>
      <c r="H59">
        <v>0</v>
      </c>
      <c r="I59">
        <v>0</v>
      </c>
      <c r="J59" s="107"/>
      <c r="K59" s="107"/>
    </row>
    <row r="60" spans="1:11" ht="13.5" customHeight="1" outlineLevel="1" x14ac:dyDescent="0.25">
      <c r="A60" s="107"/>
      <c r="B60" s="107"/>
      <c r="C60" s="107"/>
      <c r="D60">
        <v>2024</v>
      </c>
      <c r="E60">
        <f t="shared" si="13"/>
        <v>0</v>
      </c>
      <c r="F60">
        <v>0</v>
      </c>
      <c r="G60">
        <v>0</v>
      </c>
      <c r="H60">
        <v>0</v>
      </c>
      <c r="I60">
        <v>0</v>
      </c>
      <c r="J60" s="107"/>
      <c r="K60" s="107"/>
    </row>
    <row r="61" spans="1:11" ht="13.5" customHeight="1" outlineLevel="1" x14ac:dyDescent="0.25">
      <c r="A61" s="107"/>
      <c r="B61" s="107"/>
      <c r="C61" s="107"/>
      <c r="D61">
        <v>2025</v>
      </c>
      <c r="E61">
        <f t="shared" si="13"/>
        <v>0</v>
      </c>
      <c r="F61">
        <v>0</v>
      </c>
      <c r="G61">
        <v>0</v>
      </c>
      <c r="H61">
        <v>0</v>
      </c>
      <c r="I61">
        <v>0</v>
      </c>
      <c r="J61" s="107"/>
      <c r="K61" s="107"/>
    </row>
    <row r="62" spans="1:11" ht="13.5" customHeight="1" outlineLevel="1" x14ac:dyDescent="0.25">
      <c r="A62" s="107" t="s">
        <v>500</v>
      </c>
      <c r="B62" s="107" t="s">
        <v>501</v>
      </c>
      <c r="C62" s="107">
        <v>2021</v>
      </c>
      <c r="D62" t="s">
        <v>8</v>
      </c>
      <c r="E62">
        <f>SUM(E63:E67)</f>
        <v>34000</v>
      </c>
      <c r="F62">
        <f>SUM(F63:F67)</f>
        <v>34000</v>
      </c>
      <c r="G62">
        <f>SUM(G63:G67)</f>
        <v>0</v>
      </c>
      <c r="H62">
        <f>SUM(H63:H67)</f>
        <v>0</v>
      </c>
      <c r="I62">
        <f>SUM(I63:I67)</f>
        <v>0</v>
      </c>
      <c r="J62" s="107" t="s">
        <v>502</v>
      </c>
      <c r="K62" s="107" t="s">
        <v>484</v>
      </c>
    </row>
    <row r="63" spans="1:11" ht="13.5" customHeight="1" outlineLevel="1" x14ac:dyDescent="0.25">
      <c r="A63" s="107"/>
      <c r="B63" s="107"/>
      <c r="C63" s="107"/>
      <c r="D63">
        <v>2021</v>
      </c>
      <c r="E63">
        <f t="shared" ref="E63:E67" si="14">SUM(F63:I63)</f>
        <v>34000</v>
      </c>
      <c r="F63">
        <v>34000</v>
      </c>
      <c r="G63">
        <v>0</v>
      </c>
      <c r="H63">
        <v>0</v>
      </c>
      <c r="I63">
        <v>0</v>
      </c>
      <c r="J63" s="107"/>
      <c r="K63" s="107"/>
    </row>
    <row r="64" spans="1:11" ht="13.5" customHeight="1" outlineLevel="1" x14ac:dyDescent="0.25">
      <c r="A64" s="107"/>
      <c r="B64" s="107"/>
      <c r="C64" s="107"/>
      <c r="D64">
        <v>2022</v>
      </c>
      <c r="E64">
        <f t="shared" si="14"/>
        <v>0</v>
      </c>
      <c r="F64">
        <v>0</v>
      </c>
      <c r="G64">
        <v>0</v>
      </c>
      <c r="H64">
        <v>0</v>
      </c>
      <c r="I64">
        <v>0</v>
      </c>
      <c r="J64" s="107"/>
      <c r="K64" s="107"/>
    </row>
    <row r="65" spans="1:11" ht="13.5" customHeight="1" outlineLevel="1" x14ac:dyDescent="0.25">
      <c r="A65" s="107"/>
      <c r="B65" s="107"/>
      <c r="C65" s="107"/>
      <c r="D65">
        <v>2023</v>
      </c>
      <c r="E65">
        <f t="shared" si="14"/>
        <v>0</v>
      </c>
      <c r="F65">
        <v>0</v>
      </c>
      <c r="G65">
        <v>0</v>
      </c>
      <c r="H65">
        <v>0</v>
      </c>
      <c r="I65">
        <v>0</v>
      </c>
      <c r="J65" s="107"/>
      <c r="K65" s="107"/>
    </row>
    <row r="66" spans="1:11" ht="13.5" customHeight="1" outlineLevel="1" x14ac:dyDescent="0.25">
      <c r="A66" s="107"/>
      <c r="B66" s="107"/>
      <c r="C66" s="107"/>
      <c r="D66">
        <v>2024</v>
      </c>
      <c r="E66">
        <f t="shared" si="14"/>
        <v>0</v>
      </c>
      <c r="F66">
        <v>0</v>
      </c>
      <c r="G66">
        <v>0</v>
      </c>
      <c r="H66">
        <v>0</v>
      </c>
      <c r="I66">
        <v>0</v>
      </c>
      <c r="J66" s="107"/>
      <c r="K66" s="107"/>
    </row>
    <row r="67" spans="1:11" ht="13.5" customHeight="1" outlineLevel="1" x14ac:dyDescent="0.25">
      <c r="A67" s="107"/>
      <c r="B67" s="107"/>
      <c r="C67" s="107"/>
      <c r="D67">
        <v>2025</v>
      </c>
      <c r="E67">
        <f t="shared" si="14"/>
        <v>0</v>
      </c>
      <c r="F67">
        <v>0</v>
      </c>
      <c r="G67">
        <v>0</v>
      </c>
      <c r="H67">
        <v>0</v>
      </c>
      <c r="I67">
        <v>0</v>
      </c>
      <c r="J67" s="107"/>
      <c r="K67" s="107"/>
    </row>
    <row r="68" spans="1:11" ht="13.5" customHeight="1" outlineLevel="1" x14ac:dyDescent="0.25">
      <c r="A68" s="107" t="s">
        <v>503</v>
      </c>
      <c r="B68" s="107" t="s">
        <v>504</v>
      </c>
      <c r="C68" s="107">
        <v>2021</v>
      </c>
      <c r="D68" t="s">
        <v>8</v>
      </c>
      <c r="E68">
        <f>SUM(E69:E73)</f>
        <v>2700</v>
      </c>
      <c r="F68">
        <f>SUM(F69:F73)</f>
        <v>2700</v>
      </c>
      <c r="G68">
        <f>SUM(G69:G73)</f>
        <v>0</v>
      </c>
      <c r="H68">
        <f>SUM(H69:H73)</f>
        <v>0</v>
      </c>
      <c r="I68">
        <f>SUM(I69:I73)</f>
        <v>0</v>
      </c>
      <c r="J68" s="107" t="s">
        <v>505</v>
      </c>
      <c r="K68" s="107" t="s">
        <v>484</v>
      </c>
    </row>
    <row r="69" spans="1:11" ht="13.5" customHeight="1" outlineLevel="1" x14ac:dyDescent="0.25">
      <c r="A69" s="107"/>
      <c r="B69" s="107"/>
      <c r="C69" s="107"/>
      <c r="D69">
        <v>2021</v>
      </c>
      <c r="E69">
        <f t="shared" ref="E69:E73" si="15">SUM(F69:I69)</f>
        <v>2700</v>
      </c>
      <c r="F69">
        <f>1350+1350</f>
        <v>2700</v>
      </c>
      <c r="G69">
        <v>0</v>
      </c>
      <c r="H69">
        <v>0</v>
      </c>
      <c r="I69">
        <v>0</v>
      </c>
      <c r="J69" s="107"/>
      <c r="K69" s="107"/>
    </row>
    <row r="70" spans="1:11" ht="13.5" customHeight="1" outlineLevel="1" x14ac:dyDescent="0.25">
      <c r="A70" s="107"/>
      <c r="B70" s="107"/>
      <c r="C70" s="107"/>
      <c r="D70">
        <v>2022</v>
      </c>
      <c r="E70">
        <f t="shared" si="15"/>
        <v>0</v>
      </c>
      <c r="F70">
        <v>0</v>
      </c>
      <c r="G70">
        <v>0</v>
      </c>
      <c r="H70">
        <v>0</v>
      </c>
      <c r="I70">
        <v>0</v>
      </c>
      <c r="J70" s="107"/>
      <c r="K70" s="107"/>
    </row>
    <row r="71" spans="1:11" ht="13.5" customHeight="1" outlineLevel="1" x14ac:dyDescent="0.25">
      <c r="A71" s="107"/>
      <c r="B71" s="107"/>
      <c r="C71" s="107"/>
      <c r="D71">
        <v>2023</v>
      </c>
      <c r="E71">
        <f t="shared" si="15"/>
        <v>0</v>
      </c>
      <c r="F71">
        <v>0</v>
      </c>
      <c r="G71">
        <v>0</v>
      </c>
      <c r="H71">
        <v>0</v>
      </c>
      <c r="I71">
        <v>0</v>
      </c>
      <c r="J71" s="107"/>
      <c r="K71" s="107"/>
    </row>
    <row r="72" spans="1:11" ht="13.5" customHeight="1" outlineLevel="1" x14ac:dyDescent="0.25">
      <c r="A72" s="107"/>
      <c r="B72" s="107"/>
      <c r="C72" s="107"/>
      <c r="D72">
        <v>2024</v>
      </c>
      <c r="E72">
        <f t="shared" si="15"/>
        <v>0</v>
      </c>
      <c r="F72">
        <v>0</v>
      </c>
      <c r="G72">
        <v>0</v>
      </c>
      <c r="H72">
        <v>0</v>
      </c>
      <c r="I72">
        <v>0</v>
      </c>
      <c r="J72" s="107"/>
      <c r="K72" s="107"/>
    </row>
    <row r="73" spans="1:11" ht="13.5" customHeight="1" outlineLevel="1" x14ac:dyDescent="0.25">
      <c r="A73" s="107"/>
      <c r="B73" s="107"/>
      <c r="C73" s="107"/>
      <c r="D73">
        <v>2025</v>
      </c>
      <c r="E73">
        <f t="shared" si="15"/>
        <v>0</v>
      </c>
      <c r="F73">
        <v>0</v>
      </c>
      <c r="G73">
        <v>0</v>
      </c>
      <c r="H73">
        <v>0</v>
      </c>
      <c r="I73">
        <v>0</v>
      </c>
      <c r="J73" s="107"/>
      <c r="K73" s="107"/>
    </row>
    <row r="74" spans="1:11" ht="13.5" customHeight="1" outlineLevel="1" x14ac:dyDescent="0.25">
      <c r="A74" s="107" t="s">
        <v>506</v>
      </c>
      <c r="B74" s="107" t="s">
        <v>507</v>
      </c>
      <c r="C74" s="107">
        <v>2021</v>
      </c>
      <c r="D74" t="s">
        <v>8</v>
      </c>
      <c r="E74">
        <f>SUM(E75:E79)</f>
        <v>29443.125</v>
      </c>
      <c r="F74">
        <f>SUM(F75:F79)</f>
        <v>29443.125</v>
      </c>
      <c r="G74">
        <f>SUM(G75:G79)</f>
        <v>0</v>
      </c>
      <c r="H74">
        <f>SUM(H75:H79)</f>
        <v>0</v>
      </c>
      <c r="I74">
        <f>SUM(I75:I79)</f>
        <v>0</v>
      </c>
      <c r="J74" s="107" t="s">
        <v>508</v>
      </c>
      <c r="K74" s="107" t="s">
        <v>1057</v>
      </c>
    </row>
    <row r="75" spans="1:11" ht="13.5" customHeight="1" outlineLevel="1" x14ac:dyDescent="0.25">
      <c r="A75" s="107"/>
      <c r="B75" s="107"/>
      <c r="C75" s="107"/>
      <c r="D75">
        <v>2021</v>
      </c>
      <c r="E75">
        <f t="shared" ref="E75:E108" si="16">SUM(F75:I75)</f>
        <v>29443.125</v>
      </c>
      <c r="F75">
        <f>29443125/1000</f>
        <v>29443.125</v>
      </c>
      <c r="G75">
        <v>0</v>
      </c>
      <c r="H75">
        <v>0</v>
      </c>
      <c r="I75">
        <v>0</v>
      </c>
      <c r="J75" s="107"/>
      <c r="K75" s="107"/>
    </row>
    <row r="76" spans="1:11" ht="13.5" customHeight="1" outlineLevel="1" x14ac:dyDescent="0.25">
      <c r="A76" s="107"/>
      <c r="B76" s="107"/>
      <c r="C76" s="107"/>
      <c r="D76">
        <v>2022</v>
      </c>
      <c r="E76">
        <f t="shared" si="16"/>
        <v>0</v>
      </c>
      <c r="F76">
        <v>0</v>
      </c>
      <c r="G76">
        <v>0</v>
      </c>
      <c r="H76">
        <v>0</v>
      </c>
      <c r="I76">
        <v>0</v>
      </c>
      <c r="J76" s="107"/>
      <c r="K76" s="107"/>
    </row>
    <row r="77" spans="1:11" ht="13.5" customHeight="1" outlineLevel="1" x14ac:dyDescent="0.25">
      <c r="A77" s="107"/>
      <c r="B77" s="107"/>
      <c r="C77" s="107"/>
      <c r="D77">
        <v>2023</v>
      </c>
      <c r="E77">
        <f t="shared" si="16"/>
        <v>0</v>
      </c>
      <c r="F77">
        <v>0</v>
      </c>
      <c r="G77">
        <v>0</v>
      </c>
      <c r="H77">
        <v>0</v>
      </c>
      <c r="I77">
        <v>0</v>
      </c>
      <c r="J77" s="107"/>
      <c r="K77" s="107"/>
    </row>
    <row r="78" spans="1:11" ht="13.5" customHeight="1" outlineLevel="1" x14ac:dyDescent="0.25">
      <c r="A78" s="107"/>
      <c r="B78" s="107"/>
      <c r="C78" s="107"/>
      <c r="D78">
        <v>2024</v>
      </c>
      <c r="E78">
        <f t="shared" si="16"/>
        <v>0</v>
      </c>
      <c r="F78">
        <v>0</v>
      </c>
      <c r="G78">
        <v>0</v>
      </c>
      <c r="H78">
        <v>0</v>
      </c>
      <c r="I78">
        <v>0</v>
      </c>
      <c r="J78" s="107"/>
      <c r="K78" s="107"/>
    </row>
    <row r="79" spans="1:11" ht="13.5" customHeight="1" outlineLevel="1" x14ac:dyDescent="0.25">
      <c r="A79" s="107"/>
      <c r="B79" s="107"/>
      <c r="C79" s="107"/>
      <c r="D79">
        <v>2025</v>
      </c>
      <c r="E79">
        <f t="shared" si="16"/>
        <v>0</v>
      </c>
      <c r="F79">
        <v>0</v>
      </c>
      <c r="G79">
        <v>0</v>
      </c>
      <c r="H79">
        <v>0</v>
      </c>
      <c r="I79">
        <v>0</v>
      </c>
      <c r="J79" s="107"/>
      <c r="K79" s="107"/>
    </row>
    <row r="80" spans="1:11" ht="15" customHeight="1" outlineLevel="1" x14ac:dyDescent="0.25">
      <c r="A80" s="107" t="s">
        <v>39</v>
      </c>
      <c r="B80" s="107" t="s">
        <v>40</v>
      </c>
      <c r="C80" s="107" t="s">
        <v>41</v>
      </c>
      <c r="D80" t="s">
        <v>8</v>
      </c>
      <c r="E80">
        <f t="shared" si="16"/>
        <v>43149.684849999998</v>
      </c>
      <c r="F80">
        <f>SUM(F81:F85)</f>
        <v>18245.584849999999</v>
      </c>
      <c r="G80">
        <f>SUM(G81:G85)</f>
        <v>24904.1</v>
      </c>
      <c r="H80">
        <f>SUM(H81:H85)</f>
        <v>0</v>
      </c>
      <c r="I80">
        <f>SUM(I81:I85)</f>
        <v>0</v>
      </c>
      <c r="J80" s="107" t="s">
        <v>42</v>
      </c>
      <c r="K80" s="107" t="s">
        <v>510</v>
      </c>
    </row>
    <row r="81" spans="1:11" outlineLevel="1" x14ac:dyDescent="0.25">
      <c r="A81" s="107"/>
      <c r="B81" s="107"/>
      <c r="C81" s="107"/>
      <c r="D81">
        <v>2021</v>
      </c>
      <c r="E81">
        <f t="shared" si="16"/>
        <v>28256.413610000003</v>
      </c>
      <c r="F81">
        <f>F98+F110+F87+F104</f>
        <v>6989.01361</v>
      </c>
      <c r="G81">
        <f t="shared" ref="F81:I85" si="17">G98+G110+G87+G104</f>
        <v>21267.4</v>
      </c>
      <c r="H81">
        <f t="shared" si="17"/>
        <v>0</v>
      </c>
      <c r="I81">
        <f t="shared" si="17"/>
        <v>0</v>
      </c>
      <c r="J81" s="107"/>
      <c r="K81" s="107"/>
    </row>
    <row r="82" spans="1:11" outlineLevel="1" x14ac:dyDescent="0.25">
      <c r="A82" s="107"/>
      <c r="B82" s="107"/>
      <c r="C82" s="107"/>
      <c r="D82">
        <v>2022</v>
      </c>
      <c r="E82">
        <f t="shared" si="16"/>
        <v>5570.2691400000003</v>
      </c>
      <c r="F82">
        <f t="shared" si="17"/>
        <v>3752.16914</v>
      </c>
      <c r="G82">
        <f t="shared" si="17"/>
        <v>1818.1</v>
      </c>
      <c r="H82">
        <f t="shared" si="17"/>
        <v>0</v>
      </c>
      <c r="I82">
        <f t="shared" si="17"/>
        <v>0</v>
      </c>
      <c r="J82" s="107"/>
      <c r="K82" s="107"/>
    </row>
    <row r="83" spans="1:11" outlineLevel="1" x14ac:dyDescent="0.25">
      <c r="A83" s="107"/>
      <c r="B83" s="107"/>
      <c r="C83" s="107"/>
      <c r="D83">
        <v>2023</v>
      </c>
      <c r="E83">
        <f t="shared" si="16"/>
        <v>5570.80105</v>
      </c>
      <c r="F83">
        <f t="shared" si="17"/>
        <v>3752.2010500000001</v>
      </c>
      <c r="G83">
        <f t="shared" si="17"/>
        <v>1818.6</v>
      </c>
      <c r="H83">
        <f t="shared" si="17"/>
        <v>0</v>
      </c>
      <c r="I83">
        <f t="shared" si="17"/>
        <v>0</v>
      </c>
      <c r="J83" s="107"/>
      <c r="K83" s="107"/>
    </row>
    <row r="84" spans="1:11" outlineLevel="1" x14ac:dyDescent="0.25">
      <c r="A84" s="107"/>
      <c r="B84" s="107"/>
      <c r="C84" s="107"/>
      <c r="D84">
        <v>2024</v>
      </c>
      <c r="E84">
        <f t="shared" si="16"/>
        <v>3752.2010500000001</v>
      </c>
      <c r="F84">
        <f t="shared" si="17"/>
        <v>3752.2010500000001</v>
      </c>
      <c r="G84">
        <f t="shared" si="17"/>
        <v>0</v>
      </c>
      <c r="H84">
        <f t="shared" si="17"/>
        <v>0</v>
      </c>
      <c r="I84">
        <f t="shared" si="17"/>
        <v>0</v>
      </c>
      <c r="J84" s="107"/>
      <c r="K84" s="107"/>
    </row>
    <row r="85" spans="1:11" outlineLevel="1" x14ac:dyDescent="0.25">
      <c r="A85" s="107"/>
      <c r="B85" s="107"/>
      <c r="C85" s="107"/>
      <c r="D85">
        <v>2025</v>
      </c>
      <c r="E85">
        <f t="shared" si="16"/>
        <v>0</v>
      </c>
      <c r="F85">
        <f t="shared" si="17"/>
        <v>0</v>
      </c>
      <c r="G85">
        <f t="shared" si="17"/>
        <v>0</v>
      </c>
      <c r="H85">
        <f t="shared" si="17"/>
        <v>0</v>
      </c>
      <c r="I85">
        <f t="shared" si="17"/>
        <v>0</v>
      </c>
      <c r="J85" s="107"/>
      <c r="K85" s="107"/>
    </row>
    <row r="86" spans="1:11" outlineLevel="1" x14ac:dyDescent="0.25">
      <c r="A86" s="107" t="s">
        <v>44</v>
      </c>
      <c r="B86" s="107" t="s">
        <v>45</v>
      </c>
      <c r="C86" s="107" t="s">
        <v>41</v>
      </c>
      <c r="D86" t="s">
        <v>8</v>
      </c>
      <c r="E86">
        <f t="shared" si="16"/>
        <v>5333.2085100000004</v>
      </c>
      <c r="F86">
        <f>SUM(F87:F91)</f>
        <v>429.10850999999997</v>
      </c>
      <c r="G86">
        <f>SUM(G87:G91)</f>
        <v>4904.1000000000004</v>
      </c>
      <c r="H86">
        <f>SUM(H87:H91)</f>
        <v>0</v>
      </c>
      <c r="I86">
        <f>SUM(I87:I91)</f>
        <v>0</v>
      </c>
      <c r="J86" s="107" t="s">
        <v>511</v>
      </c>
      <c r="K86" s="107" t="s">
        <v>1059</v>
      </c>
    </row>
    <row r="87" spans="1:11" outlineLevel="1" x14ac:dyDescent="0.25">
      <c r="A87" s="107"/>
      <c r="B87" s="107"/>
      <c r="C87" s="107"/>
      <c r="D87">
        <v>2021</v>
      </c>
      <c r="E87">
        <f t="shared" si="16"/>
        <v>1348.2978700000001</v>
      </c>
      <c r="F87">
        <v>80.897869999999998</v>
      </c>
      <c r="G87">
        <v>1267.4000000000001</v>
      </c>
      <c r="H87">
        <v>0</v>
      </c>
      <c r="I87">
        <v>0</v>
      </c>
      <c r="J87" s="107"/>
      <c r="K87" s="107"/>
    </row>
    <row r="88" spans="1:11" outlineLevel="1" x14ac:dyDescent="0.25">
      <c r="A88" s="107"/>
      <c r="B88" s="107"/>
      <c r="C88" s="107"/>
      <c r="D88">
        <v>2022</v>
      </c>
      <c r="E88">
        <f t="shared" si="16"/>
        <v>1934.1489399999998</v>
      </c>
      <c r="F88">
        <v>116.04894</v>
      </c>
      <c r="G88">
        <v>1818.1</v>
      </c>
      <c r="H88">
        <v>0</v>
      </c>
      <c r="I88">
        <v>0</v>
      </c>
      <c r="J88" s="107"/>
      <c r="K88" s="107"/>
    </row>
    <row r="89" spans="1:11" outlineLevel="1" x14ac:dyDescent="0.25">
      <c r="A89" s="107"/>
      <c r="B89" s="107"/>
      <c r="C89" s="107"/>
      <c r="D89">
        <v>2023</v>
      </c>
      <c r="E89">
        <f t="shared" si="16"/>
        <v>1934.68085</v>
      </c>
      <c r="F89">
        <v>116.08085</v>
      </c>
      <c r="G89">
        <v>1818.6</v>
      </c>
      <c r="H89">
        <v>0</v>
      </c>
      <c r="I89">
        <v>0</v>
      </c>
      <c r="J89" s="107"/>
      <c r="K89" s="107"/>
    </row>
    <row r="90" spans="1:11" outlineLevel="1" x14ac:dyDescent="0.25">
      <c r="A90" s="107"/>
      <c r="B90" s="107"/>
      <c r="C90" s="107"/>
      <c r="D90">
        <v>2024</v>
      </c>
      <c r="E90">
        <f t="shared" si="16"/>
        <v>116.08085</v>
      </c>
      <c r="F90">
        <v>116.08085</v>
      </c>
      <c r="G90">
        <v>0</v>
      </c>
      <c r="H90">
        <v>0</v>
      </c>
      <c r="I90">
        <v>0</v>
      </c>
      <c r="J90" s="107"/>
      <c r="K90" s="107"/>
    </row>
    <row r="91" spans="1:11" outlineLevel="1" x14ac:dyDescent="0.25">
      <c r="A91" s="107"/>
      <c r="B91" s="107"/>
      <c r="C91" s="107"/>
      <c r="D91">
        <v>2025</v>
      </c>
      <c r="E91">
        <f t="shared" si="16"/>
        <v>0</v>
      </c>
      <c r="F91">
        <v>0</v>
      </c>
      <c r="G91">
        <v>0</v>
      </c>
      <c r="H91">
        <v>0</v>
      </c>
      <c r="I91">
        <v>0</v>
      </c>
      <c r="J91" s="107"/>
      <c r="K91" s="107"/>
    </row>
    <row r="92" spans="1:11" outlineLevel="1" x14ac:dyDescent="0.25"/>
    <row r="93" spans="1:11" outlineLevel="1" x14ac:dyDescent="0.25"/>
    <row r="94" spans="1:11" outlineLevel="1" x14ac:dyDescent="0.25"/>
    <row r="95" spans="1:11" outlineLevel="1" x14ac:dyDescent="0.25"/>
    <row r="96" spans="1:11" outlineLevel="1" x14ac:dyDescent="0.25"/>
    <row r="97" spans="1:12" ht="15" customHeight="1" outlineLevel="1" x14ac:dyDescent="0.25">
      <c r="A97" s="107" t="s">
        <v>48</v>
      </c>
      <c r="B97" s="107" t="s">
        <v>1060</v>
      </c>
      <c r="C97" s="107" t="s">
        <v>41</v>
      </c>
      <c r="D97" t="s">
        <v>8</v>
      </c>
      <c r="E97">
        <f t="shared" si="16"/>
        <v>6539.8806000000004</v>
      </c>
      <c r="F97">
        <f>SUM(F98:F102)</f>
        <v>6539.8806000000004</v>
      </c>
      <c r="G97">
        <f>SUM(G98:G102)</f>
        <v>0</v>
      </c>
      <c r="H97">
        <f>SUM(H98:H102)</f>
        <v>0</v>
      </c>
      <c r="I97">
        <f>SUM(I98:I102)</f>
        <v>0</v>
      </c>
      <c r="J97" s="107" t="s">
        <v>50</v>
      </c>
      <c r="K97" s="107" t="s">
        <v>484</v>
      </c>
    </row>
    <row r="98" spans="1:12" outlineLevel="1" x14ac:dyDescent="0.25">
      <c r="A98" s="107"/>
      <c r="B98" s="107"/>
      <c r="C98" s="107"/>
      <c r="D98">
        <v>2021</v>
      </c>
      <c r="E98">
        <f t="shared" si="16"/>
        <v>1631.52</v>
      </c>
      <c r="F98">
        <v>1631.52</v>
      </c>
      <c r="G98">
        <v>0</v>
      </c>
      <c r="H98">
        <v>0</v>
      </c>
      <c r="I98">
        <v>0</v>
      </c>
      <c r="J98" s="107"/>
      <c r="K98" s="107"/>
    </row>
    <row r="99" spans="1:12" outlineLevel="1" x14ac:dyDescent="0.25">
      <c r="A99" s="107"/>
      <c r="B99" s="107"/>
      <c r="C99" s="107"/>
      <c r="D99">
        <v>2022</v>
      </c>
      <c r="E99">
        <f t="shared" si="16"/>
        <v>1636.1202000000001</v>
      </c>
      <c r="F99">
        <v>1636.1202000000001</v>
      </c>
      <c r="G99">
        <v>0</v>
      </c>
      <c r="H99">
        <v>0</v>
      </c>
      <c r="I99">
        <v>0</v>
      </c>
      <c r="J99" s="107"/>
      <c r="K99" s="107"/>
    </row>
    <row r="100" spans="1:12" outlineLevel="1" x14ac:dyDescent="0.25">
      <c r="A100" s="107"/>
      <c r="B100" s="107"/>
      <c r="C100" s="107"/>
      <c r="D100">
        <v>2023</v>
      </c>
      <c r="E100">
        <f t="shared" si="16"/>
        <v>1636.1202000000001</v>
      </c>
      <c r="F100">
        <v>1636.1202000000001</v>
      </c>
      <c r="G100">
        <v>0</v>
      </c>
      <c r="H100">
        <v>0</v>
      </c>
      <c r="I100">
        <v>0</v>
      </c>
      <c r="J100" s="107"/>
      <c r="K100" s="107"/>
    </row>
    <row r="101" spans="1:12" outlineLevel="1" x14ac:dyDescent="0.25">
      <c r="A101" s="107"/>
      <c r="B101" s="107"/>
      <c r="C101" s="107"/>
      <c r="D101">
        <v>2024</v>
      </c>
      <c r="E101">
        <f t="shared" si="16"/>
        <v>1636.1202000000001</v>
      </c>
      <c r="F101">
        <v>1636.1202000000001</v>
      </c>
      <c r="G101">
        <v>0</v>
      </c>
      <c r="H101">
        <v>0</v>
      </c>
      <c r="I101">
        <v>0</v>
      </c>
      <c r="J101" s="107"/>
      <c r="K101" s="107"/>
    </row>
    <row r="102" spans="1:12" outlineLevel="1" x14ac:dyDescent="0.25">
      <c r="A102" s="107"/>
      <c r="B102" s="107"/>
      <c r="C102" s="107"/>
      <c r="D102">
        <v>2025</v>
      </c>
      <c r="E102">
        <f t="shared" si="16"/>
        <v>0</v>
      </c>
      <c r="F102">
        <v>0</v>
      </c>
      <c r="G102">
        <v>0</v>
      </c>
      <c r="H102">
        <v>0</v>
      </c>
      <c r="I102">
        <v>0</v>
      </c>
      <c r="J102" s="107"/>
      <c r="K102" s="107"/>
    </row>
    <row r="103" spans="1:12" ht="18" customHeight="1" outlineLevel="1" x14ac:dyDescent="0.25">
      <c r="A103" s="107" t="s">
        <v>51</v>
      </c>
      <c r="B103" s="107" t="s">
        <v>52</v>
      </c>
      <c r="C103" s="107" t="s">
        <v>41</v>
      </c>
      <c r="D103" t="s">
        <v>8</v>
      </c>
      <c r="E103">
        <f t="shared" si="16"/>
        <v>10000</v>
      </c>
      <c r="F103">
        <f>SUM(F104:F108)</f>
        <v>10000</v>
      </c>
      <c r="G103">
        <f>SUM(G104:G108)</f>
        <v>0</v>
      </c>
      <c r="H103">
        <f>SUM(H104:H108)</f>
        <v>0</v>
      </c>
      <c r="I103">
        <f>SUM(I104:I108)</f>
        <v>0</v>
      </c>
      <c r="J103" s="107" t="s">
        <v>514</v>
      </c>
      <c r="K103" s="107" t="s">
        <v>1061</v>
      </c>
    </row>
    <row r="104" spans="1:12" ht="18" customHeight="1" outlineLevel="1" x14ac:dyDescent="0.25">
      <c r="A104" s="107"/>
      <c r="B104" s="107"/>
      <c r="C104" s="107"/>
      <c r="D104">
        <v>2021</v>
      </c>
      <c r="E104">
        <f t="shared" si="16"/>
        <v>4000</v>
      </c>
      <c r="F104">
        <v>4000</v>
      </c>
      <c r="G104">
        <v>0</v>
      </c>
      <c r="H104">
        <v>0</v>
      </c>
      <c r="I104">
        <v>0</v>
      </c>
      <c r="J104" s="107"/>
      <c r="K104" s="107"/>
    </row>
    <row r="105" spans="1:12" ht="18" customHeight="1" outlineLevel="1" x14ac:dyDescent="0.25">
      <c r="A105" s="107"/>
      <c r="B105" s="107"/>
      <c r="C105" s="107"/>
      <c r="D105">
        <v>2022</v>
      </c>
      <c r="E105">
        <f t="shared" si="16"/>
        <v>2000</v>
      </c>
      <c r="F105">
        <v>2000</v>
      </c>
      <c r="G105">
        <v>0</v>
      </c>
      <c r="H105">
        <v>0</v>
      </c>
      <c r="I105">
        <v>0</v>
      </c>
      <c r="J105" s="107"/>
      <c r="K105" s="107"/>
      <c r="L105" t="s">
        <v>1062</v>
      </c>
    </row>
    <row r="106" spans="1:12" ht="18" customHeight="1" outlineLevel="1" x14ac:dyDescent="0.25">
      <c r="A106" s="107"/>
      <c r="B106" s="107"/>
      <c r="C106" s="107"/>
      <c r="D106">
        <v>2023</v>
      </c>
      <c r="E106">
        <f t="shared" si="16"/>
        <v>2000</v>
      </c>
      <c r="F106">
        <v>2000</v>
      </c>
      <c r="G106">
        <v>0</v>
      </c>
      <c r="H106">
        <v>0</v>
      </c>
      <c r="I106">
        <v>0</v>
      </c>
      <c r="J106" s="107"/>
      <c r="K106" s="107"/>
    </row>
    <row r="107" spans="1:12" ht="18" customHeight="1" outlineLevel="1" x14ac:dyDescent="0.25">
      <c r="A107" s="107"/>
      <c r="B107" s="107"/>
      <c r="C107" s="107"/>
      <c r="D107">
        <v>2024</v>
      </c>
      <c r="E107">
        <f t="shared" si="16"/>
        <v>2000</v>
      </c>
      <c r="F107">
        <v>2000</v>
      </c>
      <c r="G107">
        <v>0</v>
      </c>
      <c r="H107">
        <v>0</v>
      </c>
      <c r="I107">
        <v>0</v>
      </c>
      <c r="J107" s="107"/>
      <c r="K107" s="107"/>
    </row>
    <row r="108" spans="1:12" ht="18" customHeight="1" outlineLevel="1" x14ac:dyDescent="0.25">
      <c r="A108" s="107"/>
      <c r="B108" s="107"/>
      <c r="C108" s="107"/>
      <c r="D108">
        <v>2025</v>
      </c>
      <c r="E108">
        <f t="shared" si="16"/>
        <v>0</v>
      </c>
      <c r="F108">
        <v>0</v>
      </c>
      <c r="G108">
        <v>0</v>
      </c>
      <c r="H108">
        <v>0</v>
      </c>
      <c r="I108">
        <v>0</v>
      </c>
      <c r="J108" s="107"/>
      <c r="K108" s="107"/>
    </row>
    <row r="109" spans="1:12" ht="13.5" customHeight="1" outlineLevel="1" x14ac:dyDescent="0.25">
      <c r="A109" s="107" t="s">
        <v>516</v>
      </c>
      <c r="B109" s="107" t="s">
        <v>45</v>
      </c>
      <c r="C109" s="107" t="s">
        <v>41</v>
      </c>
      <c r="D109" t="s">
        <v>8</v>
      </c>
      <c r="E109">
        <f t="shared" ref="E109:E170" si="18">SUM(F109:I109)</f>
        <v>21276.595740000001</v>
      </c>
      <c r="F109">
        <f>SUM(F110:F114)</f>
        <v>1276.59574</v>
      </c>
      <c r="G109">
        <f>SUM(G110:G114)</f>
        <v>20000</v>
      </c>
      <c r="H109">
        <f>SUM(H110:H114)</f>
        <v>0</v>
      </c>
      <c r="I109">
        <f>SUM(I110:I114)</f>
        <v>0</v>
      </c>
      <c r="J109" s="107" t="s">
        <v>517</v>
      </c>
      <c r="K109" s="107" t="s">
        <v>1063</v>
      </c>
    </row>
    <row r="110" spans="1:12" ht="13.5" customHeight="1" outlineLevel="1" x14ac:dyDescent="0.25">
      <c r="A110" s="107"/>
      <c r="B110" s="107"/>
      <c r="C110" s="107"/>
      <c r="D110">
        <v>2021</v>
      </c>
      <c r="E110">
        <f t="shared" si="18"/>
        <v>21276.595740000001</v>
      </c>
      <c r="F110">
        <v>1276.59574</v>
      </c>
      <c r="G110">
        <v>20000</v>
      </c>
      <c r="H110">
        <v>0</v>
      </c>
      <c r="I110">
        <v>0</v>
      </c>
      <c r="J110" s="107"/>
      <c r="K110" s="107"/>
    </row>
    <row r="111" spans="1:12" ht="13.5" customHeight="1" outlineLevel="1" x14ac:dyDescent="0.25">
      <c r="A111" s="107"/>
      <c r="B111" s="107"/>
      <c r="C111" s="107"/>
      <c r="D111">
        <v>2022</v>
      </c>
      <c r="E111">
        <v>0</v>
      </c>
      <c r="F111">
        <v>0</v>
      </c>
      <c r="G111">
        <v>0</v>
      </c>
      <c r="H111">
        <v>0</v>
      </c>
      <c r="I111">
        <v>0</v>
      </c>
      <c r="J111" s="107"/>
      <c r="K111" s="107"/>
    </row>
    <row r="112" spans="1:12" ht="13.5" customHeight="1" outlineLevel="1" x14ac:dyDescent="0.25">
      <c r="A112" s="107"/>
      <c r="B112" s="107"/>
      <c r="C112" s="107"/>
      <c r="D112">
        <v>2023</v>
      </c>
      <c r="E112">
        <v>0</v>
      </c>
      <c r="F112">
        <v>0</v>
      </c>
      <c r="G112">
        <v>0</v>
      </c>
      <c r="H112">
        <v>0</v>
      </c>
      <c r="I112">
        <v>0</v>
      </c>
      <c r="J112" s="107"/>
      <c r="K112" s="107"/>
    </row>
    <row r="113" spans="1:11" ht="13.5" customHeight="1" outlineLevel="1" x14ac:dyDescent="0.25">
      <c r="A113" s="107"/>
      <c r="B113" s="107"/>
      <c r="C113" s="107"/>
      <c r="D113">
        <v>2024</v>
      </c>
      <c r="E113">
        <v>0</v>
      </c>
      <c r="F113">
        <v>0</v>
      </c>
      <c r="G113">
        <v>0</v>
      </c>
      <c r="H113">
        <v>0</v>
      </c>
      <c r="I113">
        <v>0</v>
      </c>
      <c r="J113" s="107"/>
      <c r="K113" s="107"/>
    </row>
    <row r="114" spans="1:11" ht="13.5" customHeight="1" outlineLevel="1" x14ac:dyDescent="0.25">
      <c r="A114" s="107"/>
      <c r="B114" s="107"/>
      <c r="C114" s="107"/>
      <c r="D114">
        <v>2025</v>
      </c>
      <c r="E114">
        <f t="shared" si="18"/>
        <v>0</v>
      </c>
      <c r="F114">
        <v>0</v>
      </c>
      <c r="G114">
        <v>0</v>
      </c>
      <c r="H114">
        <v>0</v>
      </c>
      <c r="I114">
        <v>0</v>
      </c>
      <c r="J114" s="107"/>
      <c r="K114" s="107"/>
    </row>
    <row r="115" spans="1:11" ht="15" customHeight="1" x14ac:dyDescent="0.25">
      <c r="A115" s="107" t="s">
        <v>54</v>
      </c>
      <c r="B115" s="107" t="s">
        <v>55</v>
      </c>
      <c r="C115" s="107" t="s">
        <v>14</v>
      </c>
      <c r="D115" t="s">
        <v>8</v>
      </c>
      <c r="E115">
        <f t="shared" si="18"/>
        <v>3826242.5607599998</v>
      </c>
      <c r="F115">
        <f>SUM(F116:F120)</f>
        <v>3740755.7605499998</v>
      </c>
      <c r="G115">
        <f>SUM(G116:G120)</f>
        <v>72169.100000000006</v>
      </c>
      <c r="H115">
        <f>SUM(H116:H120)</f>
        <v>13317.700210000001</v>
      </c>
      <c r="I115">
        <f>SUM(I116:I120)</f>
        <v>0</v>
      </c>
      <c r="J115" s="107"/>
      <c r="K115" s="107" t="s">
        <v>510</v>
      </c>
    </row>
    <row r="116" spans="1:11" x14ac:dyDescent="0.25">
      <c r="A116" s="107"/>
      <c r="B116" s="107"/>
      <c r="C116" s="107"/>
      <c r="D116">
        <v>2021</v>
      </c>
      <c r="E116">
        <f t="shared" si="18"/>
        <v>916227.94750000001</v>
      </c>
      <c r="F116">
        <f t="shared" ref="F116:I120" si="19">F122+F182+F200</f>
        <v>865530.14728999999</v>
      </c>
      <c r="G116">
        <f t="shared" si="19"/>
        <v>37380.100000000006</v>
      </c>
      <c r="H116">
        <f t="shared" si="19"/>
        <v>13317.700210000001</v>
      </c>
      <c r="I116">
        <f t="shared" si="19"/>
        <v>0</v>
      </c>
      <c r="J116" s="107"/>
      <c r="K116" s="107"/>
    </row>
    <row r="117" spans="1:11" x14ac:dyDescent="0.25">
      <c r="A117" s="107"/>
      <c r="B117" s="107"/>
      <c r="C117" s="107"/>
      <c r="D117">
        <v>2022</v>
      </c>
      <c r="E117">
        <f t="shared" si="18"/>
        <v>677144.84193</v>
      </c>
      <c r="F117">
        <f t="shared" si="19"/>
        <v>660155.44192999997</v>
      </c>
      <c r="G117">
        <f t="shared" si="19"/>
        <v>16989.400000000001</v>
      </c>
      <c r="H117">
        <f t="shared" si="19"/>
        <v>0</v>
      </c>
      <c r="I117">
        <f t="shared" si="19"/>
        <v>0</v>
      </c>
      <c r="J117" s="107"/>
      <c r="K117" s="107"/>
    </row>
    <row r="118" spans="1:11" x14ac:dyDescent="0.25">
      <c r="A118" s="107"/>
      <c r="B118" s="107"/>
      <c r="C118" s="107"/>
      <c r="D118">
        <v>2023</v>
      </c>
      <c r="E118">
        <f t="shared" si="18"/>
        <v>757119.03292999999</v>
      </c>
      <c r="F118">
        <f t="shared" si="19"/>
        <v>739319.43293000001</v>
      </c>
      <c r="G118">
        <f t="shared" si="19"/>
        <v>17799.599999999999</v>
      </c>
      <c r="H118">
        <f t="shared" si="19"/>
        <v>0</v>
      </c>
      <c r="I118">
        <f t="shared" si="19"/>
        <v>0</v>
      </c>
      <c r="J118" s="107"/>
      <c r="K118" s="107"/>
    </row>
    <row r="119" spans="1:11" x14ac:dyDescent="0.25">
      <c r="A119" s="107"/>
      <c r="B119" s="107"/>
      <c r="C119" s="107"/>
      <c r="D119">
        <v>2024</v>
      </c>
      <c r="E119">
        <f t="shared" si="18"/>
        <v>739221.28540000005</v>
      </c>
      <c r="F119">
        <f t="shared" si="19"/>
        <v>739221.28540000005</v>
      </c>
      <c r="G119">
        <f t="shared" si="19"/>
        <v>0</v>
      </c>
      <c r="H119">
        <f t="shared" si="19"/>
        <v>0</v>
      </c>
      <c r="I119">
        <f t="shared" si="19"/>
        <v>0</v>
      </c>
      <c r="J119" s="107"/>
      <c r="K119" s="107"/>
    </row>
    <row r="120" spans="1:11" x14ac:dyDescent="0.25">
      <c r="A120" s="107"/>
      <c r="B120" s="107"/>
      <c r="C120" s="107"/>
      <c r="D120">
        <v>2025</v>
      </c>
      <c r="E120">
        <f t="shared" si="18"/>
        <v>736529.45299999998</v>
      </c>
      <c r="F120">
        <f t="shared" si="19"/>
        <v>736529.45299999998</v>
      </c>
      <c r="G120">
        <f t="shared" si="19"/>
        <v>0</v>
      </c>
      <c r="H120">
        <f t="shared" si="19"/>
        <v>0</v>
      </c>
      <c r="I120">
        <f>I126+I186+I204</f>
        <v>0</v>
      </c>
      <c r="J120" s="107"/>
      <c r="K120" s="107"/>
    </row>
    <row r="121" spans="1:11" ht="13.5" customHeight="1" outlineLevel="1" x14ac:dyDescent="0.25">
      <c r="A121" s="107" t="s">
        <v>56</v>
      </c>
      <c r="B121" s="107" t="s">
        <v>518</v>
      </c>
      <c r="C121" s="107" t="s">
        <v>14</v>
      </c>
      <c r="D121" t="s">
        <v>8</v>
      </c>
      <c r="E121">
        <f t="shared" si="18"/>
        <v>3687188.1416999996</v>
      </c>
      <c r="F121">
        <f>SUM(F122:F126)</f>
        <v>3687188.1416999996</v>
      </c>
      <c r="G121">
        <f>SUM(G122:G126)</f>
        <v>0</v>
      </c>
      <c r="H121">
        <f>SUM(H122:H126)</f>
        <v>0</v>
      </c>
      <c r="I121">
        <f>SUM(I122:I126)</f>
        <v>0</v>
      </c>
      <c r="J121" s="107" t="s">
        <v>58</v>
      </c>
      <c r="K121" s="107" t="s">
        <v>486</v>
      </c>
    </row>
    <row r="122" spans="1:11" ht="13.5" customHeight="1" outlineLevel="1" x14ac:dyDescent="0.25">
      <c r="A122" s="107"/>
      <c r="B122" s="107"/>
      <c r="C122" s="107"/>
      <c r="D122">
        <v>2021</v>
      </c>
      <c r="E122">
        <f t="shared" si="18"/>
        <v>820182.60270000005</v>
      </c>
      <c r="F122">
        <f>F128+F134+F140+F146+F152+F158++F164+F170+F176</f>
        <v>820182.60270000005</v>
      </c>
      <c r="G122">
        <f t="shared" ref="F122:I126" si="20">G128+G134+G140+G146+G152+G158++G164+G170+G176</f>
        <v>0</v>
      </c>
      <c r="H122">
        <f t="shared" si="20"/>
        <v>0</v>
      </c>
      <c r="I122">
        <f t="shared" si="20"/>
        <v>0</v>
      </c>
      <c r="J122" s="107"/>
      <c r="K122" s="107"/>
    </row>
    <row r="123" spans="1:11" ht="13.5" customHeight="1" outlineLevel="1" x14ac:dyDescent="0.25">
      <c r="A123" s="107"/>
      <c r="B123" s="107"/>
      <c r="C123" s="107"/>
      <c r="D123">
        <v>2022</v>
      </c>
      <c r="E123">
        <f t="shared" si="18"/>
        <v>657417.17700000003</v>
      </c>
      <c r="F123">
        <f t="shared" si="20"/>
        <v>657417.17700000003</v>
      </c>
      <c r="G123">
        <f t="shared" si="20"/>
        <v>0</v>
      </c>
      <c r="H123">
        <f t="shared" si="20"/>
        <v>0</v>
      </c>
      <c r="I123">
        <f t="shared" si="20"/>
        <v>0</v>
      </c>
      <c r="J123" s="107"/>
      <c r="K123" s="107"/>
    </row>
    <row r="124" spans="1:11" ht="13.5" customHeight="1" outlineLevel="1" x14ac:dyDescent="0.25">
      <c r="A124" s="107"/>
      <c r="B124" s="107"/>
      <c r="C124" s="107"/>
      <c r="D124">
        <v>2023</v>
      </c>
      <c r="E124">
        <f t="shared" si="18"/>
        <v>736529.45299999998</v>
      </c>
      <c r="F124">
        <f t="shared" si="20"/>
        <v>736529.45299999998</v>
      </c>
      <c r="G124">
        <f t="shared" si="20"/>
        <v>0</v>
      </c>
      <c r="H124">
        <f t="shared" si="20"/>
        <v>0</v>
      </c>
      <c r="I124">
        <f t="shared" si="20"/>
        <v>0</v>
      </c>
      <c r="J124" s="107"/>
      <c r="K124" s="107"/>
    </row>
    <row r="125" spans="1:11" ht="13.5" customHeight="1" outlineLevel="1" x14ac:dyDescent="0.25">
      <c r="A125" s="107"/>
      <c r="B125" s="107"/>
      <c r="C125" s="107"/>
      <c r="D125">
        <v>2024</v>
      </c>
      <c r="E125">
        <f t="shared" si="18"/>
        <v>736529.45600000001</v>
      </c>
      <c r="F125">
        <f t="shared" si="20"/>
        <v>736529.45600000001</v>
      </c>
      <c r="G125">
        <f t="shared" si="20"/>
        <v>0</v>
      </c>
      <c r="H125">
        <f t="shared" si="20"/>
        <v>0</v>
      </c>
      <c r="I125">
        <f t="shared" si="20"/>
        <v>0</v>
      </c>
      <c r="J125" s="107"/>
      <c r="K125" s="107"/>
    </row>
    <row r="126" spans="1:11" ht="13.5" customHeight="1" outlineLevel="1" x14ac:dyDescent="0.25">
      <c r="A126" s="107"/>
      <c r="B126" s="107"/>
      <c r="C126" s="107"/>
      <c r="D126">
        <v>2025</v>
      </c>
      <c r="E126">
        <f t="shared" si="18"/>
        <v>736529.45299999998</v>
      </c>
      <c r="F126">
        <f t="shared" si="20"/>
        <v>736529.45299999998</v>
      </c>
      <c r="G126">
        <f t="shared" si="20"/>
        <v>0</v>
      </c>
      <c r="H126">
        <f t="shared" si="20"/>
        <v>0</v>
      </c>
      <c r="I126">
        <f>I132+I138+I144+I150+I156+I162++I168+I174+I180</f>
        <v>0</v>
      </c>
      <c r="J126" s="107"/>
      <c r="K126" s="107"/>
    </row>
    <row r="127" spans="1:11" ht="13.5" customHeight="1" outlineLevel="1" x14ac:dyDescent="0.25">
      <c r="A127" s="107" t="s">
        <v>60</v>
      </c>
      <c r="B127" s="107" t="s">
        <v>61</v>
      </c>
      <c r="C127" s="107" t="s">
        <v>14</v>
      </c>
      <c r="D127" t="s">
        <v>8</v>
      </c>
      <c r="E127">
        <f t="shared" si="18"/>
        <v>10533.2857</v>
      </c>
      <c r="F127">
        <f>SUM(F128:F132)</f>
        <v>10533.2857</v>
      </c>
      <c r="G127">
        <f>SUM(G128:G132)</f>
        <v>0</v>
      </c>
      <c r="H127">
        <f>SUM(H128:H132)</f>
        <v>0</v>
      </c>
      <c r="I127">
        <f>SUM(I128:I132)</f>
        <v>0</v>
      </c>
      <c r="J127" s="107" t="s">
        <v>62</v>
      </c>
      <c r="K127" s="107" t="s">
        <v>484</v>
      </c>
    </row>
    <row r="128" spans="1:11" ht="13.5" customHeight="1" outlineLevel="1" x14ac:dyDescent="0.25">
      <c r="A128" s="107"/>
      <c r="B128" s="107"/>
      <c r="C128" s="107"/>
      <c r="D128">
        <v>2021</v>
      </c>
      <c r="E128">
        <f t="shared" si="18"/>
        <v>2106.6577000000002</v>
      </c>
      <c r="F128">
        <f>2106.6577</f>
        <v>2106.6577000000002</v>
      </c>
      <c r="G128">
        <v>0</v>
      </c>
      <c r="H128">
        <v>0</v>
      </c>
      <c r="I128">
        <v>0</v>
      </c>
      <c r="J128" s="107"/>
      <c r="K128" s="107"/>
    </row>
    <row r="129" spans="1:11" ht="13.5" customHeight="1" outlineLevel="1" x14ac:dyDescent="0.25">
      <c r="A129" s="107"/>
      <c r="B129" s="107"/>
      <c r="C129" s="107"/>
      <c r="D129">
        <v>2022</v>
      </c>
      <c r="E129">
        <f t="shared" si="18"/>
        <v>2106.6570000000002</v>
      </c>
      <c r="F129">
        <v>2106.6570000000002</v>
      </c>
      <c r="G129">
        <v>0</v>
      </c>
      <c r="H129">
        <v>0</v>
      </c>
      <c r="I129">
        <v>0</v>
      </c>
      <c r="J129" s="107"/>
      <c r="K129" s="107"/>
    </row>
    <row r="130" spans="1:11" ht="13.5" customHeight="1" outlineLevel="1" x14ac:dyDescent="0.25">
      <c r="A130" s="107"/>
      <c r="B130" s="107"/>
      <c r="C130" s="107"/>
      <c r="D130">
        <v>2023</v>
      </c>
      <c r="E130">
        <f t="shared" si="18"/>
        <v>2106.6570000000002</v>
      </c>
      <c r="F130">
        <v>2106.6570000000002</v>
      </c>
      <c r="G130">
        <v>0</v>
      </c>
      <c r="H130">
        <v>0</v>
      </c>
      <c r="I130">
        <v>0</v>
      </c>
      <c r="J130" s="107"/>
      <c r="K130" s="107"/>
    </row>
    <row r="131" spans="1:11" ht="13.5" customHeight="1" outlineLevel="1" x14ac:dyDescent="0.25">
      <c r="A131" s="107"/>
      <c r="B131" s="107"/>
      <c r="C131" s="107"/>
      <c r="D131">
        <v>2024</v>
      </c>
      <c r="E131">
        <f t="shared" si="18"/>
        <v>2106.6570000000002</v>
      </c>
      <c r="F131">
        <v>2106.6570000000002</v>
      </c>
      <c r="G131">
        <v>0</v>
      </c>
      <c r="H131">
        <v>0</v>
      </c>
      <c r="I131">
        <v>0</v>
      </c>
      <c r="J131" s="107"/>
      <c r="K131" s="107"/>
    </row>
    <row r="132" spans="1:11" ht="13.5" customHeight="1" outlineLevel="1" x14ac:dyDescent="0.25">
      <c r="A132" s="107"/>
      <c r="B132" s="107"/>
      <c r="C132" s="107"/>
      <c r="D132">
        <v>2025</v>
      </c>
      <c r="E132">
        <f t="shared" si="18"/>
        <v>2106.6570000000002</v>
      </c>
      <c r="F132">
        <v>2106.6570000000002</v>
      </c>
      <c r="G132">
        <f>+G138+G144+G150+G174</f>
        <v>0</v>
      </c>
      <c r="H132">
        <v>0</v>
      </c>
      <c r="I132">
        <v>0</v>
      </c>
      <c r="J132" s="107"/>
      <c r="K132" s="107"/>
    </row>
    <row r="133" spans="1:11" ht="13.5" customHeight="1" outlineLevel="1" x14ac:dyDescent="0.25">
      <c r="A133" s="107" t="s">
        <v>63</v>
      </c>
      <c r="B133" s="107" t="s">
        <v>520</v>
      </c>
      <c r="C133" s="107" t="s">
        <v>14</v>
      </c>
      <c r="D133" t="s">
        <v>8</v>
      </c>
      <c r="E133">
        <f t="shared" si="18"/>
        <v>4792</v>
      </c>
      <c r="F133">
        <f>SUM(F134:F138)</f>
        <v>4792</v>
      </c>
      <c r="G133">
        <f>SUM(G134:G138)</f>
        <v>0</v>
      </c>
      <c r="H133">
        <f>SUM(H134:H138)</f>
        <v>0</v>
      </c>
      <c r="I133">
        <f>SUM(I134:I138)</f>
        <v>0</v>
      </c>
      <c r="J133" s="107" t="s">
        <v>521</v>
      </c>
      <c r="K133" s="107" t="s">
        <v>484</v>
      </c>
    </row>
    <row r="134" spans="1:11" ht="13.5" customHeight="1" outlineLevel="1" x14ac:dyDescent="0.25">
      <c r="A134" s="107"/>
      <c r="B134" s="107"/>
      <c r="C134" s="107"/>
      <c r="D134">
        <v>2021</v>
      </c>
      <c r="E134">
        <f t="shared" si="18"/>
        <v>456</v>
      </c>
      <c r="F134">
        <v>456</v>
      </c>
      <c r="G134">
        <v>0</v>
      </c>
      <c r="H134">
        <v>0</v>
      </c>
      <c r="I134">
        <v>0</v>
      </c>
      <c r="J134" s="107"/>
      <c r="K134" s="107"/>
    </row>
    <row r="135" spans="1:11" ht="13.5" customHeight="1" outlineLevel="1" x14ac:dyDescent="0.25">
      <c r="A135" s="107"/>
      <c r="B135" s="107"/>
      <c r="C135" s="107"/>
      <c r="D135">
        <v>2022</v>
      </c>
      <c r="E135">
        <f t="shared" si="18"/>
        <v>1084</v>
      </c>
      <c r="F135">
        <v>1084</v>
      </c>
      <c r="G135">
        <v>0</v>
      </c>
      <c r="H135">
        <v>0</v>
      </c>
      <c r="I135">
        <v>0</v>
      </c>
      <c r="J135" s="107"/>
      <c r="K135" s="107"/>
    </row>
    <row r="136" spans="1:11" ht="13.5" customHeight="1" outlineLevel="1" x14ac:dyDescent="0.25">
      <c r="A136" s="107"/>
      <c r="B136" s="107"/>
      <c r="C136" s="107"/>
      <c r="D136">
        <v>2023</v>
      </c>
      <c r="E136">
        <f t="shared" si="18"/>
        <v>1084</v>
      </c>
      <c r="F136">
        <v>1084</v>
      </c>
      <c r="G136">
        <v>0</v>
      </c>
      <c r="H136">
        <v>0</v>
      </c>
      <c r="I136">
        <v>0</v>
      </c>
      <c r="J136" s="107"/>
      <c r="K136" s="107"/>
    </row>
    <row r="137" spans="1:11" ht="13.5" customHeight="1" outlineLevel="1" x14ac:dyDescent="0.25">
      <c r="A137" s="107"/>
      <c r="B137" s="107"/>
      <c r="C137" s="107"/>
      <c r="D137">
        <v>2024</v>
      </c>
      <c r="E137">
        <f t="shared" si="18"/>
        <v>1084</v>
      </c>
      <c r="F137">
        <v>1084</v>
      </c>
      <c r="G137">
        <v>0</v>
      </c>
      <c r="H137">
        <v>0</v>
      </c>
      <c r="I137">
        <v>0</v>
      </c>
      <c r="J137" s="107"/>
      <c r="K137" s="107"/>
    </row>
    <row r="138" spans="1:11" ht="13.5" customHeight="1" outlineLevel="1" x14ac:dyDescent="0.25">
      <c r="A138" s="107"/>
      <c r="B138" s="107"/>
      <c r="C138" s="107"/>
      <c r="D138">
        <v>2025</v>
      </c>
      <c r="E138">
        <f t="shared" si="18"/>
        <v>1084</v>
      </c>
      <c r="F138">
        <v>1084</v>
      </c>
      <c r="G138">
        <v>0</v>
      </c>
      <c r="H138">
        <v>0</v>
      </c>
      <c r="I138">
        <v>0</v>
      </c>
      <c r="J138" s="107"/>
      <c r="K138" s="107"/>
    </row>
    <row r="139" spans="1:11" ht="13.5" customHeight="1" outlineLevel="1" x14ac:dyDescent="0.25">
      <c r="A139" s="107" t="s">
        <v>66</v>
      </c>
      <c r="B139" s="107" t="s">
        <v>67</v>
      </c>
      <c r="C139" s="107" t="s">
        <v>14</v>
      </c>
      <c r="D139" t="s">
        <v>8</v>
      </c>
      <c r="E139">
        <f t="shared" si="18"/>
        <v>156.04999999999998</v>
      </c>
      <c r="F139">
        <f>SUM(F140:F144)</f>
        <v>156.04999999999998</v>
      </c>
      <c r="G139">
        <f>SUM(G140:G144)</f>
        <v>0</v>
      </c>
      <c r="H139">
        <f>SUM(H140:H144)</f>
        <v>0</v>
      </c>
      <c r="I139">
        <f>SUM(I140:I144)</f>
        <v>0</v>
      </c>
      <c r="J139" s="107" t="s">
        <v>522</v>
      </c>
      <c r="K139" s="107" t="s">
        <v>69</v>
      </c>
    </row>
    <row r="140" spans="1:11" ht="13.5" customHeight="1" outlineLevel="1" x14ac:dyDescent="0.25">
      <c r="A140" s="107"/>
      <c r="B140" s="107"/>
      <c r="C140" s="107"/>
      <c r="D140">
        <v>2021</v>
      </c>
      <c r="E140">
        <f t="shared" si="18"/>
        <v>27.77</v>
      </c>
      <c r="F140">
        <f>27770/1000</f>
        <v>27.77</v>
      </c>
      <c r="G140">
        <v>0</v>
      </c>
      <c r="H140">
        <v>0</v>
      </c>
      <c r="I140">
        <v>0</v>
      </c>
      <c r="J140" s="107"/>
      <c r="K140" s="107"/>
    </row>
    <row r="141" spans="1:11" ht="13.5" customHeight="1" outlineLevel="1" x14ac:dyDescent="0.25">
      <c r="A141" s="107"/>
      <c r="B141" s="107"/>
      <c r="C141" s="107"/>
      <c r="D141">
        <v>2022</v>
      </c>
      <c r="E141">
        <f t="shared" si="18"/>
        <v>32.07</v>
      </c>
      <c r="F141">
        <v>32.07</v>
      </c>
      <c r="G141">
        <v>0</v>
      </c>
      <c r="H141">
        <v>0</v>
      </c>
      <c r="I141">
        <v>0</v>
      </c>
      <c r="J141" s="107"/>
      <c r="K141" s="107"/>
    </row>
    <row r="142" spans="1:11" ht="13.5" customHeight="1" outlineLevel="1" x14ac:dyDescent="0.25">
      <c r="A142" s="107"/>
      <c r="B142" s="107"/>
      <c r="C142" s="107"/>
      <c r="D142">
        <v>2023</v>
      </c>
      <c r="E142">
        <f t="shared" si="18"/>
        <v>32.07</v>
      </c>
      <c r="F142">
        <v>32.07</v>
      </c>
      <c r="G142">
        <v>0</v>
      </c>
      <c r="H142">
        <v>0</v>
      </c>
      <c r="I142">
        <v>0</v>
      </c>
      <c r="J142" s="107"/>
      <c r="K142" s="107"/>
    </row>
    <row r="143" spans="1:11" ht="13.5" customHeight="1" outlineLevel="1" x14ac:dyDescent="0.25">
      <c r="A143" s="107"/>
      <c r="B143" s="107"/>
      <c r="C143" s="107"/>
      <c r="D143">
        <v>2024</v>
      </c>
      <c r="E143">
        <f t="shared" si="18"/>
        <v>32.07</v>
      </c>
      <c r="F143">
        <v>32.07</v>
      </c>
      <c r="G143">
        <v>0</v>
      </c>
      <c r="H143">
        <v>0</v>
      </c>
      <c r="I143">
        <v>0</v>
      </c>
      <c r="J143" s="107"/>
      <c r="K143" s="107"/>
    </row>
    <row r="144" spans="1:11" ht="13.5" customHeight="1" outlineLevel="1" x14ac:dyDescent="0.25">
      <c r="A144" s="107"/>
      <c r="B144" s="107"/>
      <c r="C144" s="107"/>
      <c r="D144">
        <v>2025</v>
      </c>
      <c r="E144">
        <f t="shared" si="18"/>
        <v>32.07</v>
      </c>
      <c r="F144">
        <v>32.07</v>
      </c>
      <c r="G144">
        <v>0</v>
      </c>
      <c r="H144">
        <v>0</v>
      </c>
      <c r="I144">
        <v>0</v>
      </c>
      <c r="J144" s="107"/>
      <c r="K144" s="107"/>
    </row>
    <row r="145" spans="1:11" ht="13.5" customHeight="1" outlineLevel="1" x14ac:dyDescent="0.25">
      <c r="A145" s="107" t="s">
        <v>70</v>
      </c>
      <c r="B145" s="107" t="s">
        <v>71</v>
      </c>
      <c r="C145" s="107" t="s">
        <v>14</v>
      </c>
      <c r="D145" t="s">
        <v>8</v>
      </c>
      <c r="E145">
        <f t="shared" si="18"/>
        <v>3601845.3790000002</v>
      </c>
      <c r="F145">
        <f>SUM(F146:F150)</f>
        <v>3601845.3790000002</v>
      </c>
      <c r="G145">
        <f>SUM(G146:G150)</f>
        <v>0</v>
      </c>
      <c r="H145">
        <f>SUM(H146:H150)</f>
        <v>0</v>
      </c>
      <c r="I145">
        <f>SUM(I146:I150)</f>
        <v>0</v>
      </c>
      <c r="J145" s="107" t="s">
        <v>72</v>
      </c>
      <c r="K145" s="107" t="s">
        <v>77</v>
      </c>
    </row>
    <row r="146" spans="1:11" ht="13.5" customHeight="1" outlineLevel="1" x14ac:dyDescent="0.25">
      <c r="A146" s="107"/>
      <c r="B146" s="107"/>
      <c r="C146" s="107"/>
      <c r="D146">
        <v>2021</v>
      </c>
      <c r="E146">
        <f t="shared" si="18"/>
        <v>761975.94799999997</v>
      </c>
      <c r="F146">
        <f>753975.948+8000</f>
        <v>761975.94799999997</v>
      </c>
      <c r="G146">
        <v>0</v>
      </c>
      <c r="H146">
        <v>0</v>
      </c>
      <c r="I146">
        <v>0</v>
      </c>
      <c r="J146" s="107"/>
      <c r="K146" s="107"/>
    </row>
    <row r="147" spans="1:11" ht="13.5" customHeight="1" outlineLevel="1" x14ac:dyDescent="0.25">
      <c r="A147" s="107"/>
      <c r="B147" s="107"/>
      <c r="C147" s="107"/>
      <c r="D147">
        <v>2022</v>
      </c>
      <c r="E147">
        <f t="shared" si="18"/>
        <v>650633.15</v>
      </c>
      <c r="F147">
        <v>650633.15</v>
      </c>
      <c r="G147">
        <v>0</v>
      </c>
      <c r="H147">
        <v>0</v>
      </c>
      <c r="I147">
        <v>0</v>
      </c>
      <c r="J147" s="107"/>
      <c r="K147" s="107"/>
    </row>
    <row r="148" spans="1:11" ht="13.5" customHeight="1" outlineLevel="1" x14ac:dyDescent="0.25">
      <c r="A148" s="107"/>
      <c r="B148" s="107"/>
      <c r="C148" s="107"/>
      <c r="D148">
        <v>2023</v>
      </c>
      <c r="E148">
        <f t="shared" si="18"/>
        <v>729745.42599999998</v>
      </c>
      <c r="F148">
        <v>729745.42599999998</v>
      </c>
      <c r="G148">
        <v>0</v>
      </c>
      <c r="H148">
        <v>0</v>
      </c>
      <c r="I148">
        <v>0</v>
      </c>
      <c r="J148" s="107"/>
      <c r="K148" s="107"/>
    </row>
    <row r="149" spans="1:11" ht="13.5" customHeight="1" outlineLevel="1" x14ac:dyDescent="0.25">
      <c r="A149" s="107"/>
      <c r="B149" s="107"/>
      <c r="C149" s="107"/>
      <c r="D149">
        <v>2024</v>
      </c>
      <c r="E149">
        <f t="shared" si="18"/>
        <v>729745.429</v>
      </c>
      <c r="F149">
        <v>729745.429</v>
      </c>
      <c r="G149">
        <v>0</v>
      </c>
      <c r="H149">
        <v>0</v>
      </c>
      <c r="I149">
        <v>0</v>
      </c>
      <c r="J149" s="107"/>
      <c r="K149" s="107"/>
    </row>
    <row r="150" spans="1:11" ht="13.5" customHeight="1" outlineLevel="1" x14ac:dyDescent="0.25">
      <c r="A150" s="107"/>
      <c r="B150" s="107"/>
      <c r="C150" s="107"/>
      <c r="D150">
        <v>2025</v>
      </c>
      <c r="E150">
        <f t="shared" si="18"/>
        <v>729745.42599999998</v>
      </c>
      <c r="F150">
        <v>729745.42599999998</v>
      </c>
      <c r="G150">
        <v>0</v>
      </c>
      <c r="H150">
        <v>0</v>
      </c>
      <c r="I150">
        <v>0</v>
      </c>
      <c r="J150" s="107"/>
      <c r="K150" s="107"/>
    </row>
    <row r="151" spans="1:11" ht="13.5" customHeight="1" outlineLevel="1" x14ac:dyDescent="0.25">
      <c r="A151" s="107" t="s">
        <v>74</v>
      </c>
      <c r="B151" s="107" t="s">
        <v>75</v>
      </c>
      <c r="C151" s="107" t="s">
        <v>14</v>
      </c>
      <c r="D151" t="s">
        <v>8</v>
      </c>
      <c r="E151">
        <f t="shared" si="18"/>
        <v>17806.5</v>
      </c>
      <c r="F151">
        <f>SUM(F152:F156)</f>
        <v>17806.5</v>
      </c>
      <c r="G151">
        <f>SUM(G152:G156)</f>
        <v>0</v>
      </c>
      <c r="H151">
        <f>SUM(H152:H156)</f>
        <v>0</v>
      </c>
      <c r="I151">
        <f>SUM(I152:I156)</f>
        <v>0</v>
      </c>
      <c r="J151" s="107" t="s">
        <v>523</v>
      </c>
      <c r="K151" s="107" t="s">
        <v>77</v>
      </c>
    </row>
    <row r="152" spans="1:11" ht="13.5" customHeight="1" outlineLevel="1" x14ac:dyDescent="0.25">
      <c r="A152" s="107"/>
      <c r="B152" s="107"/>
      <c r="C152" s="107"/>
      <c r="D152">
        <v>2021</v>
      </c>
      <c r="E152">
        <f t="shared" si="18"/>
        <v>3561.3</v>
      </c>
      <c r="F152">
        <v>3561.3</v>
      </c>
      <c r="G152">
        <v>0</v>
      </c>
      <c r="H152">
        <v>0</v>
      </c>
      <c r="I152">
        <v>0</v>
      </c>
      <c r="J152" s="107"/>
      <c r="K152" s="107"/>
    </row>
    <row r="153" spans="1:11" ht="13.5" customHeight="1" outlineLevel="1" x14ac:dyDescent="0.25">
      <c r="A153" s="107"/>
      <c r="B153" s="107"/>
      <c r="C153" s="107"/>
      <c r="D153">
        <v>2022</v>
      </c>
      <c r="E153">
        <f t="shared" si="18"/>
        <v>3561.3</v>
      </c>
      <c r="F153">
        <v>3561.3</v>
      </c>
      <c r="G153">
        <v>0</v>
      </c>
      <c r="H153">
        <v>0</v>
      </c>
      <c r="I153">
        <v>0</v>
      </c>
      <c r="J153" s="107"/>
      <c r="K153" s="107"/>
    </row>
    <row r="154" spans="1:11" ht="13.5" customHeight="1" outlineLevel="1" x14ac:dyDescent="0.25">
      <c r="A154" s="107"/>
      <c r="B154" s="107"/>
      <c r="C154" s="107"/>
      <c r="D154">
        <v>2023</v>
      </c>
      <c r="E154">
        <f t="shared" si="18"/>
        <v>3561.3</v>
      </c>
      <c r="F154">
        <v>3561.3</v>
      </c>
      <c r="G154">
        <v>0</v>
      </c>
      <c r="H154">
        <v>0</v>
      </c>
      <c r="I154">
        <v>0</v>
      </c>
      <c r="J154" s="107"/>
      <c r="K154" s="107"/>
    </row>
    <row r="155" spans="1:11" ht="13.5" customHeight="1" outlineLevel="1" x14ac:dyDescent="0.25">
      <c r="A155" s="107"/>
      <c r="B155" s="107"/>
      <c r="C155" s="107"/>
      <c r="D155">
        <v>2024</v>
      </c>
      <c r="E155">
        <f t="shared" si="18"/>
        <v>3561.3</v>
      </c>
      <c r="F155">
        <v>3561.3</v>
      </c>
      <c r="G155">
        <v>0</v>
      </c>
      <c r="H155">
        <v>0</v>
      </c>
      <c r="I155">
        <v>0</v>
      </c>
      <c r="J155" s="107"/>
      <c r="K155" s="107"/>
    </row>
    <row r="156" spans="1:11" ht="19.5" customHeight="1" outlineLevel="1" x14ac:dyDescent="0.25">
      <c r="A156" s="107"/>
      <c r="B156" s="107"/>
      <c r="C156" s="107"/>
      <c r="D156">
        <v>2025</v>
      </c>
      <c r="E156">
        <f t="shared" si="18"/>
        <v>3561.3</v>
      </c>
      <c r="F156">
        <v>3561.3</v>
      </c>
      <c r="G156">
        <v>0</v>
      </c>
      <c r="H156">
        <v>0</v>
      </c>
      <c r="I156">
        <v>0</v>
      </c>
      <c r="J156" s="107"/>
      <c r="K156" s="107"/>
    </row>
    <row r="157" spans="1:11" ht="14.25" customHeight="1" outlineLevel="1" x14ac:dyDescent="0.25">
      <c r="A157" s="107" t="s">
        <v>524</v>
      </c>
      <c r="B157" s="107" t="s">
        <v>525</v>
      </c>
      <c r="C157" s="107" t="s">
        <v>14</v>
      </c>
      <c r="D157" t="s">
        <v>8</v>
      </c>
      <c r="E157">
        <f t="shared" si="18"/>
        <v>27000</v>
      </c>
      <c r="F157">
        <f>SUM(F158:F162)</f>
        <v>27000</v>
      </c>
      <c r="G157">
        <f>SUM(G158:G162)</f>
        <v>0</v>
      </c>
      <c r="H157">
        <f>SUM(H158:H162)</f>
        <v>0</v>
      </c>
      <c r="I157">
        <f>SUM(I158:I162)</f>
        <v>0</v>
      </c>
      <c r="J157" s="107" t="s">
        <v>526</v>
      </c>
      <c r="K157" s="107" t="s">
        <v>527</v>
      </c>
    </row>
    <row r="158" spans="1:11" ht="13.5" customHeight="1" outlineLevel="1" x14ac:dyDescent="0.25">
      <c r="A158" s="107"/>
      <c r="B158" s="107"/>
      <c r="C158" s="107"/>
      <c r="D158">
        <v>2021</v>
      </c>
      <c r="E158">
        <f t="shared" si="18"/>
        <v>27000</v>
      </c>
      <c r="F158">
        <v>27000</v>
      </c>
      <c r="G158">
        <v>0</v>
      </c>
      <c r="H158">
        <v>0</v>
      </c>
      <c r="I158">
        <v>0</v>
      </c>
      <c r="J158" s="107"/>
      <c r="K158" s="107"/>
    </row>
    <row r="159" spans="1:11" ht="13.5" customHeight="1" outlineLevel="1" x14ac:dyDescent="0.25">
      <c r="A159" s="107"/>
      <c r="B159" s="107"/>
      <c r="C159" s="107"/>
      <c r="D159">
        <v>2022</v>
      </c>
      <c r="G159">
        <v>0</v>
      </c>
      <c r="H159">
        <v>0</v>
      </c>
      <c r="I159">
        <v>0</v>
      </c>
      <c r="J159" s="107"/>
      <c r="K159" s="107"/>
    </row>
    <row r="160" spans="1:11" ht="13.5" customHeight="1" outlineLevel="1" x14ac:dyDescent="0.25">
      <c r="A160" s="107"/>
      <c r="B160" s="107"/>
      <c r="C160" s="107"/>
      <c r="D160">
        <v>2023</v>
      </c>
      <c r="G160">
        <v>0</v>
      </c>
      <c r="H160">
        <v>0</v>
      </c>
      <c r="I160">
        <v>0</v>
      </c>
      <c r="J160" s="107"/>
      <c r="K160" s="107"/>
    </row>
    <row r="161" spans="1:11" ht="13.5" customHeight="1" outlineLevel="1" x14ac:dyDescent="0.25">
      <c r="A161" s="107"/>
      <c r="B161" s="107"/>
      <c r="C161" s="107"/>
      <c r="D161">
        <v>2024</v>
      </c>
      <c r="G161">
        <v>0</v>
      </c>
      <c r="H161">
        <v>0</v>
      </c>
      <c r="I161">
        <v>0</v>
      </c>
      <c r="J161" s="107"/>
      <c r="K161" s="107"/>
    </row>
    <row r="162" spans="1:11" ht="19.5" customHeight="1" outlineLevel="1" x14ac:dyDescent="0.25">
      <c r="A162" s="107"/>
      <c r="B162" s="107"/>
      <c r="C162" s="107"/>
      <c r="D162">
        <v>2025</v>
      </c>
      <c r="G162">
        <v>0</v>
      </c>
      <c r="H162">
        <v>0</v>
      </c>
      <c r="I162">
        <v>0</v>
      </c>
      <c r="J162" s="107"/>
      <c r="K162" s="107"/>
    </row>
    <row r="163" spans="1:11" ht="14.25" customHeight="1" outlineLevel="1" x14ac:dyDescent="0.25">
      <c r="A163" s="107" t="s">
        <v>528</v>
      </c>
      <c r="B163" s="107" t="s">
        <v>529</v>
      </c>
      <c r="C163" s="107" t="s">
        <v>14</v>
      </c>
      <c r="D163" t="s">
        <v>8</v>
      </c>
      <c r="E163">
        <f t="shared" si="18"/>
        <v>24356</v>
      </c>
      <c r="F163">
        <f>SUM(F164:F168)</f>
        <v>24356</v>
      </c>
      <c r="G163">
        <f>SUM(G164:G168)</f>
        <v>0</v>
      </c>
      <c r="H163">
        <f>SUM(H164:H168)</f>
        <v>0</v>
      </c>
      <c r="I163">
        <f>SUM(I164:I168)</f>
        <v>0</v>
      </c>
      <c r="J163" s="107" t="s">
        <v>530</v>
      </c>
      <c r="K163" s="107" t="s">
        <v>531</v>
      </c>
    </row>
    <row r="164" spans="1:11" ht="13.5" customHeight="1" outlineLevel="1" x14ac:dyDescent="0.25">
      <c r="A164" s="107"/>
      <c r="B164" s="107"/>
      <c r="C164" s="107"/>
      <c r="D164">
        <v>2021</v>
      </c>
      <c r="E164">
        <f t="shared" si="18"/>
        <v>24356</v>
      </c>
      <c r="F164">
        <v>24356</v>
      </c>
      <c r="G164">
        <v>0</v>
      </c>
      <c r="H164">
        <v>0</v>
      </c>
      <c r="I164">
        <v>0</v>
      </c>
      <c r="J164" s="107"/>
      <c r="K164" s="107"/>
    </row>
    <row r="165" spans="1:11" ht="13.5" customHeight="1" outlineLevel="1" x14ac:dyDescent="0.25">
      <c r="A165" s="107"/>
      <c r="B165" s="107"/>
      <c r="C165" s="107"/>
      <c r="D165">
        <v>2022</v>
      </c>
      <c r="G165">
        <v>0</v>
      </c>
      <c r="H165">
        <v>0</v>
      </c>
      <c r="I165">
        <v>0</v>
      </c>
      <c r="J165" s="107"/>
      <c r="K165" s="107"/>
    </row>
    <row r="166" spans="1:11" ht="13.5" customHeight="1" outlineLevel="1" x14ac:dyDescent="0.25">
      <c r="A166" s="107"/>
      <c r="B166" s="107"/>
      <c r="C166" s="107"/>
      <c r="D166">
        <v>2023</v>
      </c>
      <c r="G166">
        <v>0</v>
      </c>
      <c r="H166">
        <v>0</v>
      </c>
      <c r="I166">
        <v>0</v>
      </c>
      <c r="J166" s="107"/>
      <c r="K166" s="107"/>
    </row>
    <row r="167" spans="1:11" ht="13.5" customHeight="1" outlineLevel="1" x14ac:dyDescent="0.25">
      <c r="A167" s="107"/>
      <c r="B167" s="107"/>
      <c r="C167" s="107"/>
      <c r="D167">
        <v>2024</v>
      </c>
      <c r="G167">
        <v>0</v>
      </c>
      <c r="H167">
        <v>0</v>
      </c>
      <c r="I167">
        <v>0</v>
      </c>
      <c r="J167" s="107"/>
      <c r="K167" s="107"/>
    </row>
    <row r="168" spans="1:11" ht="19.5" customHeight="1" outlineLevel="1" x14ac:dyDescent="0.25">
      <c r="A168" s="107"/>
      <c r="B168" s="107"/>
      <c r="C168" s="107"/>
      <c r="D168">
        <v>2025</v>
      </c>
      <c r="G168">
        <v>0</v>
      </c>
      <c r="H168">
        <v>0</v>
      </c>
      <c r="I168">
        <v>0</v>
      </c>
      <c r="J168" s="107"/>
      <c r="K168" s="107"/>
    </row>
    <row r="169" spans="1:11" ht="14.25" customHeight="1" outlineLevel="1" x14ac:dyDescent="0.25">
      <c r="A169" s="107" t="s">
        <v>532</v>
      </c>
      <c r="B169" s="107" t="s">
        <v>533</v>
      </c>
      <c r="C169" s="107" t="s">
        <v>14</v>
      </c>
      <c r="D169" t="s">
        <v>8</v>
      </c>
      <c r="E169">
        <f t="shared" si="18"/>
        <v>100</v>
      </c>
      <c r="F169">
        <f>SUM(F170:F174)</f>
        <v>100</v>
      </c>
      <c r="G169">
        <f>SUM(G170:G174)</f>
        <v>0</v>
      </c>
      <c r="H169">
        <f>SUM(H170:H174)</f>
        <v>0</v>
      </c>
      <c r="I169">
        <f>SUM(I170:I174)</f>
        <v>0</v>
      </c>
      <c r="J169" s="107" t="s">
        <v>534</v>
      </c>
      <c r="K169" s="107" t="s">
        <v>92</v>
      </c>
    </row>
    <row r="170" spans="1:11" ht="13.5" customHeight="1" outlineLevel="1" x14ac:dyDescent="0.25">
      <c r="A170" s="107"/>
      <c r="B170" s="107"/>
      <c r="C170" s="107"/>
      <c r="D170">
        <v>2021</v>
      </c>
      <c r="E170">
        <f t="shared" si="18"/>
        <v>100</v>
      </c>
      <c r="F170">
        <v>100</v>
      </c>
      <c r="G170">
        <v>0</v>
      </c>
      <c r="H170">
        <v>0</v>
      </c>
      <c r="I170">
        <v>0</v>
      </c>
      <c r="J170" s="107"/>
      <c r="K170" s="107"/>
    </row>
    <row r="171" spans="1:11" ht="13.5" customHeight="1" outlineLevel="1" x14ac:dyDescent="0.25">
      <c r="A171" s="107"/>
      <c r="B171" s="107"/>
      <c r="C171" s="107"/>
      <c r="D171">
        <v>2022</v>
      </c>
      <c r="G171">
        <v>0</v>
      </c>
      <c r="H171">
        <v>0</v>
      </c>
      <c r="I171">
        <v>0</v>
      </c>
      <c r="J171" s="107"/>
      <c r="K171" s="107"/>
    </row>
    <row r="172" spans="1:11" ht="13.5" customHeight="1" outlineLevel="1" x14ac:dyDescent="0.25">
      <c r="A172" s="107"/>
      <c r="B172" s="107"/>
      <c r="C172" s="107"/>
      <c r="D172">
        <v>2023</v>
      </c>
      <c r="G172">
        <v>0</v>
      </c>
      <c r="H172">
        <v>0</v>
      </c>
      <c r="I172">
        <v>0</v>
      </c>
      <c r="J172" s="107"/>
      <c r="K172" s="107"/>
    </row>
    <row r="173" spans="1:11" ht="13.5" customHeight="1" outlineLevel="1" x14ac:dyDescent="0.25">
      <c r="A173" s="107"/>
      <c r="B173" s="107"/>
      <c r="C173" s="107"/>
      <c r="D173">
        <v>2024</v>
      </c>
      <c r="G173">
        <v>0</v>
      </c>
      <c r="H173">
        <v>0</v>
      </c>
      <c r="I173">
        <v>0</v>
      </c>
      <c r="J173" s="107"/>
      <c r="K173" s="107"/>
    </row>
    <row r="174" spans="1:11" ht="19.5" customHeight="1" outlineLevel="1" x14ac:dyDescent="0.25">
      <c r="A174" s="107"/>
      <c r="B174" s="107"/>
      <c r="C174" s="107"/>
      <c r="D174">
        <v>2025</v>
      </c>
      <c r="G174">
        <v>0</v>
      </c>
      <c r="H174">
        <v>0</v>
      </c>
      <c r="I174">
        <v>0</v>
      </c>
      <c r="J174" s="107"/>
      <c r="K174" s="107"/>
    </row>
    <row r="175" spans="1:11" ht="16.5" customHeight="1" outlineLevel="1" x14ac:dyDescent="0.25">
      <c r="A175" s="107" t="s">
        <v>535</v>
      </c>
      <c r="B175" s="107" t="s">
        <v>536</v>
      </c>
      <c r="C175" s="107" t="s">
        <v>14</v>
      </c>
      <c r="D175" t="s">
        <v>8</v>
      </c>
      <c r="E175">
        <f t="shared" ref="E175:E186" si="21">SUM(F175:I175)</f>
        <v>598.92700000000002</v>
      </c>
      <c r="F175">
        <f>SUM(F176:F180)</f>
        <v>598.92700000000002</v>
      </c>
      <c r="G175">
        <f>SUM(G176:G180)</f>
        <v>0</v>
      </c>
      <c r="H175">
        <f>SUM(H176:H180)</f>
        <v>0</v>
      </c>
      <c r="I175">
        <f>SUM(I176:I180)</f>
        <v>0</v>
      </c>
      <c r="J175" s="107" t="s">
        <v>537</v>
      </c>
      <c r="K175" s="107" t="s">
        <v>531</v>
      </c>
    </row>
    <row r="176" spans="1:11" ht="16.5" customHeight="1" outlineLevel="1" x14ac:dyDescent="0.25">
      <c r="A176" s="107"/>
      <c r="B176" s="107"/>
      <c r="C176" s="107"/>
      <c r="D176">
        <v>2021</v>
      </c>
      <c r="E176">
        <f t="shared" si="21"/>
        <v>598.92700000000002</v>
      </c>
      <c r="F176">
        <v>598.92700000000002</v>
      </c>
      <c r="G176">
        <v>0</v>
      </c>
      <c r="H176">
        <v>0</v>
      </c>
      <c r="I176">
        <v>0</v>
      </c>
      <c r="J176" s="107"/>
      <c r="K176" s="107"/>
    </row>
    <row r="177" spans="1:11" ht="16.5" customHeight="1" outlineLevel="1" x14ac:dyDescent="0.25">
      <c r="A177" s="107"/>
      <c r="B177" s="107"/>
      <c r="C177" s="107"/>
      <c r="D177">
        <v>2022</v>
      </c>
      <c r="E177">
        <f t="shared" si="21"/>
        <v>0</v>
      </c>
      <c r="F177">
        <v>0</v>
      </c>
      <c r="G177">
        <v>0</v>
      </c>
      <c r="H177">
        <v>0</v>
      </c>
      <c r="I177">
        <v>0</v>
      </c>
      <c r="J177" s="107"/>
      <c r="K177" s="107"/>
    </row>
    <row r="178" spans="1:11" ht="16.5" customHeight="1" outlineLevel="1" x14ac:dyDescent="0.25">
      <c r="A178" s="107"/>
      <c r="B178" s="107"/>
      <c r="C178" s="107"/>
      <c r="D178">
        <v>2023</v>
      </c>
      <c r="E178">
        <f t="shared" si="21"/>
        <v>0</v>
      </c>
      <c r="F178">
        <v>0</v>
      </c>
      <c r="G178">
        <v>0</v>
      </c>
      <c r="H178">
        <v>0</v>
      </c>
      <c r="I178">
        <v>0</v>
      </c>
      <c r="J178" s="107"/>
      <c r="K178" s="107"/>
    </row>
    <row r="179" spans="1:11" ht="16.5" customHeight="1" outlineLevel="1" x14ac:dyDescent="0.25">
      <c r="A179" s="107"/>
      <c r="B179" s="107"/>
      <c r="C179" s="107"/>
      <c r="D179">
        <v>2024</v>
      </c>
      <c r="E179">
        <f t="shared" si="21"/>
        <v>0</v>
      </c>
      <c r="F179">
        <v>0</v>
      </c>
      <c r="G179">
        <v>0</v>
      </c>
      <c r="H179">
        <v>0</v>
      </c>
      <c r="I179">
        <v>0</v>
      </c>
      <c r="J179" s="107"/>
      <c r="K179" s="107"/>
    </row>
    <row r="180" spans="1:11" ht="16.5" customHeight="1" outlineLevel="1" x14ac:dyDescent="0.25">
      <c r="A180" s="107"/>
      <c r="B180" s="107"/>
      <c r="C180" s="107"/>
      <c r="D180">
        <v>2025</v>
      </c>
      <c r="E180">
        <f t="shared" si="21"/>
        <v>0</v>
      </c>
      <c r="F180">
        <v>0</v>
      </c>
      <c r="G180">
        <v>0</v>
      </c>
      <c r="H180">
        <v>0</v>
      </c>
      <c r="I180">
        <v>0</v>
      </c>
      <c r="J180" s="107"/>
      <c r="K180" s="107"/>
    </row>
    <row r="181" spans="1:11" ht="20.100000000000001" customHeight="1" outlineLevel="1" x14ac:dyDescent="0.25">
      <c r="A181" s="107" t="s">
        <v>78</v>
      </c>
      <c r="B181" s="107" t="s">
        <v>79</v>
      </c>
      <c r="C181" s="107" t="s">
        <v>14</v>
      </c>
      <c r="D181" t="s">
        <v>8</v>
      </c>
      <c r="E181">
        <f t="shared" si="21"/>
        <v>54717.700210000003</v>
      </c>
      <c r="F181">
        <f>SUM(F182:F186)</f>
        <v>41400</v>
      </c>
      <c r="G181">
        <f>SUM(G182:G186)</f>
        <v>0</v>
      </c>
      <c r="H181">
        <f>SUM(H182:H186)</f>
        <v>13317.700210000001</v>
      </c>
      <c r="I181">
        <f>SUM(I182:I186)</f>
        <v>0</v>
      </c>
      <c r="J181" s="107" t="s">
        <v>80</v>
      </c>
      <c r="K181" s="107" t="s">
        <v>1056</v>
      </c>
    </row>
    <row r="182" spans="1:11" ht="20.100000000000001" customHeight="1" outlineLevel="1" x14ac:dyDescent="0.25">
      <c r="A182" s="107"/>
      <c r="B182" s="107"/>
      <c r="C182" s="107"/>
      <c r="D182">
        <v>2021</v>
      </c>
      <c r="E182">
        <f t="shared" si="21"/>
        <v>54717.700210000003</v>
      </c>
      <c r="F182">
        <f t="shared" ref="F182:I186" si="22">F194+F188</f>
        <v>41400</v>
      </c>
      <c r="G182">
        <f t="shared" si="22"/>
        <v>0</v>
      </c>
      <c r="H182">
        <f t="shared" si="22"/>
        <v>13317.700210000001</v>
      </c>
      <c r="I182">
        <f t="shared" si="22"/>
        <v>0</v>
      </c>
      <c r="J182" s="107"/>
      <c r="K182" s="107"/>
    </row>
    <row r="183" spans="1:11" ht="20.100000000000001" customHeight="1" outlineLevel="1" x14ac:dyDescent="0.25">
      <c r="A183" s="107"/>
      <c r="B183" s="107"/>
      <c r="C183" s="107"/>
      <c r="D183">
        <v>2022</v>
      </c>
      <c r="E183">
        <f t="shared" si="21"/>
        <v>0</v>
      </c>
      <c r="F183">
        <f t="shared" si="22"/>
        <v>0</v>
      </c>
      <c r="G183">
        <f t="shared" si="22"/>
        <v>0</v>
      </c>
      <c r="H183">
        <f t="shared" si="22"/>
        <v>0</v>
      </c>
      <c r="I183">
        <f t="shared" si="22"/>
        <v>0</v>
      </c>
      <c r="J183" s="107"/>
      <c r="K183" s="107"/>
    </row>
    <row r="184" spans="1:11" ht="20.100000000000001" customHeight="1" outlineLevel="1" x14ac:dyDescent="0.25">
      <c r="A184" s="107"/>
      <c r="B184" s="107"/>
      <c r="C184" s="107"/>
      <c r="D184">
        <v>2023</v>
      </c>
      <c r="E184">
        <f t="shared" si="21"/>
        <v>0</v>
      </c>
      <c r="F184">
        <f t="shared" si="22"/>
        <v>0</v>
      </c>
      <c r="G184">
        <f t="shared" si="22"/>
        <v>0</v>
      </c>
      <c r="H184">
        <f t="shared" si="22"/>
        <v>0</v>
      </c>
      <c r="I184">
        <f t="shared" si="22"/>
        <v>0</v>
      </c>
      <c r="J184" s="107"/>
      <c r="K184" s="107"/>
    </row>
    <row r="185" spans="1:11" ht="20.100000000000001" customHeight="1" outlineLevel="1" x14ac:dyDescent="0.25">
      <c r="A185" s="107"/>
      <c r="B185" s="107"/>
      <c r="C185" s="107"/>
      <c r="D185">
        <v>2024</v>
      </c>
      <c r="E185">
        <f t="shared" si="21"/>
        <v>0</v>
      </c>
      <c r="F185">
        <f t="shared" si="22"/>
        <v>0</v>
      </c>
      <c r="G185">
        <f t="shared" si="22"/>
        <v>0</v>
      </c>
      <c r="H185">
        <f t="shared" si="22"/>
        <v>0</v>
      </c>
      <c r="I185">
        <f t="shared" si="22"/>
        <v>0</v>
      </c>
      <c r="J185" s="107"/>
      <c r="K185" s="107"/>
    </row>
    <row r="186" spans="1:11" ht="20.100000000000001" customHeight="1" outlineLevel="1" x14ac:dyDescent="0.25">
      <c r="A186" s="107"/>
      <c r="B186" s="107"/>
      <c r="C186" s="107"/>
      <c r="D186">
        <v>2025</v>
      </c>
      <c r="E186">
        <f t="shared" si="21"/>
        <v>0</v>
      </c>
      <c r="F186">
        <f t="shared" si="22"/>
        <v>0</v>
      </c>
      <c r="G186">
        <f t="shared" si="22"/>
        <v>0</v>
      </c>
      <c r="H186">
        <f t="shared" si="22"/>
        <v>0</v>
      </c>
      <c r="I186">
        <f t="shared" si="22"/>
        <v>0</v>
      </c>
      <c r="J186" s="107"/>
      <c r="K186" s="107"/>
    </row>
    <row r="187" spans="1:11" ht="18.75" customHeight="1" outlineLevel="1" x14ac:dyDescent="0.25">
      <c r="A187" s="107" t="s">
        <v>81</v>
      </c>
      <c r="B187" s="107" t="s">
        <v>82</v>
      </c>
      <c r="C187" s="107">
        <v>2021</v>
      </c>
      <c r="D187" t="s">
        <v>8</v>
      </c>
      <c r="E187">
        <f>SUM(E188:E192)</f>
        <v>9800.9188400000003</v>
      </c>
      <c r="F187">
        <f>SUM(F188:F192)</f>
        <v>6400</v>
      </c>
      <c r="G187">
        <f>SUM(G188:G192)</f>
        <v>0</v>
      </c>
      <c r="H187">
        <f>SUM(H188:H192)</f>
        <v>3400.9188399999998</v>
      </c>
      <c r="I187">
        <f>SUM(I188:I192)</f>
        <v>0</v>
      </c>
      <c r="J187" s="107" t="s">
        <v>83</v>
      </c>
      <c r="K187" s="107" t="s">
        <v>1064</v>
      </c>
    </row>
    <row r="188" spans="1:11" ht="18.75" customHeight="1" outlineLevel="1" x14ac:dyDescent="0.25">
      <c r="A188" s="107"/>
      <c r="B188" s="107"/>
      <c r="C188" s="107"/>
      <c r="D188">
        <v>2021</v>
      </c>
      <c r="E188">
        <f t="shared" ref="E188:E192" si="23">SUM(F188:I188)</f>
        <v>9800.9188400000003</v>
      </c>
      <c r="F188">
        <v>6400</v>
      </c>
      <c r="G188">
        <v>0</v>
      </c>
      <c r="H188">
        <v>3400.9188399999998</v>
      </c>
      <c r="I188">
        <v>0</v>
      </c>
      <c r="J188" s="107"/>
      <c r="K188" s="107"/>
    </row>
    <row r="189" spans="1:11" ht="18.75" customHeight="1" outlineLevel="1" x14ac:dyDescent="0.25">
      <c r="A189" s="107"/>
      <c r="B189" s="107"/>
      <c r="C189" s="107"/>
      <c r="D189">
        <v>2022</v>
      </c>
      <c r="E189">
        <f t="shared" si="23"/>
        <v>0</v>
      </c>
      <c r="F189">
        <v>0</v>
      </c>
      <c r="G189">
        <v>0</v>
      </c>
      <c r="H189">
        <v>0</v>
      </c>
      <c r="I189">
        <v>0</v>
      </c>
      <c r="J189" s="107"/>
      <c r="K189" s="107"/>
    </row>
    <row r="190" spans="1:11" ht="18.75" customHeight="1" outlineLevel="1" x14ac:dyDescent="0.25">
      <c r="A190" s="107"/>
      <c r="B190" s="107"/>
      <c r="C190" s="107"/>
      <c r="D190">
        <v>2023</v>
      </c>
      <c r="E190">
        <f t="shared" si="23"/>
        <v>0</v>
      </c>
      <c r="F190">
        <v>0</v>
      </c>
      <c r="G190">
        <v>0</v>
      </c>
      <c r="H190">
        <v>0</v>
      </c>
      <c r="I190">
        <v>0</v>
      </c>
      <c r="J190" s="107"/>
      <c r="K190" s="107"/>
    </row>
    <row r="191" spans="1:11" ht="18.75" customHeight="1" outlineLevel="1" x14ac:dyDescent="0.25">
      <c r="A191" s="107"/>
      <c r="B191" s="107"/>
      <c r="C191" s="107"/>
      <c r="D191">
        <v>2024</v>
      </c>
      <c r="E191">
        <f t="shared" si="23"/>
        <v>0</v>
      </c>
      <c r="F191">
        <v>0</v>
      </c>
      <c r="G191">
        <v>0</v>
      </c>
      <c r="H191">
        <v>0</v>
      </c>
      <c r="I191">
        <v>0</v>
      </c>
      <c r="J191" s="107"/>
      <c r="K191" s="107"/>
    </row>
    <row r="192" spans="1:11" ht="18.75" customHeight="1" outlineLevel="1" x14ac:dyDescent="0.25">
      <c r="A192" s="107"/>
      <c r="B192" s="107"/>
      <c r="C192" s="107"/>
      <c r="D192">
        <v>2025</v>
      </c>
      <c r="E192">
        <f t="shared" si="23"/>
        <v>0</v>
      </c>
      <c r="F192">
        <v>0</v>
      </c>
      <c r="G192">
        <v>0</v>
      </c>
      <c r="H192">
        <v>0</v>
      </c>
      <c r="I192">
        <v>0</v>
      </c>
      <c r="J192" s="107"/>
      <c r="K192" s="107"/>
    </row>
    <row r="193" spans="1:12" ht="17.100000000000001" customHeight="1" outlineLevel="1" x14ac:dyDescent="0.25">
      <c r="A193" s="107" t="s">
        <v>540</v>
      </c>
      <c r="B193" s="107" t="s">
        <v>541</v>
      </c>
      <c r="C193" s="107">
        <v>2021</v>
      </c>
      <c r="D193" t="s">
        <v>8</v>
      </c>
      <c r="E193">
        <f>SUM(E194:E198)</f>
        <v>44916.781369999997</v>
      </c>
      <c r="F193">
        <f>SUM(F194:F198)</f>
        <v>35000</v>
      </c>
      <c r="G193">
        <f>SUM(G194:G198)</f>
        <v>0</v>
      </c>
      <c r="H193">
        <f>SUM(H194:H198)</f>
        <v>9916.7813700000006</v>
      </c>
      <c r="I193">
        <f>SUM(I194:I198)</f>
        <v>0</v>
      </c>
      <c r="J193" s="107" t="s">
        <v>542</v>
      </c>
      <c r="K193" s="107" t="s">
        <v>1064</v>
      </c>
    </row>
    <row r="194" spans="1:12" ht="17.100000000000001" customHeight="1" outlineLevel="1" x14ac:dyDescent="0.25">
      <c r="A194" s="107"/>
      <c r="B194" s="107"/>
      <c r="C194" s="107"/>
      <c r="D194">
        <v>2021</v>
      </c>
      <c r="E194">
        <f t="shared" ref="E194:E228" si="24">SUM(F194:I194)</f>
        <v>44916.781369999997</v>
      </c>
      <c r="F194">
        <v>35000</v>
      </c>
      <c r="G194">
        <v>0</v>
      </c>
      <c r="H194">
        <v>9916.7813700000006</v>
      </c>
      <c r="I194">
        <v>0</v>
      </c>
      <c r="J194" s="107"/>
      <c r="K194" s="107"/>
    </row>
    <row r="195" spans="1:12" ht="17.100000000000001" customHeight="1" outlineLevel="1" x14ac:dyDescent="0.25">
      <c r="A195" s="107"/>
      <c r="B195" s="107"/>
      <c r="C195" s="107"/>
      <c r="D195">
        <v>2022</v>
      </c>
      <c r="E195">
        <f t="shared" si="24"/>
        <v>0</v>
      </c>
      <c r="F195">
        <v>0</v>
      </c>
      <c r="G195">
        <v>0</v>
      </c>
      <c r="H195">
        <v>0</v>
      </c>
      <c r="I195">
        <v>0</v>
      </c>
      <c r="J195" s="107"/>
      <c r="K195" s="107"/>
    </row>
    <row r="196" spans="1:12" ht="17.100000000000001" customHeight="1" outlineLevel="1" x14ac:dyDescent="0.25">
      <c r="A196" s="107"/>
      <c r="B196" s="107"/>
      <c r="C196" s="107"/>
      <c r="D196">
        <v>2023</v>
      </c>
      <c r="E196">
        <f t="shared" si="24"/>
        <v>0</v>
      </c>
      <c r="F196">
        <v>0</v>
      </c>
      <c r="G196">
        <v>0</v>
      </c>
      <c r="H196">
        <v>0</v>
      </c>
      <c r="I196">
        <v>0</v>
      </c>
      <c r="J196" s="107"/>
      <c r="K196" s="107"/>
    </row>
    <row r="197" spans="1:12" ht="17.100000000000001" customHeight="1" outlineLevel="1" x14ac:dyDescent="0.25">
      <c r="A197" s="107"/>
      <c r="B197" s="107"/>
      <c r="C197" s="107"/>
      <c r="D197">
        <v>2024</v>
      </c>
      <c r="E197">
        <f t="shared" si="24"/>
        <v>0</v>
      </c>
      <c r="F197">
        <v>0</v>
      </c>
      <c r="G197">
        <v>0</v>
      </c>
      <c r="H197">
        <v>0</v>
      </c>
      <c r="I197">
        <v>0</v>
      </c>
      <c r="J197" s="107"/>
      <c r="K197" s="107"/>
    </row>
    <row r="198" spans="1:12" ht="17.100000000000001" customHeight="1" outlineLevel="1" x14ac:dyDescent="0.25">
      <c r="A198" s="107"/>
      <c r="B198" s="107"/>
      <c r="C198" s="107"/>
      <c r="D198">
        <v>2025</v>
      </c>
      <c r="E198">
        <f t="shared" si="24"/>
        <v>0</v>
      </c>
      <c r="F198">
        <v>0</v>
      </c>
      <c r="G198">
        <v>0</v>
      </c>
      <c r="H198">
        <v>0</v>
      </c>
      <c r="I198">
        <v>0</v>
      </c>
      <c r="J198" s="107"/>
      <c r="K198" s="107"/>
    </row>
    <row r="199" spans="1:12" ht="20.100000000000001" customHeight="1" outlineLevel="1" x14ac:dyDescent="0.25">
      <c r="A199" s="107" t="s">
        <v>84</v>
      </c>
      <c r="B199" s="107" t="s">
        <v>40</v>
      </c>
      <c r="C199" s="107" t="s">
        <v>41</v>
      </c>
      <c r="D199" t="s">
        <v>8</v>
      </c>
      <c r="E199">
        <f t="shared" si="24"/>
        <v>84336.718850000005</v>
      </c>
      <c r="F199">
        <f>SUM(F200:F204)</f>
        <v>12167.618850000001</v>
      </c>
      <c r="G199">
        <f>SUM(G200:G204)</f>
        <v>72169.100000000006</v>
      </c>
      <c r="H199">
        <f>SUM(H200:H204)</f>
        <v>0</v>
      </c>
      <c r="I199">
        <f>SUM(I200:I204)</f>
        <v>0</v>
      </c>
      <c r="J199" s="107" t="s">
        <v>85</v>
      </c>
      <c r="K199" s="107" t="s">
        <v>486</v>
      </c>
    </row>
    <row r="200" spans="1:12" ht="20.100000000000001" customHeight="1" outlineLevel="1" x14ac:dyDescent="0.25">
      <c r="A200" s="107"/>
      <c r="B200" s="107"/>
      <c r="C200" s="107"/>
      <c r="D200">
        <v>2021</v>
      </c>
      <c r="E200">
        <f t="shared" si="24"/>
        <v>41327.644590000004</v>
      </c>
      <c r="F200">
        <f t="shared" ref="F200:F203" si="25">F206+F212</f>
        <v>3947.54459</v>
      </c>
      <c r="G200">
        <f t="shared" ref="F200:I204" si="26">G206+G212</f>
        <v>37380.100000000006</v>
      </c>
      <c r="H200">
        <f t="shared" si="26"/>
        <v>0</v>
      </c>
      <c r="I200">
        <f t="shared" si="26"/>
        <v>0</v>
      </c>
      <c r="J200" s="107"/>
      <c r="K200" s="107"/>
    </row>
    <row r="201" spans="1:12" ht="20.100000000000001" customHeight="1" outlineLevel="1" x14ac:dyDescent="0.25">
      <c r="A201" s="107"/>
      <c r="B201" s="107"/>
      <c r="C201" s="107"/>
      <c r="D201">
        <v>2022</v>
      </c>
      <c r="E201">
        <f t="shared" si="24"/>
        <v>19727.664930000003</v>
      </c>
      <c r="F201">
        <f t="shared" si="25"/>
        <v>2738.2649299999998</v>
      </c>
      <c r="G201">
        <f t="shared" si="26"/>
        <v>16989.400000000001</v>
      </c>
      <c r="H201">
        <f t="shared" si="26"/>
        <v>0</v>
      </c>
      <c r="I201">
        <f t="shared" si="26"/>
        <v>0</v>
      </c>
      <c r="J201" s="107"/>
      <c r="K201" s="107"/>
    </row>
    <row r="202" spans="1:12" ht="20.100000000000001" customHeight="1" outlineLevel="1" x14ac:dyDescent="0.25">
      <c r="A202" s="107"/>
      <c r="B202" s="107"/>
      <c r="C202" s="107"/>
      <c r="D202">
        <v>2023</v>
      </c>
      <c r="E202">
        <f t="shared" si="24"/>
        <v>20589.57993</v>
      </c>
      <c r="F202">
        <f t="shared" si="25"/>
        <v>2789.97993</v>
      </c>
      <c r="G202">
        <f t="shared" si="26"/>
        <v>17799.599999999999</v>
      </c>
      <c r="H202">
        <f t="shared" si="26"/>
        <v>0</v>
      </c>
      <c r="I202">
        <f t="shared" si="26"/>
        <v>0</v>
      </c>
      <c r="J202" s="107"/>
      <c r="K202" s="107"/>
    </row>
    <row r="203" spans="1:12" ht="20.100000000000001" customHeight="1" outlineLevel="1" x14ac:dyDescent="0.25">
      <c r="A203" s="107"/>
      <c r="B203" s="107"/>
      <c r="C203" s="107"/>
      <c r="D203">
        <v>2024</v>
      </c>
      <c r="E203">
        <f t="shared" si="24"/>
        <v>2691.8294000000001</v>
      </c>
      <c r="F203">
        <f t="shared" si="25"/>
        <v>2691.8294000000001</v>
      </c>
      <c r="G203">
        <f t="shared" si="26"/>
        <v>0</v>
      </c>
      <c r="H203">
        <f t="shared" si="26"/>
        <v>0</v>
      </c>
      <c r="I203">
        <f t="shared" si="26"/>
        <v>0</v>
      </c>
      <c r="J203" s="107"/>
      <c r="K203" s="107"/>
    </row>
    <row r="204" spans="1:12" ht="20.100000000000001" customHeight="1" outlineLevel="1" x14ac:dyDescent="0.25">
      <c r="A204" s="107"/>
      <c r="B204" s="107"/>
      <c r="C204" s="107"/>
      <c r="D204">
        <v>2025</v>
      </c>
      <c r="E204">
        <f t="shared" si="24"/>
        <v>0</v>
      </c>
      <c r="F204">
        <f t="shared" si="26"/>
        <v>0</v>
      </c>
      <c r="G204">
        <f t="shared" si="26"/>
        <v>0</v>
      </c>
      <c r="H204">
        <f t="shared" si="26"/>
        <v>0</v>
      </c>
      <c r="I204">
        <f>I210+I216</f>
        <v>0</v>
      </c>
      <c r="J204" s="107"/>
      <c r="K204" s="107"/>
    </row>
    <row r="205" spans="1:12" ht="15.75" customHeight="1" outlineLevel="1" x14ac:dyDescent="0.25">
      <c r="A205" s="107" t="s">
        <v>60</v>
      </c>
      <c r="B205" s="107" t="s">
        <v>87</v>
      </c>
      <c r="C205" s="107" t="s">
        <v>41</v>
      </c>
      <c r="D205" t="s">
        <v>8</v>
      </c>
      <c r="E205">
        <f t="shared" si="24"/>
        <v>62476.141380000001</v>
      </c>
      <c r="F205">
        <f>SUM(F206:F210)</f>
        <v>4436.3413799999998</v>
      </c>
      <c r="G205">
        <f>SUM(G206:G210)</f>
        <v>58039.8</v>
      </c>
      <c r="H205">
        <f>SUM(H206:H210)</f>
        <v>0</v>
      </c>
      <c r="I205">
        <f>SUM(I206:I210)</f>
        <v>0</v>
      </c>
      <c r="J205" s="107" t="s">
        <v>543</v>
      </c>
      <c r="K205" s="107" t="s">
        <v>1064</v>
      </c>
    </row>
    <row r="206" spans="1:12" outlineLevel="1" x14ac:dyDescent="0.25">
      <c r="A206" s="107"/>
      <c r="B206" s="107"/>
      <c r="C206" s="107"/>
      <c r="D206">
        <v>2021</v>
      </c>
      <c r="E206">
        <f t="shared" si="24"/>
        <v>34945.531910000005</v>
      </c>
      <c r="F206">
        <f>(1595744.68+500987.23)/1000</f>
        <v>2096.73191</v>
      </c>
      <c r="G206">
        <f>25000+7848.8</f>
        <v>32848.800000000003</v>
      </c>
      <c r="H206">
        <v>0</v>
      </c>
      <c r="I206">
        <v>0</v>
      </c>
      <c r="J206" s="107"/>
      <c r="K206" s="107"/>
      <c r="L206" t="s">
        <v>1065</v>
      </c>
    </row>
    <row r="207" spans="1:12" outlineLevel="1" x14ac:dyDescent="0.25">
      <c r="A207" s="107"/>
      <c r="B207" s="107"/>
      <c r="C207" s="107"/>
      <c r="D207">
        <v>2022</v>
      </c>
      <c r="E207">
        <f t="shared" si="24"/>
        <v>12968.51</v>
      </c>
      <c r="F207">
        <v>778.11</v>
      </c>
      <c r="G207">
        <v>12190.4</v>
      </c>
      <c r="H207">
        <v>0</v>
      </c>
      <c r="I207">
        <v>0</v>
      </c>
      <c r="J207" s="107"/>
      <c r="K207" s="107"/>
    </row>
    <row r="208" spans="1:12" outlineLevel="1" x14ac:dyDescent="0.25">
      <c r="A208" s="107"/>
      <c r="B208" s="107"/>
      <c r="C208" s="107"/>
      <c r="D208">
        <v>2023</v>
      </c>
      <c r="E208">
        <f t="shared" si="24"/>
        <v>13830.425000000001</v>
      </c>
      <c r="F208">
        <v>829.82500000000005</v>
      </c>
      <c r="G208">
        <v>13000.6</v>
      </c>
      <c r="H208">
        <v>0</v>
      </c>
      <c r="I208">
        <v>0</v>
      </c>
      <c r="J208" s="107"/>
      <c r="K208" s="107"/>
    </row>
    <row r="209" spans="1:12" outlineLevel="1" x14ac:dyDescent="0.25">
      <c r="A209" s="107"/>
      <c r="B209" s="107"/>
      <c r="C209" s="107"/>
      <c r="D209">
        <v>2024</v>
      </c>
      <c r="E209">
        <f t="shared" si="24"/>
        <v>731.67447000000004</v>
      </c>
      <c r="F209">
        <v>731.67447000000004</v>
      </c>
      <c r="G209">
        <v>0</v>
      </c>
      <c r="H209">
        <v>0</v>
      </c>
      <c r="I209">
        <v>0</v>
      </c>
      <c r="J209" s="107"/>
      <c r="K209" s="107"/>
    </row>
    <row r="210" spans="1:12" outlineLevel="1" x14ac:dyDescent="0.25">
      <c r="A210" s="107"/>
      <c r="B210" s="107"/>
      <c r="C210" s="107"/>
      <c r="D210">
        <v>2025</v>
      </c>
      <c r="E210">
        <f t="shared" si="24"/>
        <v>0</v>
      </c>
      <c r="F210">
        <v>0</v>
      </c>
      <c r="G210">
        <v>0</v>
      </c>
      <c r="H210">
        <v>0</v>
      </c>
      <c r="I210">
        <v>0</v>
      </c>
      <c r="J210" s="107"/>
      <c r="K210" s="107"/>
    </row>
    <row r="211" spans="1:12" ht="19.5" customHeight="1" outlineLevel="1" x14ac:dyDescent="0.25">
      <c r="A211" s="107" t="s">
        <v>63</v>
      </c>
      <c r="B211" s="107" t="s">
        <v>90</v>
      </c>
      <c r="C211" s="107" t="s">
        <v>14</v>
      </c>
      <c r="D211" t="s">
        <v>8</v>
      </c>
      <c r="E211">
        <f t="shared" si="24"/>
        <v>21860.577469999997</v>
      </c>
      <c r="F211">
        <f>SUM(F212:F216)</f>
        <v>7731.2774699999991</v>
      </c>
      <c r="G211">
        <f>SUM(G212:G216)</f>
        <v>14129.3</v>
      </c>
      <c r="H211">
        <f>SUM(H212:H216)</f>
        <v>0</v>
      </c>
      <c r="I211">
        <f>SUM(I212:I216)</f>
        <v>0</v>
      </c>
      <c r="J211" s="107" t="s">
        <v>544</v>
      </c>
      <c r="K211" s="107" t="s">
        <v>1056</v>
      </c>
    </row>
    <row r="212" spans="1:12" ht="15" customHeight="1" outlineLevel="1" x14ac:dyDescent="0.25">
      <c r="A212" s="107"/>
      <c r="B212" s="107"/>
      <c r="C212" s="107"/>
      <c r="D212">
        <v>2021</v>
      </c>
      <c r="E212">
        <f t="shared" si="24"/>
        <v>6382.1126800000002</v>
      </c>
      <c r="F212">
        <v>1850.81268</v>
      </c>
      <c r="G212">
        <v>4531.3</v>
      </c>
      <c r="H212">
        <v>0</v>
      </c>
      <c r="I212">
        <v>0</v>
      </c>
      <c r="J212" s="107"/>
      <c r="K212" s="107"/>
      <c r="L212" t="s">
        <v>1066</v>
      </c>
    </row>
    <row r="213" spans="1:12" ht="16.5" customHeight="1" outlineLevel="1" x14ac:dyDescent="0.25">
      <c r="A213" s="107"/>
      <c r="B213" s="107"/>
      <c r="C213" s="107"/>
      <c r="D213">
        <v>2022</v>
      </c>
      <c r="E213">
        <f t="shared" si="24"/>
        <v>6759.1549299999997</v>
      </c>
      <c r="F213">
        <v>1960.1549299999999</v>
      </c>
      <c r="G213">
        <v>4799</v>
      </c>
      <c r="H213">
        <v>0</v>
      </c>
      <c r="I213">
        <v>0</v>
      </c>
      <c r="J213" s="107"/>
      <c r="K213" s="107"/>
      <c r="L213" t="s">
        <v>1067</v>
      </c>
    </row>
    <row r="214" spans="1:12" ht="14.25" customHeight="1" outlineLevel="1" x14ac:dyDescent="0.25">
      <c r="A214" s="107"/>
      <c r="B214" s="107"/>
      <c r="C214" s="107"/>
      <c r="D214">
        <v>2023</v>
      </c>
      <c r="E214">
        <f t="shared" si="24"/>
        <v>6759.1549299999997</v>
      </c>
      <c r="F214">
        <v>1960.1549299999999</v>
      </c>
      <c r="G214">
        <v>4799</v>
      </c>
      <c r="H214">
        <v>0</v>
      </c>
      <c r="I214">
        <v>0</v>
      </c>
      <c r="J214" s="107"/>
      <c r="K214" s="107"/>
    </row>
    <row r="215" spans="1:12" ht="12.75" customHeight="1" outlineLevel="1" x14ac:dyDescent="0.25">
      <c r="A215" s="107"/>
      <c r="B215" s="107"/>
      <c r="C215" s="107"/>
      <c r="D215">
        <v>2024</v>
      </c>
      <c r="E215">
        <f t="shared" si="24"/>
        <v>1960.1549299999999</v>
      </c>
      <c r="F215">
        <v>1960.1549299999999</v>
      </c>
      <c r="G215">
        <v>0</v>
      </c>
      <c r="H215">
        <v>0</v>
      </c>
      <c r="I215">
        <v>0</v>
      </c>
      <c r="J215" s="107"/>
      <c r="K215" s="107"/>
    </row>
    <row r="216" spans="1:12" ht="14.25" customHeight="1" outlineLevel="1" x14ac:dyDescent="0.25">
      <c r="A216" s="107"/>
      <c r="B216" s="107"/>
      <c r="C216" s="107"/>
      <c r="D216">
        <v>2025</v>
      </c>
      <c r="E216">
        <f t="shared" si="24"/>
        <v>0</v>
      </c>
      <c r="F216">
        <v>0</v>
      </c>
      <c r="G216">
        <v>0</v>
      </c>
      <c r="H216">
        <v>0</v>
      </c>
      <c r="I216">
        <v>0</v>
      </c>
      <c r="J216" s="107"/>
      <c r="K216" s="107"/>
    </row>
    <row r="217" spans="1:12" ht="15.95" customHeight="1" x14ac:dyDescent="0.25">
      <c r="A217" s="107" t="s">
        <v>93</v>
      </c>
      <c r="B217" s="107" t="s">
        <v>94</v>
      </c>
      <c r="C217" s="107" t="s">
        <v>14</v>
      </c>
      <c r="D217" t="s">
        <v>8</v>
      </c>
      <c r="E217">
        <f t="shared" si="24"/>
        <v>1211449.8816126366</v>
      </c>
      <c r="F217">
        <f>SUM(F218:F222)</f>
        <v>637507.2800167501</v>
      </c>
      <c r="G217">
        <f>SUM(G218:G222)</f>
        <v>502391</v>
      </c>
      <c r="H217">
        <f>SUM(H218:H222)</f>
        <v>71551.601595886546</v>
      </c>
      <c r="I217">
        <f>SUM(I218:I222)</f>
        <v>0</v>
      </c>
      <c r="J217" s="107"/>
      <c r="K217" s="107" t="s">
        <v>1068</v>
      </c>
    </row>
    <row r="218" spans="1:12" ht="15.95" customHeight="1" x14ac:dyDescent="0.25">
      <c r="A218" s="107"/>
      <c r="B218" s="107"/>
      <c r="C218" s="107"/>
      <c r="D218">
        <v>2021</v>
      </c>
      <c r="E218">
        <f t="shared" si="24"/>
        <v>512357.59168579447</v>
      </c>
      <c r="F218">
        <f>F224+F265+F349</f>
        <v>225015.44308674999</v>
      </c>
      <c r="G218">
        <f t="shared" ref="F218:I222" si="27">G224+G265+G349</f>
        <v>257488.7</v>
      </c>
      <c r="H218">
        <f t="shared" si="27"/>
        <v>29853.448599044441</v>
      </c>
      <c r="I218">
        <f t="shared" si="27"/>
        <v>0</v>
      </c>
      <c r="J218" s="107"/>
      <c r="K218" s="107"/>
    </row>
    <row r="219" spans="1:12" ht="15.95" customHeight="1" x14ac:dyDescent="0.25">
      <c r="A219" s="107"/>
      <c r="B219" s="107"/>
      <c r="C219" s="107"/>
      <c r="D219">
        <v>2022</v>
      </c>
      <c r="E219">
        <f t="shared" si="24"/>
        <v>537469.39519000007</v>
      </c>
      <c r="F219">
        <f t="shared" si="27"/>
        <v>378666.53693000006</v>
      </c>
      <c r="G219">
        <f t="shared" si="27"/>
        <v>117511.3</v>
      </c>
      <c r="H219">
        <f t="shared" si="27"/>
        <v>41291.558260000005</v>
      </c>
      <c r="I219">
        <f t="shared" si="27"/>
        <v>0</v>
      </c>
      <c r="J219" s="107"/>
      <c r="K219" s="107"/>
    </row>
    <row r="220" spans="1:12" ht="15.95" customHeight="1" x14ac:dyDescent="0.25">
      <c r="A220" s="107"/>
      <c r="B220" s="107"/>
      <c r="C220" s="107"/>
      <c r="D220">
        <v>2023</v>
      </c>
      <c r="E220">
        <f t="shared" si="24"/>
        <v>145572.89473684211</v>
      </c>
      <c r="F220">
        <f t="shared" si="27"/>
        <v>17775.3</v>
      </c>
      <c r="G220">
        <f t="shared" si="27"/>
        <v>127391</v>
      </c>
      <c r="H220">
        <f t="shared" si="27"/>
        <v>406.59473684210525</v>
      </c>
      <c r="I220">
        <f t="shared" si="27"/>
        <v>0</v>
      </c>
      <c r="J220" s="107"/>
      <c r="K220" s="107"/>
    </row>
    <row r="221" spans="1:12" ht="15.95" customHeight="1" x14ac:dyDescent="0.25">
      <c r="A221" s="107"/>
      <c r="B221" s="107"/>
      <c r="C221" s="107"/>
      <c r="D221">
        <v>2024</v>
      </c>
      <c r="E221">
        <f t="shared" si="24"/>
        <v>10050</v>
      </c>
      <c r="F221">
        <f t="shared" si="27"/>
        <v>10050</v>
      </c>
      <c r="G221">
        <f t="shared" si="27"/>
        <v>0</v>
      </c>
      <c r="H221">
        <f t="shared" si="27"/>
        <v>0</v>
      </c>
      <c r="I221">
        <f t="shared" si="27"/>
        <v>0</v>
      </c>
      <c r="J221" s="107"/>
      <c r="K221" s="107"/>
    </row>
    <row r="222" spans="1:12" ht="15.95" customHeight="1" x14ac:dyDescent="0.25">
      <c r="A222" s="107"/>
      <c r="B222" s="107"/>
      <c r="C222" s="107"/>
      <c r="D222">
        <v>2025</v>
      </c>
      <c r="E222">
        <f t="shared" si="24"/>
        <v>6000</v>
      </c>
      <c r="F222">
        <f t="shared" si="27"/>
        <v>6000</v>
      </c>
      <c r="G222">
        <f t="shared" si="27"/>
        <v>0</v>
      </c>
      <c r="H222">
        <f t="shared" si="27"/>
        <v>0</v>
      </c>
      <c r="I222">
        <f t="shared" si="27"/>
        <v>0</v>
      </c>
      <c r="J222" s="107"/>
      <c r="K222" s="107"/>
    </row>
    <row r="223" spans="1:12" ht="15" customHeight="1" outlineLevel="1" x14ac:dyDescent="0.25">
      <c r="A223" s="107" t="s">
        <v>96</v>
      </c>
      <c r="B223" s="107" t="s">
        <v>97</v>
      </c>
      <c r="C223" s="107">
        <v>2021</v>
      </c>
      <c r="D223" t="s">
        <v>8</v>
      </c>
      <c r="E223">
        <f t="shared" si="24"/>
        <v>174897.2138197418</v>
      </c>
      <c r="F223">
        <f>SUM(F224:F228)</f>
        <v>134527.649901</v>
      </c>
      <c r="G223">
        <f>SUM(G224:G228)</f>
        <v>0</v>
      </c>
      <c r="H223">
        <f>SUM(H224:H228)</f>
        <v>40369.563918741813</v>
      </c>
      <c r="I223">
        <f>SUM(I224:I228)</f>
        <v>0</v>
      </c>
      <c r="J223" s="107" t="s">
        <v>98</v>
      </c>
      <c r="K223" s="107" t="s">
        <v>1069</v>
      </c>
    </row>
    <row r="224" spans="1:12" outlineLevel="1" x14ac:dyDescent="0.25">
      <c r="A224" s="107"/>
      <c r="B224" s="107"/>
      <c r="C224" s="107"/>
      <c r="D224">
        <v>2021</v>
      </c>
      <c r="E224">
        <f t="shared" si="24"/>
        <v>63796.753819741811</v>
      </c>
      <c r="F224">
        <f>F235+F241+F247+F253+F259</f>
        <v>49757.999901000003</v>
      </c>
      <c r="G224">
        <f t="shared" ref="F224:I228" si="28">G235+G241+G247+G253+G259</f>
        <v>0</v>
      </c>
      <c r="H224">
        <f t="shared" si="28"/>
        <v>14038.753918741808</v>
      </c>
      <c r="I224">
        <f t="shared" si="28"/>
        <v>0</v>
      </c>
      <c r="J224" s="107"/>
      <c r="K224" s="107"/>
      <c r="L224" t="s">
        <v>1070</v>
      </c>
    </row>
    <row r="225" spans="1:11" outlineLevel="1" x14ac:dyDescent="0.25">
      <c r="A225" s="107"/>
      <c r="B225" s="107"/>
      <c r="C225" s="107"/>
      <c r="D225">
        <v>2022</v>
      </c>
      <c r="E225">
        <f t="shared" si="24"/>
        <v>111100.45999999999</v>
      </c>
      <c r="F225">
        <f t="shared" si="28"/>
        <v>84769.65</v>
      </c>
      <c r="G225">
        <f t="shared" si="28"/>
        <v>0</v>
      </c>
      <c r="H225">
        <f t="shared" si="28"/>
        <v>26330.81</v>
      </c>
      <c r="I225">
        <f t="shared" si="28"/>
        <v>0</v>
      </c>
      <c r="J225" s="107"/>
      <c r="K225" s="107"/>
    </row>
    <row r="226" spans="1:11" outlineLevel="1" x14ac:dyDescent="0.25">
      <c r="A226" s="107"/>
      <c r="B226" s="107"/>
      <c r="C226" s="107"/>
      <c r="D226">
        <v>2023</v>
      </c>
      <c r="E226">
        <f t="shared" si="24"/>
        <v>0</v>
      </c>
      <c r="F226">
        <f t="shared" si="28"/>
        <v>0</v>
      </c>
      <c r="G226">
        <f t="shared" si="28"/>
        <v>0</v>
      </c>
      <c r="H226">
        <f t="shared" si="28"/>
        <v>0</v>
      </c>
      <c r="I226">
        <f t="shared" si="28"/>
        <v>0</v>
      </c>
      <c r="J226" s="107"/>
      <c r="K226" s="107"/>
    </row>
    <row r="227" spans="1:11" outlineLevel="1" x14ac:dyDescent="0.25">
      <c r="A227" s="107"/>
      <c r="B227" s="107"/>
      <c r="C227" s="107"/>
      <c r="D227">
        <v>2024</v>
      </c>
      <c r="E227">
        <f t="shared" si="24"/>
        <v>0</v>
      </c>
      <c r="F227">
        <f t="shared" si="28"/>
        <v>0</v>
      </c>
      <c r="G227">
        <f t="shared" si="28"/>
        <v>0</v>
      </c>
      <c r="H227">
        <f t="shared" si="28"/>
        <v>0</v>
      </c>
      <c r="I227">
        <f t="shared" si="28"/>
        <v>0</v>
      </c>
      <c r="J227" s="107"/>
      <c r="K227" s="107"/>
    </row>
    <row r="228" spans="1:11" outlineLevel="1" x14ac:dyDescent="0.25">
      <c r="A228" s="107"/>
      <c r="B228" s="107"/>
      <c r="C228" s="107"/>
      <c r="D228">
        <v>2025</v>
      </c>
      <c r="E228">
        <f t="shared" si="24"/>
        <v>0</v>
      </c>
      <c r="F228">
        <f t="shared" si="28"/>
        <v>0</v>
      </c>
      <c r="G228">
        <f t="shared" si="28"/>
        <v>0</v>
      </c>
      <c r="H228">
        <f t="shared" si="28"/>
        <v>0</v>
      </c>
      <c r="I228">
        <f t="shared" si="28"/>
        <v>0</v>
      </c>
      <c r="J228" s="107"/>
      <c r="K228" s="107"/>
    </row>
    <row r="229" spans="1:11" outlineLevel="1" x14ac:dyDescent="0.25"/>
    <row r="230" spans="1:11" outlineLevel="1" x14ac:dyDescent="0.25"/>
    <row r="231" spans="1:11" outlineLevel="1" x14ac:dyDescent="0.25"/>
    <row r="232" spans="1:11" outlineLevel="1" x14ac:dyDescent="0.25"/>
    <row r="233" spans="1:11" outlineLevel="1" x14ac:dyDescent="0.25"/>
    <row r="234" spans="1:11" ht="15" customHeight="1" outlineLevel="1" x14ac:dyDescent="0.25">
      <c r="A234" s="107" t="s">
        <v>100</v>
      </c>
      <c r="B234" s="107" t="s">
        <v>101</v>
      </c>
      <c r="C234" s="107">
        <v>2021</v>
      </c>
      <c r="D234" t="s">
        <v>8</v>
      </c>
      <c r="E234">
        <f>SUM(E235:E239)</f>
        <v>10735.3</v>
      </c>
      <c r="F234">
        <f>SUM(F235:F239)</f>
        <v>8888.7999999999993</v>
      </c>
      <c r="G234">
        <f>SUM(G235:G239)</f>
        <v>0</v>
      </c>
      <c r="H234">
        <f>SUM(H235:H239)</f>
        <v>1846.5</v>
      </c>
      <c r="I234">
        <f>SUM(I235:I239)</f>
        <v>0</v>
      </c>
      <c r="J234" s="107" t="s">
        <v>102</v>
      </c>
      <c r="K234" s="107" t="s">
        <v>103</v>
      </c>
    </row>
    <row r="235" spans="1:11" outlineLevel="1" x14ac:dyDescent="0.25">
      <c r="A235" s="107"/>
      <c r="B235" s="107"/>
      <c r="C235" s="107"/>
      <c r="D235">
        <v>2021</v>
      </c>
      <c r="E235">
        <f t="shared" ref="E235:E239" si="29">SUM(F235:I235)</f>
        <v>10735.3</v>
      </c>
      <c r="F235">
        <v>8888.7999999999993</v>
      </c>
      <c r="G235">
        <v>0</v>
      </c>
      <c r="H235">
        <v>1846.5</v>
      </c>
      <c r="I235">
        <v>0</v>
      </c>
      <c r="J235" s="107"/>
      <c r="K235" s="107"/>
    </row>
    <row r="236" spans="1:11" outlineLevel="1" x14ac:dyDescent="0.25">
      <c r="A236" s="107"/>
      <c r="B236" s="107"/>
      <c r="C236" s="107"/>
      <c r="D236">
        <v>2022</v>
      </c>
      <c r="E236">
        <f t="shared" si="29"/>
        <v>0</v>
      </c>
      <c r="F236">
        <v>0</v>
      </c>
      <c r="G236">
        <v>0</v>
      </c>
      <c r="H236">
        <v>0</v>
      </c>
      <c r="I236">
        <v>0</v>
      </c>
      <c r="J236" s="107"/>
      <c r="K236" s="107"/>
    </row>
    <row r="237" spans="1:11" outlineLevel="1" x14ac:dyDescent="0.25">
      <c r="A237" s="107"/>
      <c r="B237" s="107"/>
      <c r="C237" s="107"/>
      <c r="D237">
        <v>2023</v>
      </c>
      <c r="E237">
        <f t="shared" si="29"/>
        <v>0</v>
      </c>
      <c r="F237">
        <v>0</v>
      </c>
      <c r="G237">
        <v>0</v>
      </c>
      <c r="H237">
        <v>0</v>
      </c>
      <c r="I237">
        <v>0</v>
      </c>
      <c r="J237" s="107"/>
      <c r="K237" s="107"/>
    </row>
    <row r="238" spans="1:11" outlineLevel="1" x14ac:dyDescent="0.25">
      <c r="A238" s="107"/>
      <c r="B238" s="107"/>
      <c r="C238" s="107"/>
      <c r="D238">
        <v>2024</v>
      </c>
      <c r="E238">
        <f t="shared" si="29"/>
        <v>0</v>
      </c>
      <c r="F238">
        <v>0</v>
      </c>
      <c r="G238">
        <v>0</v>
      </c>
      <c r="H238">
        <v>0</v>
      </c>
      <c r="I238">
        <v>0</v>
      </c>
      <c r="J238" s="107"/>
      <c r="K238" s="107"/>
    </row>
    <row r="239" spans="1:11" outlineLevel="1" x14ac:dyDescent="0.25">
      <c r="A239" s="107"/>
      <c r="B239" s="107"/>
      <c r="C239" s="107"/>
      <c r="D239">
        <v>2025</v>
      </c>
      <c r="E239">
        <f t="shared" si="29"/>
        <v>0</v>
      </c>
      <c r="F239">
        <v>0</v>
      </c>
      <c r="G239">
        <v>0</v>
      </c>
      <c r="H239">
        <v>0</v>
      </c>
      <c r="I239">
        <v>0</v>
      </c>
      <c r="J239" s="107"/>
      <c r="K239" s="107"/>
    </row>
    <row r="240" spans="1:11" ht="15" customHeight="1" outlineLevel="1" x14ac:dyDescent="0.25">
      <c r="A240" s="107" t="s">
        <v>548</v>
      </c>
      <c r="B240" s="107" t="s">
        <v>442</v>
      </c>
      <c r="C240" s="107">
        <v>2021</v>
      </c>
      <c r="D240" t="s">
        <v>8</v>
      </c>
      <c r="E240">
        <f>SUM(E241:E245)</f>
        <v>40997.273918741805</v>
      </c>
      <c r="F240">
        <f>SUM(F241:F245)</f>
        <v>31280.92</v>
      </c>
      <c r="G240">
        <f>SUM(G241:G245)</f>
        <v>0</v>
      </c>
      <c r="H240">
        <f>SUM(H241:H245)</f>
        <v>9716.3539187418082</v>
      </c>
      <c r="I240">
        <f>SUM(I241:I245)</f>
        <v>0</v>
      </c>
      <c r="J240" s="107" t="s">
        <v>549</v>
      </c>
      <c r="K240" s="107" t="s">
        <v>103</v>
      </c>
    </row>
    <row r="241" spans="1:12" outlineLevel="1" x14ac:dyDescent="0.25">
      <c r="A241" s="107"/>
      <c r="B241" s="107"/>
      <c r="C241" s="107"/>
      <c r="D241">
        <v>2021</v>
      </c>
      <c r="E241">
        <f t="shared" ref="E241:E301" si="30">SUM(F241:I241)</f>
        <v>40997.273918741805</v>
      </c>
      <c r="F241">
        <v>31280.92</v>
      </c>
      <c r="G241">
        <v>0</v>
      </c>
      <c r="H241">
        <f>F241/76.3*23.7</f>
        <v>9716.3539187418082</v>
      </c>
      <c r="I241">
        <v>0</v>
      </c>
      <c r="J241" s="107"/>
      <c r="K241" s="107"/>
    </row>
    <row r="242" spans="1:12" outlineLevel="1" x14ac:dyDescent="0.25">
      <c r="A242" s="107"/>
      <c r="B242" s="107"/>
      <c r="C242" s="107"/>
      <c r="D242">
        <v>2022</v>
      </c>
      <c r="E242">
        <f t="shared" si="30"/>
        <v>0</v>
      </c>
      <c r="F242">
        <v>0</v>
      </c>
      <c r="G242">
        <v>0</v>
      </c>
      <c r="H242">
        <v>0</v>
      </c>
      <c r="I242">
        <v>0</v>
      </c>
      <c r="J242" s="107"/>
      <c r="K242" s="107"/>
    </row>
    <row r="243" spans="1:12" outlineLevel="1" x14ac:dyDescent="0.25">
      <c r="A243" s="107"/>
      <c r="B243" s="107"/>
      <c r="C243" s="107"/>
      <c r="D243">
        <v>2023</v>
      </c>
      <c r="E243">
        <f t="shared" si="30"/>
        <v>0</v>
      </c>
      <c r="F243">
        <v>0</v>
      </c>
      <c r="G243">
        <v>0</v>
      </c>
      <c r="H243">
        <v>0</v>
      </c>
      <c r="I243">
        <v>0</v>
      </c>
      <c r="J243" s="107"/>
      <c r="K243" s="107"/>
    </row>
    <row r="244" spans="1:12" outlineLevel="1" x14ac:dyDescent="0.25">
      <c r="A244" s="107"/>
      <c r="B244" s="107"/>
      <c r="C244" s="107"/>
      <c r="D244">
        <v>2024</v>
      </c>
      <c r="E244">
        <f t="shared" si="30"/>
        <v>0</v>
      </c>
      <c r="F244">
        <v>0</v>
      </c>
      <c r="G244">
        <v>0</v>
      </c>
      <c r="H244">
        <v>0</v>
      </c>
      <c r="I244">
        <v>0</v>
      </c>
      <c r="J244" s="107"/>
      <c r="K244" s="107"/>
    </row>
    <row r="245" spans="1:12" outlineLevel="1" x14ac:dyDescent="0.25">
      <c r="A245" s="107"/>
      <c r="B245" s="107"/>
      <c r="C245" s="107"/>
      <c r="D245">
        <v>2025</v>
      </c>
      <c r="E245">
        <f t="shared" si="30"/>
        <v>0</v>
      </c>
      <c r="F245">
        <v>0</v>
      </c>
      <c r="G245">
        <v>0</v>
      </c>
      <c r="H245">
        <v>0</v>
      </c>
      <c r="I245">
        <v>0</v>
      </c>
      <c r="J245" s="107"/>
      <c r="K245" s="107"/>
    </row>
    <row r="246" spans="1:12" ht="15" customHeight="1" outlineLevel="1" x14ac:dyDescent="0.25">
      <c r="A246" s="107" t="s">
        <v>550</v>
      </c>
      <c r="B246" s="107" t="s">
        <v>551</v>
      </c>
      <c r="C246" s="107">
        <v>2021</v>
      </c>
      <c r="D246" t="s">
        <v>8</v>
      </c>
      <c r="E246">
        <v>1315.5</v>
      </c>
      <c r="F246">
        <v>1315.5</v>
      </c>
      <c r="G246">
        <f>SUM(G247:G251)</f>
        <v>0</v>
      </c>
      <c r="H246">
        <v>0</v>
      </c>
      <c r="I246">
        <f>SUM(I247:I251)</f>
        <v>0</v>
      </c>
      <c r="J246" s="107" t="s">
        <v>552</v>
      </c>
      <c r="K246" s="107" t="s">
        <v>773</v>
      </c>
    </row>
    <row r="247" spans="1:12" ht="15" customHeight="1" outlineLevel="1" x14ac:dyDescent="0.25">
      <c r="A247" s="107"/>
      <c r="B247" s="107"/>
      <c r="C247" s="107"/>
      <c r="D247">
        <v>2021</v>
      </c>
      <c r="E247">
        <v>1315.5</v>
      </c>
      <c r="F247">
        <v>1315.5</v>
      </c>
      <c r="G247">
        <v>0</v>
      </c>
      <c r="H247">
        <v>0</v>
      </c>
      <c r="I247">
        <v>0</v>
      </c>
      <c r="J247" s="107"/>
      <c r="K247" s="107"/>
      <c r="L247" t="s">
        <v>1071</v>
      </c>
    </row>
    <row r="248" spans="1:12" outlineLevel="1" x14ac:dyDescent="0.25">
      <c r="A248" s="107"/>
      <c r="B248" s="107"/>
      <c r="C248" s="107"/>
      <c r="D248">
        <v>2022</v>
      </c>
      <c r="E248">
        <v>0</v>
      </c>
      <c r="F248">
        <v>0</v>
      </c>
      <c r="G248">
        <v>0</v>
      </c>
      <c r="H248">
        <v>0</v>
      </c>
      <c r="I248">
        <v>0</v>
      </c>
      <c r="J248" s="107"/>
      <c r="K248" s="107"/>
    </row>
    <row r="249" spans="1:12" outlineLevel="1" x14ac:dyDescent="0.25">
      <c r="A249" s="107"/>
      <c r="B249" s="107"/>
      <c r="C249" s="107"/>
      <c r="D249">
        <v>2023</v>
      </c>
      <c r="E249">
        <v>0</v>
      </c>
      <c r="F249">
        <v>0</v>
      </c>
      <c r="G249">
        <v>0</v>
      </c>
      <c r="H249">
        <v>0</v>
      </c>
      <c r="I249">
        <v>0</v>
      </c>
      <c r="J249" s="107"/>
      <c r="K249" s="107"/>
    </row>
    <row r="250" spans="1:12" outlineLevel="1" x14ac:dyDescent="0.25">
      <c r="A250" s="107"/>
      <c r="B250" s="107"/>
      <c r="C250" s="107"/>
      <c r="D250">
        <v>2024</v>
      </c>
      <c r="E250">
        <v>0</v>
      </c>
      <c r="F250">
        <v>0</v>
      </c>
      <c r="G250">
        <v>0</v>
      </c>
      <c r="H250">
        <v>0</v>
      </c>
      <c r="I250">
        <v>0</v>
      </c>
      <c r="J250" s="107"/>
      <c r="K250" s="107"/>
    </row>
    <row r="251" spans="1:12" outlineLevel="1" x14ac:dyDescent="0.25">
      <c r="A251" s="107"/>
      <c r="B251" s="107"/>
      <c r="C251" s="107"/>
      <c r="D251">
        <v>2025</v>
      </c>
      <c r="E251">
        <v>0</v>
      </c>
      <c r="F251">
        <v>0</v>
      </c>
      <c r="G251">
        <v>0</v>
      </c>
      <c r="H251">
        <v>0</v>
      </c>
      <c r="I251">
        <v>0</v>
      </c>
      <c r="J251" s="107"/>
      <c r="K251" s="107"/>
    </row>
    <row r="252" spans="1:12" outlineLevel="1" x14ac:dyDescent="0.25">
      <c r="A252" s="107" t="s">
        <v>554</v>
      </c>
      <c r="B252" s="107" t="s">
        <v>555</v>
      </c>
      <c r="C252" s="107">
        <v>2021</v>
      </c>
      <c r="D252" t="s">
        <v>8</v>
      </c>
      <c r="E252">
        <f t="shared" si="30"/>
        <v>301.87990100000002</v>
      </c>
      <c r="F252">
        <f>SUM(F253:F257)</f>
        <v>301.87990100000002</v>
      </c>
      <c r="G252">
        <f>SUM(G253:G257)</f>
        <v>0</v>
      </c>
      <c r="H252">
        <f>SUM(H253:H257)</f>
        <v>0</v>
      </c>
      <c r="I252">
        <f>SUM(I253:I257)</f>
        <v>0</v>
      </c>
      <c r="J252" s="107" t="s">
        <v>556</v>
      </c>
      <c r="K252" s="107" t="s">
        <v>1064</v>
      </c>
    </row>
    <row r="253" spans="1:12" outlineLevel="1" x14ac:dyDescent="0.25">
      <c r="A253" s="107"/>
      <c r="B253" s="107"/>
      <c r="C253" s="107"/>
      <c r="D253">
        <v>2021</v>
      </c>
      <c r="E253">
        <f t="shared" si="30"/>
        <v>301.87990100000002</v>
      </c>
      <c r="F253">
        <v>301.87990100000002</v>
      </c>
      <c r="G253">
        <v>0</v>
      </c>
      <c r="H253">
        <v>0</v>
      </c>
      <c r="I253">
        <v>0</v>
      </c>
      <c r="J253" s="107"/>
      <c r="K253" s="107"/>
    </row>
    <row r="254" spans="1:12" outlineLevel="1" x14ac:dyDescent="0.25">
      <c r="A254" s="107"/>
      <c r="B254" s="107"/>
      <c r="C254" s="107"/>
      <c r="D254">
        <v>2022</v>
      </c>
      <c r="E254">
        <f t="shared" si="30"/>
        <v>0</v>
      </c>
      <c r="F254">
        <v>0</v>
      </c>
      <c r="G254">
        <v>0</v>
      </c>
      <c r="H254">
        <v>0</v>
      </c>
      <c r="I254">
        <v>0</v>
      </c>
      <c r="J254" s="107"/>
      <c r="K254" s="107"/>
    </row>
    <row r="255" spans="1:12" outlineLevel="1" x14ac:dyDescent="0.25">
      <c r="A255" s="107"/>
      <c r="B255" s="107"/>
      <c r="C255" s="107"/>
      <c r="D255">
        <v>2023</v>
      </c>
      <c r="E255">
        <f t="shared" si="30"/>
        <v>0</v>
      </c>
      <c r="F255">
        <v>0</v>
      </c>
      <c r="G255">
        <v>0</v>
      </c>
      <c r="H255">
        <v>0</v>
      </c>
      <c r="I255">
        <v>0</v>
      </c>
      <c r="J255" s="107"/>
      <c r="K255" s="107"/>
    </row>
    <row r="256" spans="1:12" outlineLevel="1" x14ac:dyDescent="0.25">
      <c r="A256" s="107"/>
      <c r="B256" s="107"/>
      <c r="C256" s="107"/>
      <c r="D256">
        <v>2024</v>
      </c>
      <c r="E256">
        <f t="shared" si="30"/>
        <v>0</v>
      </c>
      <c r="F256">
        <v>0</v>
      </c>
      <c r="G256">
        <v>0</v>
      </c>
      <c r="H256">
        <v>0</v>
      </c>
      <c r="I256">
        <v>0</v>
      </c>
      <c r="J256" s="107"/>
      <c r="K256" s="107"/>
    </row>
    <row r="257" spans="1:12" outlineLevel="1" x14ac:dyDescent="0.25">
      <c r="A257" s="107"/>
      <c r="B257" s="107"/>
      <c r="C257" s="107"/>
      <c r="D257">
        <v>2025</v>
      </c>
      <c r="E257">
        <f t="shared" si="30"/>
        <v>0</v>
      </c>
      <c r="F257">
        <v>0</v>
      </c>
      <c r="G257">
        <v>0</v>
      </c>
      <c r="H257">
        <v>0</v>
      </c>
      <c r="I257">
        <v>0</v>
      </c>
      <c r="J257" s="107"/>
      <c r="K257" s="107"/>
    </row>
    <row r="258" spans="1:12" ht="15" customHeight="1" outlineLevel="1" x14ac:dyDescent="0.25">
      <c r="A258" s="107" t="s">
        <v>557</v>
      </c>
      <c r="B258" s="107" t="s">
        <v>558</v>
      </c>
      <c r="C258" s="107">
        <v>2021</v>
      </c>
      <c r="D258" t="s">
        <v>8</v>
      </c>
      <c r="E258">
        <f t="shared" si="30"/>
        <v>121547.26</v>
      </c>
      <c r="F258">
        <f>SUM(F259:F263)</f>
        <v>92740.549999999988</v>
      </c>
      <c r="G258">
        <f>SUM(G259:G263)</f>
        <v>0</v>
      </c>
      <c r="H258">
        <f>SUM(H259:H263)</f>
        <v>28806.710000000003</v>
      </c>
      <c r="I258">
        <f>SUM(I259:I263)</f>
        <v>0</v>
      </c>
      <c r="J258" s="107" t="s">
        <v>559</v>
      </c>
      <c r="K258" s="107" t="s">
        <v>748</v>
      </c>
    </row>
    <row r="259" spans="1:12" ht="15" customHeight="1" outlineLevel="1" x14ac:dyDescent="0.25">
      <c r="A259" s="107"/>
      <c r="B259" s="107"/>
      <c r="C259" s="107"/>
      <c r="D259">
        <v>2021</v>
      </c>
      <c r="E259">
        <f t="shared" si="30"/>
        <v>10446.799999999999</v>
      </c>
      <c r="F259">
        <v>7970.9</v>
      </c>
      <c r="G259">
        <v>0</v>
      </c>
      <c r="H259">
        <v>2475.9</v>
      </c>
      <c r="I259">
        <v>0</v>
      </c>
      <c r="J259" s="107"/>
      <c r="K259" s="107"/>
      <c r="L259" t="s">
        <v>1072</v>
      </c>
    </row>
    <row r="260" spans="1:12" ht="15" customHeight="1" outlineLevel="1" x14ac:dyDescent="0.25">
      <c r="A260" s="107"/>
      <c r="B260" s="107"/>
      <c r="C260" s="107"/>
      <c r="D260">
        <v>2022</v>
      </c>
      <c r="E260">
        <f t="shared" si="30"/>
        <v>111100.45999999999</v>
      </c>
      <c r="F260">
        <v>84769.65</v>
      </c>
      <c r="G260">
        <v>0</v>
      </c>
      <c r="H260">
        <v>26330.81</v>
      </c>
      <c r="I260">
        <v>0</v>
      </c>
      <c r="J260" s="107"/>
      <c r="K260" s="107"/>
    </row>
    <row r="261" spans="1:12" ht="15" customHeight="1" outlineLevel="1" x14ac:dyDescent="0.25">
      <c r="A261" s="107"/>
      <c r="B261" s="107"/>
      <c r="C261" s="107"/>
      <c r="D261">
        <v>2023</v>
      </c>
      <c r="E261">
        <f t="shared" si="30"/>
        <v>0</v>
      </c>
      <c r="F261">
        <v>0</v>
      </c>
      <c r="G261">
        <v>0</v>
      </c>
      <c r="H261">
        <v>0</v>
      </c>
      <c r="I261">
        <v>0</v>
      </c>
      <c r="J261" s="107"/>
      <c r="K261" s="107"/>
    </row>
    <row r="262" spans="1:12" ht="15" customHeight="1" outlineLevel="1" x14ac:dyDescent="0.25">
      <c r="A262" s="107"/>
      <c r="B262" s="107"/>
      <c r="C262" s="107"/>
      <c r="D262">
        <v>2024</v>
      </c>
      <c r="E262">
        <f t="shared" si="30"/>
        <v>0</v>
      </c>
      <c r="F262">
        <v>0</v>
      </c>
      <c r="G262">
        <v>0</v>
      </c>
      <c r="H262">
        <v>0</v>
      </c>
      <c r="I262">
        <v>0</v>
      </c>
      <c r="J262" s="107"/>
      <c r="K262" s="107"/>
    </row>
    <row r="263" spans="1:12" ht="15" customHeight="1" outlineLevel="1" x14ac:dyDescent="0.25">
      <c r="A263" s="107"/>
      <c r="B263" s="107"/>
      <c r="C263" s="107"/>
      <c r="D263">
        <v>2025</v>
      </c>
      <c r="E263">
        <f t="shared" si="30"/>
        <v>0</v>
      </c>
      <c r="F263">
        <v>0</v>
      </c>
      <c r="G263">
        <v>0</v>
      </c>
      <c r="H263">
        <v>0</v>
      </c>
      <c r="I263">
        <v>0</v>
      </c>
      <c r="J263" s="107"/>
      <c r="K263" s="107"/>
    </row>
    <row r="264" spans="1:12" ht="15" customHeight="1" outlineLevel="1" x14ac:dyDescent="0.25">
      <c r="A264" s="107" t="s">
        <v>104</v>
      </c>
      <c r="B264" s="107" t="s">
        <v>105</v>
      </c>
      <c r="C264" s="107" t="s">
        <v>14</v>
      </c>
      <c r="D264" t="s">
        <v>8</v>
      </c>
      <c r="E264">
        <f t="shared" si="30"/>
        <v>195391.41487605261</v>
      </c>
      <c r="F264">
        <f>SUM(F265:F269)</f>
        <v>180398.49265574999</v>
      </c>
      <c r="G264">
        <f>SUM(G265:G269)</f>
        <v>0</v>
      </c>
      <c r="H264">
        <f>SUM(H265:H269)</f>
        <v>14992.922220302633</v>
      </c>
      <c r="I264">
        <f>SUM(I265:I269)</f>
        <v>0</v>
      </c>
      <c r="J264" s="107" t="s">
        <v>106</v>
      </c>
      <c r="K264" s="107" t="s">
        <v>1073</v>
      </c>
      <c r="L264" t="s">
        <v>1074</v>
      </c>
    </row>
    <row r="265" spans="1:12" outlineLevel="1" x14ac:dyDescent="0.25">
      <c r="A265" s="107"/>
      <c r="B265" s="107"/>
      <c r="C265" s="107"/>
      <c r="D265">
        <v>2021</v>
      </c>
      <c r="E265">
        <f t="shared" si="30"/>
        <v>171391.41487605261</v>
      </c>
      <c r="F265">
        <f>SUM(F271+F277+F283+F289+F295+F301+F307+F313+F319+F325+F331+F337+F343)</f>
        <v>156398.49265574999</v>
      </c>
      <c r="G265">
        <f t="shared" ref="F265:I269" si="31">SUM(G271+G277+G283+G289+G295+G301+G307+G313+G319+G325+G331+G337+G343)</f>
        <v>0</v>
      </c>
      <c r="H265">
        <f t="shared" si="31"/>
        <v>14992.922220302633</v>
      </c>
      <c r="I265">
        <f t="shared" si="31"/>
        <v>0</v>
      </c>
      <c r="J265" s="107"/>
      <c r="K265" s="107"/>
    </row>
    <row r="266" spans="1:12" outlineLevel="1" x14ac:dyDescent="0.25">
      <c r="A266" s="107"/>
      <c r="B266" s="107"/>
      <c r="C266" s="107"/>
      <c r="D266">
        <v>2022</v>
      </c>
      <c r="E266">
        <f t="shared" si="30"/>
        <v>6000</v>
      </c>
      <c r="F266">
        <f t="shared" si="31"/>
        <v>6000</v>
      </c>
      <c r="G266">
        <f t="shared" si="31"/>
        <v>0</v>
      </c>
      <c r="H266">
        <f t="shared" si="31"/>
        <v>0</v>
      </c>
      <c r="I266">
        <f t="shared" si="31"/>
        <v>0</v>
      </c>
      <c r="J266" s="107"/>
      <c r="K266" s="107"/>
    </row>
    <row r="267" spans="1:12" outlineLevel="1" x14ac:dyDescent="0.25">
      <c r="A267" s="107"/>
      <c r="B267" s="107"/>
      <c r="C267" s="107"/>
      <c r="D267">
        <v>2023</v>
      </c>
      <c r="E267">
        <f t="shared" si="30"/>
        <v>6000</v>
      </c>
      <c r="F267">
        <f t="shared" si="31"/>
        <v>6000</v>
      </c>
      <c r="G267">
        <f t="shared" si="31"/>
        <v>0</v>
      </c>
      <c r="H267">
        <f t="shared" si="31"/>
        <v>0</v>
      </c>
      <c r="I267">
        <f t="shared" si="31"/>
        <v>0</v>
      </c>
      <c r="J267" s="107"/>
      <c r="K267" s="107"/>
    </row>
    <row r="268" spans="1:12" outlineLevel="1" x14ac:dyDescent="0.25">
      <c r="A268" s="107"/>
      <c r="B268" s="107"/>
      <c r="C268" s="107"/>
      <c r="D268">
        <v>2024</v>
      </c>
      <c r="E268">
        <f t="shared" si="30"/>
        <v>6000</v>
      </c>
      <c r="F268">
        <f t="shared" si="31"/>
        <v>6000</v>
      </c>
      <c r="G268">
        <f t="shared" si="31"/>
        <v>0</v>
      </c>
      <c r="H268">
        <f t="shared" si="31"/>
        <v>0</v>
      </c>
      <c r="I268">
        <f t="shared" si="31"/>
        <v>0</v>
      </c>
      <c r="J268" s="107"/>
      <c r="K268" s="107"/>
    </row>
    <row r="269" spans="1:12" outlineLevel="1" x14ac:dyDescent="0.25">
      <c r="A269" s="107"/>
      <c r="B269" s="107"/>
      <c r="C269" s="107"/>
      <c r="D269">
        <v>2025</v>
      </c>
      <c r="E269">
        <f t="shared" si="30"/>
        <v>6000</v>
      </c>
      <c r="F269">
        <f t="shared" si="31"/>
        <v>6000</v>
      </c>
      <c r="G269">
        <f t="shared" si="31"/>
        <v>0</v>
      </c>
      <c r="H269">
        <f t="shared" si="31"/>
        <v>0</v>
      </c>
      <c r="I269">
        <f t="shared" si="31"/>
        <v>0</v>
      </c>
      <c r="J269" s="107"/>
      <c r="K269" s="107"/>
    </row>
    <row r="270" spans="1:12" ht="17.100000000000001" customHeight="1" outlineLevel="1" x14ac:dyDescent="0.25">
      <c r="A270" s="107" t="s">
        <v>108</v>
      </c>
      <c r="B270" s="107" t="s">
        <v>109</v>
      </c>
      <c r="C270" s="107">
        <v>2021</v>
      </c>
      <c r="D270" t="s">
        <v>8</v>
      </c>
      <c r="E270">
        <f t="shared" si="30"/>
        <v>27027.03</v>
      </c>
      <c r="F270">
        <f>SUM(F271:F275)</f>
        <v>25000</v>
      </c>
      <c r="G270">
        <f>SUM(G271:G275)</f>
        <v>0</v>
      </c>
      <c r="H270">
        <f>SUM(H271:H275)</f>
        <v>2027.03</v>
      </c>
      <c r="I270">
        <f>SUM(I271:I275)</f>
        <v>0</v>
      </c>
      <c r="J270" s="107" t="s">
        <v>565</v>
      </c>
      <c r="K270" s="107" t="s">
        <v>1075</v>
      </c>
    </row>
    <row r="271" spans="1:12" ht="17.100000000000001" customHeight="1" outlineLevel="1" x14ac:dyDescent="0.25">
      <c r="A271" s="107"/>
      <c r="B271" s="107"/>
      <c r="C271" s="107"/>
      <c r="D271">
        <v>2021</v>
      </c>
      <c r="E271">
        <f t="shared" si="30"/>
        <v>27027.03</v>
      </c>
      <c r="F271">
        <v>25000</v>
      </c>
      <c r="G271">
        <v>0</v>
      </c>
      <c r="H271">
        <v>2027.03</v>
      </c>
      <c r="I271">
        <v>0</v>
      </c>
      <c r="J271" s="107"/>
      <c r="K271" s="107"/>
    </row>
    <row r="272" spans="1:12" ht="17.100000000000001" customHeight="1" outlineLevel="1" x14ac:dyDescent="0.25">
      <c r="A272" s="107"/>
      <c r="B272" s="107"/>
      <c r="C272" s="107"/>
      <c r="D272">
        <v>2022</v>
      </c>
      <c r="E272">
        <f t="shared" si="30"/>
        <v>0</v>
      </c>
      <c r="F272">
        <v>0</v>
      </c>
      <c r="G272">
        <v>0</v>
      </c>
      <c r="H272">
        <f>+H290</f>
        <v>0</v>
      </c>
      <c r="I272">
        <v>0</v>
      </c>
      <c r="J272" s="107"/>
      <c r="K272" s="107"/>
    </row>
    <row r="273" spans="1:11" ht="17.100000000000001" customHeight="1" outlineLevel="1" x14ac:dyDescent="0.25">
      <c r="A273" s="107"/>
      <c r="B273" s="107"/>
      <c r="C273" s="107"/>
      <c r="D273">
        <v>2023</v>
      </c>
      <c r="E273">
        <f t="shared" si="30"/>
        <v>0</v>
      </c>
      <c r="F273">
        <v>0</v>
      </c>
      <c r="G273">
        <v>0</v>
      </c>
      <c r="H273">
        <v>0</v>
      </c>
      <c r="I273">
        <v>0</v>
      </c>
      <c r="J273" s="107"/>
      <c r="K273" s="107"/>
    </row>
    <row r="274" spans="1:11" outlineLevel="1" x14ac:dyDescent="0.25">
      <c r="A274" s="107"/>
      <c r="B274" s="107"/>
      <c r="C274" s="107"/>
      <c r="D274">
        <v>2024</v>
      </c>
      <c r="E274">
        <f t="shared" si="30"/>
        <v>0</v>
      </c>
      <c r="F274">
        <v>0</v>
      </c>
      <c r="G274">
        <v>0</v>
      </c>
      <c r="H274">
        <v>0</v>
      </c>
      <c r="I274">
        <v>0</v>
      </c>
      <c r="J274" s="107"/>
      <c r="K274" s="107"/>
    </row>
    <row r="275" spans="1:11" outlineLevel="1" x14ac:dyDescent="0.25">
      <c r="A275" s="107"/>
      <c r="B275" s="107"/>
      <c r="C275" s="107"/>
      <c r="D275">
        <v>2025</v>
      </c>
      <c r="E275">
        <f t="shared" si="30"/>
        <v>0</v>
      </c>
      <c r="F275">
        <v>0</v>
      </c>
      <c r="G275">
        <v>0</v>
      </c>
      <c r="H275">
        <v>0</v>
      </c>
      <c r="I275">
        <v>0</v>
      </c>
      <c r="J275" s="107"/>
      <c r="K275" s="107"/>
    </row>
    <row r="276" spans="1:11" ht="17.100000000000001" customHeight="1" outlineLevel="1" x14ac:dyDescent="0.25">
      <c r="A276" s="107" t="s">
        <v>112</v>
      </c>
      <c r="B276" s="107" t="s">
        <v>113</v>
      </c>
      <c r="C276" s="107" t="s">
        <v>14</v>
      </c>
      <c r="D276" t="s">
        <v>8</v>
      </c>
      <c r="E276">
        <f t="shared" si="30"/>
        <v>30000</v>
      </c>
      <c r="F276">
        <f>SUM(F277:F281)</f>
        <v>30000</v>
      </c>
      <c r="G276">
        <f>SUM(G277:G281)</f>
        <v>0</v>
      </c>
      <c r="H276">
        <f>SUM(H277:H281)</f>
        <v>0</v>
      </c>
      <c r="I276">
        <f>SUM(I277:I281)</f>
        <v>0</v>
      </c>
      <c r="J276" s="107" t="s">
        <v>567</v>
      </c>
      <c r="K276" s="107" t="s">
        <v>563</v>
      </c>
    </row>
    <row r="277" spans="1:11" ht="17.100000000000001" customHeight="1" outlineLevel="1" x14ac:dyDescent="0.25">
      <c r="A277" s="107"/>
      <c r="B277" s="107"/>
      <c r="C277" s="107"/>
      <c r="D277">
        <v>2021</v>
      </c>
      <c r="E277">
        <f t="shared" si="30"/>
        <v>6000</v>
      </c>
      <c r="F277">
        <v>6000</v>
      </c>
      <c r="G277">
        <v>0</v>
      </c>
      <c r="H277">
        <v>0</v>
      </c>
      <c r="I277">
        <v>0</v>
      </c>
      <c r="J277" s="107"/>
      <c r="K277" s="107"/>
    </row>
    <row r="278" spans="1:11" ht="17.100000000000001" customHeight="1" outlineLevel="1" x14ac:dyDescent="0.25">
      <c r="A278" s="107"/>
      <c r="B278" s="107"/>
      <c r="C278" s="107"/>
      <c r="D278">
        <v>2022</v>
      </c>
      <c r="E278">
        <f t="shared" si="30"/>
        <v>6000</v>
      </c>
      <c r="F278">
        <v>6000</v>
      </c>
      <c r="G278">
        <v>0</v>
      </c>
      <c r="H278">
        <v>0</v>
      </c>
      <c r="I278">
        <v>0</v>
      </c>
      <c r="J278" s="107"/>
      <c r="K278" s="107"/>
    </row>
    <row r="279" spans="1:11" ht="17.100000000000001" customHeight="1" outlineLevel="1" x14ac:dyDescent="0.25">
      <c r="A279" s="107"/>
      <c r="B279" s="107"/>
      <c r="C279" s="107"/>
      <c r="D279">
        <v>2023</v>
      </c>
      <c r="E279">
        <f t="shared" si="30"/>
        <v>6000</v>
      </c>
      <c r="F279">
        <v>6000</v>
      </c>
      <c r="G279">
        <v>0</v>
      </c>
      <c r="H279">
        <v>0</v>
      </c>
      <c r="I279">
        <v>0</v>
      </c>
      <c r="J279" s="107"/>
      <c r="K279" s="107"/>
    </row>
    <row r="280" spans="1:11" outlineLevel="1" x14ac:dyDescent="0.25">
      <c r="A280" s="107"/>
      <c r="B280" s="107"/>
      <c r="C280" s="107"/>
      <c r="D280">
        <v>2024</v>
      </c>
      <c r="E280">
        <f t="shared" si="30"/>
        <v>6000</v>
      </c>
      <c r="F280">
        <v>6000</v>
      </c>
      <c r="G280">
        <v>0</v>
      </c>
      <c r="H280">
        <v>0</v>
      </c>
      <c r="I280">
        <v>0</v>
      </c>
      <c r="J280" s="107"/>
      <c r="K280" s="107"/>
    </row>
    <row r="281" spans="1:11" outlineLevel="1" x14ac:dyDescent="0.25">
      <c r="A281" s="107"/>
      <c r="B281" s="107"/>
      <c r="C281" s="107"/>
      <c r="D281">
        <v>2025</v>
      </c>
      <c r="E281">
        <f t="shared" si="30"/>
        <v>6000</v>
      </c>
      <c r="F281">
        <v>6000</v>
      </c>
      <c r="G281">
        <v>0</v>
      </c>
      <c r="H281">
        <v>0</v>
      </c>
      <c r="I281">
        <v>0</v>
      </c>
      <c r="J281" s="107"/>
      <c r="K281" s="107"/>
    </row>
    <row r="282" spans="1:11" ht="17.100000000000001" customHeight="1" outlineLevel="1" x14ac:dyDescent="0.25">
      <c r="A282" s="107" t="s">
        <v>568</v>
      </c>
      <c r="B282" s="107" t="s">
        <v>569</v>
      </c>
      <c r="C282" s="107">
        <v>2021</v>
      </c>
      <c r="D282" t="s">
        <v>8</v>
      </c>
      <c r="E282">
        <f t="shared" si="30"/>
        <v>3963.1770000000001</v>
      </c>
      <c r="F282">
        <f>SUM(F283:F287)</f>
        <v>3963.1770000000001</v>
      </c>
      <c r="G282">
        <f>SUM(G283:G287)</f>
        <v>0</v>
      </c>
      <c r="H282">
        <f>SUM(H283:H287)</f>
        <v>0</v>
      </c>
      <c r="I282">
        <f>SUM(I283:I287)</f>
        <v>0</v>
      </c>
      <c r="J282" s="107" t="s">
        <v>570</v>
      </c>
      <c r="K282" s="107" t="s">
        <v>1056</v>
      </c>
    </row>
    <row r="283" spans="1:11" ht="17.100000000000001" customHeight="1" outlineLevel="1" x14ac:dyDescent="0.25">
      <c r="A283" s="107"/>
      <c r="B283" s="107"/>
      <c r="C283" s="107"/>
      <c r="D283">
        <v>2021</v>
      </c>
      <c r="E283">
        <f t="shared" si="30"/>
        <v>3963.1770000000001</v>
      </c>
      <c r="F283">
        <f>3963177/1000</f>
        <v>3963.1770000000001</v>
      </c>
      <c r="G283">
        <v>0</v>
      </c>
      <c r="H283">
        <v>0</v>
      </c>
      <c r="I283">
        <v>0</v>
      </c>
      <c r="J283" s="107"/>
      <c r="K283" s="107"/>
    </row>
    <row r="284" spans="1:11" ht="17.100000000000001" customHeight="1" outlineLevel="1" x14ac:dyDescent="0.25">
      <c r="A284" s="107"/>
      <c r="B284" s="107"/>
      <c r="C284" s="107"/>
      <c r="D284">
        <v>2022</v>
      </c>
      <c r="E284">
        <v>0</v>
      </c>
      <c r="F284">
        <v>0</v>
      </c>
      <c r="G284">
        <v>0</v>
      </c>
      <c r="H284">
        <v>0</v>
      </c>
      <c r="I284">
        <v>0</v>
      </c>
      <c r="J284" s="107"/>
      <c r="K284" s="107"/>
    </row>
    <row r="285" spans="1:11" ht="17.100000000000001" customHeight="1" outlineLevel="1" x14ac:dyDescent="0.25">
      <c r="A285" s="107"/>
      <c r="B285" s="107"/>
      <c r="C285" s="107"/>
      <c r="D285">
        <v>2023</v>
      </c>
      <c r="E285">
        <v>0</v>
      </c>
      <c r="F285">
        <v>0</v>
      </c>
      <c r="G285">
        <v>0</v>
      </c>
      <c r="H285">
        <v>0</v>
      </c>
      <c r="I285">
        <v>0</v>
      </c>
      <c r="J285" s="107"/>
      <c r="K285" s="107"/>
    </row>
    <row r="286" spans="1:11" outlineLevel="1" x14ac:dyDescent="0.25">
      <c r="A286" s="107"/>
      <c r="B286" s="107"/>
      <c r="C286" s="107"/>
      <c r="D286">
        <v>2024</v>
      </c>
      <c r="E286">
        <v>0</v>
      </c>
      <c r="F286">
        <v>0</v>
      </c>
      <c r="G286">
        <v>0</v>
      </c>
      <c r="H286">
        <v>0</v>
      </c>
      <c r="I286">
        <v>0</v>
      </c>
      <c r="J286" s="107"/>
      <c r="K286" s="107"/>
    </row>
    <row r="287" spans="1:11" outlineLevel="1" x14ac:dyDescent="0.25">
      <c r="A287" s="107"/>
      <c r="B287" s="107"/>
      <c r="C287" s="107"/>
      <c r="D287">
        <v>2025</v>
      </c>
      <c r="E287">
        <v>0</v>
      </c>
      <c r="F287">
        <v>0</v>
      </c>
      <c r="G287">
        <v>0</v>
      </c>
      <c r="H287">
        <v>0</v>
      </c>
      <c r="I287">
        <v>0</v>
      </c>
      <c r="J287" s="107"/>
      <c r="K287" s="107"/>
    </row>
    <row r="288" spans="1:11" ht="17.100000000000001" customHeight="1" outlineLevel="1" x14ac:dyDescent="0.25">
      <c r="A288" s="107" t="s">
        <v>571</v>
      </c>
      <c r="B288" s="107" t="s">
        <v>572</v>
      </c>
      <c r="C288" s="107">
        <v>2021</v>
      </c>
      <c r="D288" t="s">
        <v>8</v>
      </c>
      <c r="E288">
        <f t="shared" si="30"/>
        <v>22778.260870000002</v>
      </c>
      <c r="F288">
        <f>SUM(F289:F293)</f>
        <v>18860.400000000001</v>
      </c>
      <c r="G288">
        <f>SUM(G289:G293)</f>
        <v>0</v>
      </c>
      <c r="H288">
        <f>SUM(H289:H293)</f>
        <v>3917.86087</v>
      </c>
      <c r="I288">
        <f>SUM(I289:I293)</f>
        <v>0</v>
      </c>
      <c r="J288" s="107" t="s">
        <v>573</v>
      </c>
      <c r="K288" s="107" t="s">
        <v>1075</v>
      </c>
    </row>
    <row r="289" spans="1:11" ht="17.100000000000001" customHeight="1" outlineLevel="1" x14ac:dyDescent="0.25">
      <c r="A289" s="107"/>
      <c r="B289" s="107"/>
      <c r="C289" s="107"/>
      <c r="D289">
        <v>2021</v>
      </c>
      <c r="E289">
        <f t="shared" si="30"/>
        <v>22778.260870000002</v>
      </c>
      <c r="F289">
        <v>18860.400000000001</v>
      </c>
      <c r="G289">
        <v>0</v>
      </c>
      <c r="H289">
        <v>3917.86087</v>
      </c>
      <c r="I289">
        <v>0</v>
      </c>
      <c r="J289" s="107"/>
      <c r="K289" s="107"/>
    </row>
    <row r="290" spans="1:11" ht="17.100000000000001" customHeight="1" outlineLevel="1" x14ac:dyDescent="0.25">
      <c r="A290" s="107"/>
      <c r="B290" s="107"/>
      <c r="C290" s="107"/>
      <c r="D290">
        <v>2022</v>
      </c>
      <c r="E290">
        <v>0</v>
      </c>
      <c r="F290">
        <v>0</v>
      </c>
      <c r="G290">
        <v>0</v>
      </c>
      <c r="H290">
        <v>0</v>
      </c>
      <c r="I290">
        <v>0</v>
      </c>
      <c r="J290" s="107"/>
      <c r="K290" s="107"/>
    </row>
    <row r="291" spans="1:11" ht="17.100000000000001" customHeight="1" outlineLevel="1" x14ac:dyDescent="0.25">
      <c r="A291" s="107"/>
      <c r="B291" s="107"/>
      <c r="C291" s="107"/>
      <c r="D291">
        <v>2023</v>
      </c>
      <c r="E291">
        <v>0</v>
      </c>
      <c r="F291">
        <v>0</v>
      </c>
      <c r="G291">
        <v>0</v>
      </c>
      <c r="H291">
        <v>0</v>
      </c>
      <c r="I291">
        <v>0</v>
      </c>
      <c r="J291" s="107"/>
      <c r="K291" s="107"/>
    </row>
    <row r="292" spans="1:11" outlineLevel="1" x14ac:dyDescent="0.25">
      <c r="A292" s="107"/>
      <c r="B292" s="107"/>
      <c r="C292" s="107"/>
      <c r="D292">
        <v>2024</v>
      </c>
      <c r="E292">
        <v>0</v>
      </c>
      <c r="F292">
        <v>0</v>
      </c>
      <c r="G292">
        <v>0</v>
      </c>
      <c r="H292">
        <v>0</v>
      </c>
      <c r="I292">
        <v>0</v>
      </c>
      <c r="J292" s="107"/>
      <c r="K292" s="107"/>
    </row>
    <row r="293" spans="1:11" outlineLevel="1" x14ac:dyDescent="0.25">
      <c r="A293" s="107"/>
      <c r="B293" s="107"/>
      <c r="C293" s="107"/>
      <c r="D293">
        <v>2025</v>
      </c>
      <c r="E293">
        <v>0</v>
      </c>
      <c r="F293">
        <v>0</v>
      </c>
      <c r="G293">
        <v>0</v>
      </c>
      <c r="H293">
        <v>0</v>
      </c>
      <c r="I293">
        <v>0</v>
      </c>
      <c r="J293" s="107"/>
      <c r="K293" s="107"/>
    </row>
    <row r="294" spans="1:11" ht="17.100000000000001" customHeight="1" outlineLevel="1" x14ac:dyDescent="0.25">
      <c r="A294" s="107" t="s">
        <v>574</v>
      </c>
      <c r="B294" s="107" t="s">
        <v>575</v>
      </c>
      <c r="C294" s="107">
        <v>2021</v>
      </c>
      <c r="D294" t="s">
        <v>8</v>
      </c>
      <c r="E294">
        <f t="shared" si="30"/>
        <v>13258.611985</v>
      </c>
      <c r="F294">
        <f>SUM(F295:F299)</f>
        <v>12595.68138575</v>
      </c>
      <c r="G294">
        <f>SUM(G295:G299)</f>
        <v>0</v>
      </c>
      <c r="H294">
        <f>SUM(H295:H299)</f>
        <v>662.93059924999989</v>
      </c>
      <c r="I294">
        <f>SUM(I295:I299)</f>
        <v>0</v>
      </c>
      <c r="J294" s="107" t="s">
        <v>576</v>
      </c>
      <c r="K294" s="107" t="s">
        <v>103</v>
      </c>
    </row>
    <row r="295" spans="1:11" ht="17.100000000000001" customHeight="1" outlineLevel="1" x14ac:dyDescent="0.25">
      <c r="A295" s="107"/>
      <c r="B295" s="107"/>
      <c r="C295" s="107"/>
      <c r="D295">
        <v>2021</v>
      </c>
      <c r="E295">
        <f t="shared" si="30"/>
        <v>13258.611985</v>
      </c>
      <c r="F295">
        <v>12595.68138575</v>
      </c>
      <c r="G295">
        <v>0</v>
      </c>
      <c r="H295">
        <f>F295/95*5</f>
        <v>662.93059924999989</v>
      </c>
      <c r="I295">
        <v>0</v>
      </c>
      <c r="J295" s="107"/>
      <c r="K295" s="107"/>
    </row>
    <row r="296" spans="1:11" ht="17.100000000000001" customHeight="1" outlineLevel="1" x14ac:dyDescent="0.25">
      <c r="A296" s="107"/>
      <c r="B296" s="107"/>
      <c r="C296" s="107"/>
      <c r="D296">
        <v>2022</v>
      </c>
      <c r="E296">
        <v>0</v>
      </c>
      <c r="F296">
        <v>0</v>
      </c>
      <c r="G296">
        <v>0</v>
      </c>
      <c r="H296">
        <v>0</v>
      </c>
      <c r="I296">
        <v>0</v>
      </c>
      <c r="J296" s="107"/>
      <c r="K296" s="107"/>
    </row>
    <row r="297" spans="1:11" ht="17.100000000000001" customHeight="1" outlineLevel="1" x14ac:dyDescent="0.25">
      <c r="A297" s="107"/>
      <c r="B297" s="107"/>
      <c r="C297" s="107"/>
      <c r="D297">
        <v>2023</v>
      </c>
      <c r="E297">
        <v>0</v>
      </c>
      <c r="F297">
        <v>0</v>
      </c>
      <c r="G297">
        <v>0</v>
      </c>
      <c r="H297">
        <v>0</v>
      </c>
      <c r="I297">
        <v>0</v>
      </c>
      <c r="J297" s="107"/>
      <c r="K297" s="107"/>
    </row>
    <row r="298" spans="1:11" outlineLevel="1" x14ac:dyDescent="0.25">
      <c r="A298" s="107"/>
      <c r="B298" s="107"/>
      <c r="C298" s="107"/>
      <c r="D298">
        <v>2024</v>
      </c>
      <c r="E298">
        <v>0</v>
      </c>
      <c r="F298">
        <v>0</v>
      </c>
      <c r="G298">
        <v>0</v>
      </c>
      <c r="H298">
        <v>0</v>
      </c>
      <c r="I298">
        <v>0</v>
      </c>
      <c r="J298" s="107"/>
      <c r="K298" s="107"/>
    </row>
    <row r="299" spans="1:11" outlineLevel="1" x14ac:dyDescent="0.25">
      <c r="A299" s="107"/>
      <c r="B299" s="107"/>
      <c r="C299" s="107"/>
      <c r="D299">
        <v>2025</v>
      </c>
      <c r="E299">
        <v>0</v>
      </c>
      <c r="F299">
        <v>0</v>
      </c>
      <c r="G299">
        <v>0</v>
      </c>
      <c r="H299">
        <v>0</v>
      </c>
      <c r="I299">
        <v>0</v>
      </c>
      <c r="J299" s="107"/>
      <c r="K299" s="107"/>
    </row>
    <row r="300" spans="1:11" ht="17.100000000000001" customHeight="1" outlineLevel="1" x14ac:dyDescent="0.25">
      <c r="A300" s="107" t="s">
        <v>577</v>
      </c>
      <c r="B300" s="107" t="s">
        <v>578</v>
      </c>
      <c r="C300" s="107">
        <v>2021</v>
      </c>
      <c r="D300" t="s">
        <v>8</v>
      </c>
      <c r="E300">
        <f t="shared" si="30"/>
        <v>7451.59</v>
      </c>
      <c r="F300">
        <f>SUM(F301:F305)</f>
        <v>7079.0105000000003</v>
      </c>
      <c r="G300">
        <f>SUM(G301:G305)</f>
        <v>0</v>
      </c>
      <c r="H300">
        <f>SUM(H301:H305)</f>
        <v>372.5795</v>
      </c>
      <c r="I300">
        <f>SUM(I301:I305)</f>
        <v>0</v>
      </c>
      <c r="J300" s="107" t="s">
        <v>579</v>
      </c>
      <c r="K300" s="107" t="s">
        <v>103</v>
      </c>
    </row>
    <row r="301" spans="1:11" ht="17.100000000000001" customHeight="1" outlineLevel="1" x14ac:dyDescent="0.25">
      <c r="A301" s="107"/>
      <c r="B301" s="107"/>
      <c r="C301" s="107"/>
      <c r="D301">
        <v>2021</v>
      </c>
      <c r="E301">
        <f t="shared" si="30"/>
        <v>7451.59</v>
      </c>
      <c r="F301">
        <v>7079.0105000000003</v>
      </c>
      <c r="G301">
        <v>0</v>
      </c>
      <c r="H301">
        <f>F301/95*5</f>
        <v>372.5795</v>
      </c>
      <c r="I301">
        <v>0</v>
      </c>
      <c r="J301" s="107"/>
      <c r="K301" s="107"/>
    </row>
    <row r="302" spans="1:11" ht="17.100000000000001" customHeight="1" outlineLevel="1" x14ac:dyDescent="0.25">
      <c r="A302" s="107"/>
      <c r="B302" s="107"/>
      <c r="C302" s="107"/>
      <c r="D302">
        <v>2022</v>
      </c>
      <c r="E302">
        <v>0</v>
      </c>
      <c r="F302">
        <v>0</v>
      </c>
      <c r="G302">
        <v>0</v>
      </c>
      <c r="H302">
        <v>0</v>
      </c>
      <c r="I302">
        <v>0</v>
      </c>
      <c r="J302" s="107"/>
      <c r="K302" s="107"/>
    </row>
    <row r="303" spans="1:11" ht="17.100000000000001" customHeight="1" outlineLevel="1" x14ac:dyDescent="0.25">
      <c r="A303" s="107"/>
      <c r="B303" s="107"/>
      <c r="C303" s="107"/>
      <c r="D303">
        <v>2023</v>
      </c>
      <c r="E303">
        <v>0</v>
      </c>
      <c r="F303">
        <v>0</v>
      </c>
      <c r="G303">
        <v>0</v>
      </c>
      <c r="H303">
        <v>0</v>
      </c>
      <c r="I303">
        <v>0</v>
      </c>
      <c r="J303" s="107"/>
      <c r="K303" s="107"/>
    </row>
    <row r="304" spans="1:11" outlineLevel="1" x14ac:dyDescent="0.25">
      <c r="A304" s="107"/>
      <c r="B304" s="107"/>
      <c r="C304" s="107"/>
      <c r="D304">
        <v>2024</v>
      </c>
      <c r="E304">
        <v>0</v>
      </c>
      <c r="F304">
        <v>0</v>
      </c>
      <c r="G304">
        <v>0</v>
      </c>
      <c r="H304">
        <v>0</v>
      </c>
      <c r="I304">
        <v>0</v>
      </c>
      <c r="J304" s="107"/>
      <c r="K304" s="107"/>
    </row>
    <row r="305" spans="1:11" outlineLevel="1" x14ac:dyDescent="0.25">
      <c r="A305" s="107"/>
      <c r="B305" s="107"/>
      <c r="C305" s="107"/>
      <c r="D305">
        <v>2025</v>
      </c>
      <c r="E305">
        <v>0</v>
      </c>
      <c r="F305">
        <v>0</v>
      </c>
      <c r="G305">
        <v>0</v>
      </c>
      <c r="H305">
        <v>0</v>
      </c>
      <c r="I305">
        <v>0</v>
      </c>
      <c r="J305" s="107"/>
      <c r="K305" s="107"/>
    </row>
    <row r="306" spans="1:11" ht="17.100000000000001" customHeight="1" outlineLevel="1" x14ac:dyDescent="0.25">
      <c r="A306" s="107" t="s">
        <v>580</v>
      </c>
      <c r="B306" s="107" t="s">
        <v>416</v>
      </c>
      <c r="C306" s="107">
        <v>2021</v>
      </c>
      <c r="D306" t="s">
        <v>8</v>
      </c>
      <c r="E306">
        <f t="shared" ref="E306:E368" si="32">SUM(F306:I306)</f>
        <v>50013.516600000003</v>
      </c>
      <c r="F306">
        <f>SUM(F307:F311)</f>
        <v>47512.840770000003</v>
      </c>
      <c r="G306">
        <f>SUM(G307:G311)</f>
        <v>0</v>
      </c>
      <c r="H306">
        <f>SUM(H307:H311)</f>
        <v>2500.6758300000001</v>
      </c>
      <c r="I306">
        <f>SUM(I307:I311)</f>
        <v>0</v>
      </c>
      <c r="J306" s="107" t="s">
        <v>581</v>
      </c>
      <c r="K306" s="107" t="s">
        <v>103</v>
      </c>
    </row>
    <row r="307" spans="1:11" ht="17.100000000000001" customHeight="1" outlineLevel="1" x14ac:dyDescent="0.25">
      <c r="A307" s="107"/>
      <c r="B307" s="107"/>
      <c r="C307" s="107"/>
      <c r="D307">
        <v>2021</v>
      </c>
      <c r="E307">
        <f t="shared" si="32"/>
        <v>50013.516600000003</v>
      </c>
      <c r="F307">
        <v>47512.840770000003</v>
      </c>
      <c r="G307">
        <v>0</v>
      </c>
      <c r="H307">
        <f>F307/95*5</f>
        <v>2500.6758300000001</v>
      </c>
      <c r="I307">
        <v>0</v>
      </c>
      <c r="J307" s="107"/>
      <c r="K307" s="107"/>
    </row>
    <row r="308" spans="1:11" ht="17.100000000000001" customHeight="1" outlineLevel="1" x14ac:dyDescent="0.25">
      <c r="A308" s="107"/>
      <c r="B308" s="107"/>
      <c r="C308" s="107"/>
      <c r="D308">
        <v>2022</v>
      </c>
      <c r="E308">
        <v>0</v>
      </c>
      <c r="F308">
        <v>0</v>
      </c>
      <c r="G308">
        <v>0</v>
      </c>
      <c r="H308">
        <v>0</v>
      </c>
      <c r="I308">
        <v>0</v>
      </c>
      <c r="J308" s="107"/>
      <c r="K308" s="107"/>
    </row>
    <row r="309" spans="1:11" ht="17.100000000000001" customHeight="1" outlineLevel="1" x14ac:dyDescent="0.25">
      <c r="A309" s="107"/>
      <c r="B309" s="107"/>
      <c r="C309" s="107"/>
      <c r="D309">
        <v>2023</v>
      </c>
      <c r="E309">
        <v>0</v>
      </c>
      <c r="F309">
        <v>0</v>
      </c>
      <c r="G309">
        <v>0</v>
      </c>
      <c r="H309">
        <v>0</v>
      </c>
      <c r="I309">
        <v>0</v>
      </c>
      <c r="J309" s="107"/>
      <c r="K309" s="107"/>
    </row>
    <row r="310" spans="1:11" outlineLevel="1" x14ac:dyDescent="0.25">
      <c r="A310" s="107"/>
      <c r="B310" s="107"/>
      <c r="C310" s="107"/>
      <c r="D310">
        <v>2024</v>
      </c>
      <c r="E310">
        <v>0</v>
      </c>
      <c r="F310">
        <v>0</v>
      </c>
      <c r="G310">
        <v>0</v>
      </c>
      <c r="H310">
        <v>0</v>
      </c>
      <c r="I310">
        <v>0</v>
      </c>
      <c r="J310" s="107"/>
      <c r="K310" s="107"/>
    </row>
    <row r="311" spans="1:11" outlineLevel="1" x14ac:dyDescent="0.25">
      <c r="A311" s="107"/>
      <c r="B311" s="107"/>
      <c r="C311" s="107"/>
      <c r="D311">
        <v>2025</v>
      </c>
      <c r="E311">
        <v>0</v>
      </c>
      <c r="F311">
        <v>0</v>
      </c>
      <c r="G311">
        <v>0</v>
      </c>
      <c r="H311">
        <v>0</v>
      </c>
      <c r="I311">
        <v>0</v>
      </c>
      <c r="J311" s="107"/>
      <c r="K311" s="107"/>
    </row>
    <row r="312" spans="1:11" ht="17.100000000000001" customHeight="1" outlineLevel="1" x14ac:dyDescent="0.25">
      <c r="A312" s="107" t="s">
        <v>582</v>
      </c>
      <c r="B312" s="107" t="s">
        <v>419</v>
      </c>
      <c r="C312" s="107">
        <v>2021</v>
      </c>
      <c r="D312" t="s">
        <v>8</v>
      </c>
      <c r="E312">
        <f t="shared" si="32"/>
        <v>11561</v>
      </c>
      <c r="F312">
        <f>SUM(F313:F317)</f>
        <v>7549.3329999999996</v>
      </c>
      <c r="G312">
        <f>SUM(G313:G317)</f>
        <v>0</v>
      </c>
      <c r="H312">
        <f>SUM(H313:H317)</f>
        <v>4011.6670000000004</v>
      </c>
      <c r="I312">
        <f>SUM(I313:I317)</f>
        <v>0</v>
      </c>
      <c r="J312" s="107" t="s">
        <v>583</v>
      </c>
      <c r="K312" s="107" t="s">
        <v>103</v>
      </c>
    </row>
    <row r="313" spans="1:11" ht="17.100000000000001" customHeight="1" outlineLevel="1" x14ac:dyDescent="0.25">
      <c r="A313" s="107"/>
      <c r="B313" s="107"/>
      <c r="C313" s="107"/>
      <c r="D313">
        <v>2021</v>
      </c>
      <c r="E313">
        <f t="shared" si="32"/>
        <v>11561</v>
      </c>
      <c r="F313">
        <v>7549.3329999999996</v>
      </c>
      <c r="G313">
        <v>0</v>
      </c>
      <c r="H313">
        <f>F313/65.3*34.7</f>
        <v>4011.6670000000004</v>
      </c>
      <c r="I313">
        <v>0</v>
      </c>
      <c r="J313" s="107"/>
      <c r="K313" s="107"/>
    </row>
    <row r="314" spans="1:11" ht="17.100000000000001" customHeight="1" outlineLevel="1" x14ac:dyDescent="0.25">
      <c r="A314" s="107"/>
      <c r="B314" s="107"/>
      <c r="C314" s="107"/>
      <c r="D314">
        <v>2022</v>
      </c>
      <c r="E314">
        <v>0</v>
      </c>
      <c r="F314">
        <v>0</v>
      </c>
      <c r="G314">
        <v>0</v>
      </c>
      <c r="H314">
        <v>0</v>
      </c>
      <c r="I314">
        <v>0</v>
      </c>
      <c r="J314" s="107"/>
      <c r="K314" s="107"/>
    </row>
    <row r="315" spans="1:11" ht="17.100000000000001" customHeight="1" outlineLevel="1" x14ac:dyDescent="0.25">
      <c r="A315" s="107"/>
      <c r="B315" s="107"/>
      <c r="C315" s="107"/>
      <c r="D315">
        <v>2023</v>
      </c>
      <c r="E315">
        <v>0</v>
      </c>
      <c r="F315">
        <v>0</v>
      </c>
      <c r="G315">
        <v>0</v>
      </c>
      <c r="H315">
        <v>0</v>
      </c>
      <c r="I315">
        <v>0</v>
      </c>
      <c r="J315" s="107"/>
      <c r="K315" s="107"/>
    </row>
    <row r="316" spans="1:11" outlineLevel="1" x14ac:dyDescent="0.25">
      <c r="A316" s="107"/>
      <c r="B316" s="107"/>
      <c r="C316" s="107"/>
      <c r="D316">
        <v>2024</v>
      </c>
      <c r="E316">
        <v>0</v>
      </c>
      <c r="F316">
        <v>0</v>
      </c>
      <c r="G316">
        <v>0</v>
      </c>
      <c r="H316">
        <v>0</v>
      </c>
      <c r="I316">
        <v>0</v>
      </c>
      <c r="J316" s="107"/>
      <c r="K316" s="107"/>
    </row>
    <row r="317" spans="1:11" outlineLevel="1" x14ac:dyDescent="0.25">
      <c r="A317" s="107"/>
      <c r="B317" s="107"/>
      <c r="C317" s="107"/>
      <c r="D317">
        <v>2025</v>
      </c>
      <c r="E317">
        <v>0</v>
      </c>
      <c r="F317">
        <v>0</v>
      </c>
      <c r="G317">
        <v>0</v>
      </c>
      <c r="H317">
        <v>0</v>
      </c>
      <c r="I317">
        <v>0</v>
      </c>
      <c r="J317" s="107"/>
      <c r="K317" s="107"/>
    </row>
    <row r="318" spans="1:11" ht="16.5" hidden="1" customHeight="1" outlineLevel="1" x14ac:dyDescent="0.25">
      <c r="A318" s="107" t="s">
        <v>584</v>
      </c>
      <c r="B318" s="107" t="s">
        <v>424</v>
      </c>
      <c r="C318" s="107">
        <v>2021</v>
      </c>
      <c r="D318" t="s">
        <v>8</v>
      </c>
      <c r="E318">
        <f t="shared" si="32"/>
        <v>0</v>
      </c>
      <c r="F318">
        <f>SUM(F319:F323)</f>
        <v>0</v>
      </c>
      <c r="G318">
        <f>SUM(G319:G323)</f>
        <v>0</v>
      </c>
      <c r="H318">
        <f>SUM(H319:H323)</f>
        <v>0</v>
      </c>
      <c r="I318">
        <f>SUM(I319:I323)</f>
        <v>0</v>
      </c>
      <c r="J318" s="107" t="s">
        <v>585</v>
      </c>
      <c r="K318" s="107" t="s">
        <v>103</v>
      </c>
    </row>
    <row r="319" spans="1:11" ht="16.5" hidden="1" customHeight="1" outlineLevel="1" x14ac:dyDescent="0.25">
      <c r="A319" s="107"/>
      <c r="B319" s="107"/>
      <c r="C319" s="107"/>
      <c r="D319">
        <v>2021</v>
      </c>
      <c r="E319">
        <f t="shared" si="32"/>
        <v>0</v>
      </c>
      <c r="F319">
        <v>0</v>
      </c>
      <c r="G319">
        <v>0</v>
      </c>
      <c r="H319">
        <f>F319/95*5</f>
        <v>0</v>
      </c>
      <c r="I319">
        <v>0</v>
      </c>
      <c r="J319" s="107"/>
      <c r="K319" s="107"/>
    </row>
    <row r="320" spans="1:11" ht="16.5" hidden="1" customHeight="1" outlineLevel="1" x14ac:dyDescent="0.25">
      <c r="A320" s="107"/>
      <c r="B320" s="107"/>
      <c r="C320" s="107"/>
      <c r="D320">
        <v>2022</v>
      </c>
      <c r="E320">
        <v>0</v>
      </c>
      <c r="F320">
        <v>0</v>
      </c>
      <c r="G320">
        <v>0</v>
      </c>
      <c r="H320">
        <v>0</v>
      </c>
      <c r="I320">
        <v>0</v>
      </c>
      <c r="J320" s="107"/>
      <c r="K320" s="107"/>
    </row>
    <row r="321" spans="1:11" ht="16.5" hidden="1" customHeight="1" outlineLevel="1" x14ac:dyDescent="0.25">
      <c r="A321" s="107"/>
      <c r="B321" s="107"/>
      <c r="C321" s="107"/>
      <c r="D321">
        <v>2023</v>
      </c>
      <c r="E321">
        <v>0</v>
      </c>
      <c r="F321">
        <v>0</v>
      </c>
      <c r="G321">
        <v>0</v>
      </c>
      <c r="H321">
        <v>0</v>
      </c>
      <c r="I321">
        <v>0</v>
      </c>
      <c r="J321" s="107"/>
      <c r="K321" s="107"/>
    </row>
    <row r="322" spans="1:11" hidden="1" outlineLevel="1" x14ac:dyDescent="0.25">
      <c r="A322" s="107"/>
      <c r="B322" s="107"/>
      <c r="C322" s="107"/>
      <c r="D322">
        <v>2024</v>
      </c>
      <c r="E322">
        <v>0</v>
      </c>
      <c r="F322">
        <v>0</v>
      </c>
      <c r="G322">
        <v>0</v>
      </c>
      <c r="H322">
        <v>0</v>
      </c>
      <c r="I322">
        <v>0</v>
      </c>
      <c r="J322" s="107"/>
      <c r="K322" s="107"/>
    </row>
    <row r="323" spans="1:11" hidden="1" outlineLevel="1" x14ac:dyDescent="0.25">
      <c r="A323" s="107"/>
      <c r="B323" s="107"/>
      <c r="C323" s="107"/>
      <c r="D323">
        <v>2025</v>
      </c>
      <c r="E323">
        <v>0</v>
      </c>
      <c r="F323">
        <v>0</v>
      </c>
      <c r="G323">
        <v>0</v>
      </c>
      <c r="H323">
        <v>0</v>
      </c>
      <c r="I323">
        <v>0</v>
      </c>
      <c r="J323" s="107"/>
      <c r="K323" s="107"/>
    </row>
    <row r="324" spans="1:11" ht="15" customHeight="1" outlineLevel="1" x14ac:dyDescent="0.25">
      <c r="A324" s="107" t="s">
        <v>586</v>
      </c>
      <c r="B324" s="107" t="s">
        <v>587</v>
      </c>
      <c r="C324" s="107">
        <v>2021</v>
      </c>
      <c r="D324" t="s">
        <v>8</v>
      </c>
      <c r="E324">
        <f t="shared" si="32"/>
        <v>26597.568421052631</v>
      </c>
      <c r="F324">
        <f>SUM(F325:F329)</f>
        <v>25267.69</v>
      </c>
      <c r="G324">
        <f>SUM(G325:G329)</f>
        <v>0</v>
      </c>
      <c r="H324">
        <f>SUM(H325:H329)</f>
        <v>1329.8784210526314</v>
      </c>
      <c r="I324">
        <f>SUM(I325:I329)</f>
        <v>0</v>
      </c>
      <c r="J324" s="107" t="s">
        <v>588</v>
      </c>
      <c r="K324" s="107" t="s">
        <v>103</v>
      </c>
    </row>
    <row r="325" spans="1:11" ht="15" customHeight="1" outlineLevel="1" x14ac:dyDescent="0.25">
      <c r="A325" s="107"/>
      <c r="B325" s="107"/>
      <c r="C325" s="107"/>
      <c r="D325">
        <v>2021</v>
      </c>
      <c r="E325">
        <f t="shared" si="32"/>
        <v>26597.568421052631</v>
      </c>
      <c r="F325">
        <v>25267.69</v>
      </c>
      <c r="G325">
        <v>0</v>
      </c>
      <c r="H325">
        <f>F325/95*5</f>
        <v>1329.8784210526314</v>
      </c>
      <c r="I325">
        <v>0</v>
      </c>
      <c r="J325" s="107"/>
      <c r="K325" s="107"/>
    </row>
    <row r="326" spans="1:11" ht="15" customHeight="1" outlineLevel="1" x14ac:dyDescent="0.25">
      <c r="A326" s="107"/>
      <c r="B326" s="107"/>
      <c r="C326" s="107"/>
      <c r="D326">
        <v>2022</v>
      </c>
      <c r="E326">
        <v>0</v>
      </c>
      <c r="F326">
        <v>0</v>
      </c>
      <c r="G326">
        <v>0</v>
      </c>
      <c r="H326">
        <v>0</v>
      </c>
      <c r="I326">
        <v>0</v>
      </c>
      <c r="J326" s="107"/>
      <c r="K326" s="107"/>
    </row>
    <row r="327" spans="1:11" ht="15" customHeight="1" outlineLevel="1" x14ac:dyDescent="0.25">
      <c r="A327" s="107"/>
      <c r="B327" s="107"/>
      <c r="C327" s="107"/>
      <c r="D327">
        <v>2023</v>
      </c>
      <c r="E327">
        <v>0</v>
      </c>
      <c r="F327">
        <v>0</v>
      </c>
      <c r="G327">
        <v>0</v>
      </c>
      <c r="H327">
        <v>0</v>
      </c>
      <c r="I327">
        <v>0</v>
      </c>
      <c r="J327" s="107"/>
      <c r="K327" s="107"/>
    </row>
    <row r="328" spans="1:11" ht="15" customHeight="1" outlineLevel="1" x14ac:dyDescent="0.25">
      <c r="A328" s="107"/>
      <c r="B328" s="107"/>
      <c r="C328" s="107"/>
      <c r="D328">
        <v>2024</v>
      </c>
      <c r="E328">
        <v>0</v>
      </c>
      <c r="F328">
        <v>0</v>
      </c>
      <c r="G328">
        <v>0</v>
      </c>
      <c r="H328">
        <v>0</v>
      </c>
      <c r="I328">
        <v>0</v>
      </c>
      <c r="J328" s="107"/>
      <c r="K328" s="107"/>
    </row>
    <row r="329" spans="1:11" ht="15" customHeight="1" outlineLevel="1" x14ac:dyDescent="0.25">
      <c r="A329" s="107"/>
      <c r="B329" s="107"/>
      <c r="C329" s="107"/>
      <c r="D329">
        <v>2025</v>
      </c>
      <c r="E329">
        <v>0</v>
      </c>
      <c r="F329">
        <v>0</v>
      </c>
      <c r="G329">
        <v>0</v>
      </c>
      <c r="H329">
        <v>0</v>
      </c>
      <c r="I329">
        <v>0</v>
      </c>
      <c r="J329" s="107"/>
      <c r="K329" s="107"/>
    </row>
    <row r="330" spans="1:11" ht="15" customHeight="1" outlineLevel="1" x14ac:dyDescent="0.25">
      <c r="A330" s="107" t="s">
        <v>589</v>
      </c>
      <c r="B330" s="107" t="s">
        <v>590</v>
      </c>
      <c r="C330" s="107">
        <v>2021</v>
      </c>
      <c r="D330" t="s">
        <v>8</v>
      </c>
      <c r="E330">
        <f t="shared" si="32"/>
        <v>2270.6600000000003</v>
      </c>
      <c r="F330">
        <f>SUM(F331:F335)</f>
        <v>2100.36</v>
      </c>
      <c r="G330">
        <f>SUM(G331:G335)</f>
        <v>0</v>
      </c>
      <c r="H330">
        <f>SUM(H331:H335)</f>
        <v>170.3</v>
      </c>
      <c r="I330">
        <f>SUM(I331:I335)</f>
        <v>0</v>
      </c>
      <c r="J330" s="107" t="s">
        <v>591</v>
      </c>
      <c r="K330" s="107" t="s">
        <v>1076</v>
      </c>
    </row>
    <row r="331" spans="1:11" ht="15" customHeight="1" outlineLevel="1" x14ac:dyDescent="0.25">
      <c r="A331" s="107"/>
      <c r="B331" s="107"/>
      <c r="C331" s="107"/>
      <c r="D331">
        <v>2021</v>
      </c>
      <c r="E331">
        <f t="shared" si="32"/>
        <v>2270.6600000000003</v>
      </c>
      <c r="F331">
        <v>2100.36</v>
      </c>
      <c r="G331">
        <v>0</v>
      </c>
      <c r="H331">
        <v>170.3</v>
      </c>
      <c r="I331">
        <v>0</v>
      </c>
      <c r="J331" s="107"/>
      <c r="K331" s="107"/>
    </row>
    <row r="332" spans="1:11" ht="15" customHeight="1" outlineLevel="1" x14ac:dyDescent="0.25">
      <c r="A332" s="107"/>
      <c r="B332" s="107"/>
      <c r="C332" s="107"/>
      <c r="D332">
        <v>2022</v>
      </c>
      <c r="E332">
        <f t="shared" si="32"/>
        <v>0</v>
      </c>
      <c r="F332">
        <v>0</v>
      </c>
      <c r="G332">
        <v>0</v>
      </c>
      <c r="H332">
        <v>0</v>
      </c>
      <c r="I332">
        <v>0</v>
      </c>
      <c r="J332" s="107"/>
      <c r="K332" s="107"/>
    </row>
    <row r="333" spans="1:11" ht="15" customHeight="1" outlineLevel="1" x14ac:dyDescent="0.25">
      <c r="A333" s="107"/>
      <c r="B333" s="107"/>
      <c r="C333" s="107"/>
      <c r="D333">
        <v>2023</v>
      </c>
      <c r="E333">
        <f t="shared" si="32"/>
        <v>0</v>
      </c>
      <c r="F333">
        <v>0</v>
      </c>
      <c r="G333">
        <v>0</v>
      </c>
      <c r="H333">
        <v>0</v>
      </c>
      <c r="I333">
        <v>0</v>
      </c>
      <c r="J333" s="107"/>
      <c r="K333" s="107"/>
    </row>
    <row r="334" spans="1:11" ht="15" customHeight="1" outlineLevel="1" x14ac:dyDescent="0.25">
      <c r="A334" s="107"/>
      <c r="B334" s="107"/>
      <c r="C334" s="107"/>
      <c r="D334">
        <v>2024</v>
      </c>
      <c r="E334">
        <f t="shared" si="32"/>
        <v>0</v>
      </c>
      <c r="F334">
        <v>0</v>
      </c>
      <c r="G334">
        <v>0</v>
      </c>
      <c r="H334">
        <v>0</v>
      </c>
      <c r="I334">
        <v>0</v>
      </c>
      <c r="J334" s="107"/>
      <c r="K334" s="107"/>
    </row>
    <row r="335" spans="1:11" ht="14.25" customHeight="1" outlineLevel="1" x14ac:dyDescent="0.25">
      <c r="A335" s="107"/>
      <c r="B335" s="107"/>
      <c r="C335" s="107"/>
      <c r="D335">
        <v>2025</v>
      </c>
      <c r="E335">
        <f t="shared" si="32"/>
        <v>0</v>
      </c>
      <c r="F335">
        <v>0</v>
      </c>
      <c r="G335">
        <v>0</v>
      </c>
      <c r="H335">
        <v>0</v>
      </c>
      <c r="I335">
        <v>0</v>
      </c>
      <c r="J335" s="107"/>
      <c r="K335" s="107"/>
    </row>
    <row r="336" spans="1:11" ht="15" hidden="1" customHeight="1" outlineLevel="1" x14ac:dyDescent="0.25">
      <c r="A336" s="107" t="s">
        <v>592</v>
      </c>
      <c r="B336" s="107" t="s">
        <v>593</v>
      </c>
      <c r="C336" s="107">
        <v>2021</v>
      </c>
      <c r="D336" t="s">
        <v>8</v>
      </c>
      <c r="J336" s="107" t="s">
        <v>594</v>
      </c>
      <c r="K336" s="107" t="s">
        <v>103</v>
      </c>
    </row>
    <row r="337" spans="1:12" ht="14.25" hidden="1" customHeight="1" outlineLevel="1" x14ac:dyDescent="0.25">
      <c r="A337" s="107"/>
      <c r="B337" s="107"/>
      <c r="C337" s="107"/>
      <c r="D337">
        <v>2021</v>
      </c>
      <c r="J337" s="107"/>
      <c r="K337" s="107"/>
    </row>
    <row r="338" spans="1:12" ht="12.75" hidden="1" customHeight="1" outlineLevel="1" x14ac:dyDescent="0.25">
      <c r="A338" s="107"/>
      <c r="B338" s="107"/>
      <c r="C338" s="107"/>
      <c r="D338">
        <v>2022</v>
      </c>
      <c r="J338" s="107"/>
      <c r="K338" s="107"/>
    </row>
    <row r="339" spans="1:12" ht="12.75" hidden="1" customHeight="1" outlineLevel="1" x14ac:dyDescent="0.25">
      <c r="A339" s="107"/>
      <c r="B339" s="107"/>
      <c r="C339" s="107"/>
      <c r="D339">
        <v>2023</v>
      </c>
      <c r="J339" s="107"/>
      <c r="K339" s="107"/>
    </row>
    <row r="340" spans="1:12" ht="12.75" hidden="1" customHeight="1" outlineLevel="1" x14ac:dyDescent="0.25">
      <c r="A340" s="107"/>
      <c r="B340" s="107"/>
      <c r="C340" s="107"/>
      <c r="D340">
        <v>2024</v>
      </c>
      <c r="J340" s="107"/>
      <c r="K340" s="107"/>
    </row>
    <row r="341" spans="1:12" ht="20.25" hidden="1" customHeight="1" outlineLevel="1" x14ac:dyDescent="0.25">
      <c r="A341" s="107"/>
      <c r="B341" s="107"/>
      <c r="C341" s="107"/>
      <c r="D341">
        <v>2025</v>
      </c>
      <c r="J341" s="107"/>
      <c r="K341" s="107"/>
    </row>
    <row r="342" spans="1:12" ht="12.75" customHeight="1" outlineLevel="1" x14ac:dyDescent="0.25">
      <c r="A342" s="107" t="s">
        <v>592</v>
      </c>
      <c r="B342" s="107" t="s">
        <v>595</v>
      </c>
      <c r="C342" s="107">
        <v>2021</v>
      </c>
      <c r="D342" t="s">
        <v>8</v>
      </c>
      <c r="E342">
        <f t="shared" si="32"/>
        <v>470</v>
      </c>
      <c r="F342">
        <f>SUM(F343:F347)</f>
        <v>470</v>
      </c>
      <c r="G342">
        <f>SUM(G343:G347)</f>
        <v>0</v>
      </c>
      <c r="H342">
        <f>SUM(H343:H347)</f>
        <v>0</v>
      </c>
      <c r="I342">
        <f>SUM(I343:I347)</f>
        <v>0</v>
      </c>
      <c r="J342" s="107" t="s">
        <v>596</v>
      </c>
      <c r="K342" s="107" t="s">
        <v>597</v>
      </c>
    </row>
    <row r="343" spans="1:12" ht="12.75" customHeight="1" outlineLevel="1" x14ac:dyDescent="0.25">
      <c r="A343" s="107"/>
      <c r="B343" s="107"/>
      <c r="C343" s="107"/>
      <c r="D343">
        <v>2021</v>
      </c>
      <c r="E343">
        <f t="shared" si="32"/>
        <v>470</v>
      </c>
      <c r="F343">
        <v>470</v>
      </c>
      <c r="G343">
        <v>0</v>
      </c>
      <c r="H343">
        <v>0</v>
      </c>
      <c r="I343">
        <v>0</v>
      </c>
      <c r="J343" s="107"/>
      <c r="K343" s="107"/>
    </row>
    <row r="344" spans="1:12" ht="12.75" customHeight="1" outlineLevel="1" x14ac:dyDescent="0.25">
      <c r="A344" s="107"/>
      <c r="B344" s="107"/>
      <c r="C344" s="107"/>
      <c r="D344">
        <v>2022</v>
      </c>
      <c r="E344">
        <f t="shared" si="32"/>
        <v>0</v>
      </c>
      <c r="F344">
        <v>0</v>
      </c>
      <c r="G344">
        <v>0</v>
      </c>
      <c r="H344">
        <v>0</v>
      </c>
      <c r="I344">
        <v>0</v>
      </c>
      <c r="J344" s="107"/>
      <c r="K344" s="107"/>
    </row>
    <row r="345" spans="1:12" ht="12.75" customHeight="1" outlineLevel="1" x14ac:dyDescent="0.25">
      <c r="A345" s="107"/>
      <c r="B345" s="107"/>
      <c r="C345" s="107"/>
      <c r="D345">
        <v>2023</v>
      </c>
      <c r="E345">
        <f t="shared" si="32"/>
        <v>0</v>
      </c>
      <c r="F345">
        <v>0</v>
      </c>
      <c r="G345">
        <v>0</v>
      </c>
      <c r="H345">
        <v>0</v>
      </c>
      <c r="I345">
        <v>0</v>
      </c>
      <c r="J345" s="107"/>
      <c r="K345" s="107"/>
    </row>
    <row r="346" spans="1:12" ht="12.75" customHeight="1" outlineLevel="1" x14ac:dyDescent="0.25">
      <c r="A346" s="107"/>
      <c r="B346" s="107"/>
      <c r="C346" s="107"/>
      <c r="D346">
        <v>2024</v>
      </c>
      <c r="E346">
        <f t="shared" si="32"/>
        <v>0</v>
      </c>
      <c r="F346">
        <v>0</v>
      </c>
      <c r="G346">
        <v>0</v>
      </c>
      <c r="H346">
        <v>0</v>
      </c>
      <c r="I346">
        <v>0</v>
      </c>
      <c r="J346" s="107"/>
      <c r="K346" s="107"/>
    </row>
    <row r="347" spans="1:12" ht="12.75" customHeight="1" outlineLevel="1" x14ac:dyDescent="0.25">
      <c r="A347" s="107"/>
      <c r="B347" s="107"/>
      <c r="C347" s="107"/>
      <c r="D347">
        <v>2025</v>
      </c>
      <c r="E347">
        <f t="shared" si="32"/>
        <v>0</v>
      </c>
      <c r="F347">
        <v>0</v>
      </c>
      <c r="G347">
        <v>0</v>
      </c>
      <c r="H347">
        <v>0</v>
      </c>
      <c r="I347">
        <v>0</v>
      </c>
      <c r="J347" s="107"/>
      <c r="K347" s="107"/>
    </row>
    <row r="348" spans="1:12" ht="12.75" customHeight="1" outlineLevel="1" x14ac:dyDescent="0.25">
      <c r="A348" s="107" t="s">
        <v>116</v>
      </c>
      <c r="B348" s="107" t="s">
        <v>40</v>
      </c>
      <c r="C348" s="107" t="s">
        <v>41</v>
      </c>
      <c r="D348" t="s">
        <v>8</v>
      </c>
      <c r="E348">
        <f t="shared" si="32"/>
        <v>841161.25291684223</v>
      </c>
      <c r="F348">
        <f>SUM(F349:F353)</f>
        <v>322581.13746000006</v>
      </c>
      <c r="G348">
        <f>SUM(G349:G353)</f>
        <v>502391</v>
      </c>
      <c r="H348">
        <f>SUM(H349:H353)</f>
        <v>16189.115456842106</v>
      </c>
      <c r="I348">
        <f>SUM(I349:I353)</f>
        <v>0</v>
      </c>
      <c r="J348" s="107" t="s">
        <v>117</v>
      </c>
      <c r="K348" s="107" t="s">
        <v>601</v>
      </c>
    </row>
    <row r="349" spans="1:12" outlineLevel="1" x14ac:dyDescent="0.25">
      <c r="A349" s="107"/>
      <c r="B349" s="107"/>
      <c r="C349" s="107"/>
      <c r="D349">
        <v>2021</v>
      </c>
      <c r="E349">
        <f t="shared" si="32"/>
        <v>277169.42298999999</v>
      </c>
      <c r="F349">
        <f>F355+F361+F367+F373</f>
        <v>18858.950530000002</v>
      </c>
      <c r="G349">
        <f t="shared" ref="F349:I353" si="33">G355+G361+G367+G373</f>
        <v>257488.7</v>
      </c>
      <c r="H349">
        <f t="shared" si="33"/>
        <v>821.77245999999991</v>
      </c>
      <c r="I349">
        <f t="shared" si="33"/>
        <v>0</v>
      </c>
      <c r="J349" s="107"/>
      <c r="K349" s="107"/>
      <c r="L349">
        <f t="shared" ref="L349:L350" si="34">F361/95*5</f>
        <v>287.26860684210527</v>
      </c>
    </row>
    <row r="350" spans="1:12" outlineLevel="1" x14ac:dyDescent="0.25">
      <c r="A350" s="107"/>
      <c r="B350" s="107"/>
      <c r="C350" s="107"/>
      <c r="D350">
        <v>2022</v>
      </c>
      <c r="E350">
        <f t="shared" si="32"/>
        <v>420368.93519000005</v>
      </c>
      <c r="F350">
        <f t="shared" si="33"/>
        <v>287896.88693000004</v>
      </c>
      <c r="G350">
        <f t="shared" si="33"/>
        <v>117511.3</v>
      </c>
      <c r="H350">
        <f t="shared" si="33"/>
        <v>14960.74826</v>
      </c>
      <c r="I350">
        <f t="shared" si="33"/>
        <v>0</v>
      </c>
      <c r="J350" s="107"/>
      <c r="K350" s="107"/>
      <c r="L350">
        <f t="shared" si="34"/>
        <v>7972.525007368421</v>
      </c>
    </row>
    <row r="351" spans="1:12" outlineLevel="1" x14ac:dyDescent="0.25">
      <c r="A351" s="107"/>
      <c r="B351" s="107"/>
      <c r="C351" s="107"/>
      <c r="D351">
        <v>2023</v>
      </c>
      <c r="E351">
        <f t="shared" si="32"/>
        <v>139572.89473684211</v>
      </c>
      <c r="F351">
        <f t="shared" si="33"/>
        <v>11775.3</v>
      </c>
      <c r="G351">
        <f t="shared" si="33"/>
        <v>127391</v>
      </c>
      <c r="H351">
        <f t="shared" si="33"/>
        <v>406.59473684210525</v>
      </c>
      <c r="I351">
        <f t="shared" si="33"/>
        <v>0</v>
      </c>
      <c r="J351" s="107"/>
      <c r="K351" s="107"/>
    </row>
    <row r="352" spans="1:12" outlineLevel="1" x14ac:dyDescent="0.25">
      <c r="A352" s="107"/>
      <c r="B352" s="107"/>
      <c r="C352" s="107"/>
      <c r="D352">
        <v>2024</v>
      </c>
      <c r="E352">
        <f t="shared" si="32"/>
        <v>4050</v>
      </c>
      <c r="F352">
        <f t="shared" si="33"/>
        <v>4050</v>
      </c>
      <c r="G352">
        <f t="shared" si="33"/>
        <v>0</v>
      </c>
      <c r="H352">
        <f t="shared" si="33"/>
        <v>0</v>
      </c>
      <c r="I352">
        <f t="shared" si="33"/>
        <v>0</v>
      </c>
      <c r="J352" s="107"/>
      <c r="K352" s="107"/>
    </row>
    <row r="353" spans="1:11" outlineLevel="1" x14ac:dyDescent="0.25">
      <c r="A353" s="107"/>
      <c r="B353" s="107"/>
      <c r="C353" s="107"/>
      <c r="D353">
        <v>2025</v>
      </c>
      <c r="E353">
        <f t="shared" si="32"/>
        <v>0</v>
      </c>
      <c r="F353">
        <f t="shared" si="33"/>
        <v>0</v>
      </c>
      <c r="G353">
        <f t="shared" si="33"/>
        <v>0</v>
      </c>
      <c r="H353">
        <f t="shared" si="33"/>
        <v>0</v>
      </c>
      <c r="I353">
        <f>I359+I365+I371+I377</f>
        <v>0</v>
      </c>
      <c r="J353" s="107"/>
      <c r="K353" s="107"/>
    </row>
    <row r="354" spans="1:11" x14ac:dyDescent="0.25">
      <c r="A354" s="107" t="s">
        <v>119</v>
      </c>
      <c r="B354" s="107" t="s">
        <v>120</v>
      </c>
      <c r="C354" s="107" t="s">
        <v>41</v>
      </c>
      <c r="D354" t="s">
        <v>8</v>
      </c>
      <c r="E354">
        <f t="shared" si="32"/>
        <v>15168.79</v>
      </c>
      <c r="F354">
        <f>SUM(F355:F359)</f>
        <v>15168.79</v>
      </c>
      <c r="G354">
        <f>SUM(G355:G359)</f>
        <v>0</v>
      </c>
      <c r="H354">
        <f>SUM(H355:H359)</f>
        <v>0</v>
      </c>
      <c r="I354">
        <f>SUM(I355:I359)</f>
        <v>0</v>
      </c>
      <c r="J354" s="107" t="s">
        <v>121</v>
      </c>
      <c r="K354" s="107" t="s">
        <v>484</v>
      </c>
    </row>
    <row r="355" spans="1:11" ht="14.25" customHeight="1" x14ac:dyDescent="0.25">
      <c r="A355" s="107"/>
      <c r="B355" s="107"/>
      <c r="C355" s="107"/>
      <c r="D355">
        <v>2021</v>
      </c>
      <c r="E355">
        <f t="shared" si="32"/>
        <v>3018.79</v>
      </c>
      <c r="F355">
        <f>3018790/1000</f>
        <v>3018.79</v>
      </c>
      <c r="G355">
        <v>0</v>
      </c>
      <c r="H355">
        <v>0</v>
      </c>
      <c r="I355">
        <v>0</v>
      </c>
      <c r="J355" s="107"/>
      <c r="K355" s="107"/>
    </row>
    <row r="356" spans="1:11" x14ac:dyDescent="0.25">
      <c r="A356" s="107"/>
      <c r="B356" s="107"/>
      <c r="C356" s="107"/>
      <c r="D356">
        <v>2022</v>
      </c>
      <c r="E356">
        <f t="shared" si="32"/>
        <v>4050</v>
      </c>
      <c r="F356">
        <v>4050</v>
      </c>
      <c r="G356">
        <v>0</v>
      </c>
      <c r="H356">
        <v>0</v>
      </c>
      <c r="I356">
        <v>0</v>
      </c>
      <c r="J356" s="107"/>
      <c r="K356" s="107"/>
    </row>
    <row r="357" spans="1:11" x14ac:dyDescent="0.25">
      <c r="A357" s="107"/>
      <c r="B357" s="107"/>
      <c r="C357" s="107"/>
      <c r="D357">
        <v>2023</v>
      </c>
      <c r="E357">
        <f t="shared" si="32"/>
        <v>4050</v>
      </c>
      <c r="F357">
        <v>4050</v>
      </c>
      <c r="G357">
        <v>0</v>
      </c>
      <c r="H357">
        <v>0</v>
      </c>
      <c r="I357">
        <v>0</v>
      </c>
      <c r="J357" s="107"/>
      <c r="K357" s="107"/>
    </row>
    <row r="358" spans="1:11" x14ac:dyDescent="0.25">
      <c r="A358" s="107"/>
      <c r="B358" s="107"/>
      <c r="C358" s="107"/>
      <c r="D358">
        <v>2024</v>
      </c>
      <c r="E358">
        <f t="shared" si="32"/>
        <v>4050</v>
      </c>
      <c r="F358">
        <v>4050</v>
      </c>
      <c r="G358">
        <v>0</v>
      </c>
      <c r="H358">
        <v>0</v>
      </c>
      <c r="I358">
        <v>0</v>
      </c>
      <c r="J358" s="107"/>
      <c r="K358" s="107"/>
    </row>
    <row r="359" spans="1:11" x14ac:dyDescent="0.25">
      <c r="A359" s="107"/>
      <c r="B359" s="107"/>
      <c r="C359" s="107"/>
      <c r="D359">
        <v>2025</v>
      </c>
      <c r="E359">
        <f t="shared" si="32"/>
        <v>0</v>
      </c>
      <c r="F359">
        <v>0</v>
      </c>
      <c r="G359">
        <v>0</v>
      </c>
      <c r="H359">
        <v>0</v>
      </c>
      <c r="I359">
        <v>0</v>
      </c>
      <c r="J359" s="107"/>
      <c r="K359" s="107"/>
    </row>
    <row r="360" spans="1:11" x14ac:dyDescent="0.25">
      <c r="A360" s="107" t="s">
        <v>122</v>
      </c>
      <c r="B360" s="107" t="s">
        <v>123</v>
      </c>
      <c r="C360" s="107" t="s">
        <v>124</v>
      </c>
      <c r="D360" t="s">
        <v>8</v>
      </c>
      <c r="E360">
        <f t="shared" si="32"/>
        <v>286452.78574999998</v>
      </c>
      <c r="F360">
        <f>SUM(F361:F365)</f>
        <v>156936.07866999999</v>
      </c>
      <c r="G360">
        <f>SUM(G361:G365)</f>
        <v>121253.24861000001</v>
      </c>
      <c r="H360">
        <f>SUM(H361:H365)</f>
        <v>8263.4584699999996</v>
      </c>
      <c r="I360">
        <f>SUM(I361:I365)</f>
        <v>0</v>
      </c>
      <c r="J360" s="107" t="s">
        <v>602</v>
      </c>
      <c r="K360" s="107" t="s">
        <v>1077</v>
      </c>
    </row>
    <row r="361" spans="1:11" ht="14.25" customHeight="1" x14ac:dyDescent="0.25">
      <c r="A361" s="107"/>
      <c r="B361" s="107"/>
      <c r="C361" s="107"/>
      <c r="D361">
        <v>2021</v>
      </c>
      <c r="E361">
        <f t="shared" si="32"/>
        <v>94465.110319999992</v>
      </c>
      <c r="F361">
        <v>5458.1035300000003</v>
      </c>
      <c r="G361">
        <v>88723.845570000005</v>
      </c>
      <c r="H361">
        <v>283.16122000000001</v>
      </c>
      <c r="I361">
        <v>0</v>
      </c>
      <c r="J361" s="107"/>
      <c r="K361" s="107"/>
    </row>
    <row r="362" spans="1:11" x14ac:dyDescent="0.25">
      <c r="A362" s="107"/>
      <c r="B362" s="107"/>
      <c r="C362" s="107"/>
      <c r="D362">
        <v>2022</v>
      </c>
      <c r="E362">
        <f t="shared" si="32"/>
        <v>191987.67543</v>
      </c>
      <c r="F362">
        <v>151477.97514</v>
      </c>
      <c r="G362">
        <v>32529.403040000001</v>
      </c>
      <c r="H362">
        <v>7980.2972499999996</v>
      </c>
      <c r="I362">
        <v>0</v>
      </c>
      <c r="J362" s="107"/>
      <c r="K362" s="107"/>
    </row>
    <row r="363" spans="1:11" x14ac:dyDescent="0.25">
      <c r="A363" s="107"/>
      <c r="B363" s="107"/>
      <c r="C363" s="107"/>
      <c r="D363">
        <v>2023</v>
      </c>
      <c r="E363">
        <f t="shared" si="32"/>
        <v>0</v>
      </c>
      <c r="F363">
        <v>0</v>
      </c>
      <c r="G363">
        <v>0</v>
      </c>
      <c r="H363">
        <v>0</v>
      </c>
      <c r="I363">
        <v>0</v>
      </c>
      <c r="J363" s="107"/>
      <c r="K363" s="107"/>
    </row>
    <row r="364" spans="1:11" x14ac:dyDescent="0.25">
      <c r="A364" s="107"/>
      <c r="B364" s="107"/>
      <c r="C364" s="107"/>
      <c r="D364">
        <v>2024</v>
      </c>
      <c r="E364">
        <f t="shared" si="32"/>
        <v>0</v>
      </c>
      <c r="F364">
        <v>0</v>
      </c>
      <c r="G364">
        <v>0</v>
      </c>
      <c r="H364">
        <v>0</v>
      </c>
      <c r="I364">
        <v>0</v>
      </c>
      <c r="J364" s="107"/>
      <c r="K364" s="107"/>
    </row>
    <row r="365" spans="1:11" x14ac:dyDescent="0.25">
      <c r="A365" s="107"/>
      <c r="B365" s="107"/>
      <c r="C365" s="107"/>
      <c r="D365">
        <v>2025</v>
      </c>
      <c r="E365">
        <f t="shared" si="32"/>
        <v>0</v>
      </c>
      <c r="F365">
        <v>0</v>
      </c>
      <c r="G365">
        <v>0</v>
      </c>
      <c r="H365">
        <v>0</v>
      </c>
      <c r="I365">
        <v>0</v>
      </c>
      <c r="J365" s="107"/>
      <c r="K365" s="107"/>
    </row>
    <row r="366" spans="1:11" ht="15" customHeight="1" x14ac:dyDescent="0.25">
      <c r="A366" s="107" t="s">
        <v>126</v>
      </c>
      <c r="B366" s="107" t="s">
        <v>127</v>
      </c>
      <c r="C366" s="107" t="s">
        <v>124</v>
      </c>
      <c r="D366" t="s">
        <v>8</v>
      </c>
      <c r="E366">
        <f t="shared" si="32"/>
        <v>404016.78243000002</v>
      </c>
      <c r="F366">
        <f>SUM(F367:F371)</f>
        <v>142750.96879000001</v>
      </c>
      <c r="G366">
        <f>SUM(G367:G371)</f>
        <v>253746.75138999999</v>
      </c>
      <c r="H366">
        <f>SUM(H367:H371)</f>
        <v>7519.0622499999999</v>
      </c>
      <c r="I366">
        <f>SUM(I367:I371)</f>
        <v>0</v>
      </c>
      <c r="J366" s="107" t="s">
        <v>603</v>
      </c>
      <c r="K366" s="107" t="s">
        <v>1077</v>
      </c>
    </row>
    <row r="367" spans="1:11" x14ac:dyDescent="0.25">
      <c r="A367" s="107"/>
      <c r="B367" s="107"/>
      <c r="C367" s="107"/>
      <c r="D367">
        <v>2021</v>
      </c>
      <c r="E367">
        <f t="shared" si="32"/>
        <v>179685.52267000001</v>
      </c>
      <c r="F367">
        <v>10382.057000000001</v>
      </c>
      <c r="G367">
        <v>168764.85443000001</v>
      </c>
      <c r="H367">
        <v>538.61123999999995</v>
      </c>
      <c r="I367">
        <v>0</v>
      </c>
      <c r="J367" s="107"/>
      <c r="K367" s="107"/>
    </row>
    <row r="368" spans="1:11" x14ac:dyDescent="0.25">
      <c r="A368" s="107"/>
      <c r="B368" s="107"/>
      <c r="C368" s="107"/>
      <c r="D368">
        <v>2022</v>
      </c>
      <c r="E368">
        <f t="shared" si="32"/>
        <v>224331.25976000002</v>
      </c>
      <c r="F368">
        <v>132368.91179000001</v>
      </c>
      <c r="G368">
        <v>84981.896959999998</v>
      </c>
      <c r="H368">
        <v>6980.4510099999998</v>
      </c>
      <c r="I368">
        <v>0</v>
      </c>
      <c r="J368" s="107"/>
      <c r="K368" s="107"/>
    </row>
    <row r="369" spans="1:11" x14ac:dyDescent="0.25">
      <c r="A369" s="107"/>
      <c r="B369" s="107"/>
      <c r="C369" s="107"/>
      <c r="D369">
        <v>2023</v>
      </c>
      <c r="E369">
        <f t="shared" ref="E369:E395" si="35">SUM(F369:I369)</f>
        <v>0</v>
      </c>
      <c r="F369">
        <v>0</v>
      </c>
      <c r="G369">
        <v>0</v>
      </c>
      <c r="H369">
        <v>0</v>
      </c>
      <c r="I369">
        <v>0</v>
      </c>
      <c r="J369" s="107"/>
      <c r="K369" s="107"/>
    </row>
    <row r="370" spans="1:11" x14ac:dyDescent="0.25">
      <c r="A370" s="107"/>
      <c r="B370" s="107"/>
      <c r="C370" s="107"/>
      <c r="D370">
        <v>2024</v>
      </c>
      <c r="E370">
        <f t="shared" si="35"/>
        <v>0</v>
      </c>
      <c r="F370">
        <v>0</v>
      </c>
      <c r="G370">
        <v>0</v>
      </c>
      <c r="H370">
        <v>0</v>
      </c>
      <c r="I370">
        <v>0</v>
      </c>
      <c r="J370" s="107"/>
      <c r="K370" s="107"/>
    </row>
    <row r="371" spans="1:11" x14ac:dyDescent="0.25">
      <c r="A371" s="107"/>
      <c r="B371" s="107"/>
      <c r="C371" s="107"/>
      <c r="D371">
        <v>2025</v>
      </c>
      <c r="E371">
        <f t="shared" si="35"/>
        <v>0</v>
      </c>
      <c r="F371">
        <v>0</v>
      </c>
      <c r="G371">
        <v>0</v>
      </c>
      <c r="H371">
        <v>0</v>
      </c>
      <c r="I371">
        <v>0</v>
      </c>
      <c r="J371" s="107"/>
      <c r="K371" s="107"/>
    </row>
    <row r="372" spans="1:11" ht="15" customHeight="1" x14ac:dyDescent="0.25">
      <c r="A372" s="107" t="s">
        <v>128</v>
      </c>
      <c r="B372" s="107" t="s">
        <v>129</v>
      </c>
      <c r="C372" s="107">
        <v>2023</v>
      </c>
      <c r="D372" t="s">
        <v>8</v>
      </c>
      <c r="E372">
        <f t="shared" si="35"/>
        <v>135522.89473684211</v>
      </c>
      <c r="F372">
        <f>SUM(F373:F377)</f>
        <v>7725.3</v>
      </c>
      <c r="G372">
        <f>SUM(G373:G377)</f>
        <v>127391</v>
      </c>
      <c r="H372">
        <f>SUM(H373:H377)</f>
        <v>406.59473684210525</v>
      </c>
      <c r="I372">
        <f>SUM(I373:I377)</f>
        <v>0</v>
      </c>
      <c r="J372" s="107" t="s">
        <v>604</v>
      </c>
      <c r="K372" s="107" t="s">
        <v>1077</v>
      </c>
    </row>
    <row r="373" spans="1:11" x14ac:dyDescent="0.25">
      <c r="A373" s="107"/>
      <c r="B373" s="107"/>
      <c r="C373" s="107"/>
      <c r="D373">
        <v>2021</v>
      </c>
      <c r="E373">
        <f t="shared" si="35"/>
        <v>0</v>
      </c>
      <c r="F373">
        <v>0</v>
      </c>
      <c r="G373">
        <v>0</v>
      </c>
      <c r="H373">
        <v>0</v>
      </c>
      <c r="I373">
        <v>0</v>
      </c>
      <c r="J373" s="107"/>
      <c r="K373" s="107"/>
    </row>
    <row r="374" spans="1:11" x14ac:dyDescent="0.25">
      <c r="A374" s="107"/>
      <c r="B374" s="107"/>
      <c r="C374" s="107"/>
      <c r="D374">
        <v>2022</v>
      </c>
      <c r="E374">
        <f t="shared" si="35"/>
        <v>0</v>
      </c>
      <c r="F374">
        <v>0</v>
      </c>
      <c r="G374">
        <v>0</v>
      </c>
      <c r="H374">
        <v>0</v>
      </c>
      <c r="I374">
        <v>0</v>
      </c>
      <c r="J374" s="107"/>
      <c r="K374" s="107"/>
    </row>
    <row r="375" spans="1:11" x14ac:dyDescent="0.25">
      <c r="A375" s="107"/>
      <c r="B375" s="107"/>
      <c r="C375" s="107"/>
      <c r="D375">
        <v>2023</v>
      </c>
      <c r="E375">
        <f t="shared" si="35"/>
        <v>135522.89473684211</v>
      </c>
      <c r="F375">
        <v>7725.3</v>
      </c>
      <c r="G375">
        <v>127391</v>
      </c>
      <c r="H375">
        <f>F375/95*5</f>
        <v>406.59473684210525</v>
      </c>
      <c r="I375">
        <v>0</v>
      </c>
      <c r="J375" s="107"/>
      <c r="K375" s="107"/>
    </row>
    <row r="376" spans="1:11" x14ac:dyDescent="0.25">
      <c r="A376" s="107"/>
      <c r="B376" s="107"/>
      <c r="C376" s="107"/>
      <c r="D376">
        <v>2024</v>
      </c>
      <c r="E376">
        <f t="shared" si="35"/>
        <v>0</v>
      </c>
      <c r="F376">
        <v>0</v>
      </c>
      <c r="G376">
        <v>0</v>
      </c>
      <c r="H376">
        <v>0</v>
      </c>
      <c r="I376">
        <v>0</v>
      </c>
      <c r="J376" s="107"/>
      <c r="K376" s="107"/>
    </row>
    <row r="377" spans="1:11" x14ac:dyDescent="0.25">
      <c r="A377" s="107"/>
      <c r="B377" s="107"/>
      <c r="C377" s="107"/>
      <c r="D377">
        <v>2025</v>
      </c>
      <c r="E377">
        <f t="shared" si="35"/>
        <v>0</v>
      </c>
      <c r="F377">
        <v>0</v>
      </c>
      <c r="G377">
        <v>0</v>
      </c>
      <c r="H377">
        <v>0</v>
      </c>
      <c r="I377">
        <v>0</v>
      </c>
      <c r="J377" s="107"/>
      <c r="K377" s="107"/>
    </row>
    <row r="378" spans="1:11" x14ac:dyDescent="0.25">
      <c r="A378" s="107" t="s">
        <v>131</v>
      </c>
      <c r="B378" s="107" t="s">
        <v>132</v>
      </c>
      <c r="C378" s="107" t="s">
        <v>14</v>
      </c>
      <c r="D378" t="s">
        <v>8</v>
      </c>
      <c r="E378">
        <f t="shared" si="35"/>
        <v>226682.17267</v>
      </c>
      <c r="F378">
        <f>SUM(F379:F383)</f>
        <v>226682.17267</v>
      </c>
      <c r="G378">
        <f>SUM(G379:G383)</f>
        <v>0</v>
      </c>
      <c r="H378">
        <f>SUM(H379:H383)</f>
        <v>0</v>
      </c>
      <c r="I378">
        <f>SUM(I379:I383)</f>
        <v>0</v>
      </c>
      <c r="J378" s="107"/>
      <c r="K378" s="107" t="s">
        <v>484</v>
      </c>
    </row>
    <row r="379" spans="1:11" x14ac:dyDescent="0.25">
      <c r="A379" s="107"/>
      <c r="B379" s="107"/>
      <c r="C379" s="107"/>
      <c r="D379">
        <v>2021</v>
      </c>
      <c r="E379">
        <f t="shared" si="35"/>
        <v>39008.536670000001</v>
      </c>
      <c r="F379">
        <f t="shared" ref="F379:I383" si="36">F385</f>
        <v>39008.536670000001</v>
      </c>
      <c r="G379">
        <f t="shared" si="36"/>
        <v>0</v>
      </c>
      <c r="H379">
        <f t="shared" si="36"/>
        <v>0</v>
      </c>
      <c r="I379">
        <f t="shared" si="36"/>
        <v>0</v>
      </c>
      <c r="J379" s="107"/>
      <c r="K379" s="107"/>
    </row>
    <row r="380" spans="1:11" x14ac:dyDescent="0.25">
      <c r="A380" s="107"/>
      <c r="B380" s="107"/>
      <c r="C380" s="107"/>
      <c r="D380">
        <v>2022</v>
      </c>
      <c r="E380">
        <f t="shared" si="35"/>
        <v>46918.409</v>
      </c>
      <c r="F380">
        <f t="shared" si="36"/>
        <v>46918.409</v>
      </c>
      <c r="G380">
        <f t="shared" si="36"/>
        <v>0</v>
      </c>
      <c r="H380">
        <f t="shared" si="36"/>
        <v>0</v>
      </c>
      <c r="I380">
        <f t="shared" si="36"/>
        <v>0</v>
      </c>
      <c r="J380" s="107"/>
      <c r="K380" s="107"/>
    </row>
    <row r="381" spans="1:11" x14ac:dyDescent="0.25">
      <c r="A381" s="107"/>
      <c r="B381" s="107"/>
      <c r="C381" s="107"/>
      <c r="D381">
        <v>2023</v>
      </c>
      <c r="E381">
        <f t="shared" si="35"/>
        <v>46918.409</v>
      </c>
      <c r="F381">
        <f t="shared" si="36"/>
        <v>46918.409</v>
      </c>
      <c r="G381">
        <f t="shared" si="36"/>
        <v>0</v>
      </c>
      <c r="H381">
        <f t="shared" si="36"/>
        <v>0</v>
      </c>
      <c r="I381">
        <f t="shared" si="36"/>
        <v>0</v>
      </c>
      <c r="J381" s="107"/>
      <c r="K381" s="107"/>
    </row>
    <row r="382" spans="1:11" x14ac:dyDescent="0.25">
      <c r="A382" s="107"/>
      <c r="B382" s="107"/>
      <c r="C382" s="107"/>
      <c r="D382">
        <v>2024</v>
      </c>
      <c r="E382">
        <f t="shared" si="35"/>
        <v>46918.409</v>
      </c>
      <c r="F382">
        <f t="shared" si="36"/>
        <v>46918.409</v>
      </c>
      <c r="G382">
        <f t="shared" si="36"/>
        <v>0</v>
      </c>
      <c r="H382">
        <f t="shared" si="36"/>
        <v>0</v>
      </c>
      <c r="I382">
        <f t="shared" si="36"/>
        <v>0</v>
      </c>
      <c r="J382" s="107"/>
      <c r="K382" s="107"/>
    </row>
    <row r="383" spans="1:11" x14ac:dyDescent="0.25">
      <c r="A383" s="107"/>
      <c r="B383" s="107"/>
      <c r="C383" s="107"/>
      <c r="D383">
        <v>2025</v>
      </c>
      <c r="E383">
        <f t="shared" si="35"/>
        <v>46918.409</v>
      </c>
      <c r="F383">
        <f t="shared" si="36"/>
        <v>46918.409</v>
      </c>
      <c r="G383">
        <f t="shared" si="36"/>
        <v>0</v>
      </c>
      <c r="H383">
        <f t="shared" si="36"/>
        <v>0</v>
      </c>
      <c r="I383">
        <f t="shared" si="36"/>
        <v>0</v>
      </c>
      <c r="J383" s="107"/>
      <c r="K383" s="107"/>
    </row>
    <row r="384" spans="1:11" ht="15" customHeight="1" x14ac:dyDescent="0.25">
      <c r="A384" s="107" t="s">
        <v>133</v>
      </c>
      <c r="B384" s="107" t="s">
        <v>134</v>
      </c>
      <c r="C384" s="107" t="s">
        <v>14</v>
      </c>
      <c r="D384" t="s">
        <v>8</v>
      </c>
      <c r="E384">
        <f t="shared" si="35"/>
        <v>226682.17267</v>
      </c>
      <c r="F384">
        <f>SUM(F385:F389)</f>
        <v>226682.17267</v>
      </c>
      <c r="G384">
        <f>SUM(G385:G389)</f>
        <v>0</v>
      </c>
      <c r="H384">
        <f>SUM(H385:H389)</f>
        <v>0</v>
      </c>
      <c r="I384">
        <f>SUM(I385:I389)</f>
        <v>0</v>
      </c>
      <c r="J384" s="107"/>
      <c r="K384" s="107" t="s">
        <v>484</v>
      </c>
    </row>
    <row r="385" spans="1:11" x14ac:dyDescent="0.25">
      <c r="A385" s="107"/>
      <c r="B385" s="107"/>
      <c r="C385" s="107"/>
      <c r="D385">
        <v>2021</v>
      </c>
      <c r="E385">
        <f t="shared" si="35"/>
        <v>39008.536670000001</v>
      </c>
      <c r="F385">
        <f t="shared" ref="F385:I389" si="37">F391</f>
        <v>39008.536670000001</v>
      </c>
      <c r="G385">
        <f t="shared" si="37"/>
        <v>0</v>
      </c>
      <c r="H385">
        <f t="shared" si="37"/>
        <v>0</v>
      </c>
      <c r="I385">
        <f t="shared" si="37"/>
        <v>0</v>
      </c>
      <c r="J385" s="107"/>
      <c r="K385" s="107"/>
    </row>
    <row r="386" spans="1:11" x14ac:dyDescent="0.25">
      <c r="A386" s="107"/>
      <c r="B386" s="107"/>
      <c r="C386" s="107"/>
      <c r="D386">
        <v>2022</v>
      </c>
      <c r="E386">
        <f t="shared" si="35"/>
        <v>46918.409</v>
      </c>
      <c r="F386">
        <f t="shared" si="37"/>
        <v>46918.409</v>
      </c>
      <c r="G386">
        <f t="shared" si="37"/>
        <v>0</v>
      </c>
      <c r="H386">
        <f t="shared" si="37"/>
        <v>0</v>
      </c>
      <c r="I386">
        <f t="shared" si="37"/>
        <v>0</v>
      </c>
      <c r="J386" s="107"/>
      <c r="K386" s="107"/>
    </row>
    <row r="387" spans="1:11" x14ac:dyDescent="0.25">
      <c r="A387" s="107"/>
      <c r="B387" s="107"/>
      <c r="C387" s="107"/>
      <c r="D387">
        <v>2023</v>
      </c>
      <c r="E387">
        <f t="shared" si="35"/>
        <v>46918.409</v>
      </c>
      <c r="F387">
        <f t="shared" si="37"/>
        <v>46918.409</v>
      </c>
      <c r="G387">
        <f t="shared" si="37"/>
        <v>0</v>
      </c>
      <c r="H387">
        <f t="shared" si="37"/>
        <v>0</v>
      </c>
      <c r="I387">
        <f t="shared" si="37"/>
        <v>0</v>
      </c>
      <c r="J387" s="107"/>
      <c r="K387" s="107"/>
    </row>
    <row r="388" spans="1:11" x14ac:dyDescent="0.25">
      <c r="A388" s="107"/>
      <c r="B388" s="107"/>
      <c r="C388" s="107"/>
      <c r="D388">
        <v>2024</v>
      </c>
      <c r="E388">
        <f t="shared" si="35"/>
        <v>46918.409</v>
      </c>
      <c r="F388">
        <f t="shared" si="37"/>
        <v>46918.409</v>
      </c>
      <c r="G388">
        <f t="shared" si="37"/>
        <v>0</v>
      </c>
      <c r="H388">
        <f t="shared" si="37"/>
        <v>0</v>
      </c>
      <c r="I388">
        <f t="shared" si="37"/>
        <v>0</v>
      </c>
      <c r="J388" s="107"/>
      <c r="K388" s="107"/>
    </row>
    <row r="389" spans="1:11" ht="52.5" customHeight="1" x14ac:dyDescent="0.25">
      <c r="A389" s="107"/>
      <c r="B389" s="107"/>
      <c r="C389" s="107"/>
      <c r="D389">
        <v>2025</v>
      </c>
      <c r="E389">
        <f t="shared" si="35"/>
        <v>46918.409</v>
      </c>
      <c r="F389">
        <f t="shared" si="37"/>
        <v>46918.409</v>
      </c>
      <c r="G389">
        <f>G395</f>
        <v>0</v>
      </c>
      <c r="H389">
        <f>H395</f>
        <v>0</v>
      </c>
      <c r="I389">
        <f>I395</f>
        <v>0</v>
      </c>
      <c r="J389" s="107"/>
      <c r="K389" s="107"/>
    </row>
    <row r="390" spans="1:11" x14ac:dyDescent="0.25">
      <c r="A390" s="107" t="s">
        <v>135</v>
      </c>
      <c r="B390" s="107" t="s">
        <v>136</v>
      </c>
      <c r="C390" s="107" t="s">
        <v>14</v>
      </c>
      <c r="D390" t="s">
        <v>8</v>
      </c>
      <c r="E390">
        <f t="shared" si="35"/>
        <v>226682.17267</v>
      </c>
      <c r="F390">
        <f>SUM(F391:F395)</f>
        <v>226682.17267</v>
      </c>
      <c r="G390">
        <f>SUM(G391:G395)</f>
        <v>0</v>
      </c>
      <c r="H390">
        <f>SUM(H391:H395)</f>
        <v>0</v>
      </c>
      <c r="I390">
        <f>SUM(I391:I395)</f>
        <v>0</v>
      </c>
      <c r="J390" s="107" t="s">
        <v>607</v>
      </c>
      <c r="K390" s="107" t="s">
        <v>484</v>
      </c>
    </row>
    <row r="391" spans="1:11" x14ac:dyDescent="0.25">
      <c r="A391" s="107"/>
      <c r="B391" s="107"/>
      <c r="C391" s="107"/>
      <c r="D391">
        <v>2021</v>
      </c>
      <c r="E391">
        <f t="shared" si="35"/>
        <v>39008.536670000001</v>
      </c>
      <c r="F391">
        <v>39008.536670000001</v>
      </c>
      <c r="G391">
        <v>0</v>
      </c>
      <c r="H391">
        <v>0</v>
      </c>
      <c r="I391">
        <v>0</v>
      </c>
      <c r="J391" s="107"/>
      <c r="K391" s="107"/>
    </row>
    <row r="392" spans="1:11" x14ac:dyDescent="0.25">
      <c r="A392" s="107"/>
      <c r="B392" s="107"/>
      <c r="C392" s="107"/>
      <c r="D392">
        <v>2022</v>
      </c>
      <c r="E392">
        <f t="shared" si="35"/>
        <v>46918.409</v>
      </c>
      <c r="F392">
        <v>46918.409</v>
      </c>
      <c r="G392">
        <v>0</v>
      </c>
      <c r="H392">
        <v>0</v>
      </c>
      <c r="I392">
        <v>0</v>
      </c>
      <c r="J392" s="107"/>
      <c r="K392" s="107"/>
    </row>
    <row r="393" spans="1:11" x14ac:dyDescent="0.25">
      <c r="A393" s="107"/>
      <c r="B393" s="107"/>
      <c r="C393" s="107"/>
      <c r="D393">
        <v>2023</v>
      </c>
      <c r="E393">
        <f t="shared" si="35"/>
        <v>46918.409</v>
      </c>
      <c r="F393">
        <v>46918.409</v>
      </c>
      <c r="G393">
        <v>0</v>
      </c>
      <c r="H393">
        <v>0</v>
      </c>
      <c r="I393">
        <v>0</v>
      </c>
      <c r="J393" s="107"/>
      <c r="K393" s="107"/>
    </row>
    <row r="394" spans="1:11" x14ac:dyDescent="0.25">
      <c r="A394" s="107"/>
      <c r="B394" s="107"/>
      <c r="C394" s="107"/>
      <c r="D394">
        <v>2024</v>
      </c>
      <c r="E394">
        <f t="shared" si="35"/>
        <v>46918.409</v>
      </c>
      <c r="F394">
        <v>46918.409</v>
      </c>
      <c r="G394">
        <v>0</v>
      </c>
      <c r="H394">
        <v>0</v>
      </c>
      <c r="I394">
        <v>0</v>
      </c>
      <c r="J394" s="107"/>
      <c r="K394" s="107"/>
    </row>
    <row r="395" spans="1:11" x14ac:dyDescent="0.25">
      <c r="A395" s="107"/>
      <c r="B395" s="107"/>
      <c r="C395" s="107"/>
      <c r="D395">
        <v>2025</v>
      </c>
      <c r="E395">
        <f t="shared" si="35"/>
        <v>46918.409</v>
      </c>
      <c r="F395">
        <v>46918.409</v>
      </c>
      <c r="G395">
        <v>0</v>
      </c>
      <c r="H395">
        <v>0</v>
      </c>
      <c r="I395">
        <v>0</v>
      </c>
      <c r="J395" s="107"/>
      <c r="K395" s="107"/>
    </row>
  </sheetData>
  <autoFilter ref="A4:L377">
    <filterColumn colId="3">
      <colorFilter dxfId="1"/>
    </filterColumn>
  </autoFilter>
  <mergeCells count="322">
    <mergeCell ref="A384:A389"/>
    <mergeCell ref="B384:B389"/>
    <mergeCell ref="C384:C389"/>
    <mergeCell ref="J384:J389"/>
    <mergeCell ref="K384:K389"/>
    <mergeCell ref="A390:A395"/>
    <mergeCell ref="B390:B395"/>
    <mergeCell ref="C390:C395"/>
    <mergeCell ref="J390:J395"/>
    <mergeCell ref="K390:K395"/>
    <mergeCell ref="A372:A377"/>
    <mergeCell ref="B372:B377"/>
    <mergeCell ref="C372:C377"/>
    <mergeCell ref="J372:J377"/>
    <mergeCell ref="K372:K377"/>
    <mergeCell ref="A378:A383"/>
    <mergeCell ref="B378:B383"/>
    <mergeCell ref="C378:C383"/>
    <mergeCell ref="J378:J383"/>
    <mergeCell ref="K378:K383"/>
    <mergeCell ref="A360:A365"/>
    <mergeCell ref="B360:B365"/>
    <mergeCell ref="C360:C365"/>
    <mergeCell ref="J360:J365"/>
    <mergeCell ref="K360:K365"/>
    <mergeCell ref="A366:A371"/>
    <mergeCell ref="B366:B371"/>
    <mergeCell ref="C366:C371"/>
    <mergeCell ref="J366:J371"/>
    <mergeCell ref="K366:K371"/>
    <mergeCell ref="A348:A353"/>
    <mergeCell ref="B348:B353"/>
    <mergeCell ref="C348:C353"/>
    <mergeCell ref="J348:J353"/>
    <mergeCell ref="K348:K353"/>
    <mergeCell ref="A354:A359"/>
    <mergeCell ref="B354:B359"/>
    <mergeCell ref="C354:C359"/>
    <mergeCell ref="J354:J359"/>
    <mergeCell ref="K354:K359"/>
    <mergeCell ref="A336:A341"/>
    <mergeCell ref="B336:B341"/>
    <mergeCell ref="C336:C341"/>
    <mergeCell ref="J336:J341"/>
    <mergeCell ref="K336:K341"/>
    <mergeCell ref="A342:A347"/>
    <mergeCell ref="B342:B347"/>
    <mergeCell ref="C342:C347"/>
    <mergeCell ref="J342:J347"/>
    <mergeCell ref="K342:K347"/>
    <mergeCell ref="A324:A329"/>
    <mergeCell ref="B324:B329"/>
    <mergeCell ref="C324:C329"/>
    <mergeCell ref="J324:J329"/>
    <mergeCell ref="K324:K329"/>
    <mergeCell ref="A330:A335"/>
    <mergeCell ref="B330:B335"/>
    <mergeCell ref="C330:C335"/>
    <mergeCell ref="J330:J335"/>
    <mergeCell ref="K330:K335"/>
    <mergeCell ref="A312:A317"/>
    <mergeCell ref="B312:B317"/>
    <mergeCell ref="C312:C317"/>
    <mergeCell ref="J312:J317"/>
    <mergeCell ref="K312:K317"/>
    <mergeCell ref="A318:A323"/>
    <mergeCell ref="B318:B323"/>
    <mergeCell ref="C318:C323"/>
    <mergeCell ref="J318:J323"/>
    <mergeCell ref="K318:K323"/>
    <mergeCell ref="A300:A305"/>
    <mergeCell ref="B300:B305"/>
    <mergeCell ref="C300:C305"/>
    <mergeCell ref="J300:J305"/>
    <mergeCell ref="K300:K305"/>
    <mergeCell ref="A306:A311"/>
    <mergeCell ref="B306:B311"/>
    <mergeCell ref="C306:C311"/>
    <mergeCell ref="J306:J311"/>
    <mergeCell ref="K306:K311"/>
    <mergeCell ref="A288:A293"/>
    <mergeCell ref="B288:B293"/>
    <mergeCell ref="C288:C293"/>
    <mergeCell ref="J288:J293"/>
    <mergeCell ref="K288:K293"/>
    <mergeCell ref="A294:A299"/>
    <mergeCell ref="B294:B299"/>
    <mergeCell ref="C294:C299"/>
    <mergeCell ref="J294:J299"/>
    <mergeCell ref="K294:K299"/>
    <mergeCell ref="A276:A281"/>
    <mergeCell ref="B276:B281"/>
    <mergeCell ref="C276:C281"/>
    <mergeCell ref="J276:J281"/>
    <mergeCell ref="K276:K281"/>
    <mergeCell ref="A282:A287"/>
    <mergeCell ref="B282:B287"/>
    <mergeCell ref="C282:C287"/>
    <mergeCell ref="J282:J287"/>
    <mergeCell ref="K282:K287"/>
    <mergeCell ref="A264:A269"/>
    <mergeCell ref="B264:B269"/>
    <mergeCell ref="C264:C269"/>
    <mergeCell ref="J264:J269"/>
    <mergeCell ref="K264:K269"/>
    <mergeCell ref="A270:A275"/>
    <mergeCell ref="B270:B275"/>
    <mergeCell ref="C270:C275"/>
    <mergeCell ref="J270:J275"/>
    <mergeCell ref="K270:K275"/>
    <mergeCell ref="A252:A257"/>
    <mergeCell ref="B252:B257"/>
    <mergeCell ref="C252:C257"/>
    <mergeCell ref="J252:J257"/>
    <mergeCell ref="K252:K257"/>
    <mergeCell ref="A258:A263"/>
    <mergeCell ref="B258:B263"/>
    <mergeCell ref="C258:C263"/>
    <mergeCell ref="J258:J263"/>
    <mergeCell ref="K258:K263"/>
    <mergeCell ref="A240:A245"/>
    <mergeCell ref="B240:B245"/>
    <mergeCell ref="C240:C245"/>
    <mergeCell ref="J240:J245"/>
    <mergeCell ref="K240:K245"/>
    <mergeCell ref="A246:A251"/>
    <mergeCell ref="B246:B251"/>
    <mergeCell ref="C246:C251"/>
    <mergeCell ref="J246:J251"/>
    <mergeCell ref="K246:K251"/>
    <mergeCell ref="A223:A228"/>
    <mergeCell ref="B223:B228"/>
    <mergeCell ref="C223:C228"/>
    <mergeCell ref="J223:J228"/>
    <mergeCell ref="K223:K228"/>
    <mergeCell ref="A234:A239"/>
    <mergeCell ref="B234:B239"/>
    <mergeCell ref="C234:C239"/>
    <mergeCell ref="J234:J239"/>
    <mergeCell ref="K234:K239"/>
    <mergeCell ref="A211:A216"/>
    <mergeCell ref="B211:B216"/>
    <mergeCell ref="C211:C216"/>
    <mergeCell ref="J211:J216"/>
    <mergeCell ref="K211:K216"/>
    <mergeCell ref="A217:A222"/>
    <mergeCell ref="B217:B222"/>
    <mergeCell ref="C217:C222"/>
    <mergeCell ref="J217:J222"/>
    <mergeCell ref="K217:K222"/>
    <mergeCell ref="A199:A204"/>
    <mergeCell ref="B199:B204"/>
    <mergeCell ref="C199:C204"/>
    <mergeCell ref="J199:J204"/>
    <mergeCell ref="K199:K204"/>
    <mergeCell ref="A205:A210"/>
    <mergeCell ref="B205:B210"/>
    <mergeCell ref="C205:C210"/>
    <mergeCell ref="J205:J210"/>
    <mergeCell ref="K205:K210"/>
    <mergeCell ref="A187:A192"/>
    <mergeCell ref="B187:B192"/>
    <mergeCell ref="C187:C192"/>
    <mergeCell ref="J187:J192"/>
    <mergeCell ref="K187:K192"/>
    <mergeCell ref="A193:A198"/>
    <mergeCell ref="B193:B198"/>
    <mergeCell ref="C193:C198"/>
    <mergeCell ref="J193:J198"/>
    <mergeCell ref="K193:K198"/>
    <mergeCell ref="A175:A180"/>
    <mergeCell ref="B175:B180"/>
    <mergeCell ref="C175:C180"/>
    <mergeCell ref="J175:J180"/>
    <mergeCell ref="K175:K180"/>
    <mergeCell ref="A181:A186"/>
    <mergeCell ref="B181:B186"/>
    <mergeCell ref="C181:C186"/>
    <mergeCell ref="J181:J186"/>
    <mergeCell ref="K181:K186"/>
    <mergeCell ref="A163:A168"/>
    <mergeCell ref="B163:B168"/>
    <mergeCell ref="C163:C168"/>
    <mergeCell ref="J163:J168"/>
    <mergeCell ref="K163:K168"/>
    <mergeCell ref="A169:A174"/>
    <mergeCell ref="B169:B174"/>
    <mergeCell ref="C169:C174"/>
    <mergeCell ref="J169:J174"/>
    <mergeCell ref="K169:K174"/>
    <mergeCell ref="A151:A156"/>
    <mergeCell ref="B151:B156"/>
    <mergeCell ref="C151:C156"/>
    <mergeCell ref="J151:J156"/>
    <mergeCell ref="K151:K156"/>
    <mergeCell ref="A157:A162"/>
    <mergeCell ref="B157:B162"/>
    <mergeCell ref="C157:C162"/>
    <mergeCell ref="J157:J162"/>
    <mergeCell ref="K157:K162"/>
    <mergeCell ref="A139:A144"/>
    <mergeCell ref="B139:B144"/>
    <mergeCell ref="C139:C144"/>
    <mergeCell ref="J139:J144"/>
    <mergeCell ref="K139:K144"/>
    <mergeCell ref="A145:A150"/>
    <mergeCell ref="B145:B150"/>
    <mergeCell ref="C145:C150"/>
    <mergeCell ref="J145:J150"/>
    <mergeCell ref="K145:K150"/>
    <mergeCell ref="A127:A132"/>
    <mergeCell ref="B127:B132"/>
    <mergeCell ref="C127:C132"/>
    <mergeCell ref="J127:J132"/>
    <mergeCell ref="K127:K132"/>
    <mergeCell ref="A133:A138"/>
    <mergeCell ref="B133:B138"/>
    <mergeCell ref="C133:C138"/>
    <mergeCell ref="J133:J138"/>
    <mergeCell ref="K133:K138"/>
    <mergeCell ref="A115:A120"/>
    <mergeCell ref="B115:B120"/>
    <mergeCell ref="C115:C120"/>
    <mergeCell ref="J115:J120"/>
    <mergeCell ref="K115:K120"/>
    <mergeCell ref="A121:A126"/>
    <mergeCell ref="B121:B126"/>
    <mergeCell ref="C121:C126"/>
    <mergeCell ref="J121:J126"/>
    <mergeCell ref="K121:K126"/>
    <mergeCell ref="A103:A108"/>
    <mergeCell ref="B103:B108"/>
    <mergeCell ref="C103:C108"/>
    <mergeCell ref="J103:J108"/>
    <mergeCell ref="K103:K108"/>
    <mergeCell ref="A109:A114"/>
    <mergeCell ref="B109:B114"/>
    <mergeCell ref="C109:C114"/>
    <mergeCell ref="J109:J114"/>
    <mergeCell ref="K109:K114"/>
    <mergeCell ref="A86:A91"/>
    <mergeCell ref="B86:B91"/>
    <mergeCell ref="C86:C91"/>
    <mergeCell ref="J86:J91"/>
    <mergeCell ref="K86:K91"/>
    <mergeCell ref="A97:A102"/>
    <mergeCell ref="B97:B102"/>
    <mergeCell ref="C97:C102"/>
    <mergeCell ref="J97:J102"/>
    <mergeCell ref="K97:K102"/>
    <mergeCell ref="A74:A79"/>
    <mergeCell ref="B74:B79"/>
    <mergeCell ref="C74:C79"/>
    <mergeCell ref="J74:J79"/>
    <mergeCell ref="K74:K79"/>
    <mergeCell ref="A80:A85"/>
    <mergeCell ref="B80:B85"/>
    <mergeCell ref="C80:C85"/>
    <mergeCell ref="J80:J85"/>
    <mergeCell ref="K80:K85"/>
    <mergeCell ref="A62:A67"/>
    <mergeCell ref="B62:B67"/>
    <mergeCell ref="C62:C67"/>
    <mergeCell ref="J62:J67"/>
    <mergeCell ref="K62:K67"/>
    <mergeCell ref="A68:A73"/>
    <mergeCell ref="B68:B73"/>
    <mergeCell ref="C68:C73"/>
    <mergeCell ref="J68:J73"/>
    <mergeCell ref="K68:K73"/>
    <mergeCell ref="A50:A55"/>
    <mergeCell ref="B50:B55"/>
    <mergeCell ref="C50:C55"/>
    <mergeCell ref="J50:J55"/>
    <mergeCell ref="K50:K55"/>
    <mergeCell ref="A56:A61"/>
    <mergeCell ref="B56:B61"/>
    <mergeCell ref="C56:C61"/>
    <mergeCell ref="J56:J61"/>
    <mergeCell ref="K56:K61"/>
    <mergeCell ref="A35:A40"/>
    <mergeCell ref="B35:B40"/>
    <mergeCell ref="C35:C40"/>
    <mergeCell ref="J35:J40"/>
    <mergeCell ref="K35:K40"/>
    <mergeCell ref="A44:A49"/>
    <mergeCell ref="B44:B49"/>
    <mergeCell ref="C44:C49"/>
    <mergeCell ref="J44:J49"/>
    <mergeCell ref="K44:K49"/>
    <mergeCell ref="A23:A28"/>
    <mergeCell ref="B23:B28"/>
    <mergeCell ref="C23:C28"/>
    <mergeCell ref="J23:J28"/>
    <mergeCell ref="K23:K28"/>
    <mergeCell ref="A29:A34"/>
    <mergeCell ref="B29:B34"/>
    <mergeCell ref="C29:C34"/>
    <mergeCell ref="J29:J34"/>
    <mergeCell ref="K29:K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activeCell="I28" sqref="I28"/>
    </sheetView>
  </sheetViews>
  <sheetFormatPr defaultRowHeight="15" x14ac:dyDescent="0.25"/>
  <cols>
    <col min="1" max="1" width="29" customWidth="1"/>
  </cols>
  <sheetData>
    <row r="1" spans="1:1" x14ac:dyDescent="0.25">
      <c r="A1" t="s">
        <v>1078</v>
      </c>
    </row>
    <row r="2" spans="1:1" x14ac:dyDescent="0.25">
      <c r="A2" t="s">
        <v>1079</v>
      </c>
    </row>
    <row r="3" spans="1:1" x14ac:dyDescent="0.25">
      <c r="A3" t="s">
        <v>1080</v>
      </c>
    </row>
    <row r="4" spans="1:1" x14ac:dyDescent="0.25">
      <c r="A4" t="s">
        <v>1081</v>
      </c>
    </row>
    <row r="5" spans="1:1" x14ac:dyDescent="0.25">
      <c r="A5" t="s">
        <v>1082</v>
      </c>
    </row>
    <row r="6" spans="1:1" x14ac:dyDescent="0.25">
      <c r="A6" t="s">
        <v>1083</v>
      </c>
    </row>
    <row r="7" spans="1:1" x14ac:dyDescent="0.25">
      <c r="A7" t="s">
        <v>1084</v>
      </c>
    </row>
    <row r="8" spans="1:1" x14ac:dyDescent="0.25">
      <c r="A8" t="s">
        <v>1085</v>
      </c>
    </row>
    <row r="9" spans="1:1" x14ac:dyDescent="0.25">
      <c r="A9" t="s">
        <v>1086</v>
      </c>
    </row>
    <row r="16" spans="1:1" x14ac:dyDescent="0.25">
      <c r="A16" t="s">
        <v>1087</v>
      </c>
    </row>
    <row r="17" spans="1:11" x14ac:dyDescent="0.25">
      <c r="A17" t="s">
        <v>1088</v>
      </c>
    </row>
    <row r="18" spans="1:11" x14ac:dyDescent="0.25">
      <c r="A18" t="s">
        <v>1089</v>
      </c>
    </row>
    <row r="19" spans="1:11" x14ac:dyDescent="0.25">
      <c r="A19" t="s">
        <v>1090</v>
      </c>
    </row>
    <row r="20" spans="1:11" x14ac:dyDescent="0.25">
      <c r="A20" t="s">
        <v>1091</v>
      </c>
    </row>
    <row r="21" spans="1:11" x14ac:dyDescent="0.25">
      <c r="A21" t="s">
        <v>1092</v>
      </c>
      <c r="K21" t="s">
        <v>1093</v>
      </c>
    </row>
    <row r="22" spans="1:11" x14ac:dyDescent="0.25">
      <c r="A22" t="s">
        <v>1094</v>
      </c>
    </row>
    <row r="23" spans="1:11" x14ac:dyDescent="0.25">
      <c r="A23" t="s">
        <v>1095</v>
      </c>
    </row>
  </sheetData>
  <pageMargins left="0.7" right="0.7" top="0.75" bottom="0.75" header="0.3" footer="0.3"/>
  <pageSetup paperSize="9" firstPageNumber="429496729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
  <sheetViews>
    <sheetView zoomScale="80" workbookViewId="0">
      <selection activeCell="J35" sqref="J35"/>
    </sheetView>
  </sheetViews>
  <sheetFormatPr defaultRowHeight="15" x14ac:dyDescent="0.25"/>
  <cols>
    <col min="2" max="2" width="21" customWidth="1"/>
    <col min="3" max="3" width="12.85546875" customWidth="1"/>
    <col min="5" max="5" width="11.28515625" customWidth="1"/>
    <col min="6" max="6" width="10.42578125" customWidth="1"/>
    <col min="7" max="7" width="11" customWidth="1"/>
    <col min="10" max="10" width="14" customWidth="1"/>
    <col min="13" max="13" width="10.5703125" customWidth="1"/>
    <col min="16" max="16" width="20" customWidth="1"/>
    <col min="17" max="17" width="10.42578125" customWidth="1"/>
    <col min="18" max="18" width="11.140625" customWidth="1"/>
    <col min="19" max="19" width="10.7109375" customWidth="1"/>
    <col min="22" max="22" width="35.42578125" customWidth="1"/>
    <col min="23" max="23" width="28" customWidth="1"/>
  </cols>
  <sheetData>
    <row r="1" spans="1:23" x14ac:dyDescent="0.25">
      <c r="W1" t="s">
        <v>1096</v>
      </c>
    </row>
    <row r="2" spans="1:23" x14ac:dyDescent="0.25">
      <c r="A2" s="107" t="s">
        <v>1097</v>
      </c>
      <c r="B2" s="107"/>
      <c r="C2" s="107"/>
      <c r="D2" s="107"/>
      <c r="E2" s="107"/>
      <c r="F2" s="107"/>
      <c r="G2" s="107"/>
      <c r="H2" s="107"/>
      <c r="I2" s="107"/>
      <c r="J2" s="107"/>
      <c r="K2" s="107"/>
      <c r="L2" s="107"/>
      <c r="M2" s="107"/>
      <c r="N2" s="107"/>
      <c r="O2" s="107"/>
      <c r="P2" s="107"/>
      <c r="Q2" s="107"/>
      <c r="R2" s="107"/>
      <c r="S2" s="107"/>
      <c r="T2" s="107"/>
      <c r="U2" s="107"/>
      <c r="V2" s="107"/>
      <c r="W2" s="107"/>
    </row>
    <row r="4" spans="1:23" x14ac:dyDescent="0.25">
      <c r="A4" s="107" t="s">
        <v>1098</v>
      </c>
      <c r="B4" s="107" t="s">
        <v>1099</v>
      </c>
      <c r="C4" s="107" t="s">
        <v>1100</v>
      </c>
      <c r="D4" s="107" t="s">
        <v>1101</v>
      </c>
      <c r="E4" s="107"/>
      <c r="F4" s="107"/>
      <c r="G4" s="107"/>
      <c r="H4" s="107"/>
      <c r="I4" s="107"/>
      <c r="J4" s="107"/>
      <c r="K4" s="107" t="s">
        <v>619</v>
      </c>
      <c r="L4" s="107"/>
      <c r="M4" s="107"/>
      <c r="N4" s="107"/>
      <c r="O4" s="107"/>
      <c r="P4" s="107" t="s">
        <v>957</v>
      </c>
      <c r="Q4" s="107"/>
      <c r="R4" s="107"/>
      <c r="S4" s="107"/>
      <c r="T4" s="107"/>
      <c r="U4" s="107"/>
      <c r="V4" s="107"/>
      <c r="W4" s="107" t="s">
        <v>621</v>
      </c>
    </row>
    <row r="5" spans="1:23" ht="58.5" customHeight="1" x14ac:dyDescent="0.25">
      <c r="A5" s="107"/>
      <c r="B5" s="107"/>
      <c r="C5" s="107"/>
      <c r="D5" t="s">
        <v>1102</v>
      </c>
      <c r="E5" t="s">
        <v>8</v>
      </c>
      <c r="F5" t="s">
        <v>9</v>
      </c>
      <c r="G5" t="s">
        <v>10</v>
      </c>
      <c r="H5" t="s">
        <v>11</v>
      </c>
      <c r="I5" t="s">
        <v>12</v>
      </c>
      <c r="J5" t="s">
        <v>959</v>
      </c>
      <c r="K5" t="s">
        <v>8</v>
      </c>
      <c r="L5" t="s">
        <v>9</v>
      </c>
      <c r="M5" t="s">
        <v>10</v>
      </c>
      <c r="N5" t="s">
        <v>11</v>
      </c>
      <c r="O5" t="s">
        <v>12</v>
      </c>
      <c r="P5" t="s">
        <v>963</v>
      </c>
      <c r="Q5" t="s">
        <v>8</v>
      </c>
      <c r="R5" t="s">
        <v>9</v>
      </c>
      <c r="S5" t="s">
        <v>10</v>
      </c>
      <c r="T5" t="s">
        <v>11</v>
      </c>
      <c r="U5" t="s">
        <v>12</v>
      </c>
      <c r="V5" t="s">
        <v>959</v>
      </c>
      <c r="W5" s="107"/>
    </row>
    <row r="6" spans="1:23" ht="19.5" customHeight="1" x14ac:dyDescent="0.25">
      <c r="A6" s="107">
        <v>6</v>
      </c>
      <c r="B6" s="107" t="s">
        <v>642</v>
      </c>
      <c r="C6" s="107"/>
      <c r="D6" t="s">
        <v>8</v>
      </c>
      <c r="E6">
        <v>0</v>
      </c>
      <c r="F6">
        <v>0</v>
      </c>
      <c r="G6">
        <v>0</v>
      </c>
      <c r="H6">
        <v>0</v>
      </c>
      <c r="I6">
        <v>0</v>
      </c>
      <c r="J6" s="107"/>
      <c r="K6" t="e">
        <f t="shared" ref="K6:K11" si="0">Q6-E6</f>
        <v>#REF!</v>
      </c>
      <c r="L6" t="e">
        <f t="shared" ref="L6:L11" si="1">R6-F6</f>
        <v>#REF!</v>
      </c>
      <c r="M6" t="e">
        <f t="shared" ref="M6:M11" si="2">S6-G6</f>
        <v>#REF!</v>
      </c>
      <c r="N6" t="e">
        <f t="shared" ref="N6:N11" si="3">T6-H6</f>
        <v>#REF!</v>
      </c>
      <c r="O6" t="e">
        <f t="shared" ref="O6:O11" si="4">U6-I6</f>
        <v>#REF!</v>
      </c>
      <c r="P6" s="107" t="s">
        <v>761</v>
      </c>
      <c r="Q6" t="e">
        <f>#REF!</f>
        <v>#REF!</v>
      </c>
      <c r="R6" t="e">
        <f>#REF!</f>
        <v>#REF!</v>
      </c>
      <c r="S6" t="e">
        <f>#REF!</f>
        <v>#REF!</v>
      </c>
      <c r="T6" t="e">
        <f>#REF!</f>
        <v>#REF!</v>
      </c>
      <c r="U6" t="e">
        <f>#REF!</f>
        <v>#REF!</v>
      </c>
      <c r="V6" s="107" t="s">
        <v>763</v>
      </c>
      <c r="W6" s="107"/>
    </row>
    <row r="7" spans="1:23" ht="19.5" customHeight="1" x14ac:dyDescent="0.25">
      <c r="A7" s="107"/>
      <c r="B7" s="107"/>
      <c r="C7" s="107"/>
      <c r="D7">
        <v>2021</v>
      </c>
      <c r="E7">
        <v>0</v>
      </c>
      <c r="F7">
        <v>0</v>
      </c>
      <c r="G7">
        <v>0</v>
      </c>
      <c r="H7">
        <v>0</v>
      </c>
      <c r="I7">
        <v>0</v>
      </c>
      <c r="J7" s="107"/>
      <c r="K7" t="e">
        <f t="shared" si="0"/>
        <v>#REF!</v>
      </c>
      <c r="L7" t="e">
        <f t="shared" si="1"/>
        <v>#REF!</v>
      </c>
      <c r="M7" t="e">
        <f t="shared" si="2"/>
        <v>#REF!</v>
      </c>
      <c r="N7" t="e">
        <f t="shared" si="3"/>
        <v>#REF!</v>
      </c>
      <c r="O7" t="e">
        <f t="shared" si="4"/>
        <v>#REF!</v>
      </c>
      <c r="P7" s="107"/>
      <c r="Q7" t="e">
        <f>#REF!</f>
        <v>#REF!</v>
      </c>
      <c r="R7" t="e">
        <f>#REF!</f>
        <v>#REF!</v>
      </c>
      <c r="S7" t="e">
        <f>#REF!</f>
        <v>#REF!</v>
      </c>
      <c r="T7" t="e">
        <f>#REF!</f>
        <v>#REF!</v>
      </c>
      <c r="U7" t="e">
        <f>#REF!</f>
        <v>#REF!</v>
      </c>
      <c r="V7" s="107"/>
      <c r="W7" s="107"/>
    </row>
    <row r="8" spans="1:23" ht="19.5" customHeight="1" x14ac:dyDescent="0.25">
      <c r="A8" s="107"/>
      <c r="B8" s="107"/>
      <c r="C8" s="107"/>
      <c r="D8">
        <v>2022</v>
      </c>
      <c r="E8">
        <v>0</v>
      </c>
      <c r="F8">
        <v>0</v>
      </c>
      <c r="G8">
        <v>0</v>
      </c>
      <c r="H8">
        <v>0</v>
      </c>
      <c r="I8">
        <v>0</v>
      </c>
      <c r="J8" s="107"/>
      <c r="K8" t="e">
        <f t="shared" si="0"/>
        <v>#REF!</v>
      </c>
      <c r="L8" t="e">
        <f t="shared" si="1"/>
        <v>#REF!</v>
      </c>
      <c r="M8" t="e">
        <f t="shared" si="2"/>
        <v>#REF!</v>
      </c>
      <c r="N8" t="e">
        <f t="shared" si="3"/>
        <v>#REF!</v>
      </c>
      <c r="O8" t="e">
        <f t="shared" si="4"/>
        <v>#REF!</v>
      </c>
      <c r="P8" s="107"/>
      <c r="Q8" t="e">
        <f>#REF!</f>
        <v>#REF!</v>
      </c>
      <c r="R8" t="e">
        <f>#REF!</f>
        <v>#REF!</v>
      </c>
      <c r="S8" t="e">
        <f>#REF!</f>
        <v>#REF!</v>
      </c>
      <c r="T8" t="e">
        <f>#REF!</f>
        <v>#REF!</v>
      </c>
      <c r="U8" t="e">
        <f>#REF!</f>
        <v>#REF!</v>
      </c>
      <c r="V8" s="107"/>
      <c r="W8" s="107"/>
    </row>
    <row r="9" spans="1:23" ht="19.5" customHeight="1" x14ac:dyDescent="0.25">
      <c r="A9" s="107"/>
      <c r="B9" s="107"/>
      <c r="C9" s="107"/>
      <c r="D9">
        <v>2023</v>
      </c>
      <c r="E9">
        <v>0</v>
      </c>
      <c r="F9">
        <v>0</v>
      </c>
      <c r="G9">
        <v>0</v>
      </c>
      <c r="H9">
        <v>0</v>
      </c>
      <c r="I9">
        <v>0</v>
      </c>
      <c r="J9" s="107"/>
      <c r="K9" t="e">
        <f t="shared" si="0"/>
        <v>#REF!</v>
      </c>
      <c r="L9" t="e">
        <f t="shared" si="1"/>
        <v>#REF!</v>
      </c>
      <c r="M9" t="e">
        <f t="shared" si="2"/>
        <v>#REF!</v>
      </c>
      <c r="N9" t="e">
        <f t="shared" si="3"/>
        <v>#REF!</v>
      </c>
      <c r="O9" t="e">
        <f t="shared" si="4"/>
        <v>#REF!</v>
      </c>
      <c r="P9" s="107"/>
      <c r="Q9" t="e">
        <f>#REF!</f>
        <v>#REF!</v>
      </c>
      <c r="R9" t="e">
        <f>#REF!</f>
        <v>#REF!</v>
      </c>
      <c r="S9" t="e">
        <f>#REF!</f>
        <v>#REF!</v>
      </c>
      <c r="T9" t="e">
        <f>#REF!</f>
        <v>#REF!</v>
      </c>
      <c r="U9" t="e">
        <f>#REF!</f>
        <v>#REF!</v>
      </c>
      <c r="V9" s="107"/>
      <c r="W9" s="107"/>
    </row>
    <row r="10" spans="1:23" ht="19.5" customHeight="1" x14ac:dyDescent="0.25">
      <c r="A10" s="107"/>
      <c r="B10" s="107"/>
      <c r="C10" s="107"/>
      <c r="D10">
        <v>2024</v>
      </c>
      <c r="E10">
        <v>0</v>
      </c>
      <c r="F10">
        <v>0</v>
      </c>
      <c r="G10">
        <v>0</v>
      </c>
      <c r="H10">
        <v>0</v>
      </c>
      <c r="I10">
        <v>0</v>
      </c>
      <c r="J10" s="107"/>
      <c r="K10" t="e">
        <f t="shared" si="0"/>
        <v>#REF!</v>
      </c>
      <c r="L10" t="e">
        <f t="shared" si="1"/>
        <v>#REF!</v>
      </c>
      <c r="M10" t="e">
        <f t="shared" si="2"/>
        <v>#REF!</v>
      </c>
      <c r="N10" t="e">
        <f t="shared" si="3"/>
        <v>#REF!</v>
      </c>
      <c r="O10" t="e">
        <f t="shared" si="4"/>
        <v>#REF!</v>
      </c>
      <c r="P10" s="107"/>
      <c r="Q10" t="e">
        <f>#REF!</f>
        <v>#REF!</v>
      </c>
      <c r="R10" t="e">
        <f>#REF!</f>
        <v>#REF!</v>
      </c>
      <c r="S10" t="e">
        <f>#REF!</f>
        <v>#REF!</v>
      </c>
      <c r="T10" t="e">
        <f>#REF!</f>
        <v>#REF!</v>
      </c>
      <c r="U10" t="e">
        <f>#REF!</f>
        <v>#REF!</v>
      </c>
      <c r="V10" s="107"/>
      <c r="W10" s="107"/>
    </row>
    <row r="11" spans="1:23" ht="19.5" customHeight="1" x14ac:dyDescent="0.25">
      <c r="A11" s="107"/>
      <c r="B11" s="107"/>
      <c r="C11" s="107"/>
      <c r="D11">
        <v>2025</v>
      </c>
      <c r="E11">
        <v>0</v>
      </c>
      <c r="F11">
        <v>0</v>
      </c>
      <c r="G11">
        <v>0</v>
      </c>
      <c r="H11">
        <v>0</v>
      </c>
      <c r="I11">
        <v>0</v>
      </c>
      <c r="J11" s="107"/>
      <c r="K11" t="e">
        <f t="shared" si="0"/>
        <v>#REF!</v>
      </c>
      <c r="L11" t="e">
        <f t="shared" si="1"/>
        <v>#REF!</v>
      </c>
      <c r="M11" t="e">
        <f t="shared" si="2"/>
        <v>#REF!</v>
      </c>
      <c r="N11" t="e">
        <f t="shared" si="3"/>
        <v>#REF!</v>
      </c>
      <c r="O11" t="e">
        <f t="shared" si="4"/>
        <v>#REF!</v>
      </c>
      <c r="P11" s="107"/>
      <c r="Q11" t="e">
        <f>#REF!</f>
        <v>#REF!</v>
      </c>
      <c r="R11" t="e">
        <f>#REF!</f>
        <v>#REF!</v>
      </c>
      <c r="S11" t="e">
        <f>#REF!</f>
        <v>#REF!</v>
      </c>
      <c r="T11" t="e">
        <f>#REF!</f>
        <v>#REF!</v>
      </c>
      <c r="U11" t="e">
        <f>#REF!</f>
        <v>#REF!</v>
      </c>
      <c r="V11" s="107"/>
      <c r="W11" s="107"/>
    </row>
    <row r="12" spans="1:23" ht="23.25" customHeight="1" x14ac:dyDescent="0.25">
      <c r="A12" s="107">
        <v>7</v>
      </c>
      <c r="B12" s="107" t="s">
        <v>642</v>
      </c>
      <c r="C12" s="107"/>
      <c r="D12" t="s">
        <v>8</v>
      </c>
      <c r="E12">
        <v>0</v>
      </c>
      <c r="F12">
        <v>0</v>
      </c>
      <c r="G12">
        <v>0</v>
      </c>
      <c r="H12">
        <v>0</v>
      </c>
      <c r="I12">
        <v>0</v>
      </c>
      <c r="J12" s="107"/>
      <c r="K12" t="e">
        <f t="shared" ref="K12:K17" si="5">Q12-E12</f>
        <v>#REF!</v>
      </c>
      <c r="L12" t="e">
        <f t="shared" ref="L12:L17" si="6">R12-F12</f>
        <v>#REF!</v>
      </c>
      <c r="M12" t="e">
        <f t="shared" ref="M12:M17" si="7">S12-G12</f>
        <v>#REF!</v>
      </c>
      <c r="N12" t="e">
        <f t="shared" ref="N12:N17" si="8">T12-H12</f>
        <v>#REF!</v>
      </c>
      <c r="O12" t="e">
        <f t="shared" ref="O12:O17" si="9">U12-I12</f>
        <v>#REF!</v>
      </c>
      <c r="P12" s="107" t="s">
        <v>766</v>
      </c>
      <c r="Q12" t="e">
        <f>#REF!</f>
        <v>#REF!</v>
      </c>
      <c r="R12" t="e">
        <f>#REF!</f>
        <v>#REF!</v>
      </c>
      <c r="S12" t="e">
        <f>#REF!</f>
        <v>#REF!</v>
      </c>
      <c r="T12" t="e">
        <f>#REF!</f>
        <v>#REF!</v>
      </c>
      <c r="U12" t="e">
        <f>#REF!</f>
        <v>#REF!</v>
      </c>
      <c r="V12" s="107" t="s">
        <v>1103</v>
      </c>
      <c r="W12" s="107"/>
    </row>
    <row r="13" spans="1:23" ht="23.25" customHeight="1" x14ac:dyDescent="0.25">
      <c r="A13" s="107"/>
      <c r="B13" s="107"/>
      <c r="C13" s="107"/>
      <c r="D13">
        <v>2021</v>
      </c>
      <c r="E13">
        <v>0</v>
      </c>
      <c r="F13">
        <v>0</v>
      </c>
      <c r="G13">
        <v>0</v>
      </c>
      <c r="H13">
        <v>0</v>
      </c>
      <c r="I13">
        <v>0</v>
      </c>
      <c r="J13" s="107"/>
      <c r="K13" t="e">
        <f t="shared" si="5"/>
        <v>#REF!</v>
      </c>
      <c r="L13" t="e">
        <f t="shared" si="6"/>
        <v>#REF!</v>
      </c>
      <c r="M13" t="e">
        <f t="shared" si="7"/>
        <v>#REF!</v>
      </c>
      <c r="N13" t="e">
        <f t="shared" si="8"/>
        <v>#REF!</v>
      </c>
      <c r="O13" t="e">
        <f t="shared" si="9"/>
        <v>#REF!</v>
      </c>
      <c r="P13" s="107"/>
      <c r="Q13" t="e">
        <f>#REF!</f>
        <v>#REF!</v>
      </c>
      <c r="R13" t="e">
        <f>#REF!</f>
        <v>#REF!</v>
      </c>
      <c r="S13" t="e">
        <f>#REF!</f>
        <v>#REF!</v>
      </c>
      <c r="T13" t="e">
        <f>#REF!</f>
        <v>#REF!</v>
      </c>
      <c r="U13" t="e">
        <f>#REF!</f>
        <v>#REF!</v>
      </c>
      <c r="V13" s="107"/>
      <c r="W13" s="107"/>
    </row>
    <row r="14" spans="1:23" ht="23.25" customHeight="1" x14ac:dyDescent="0.25">
      <c r="A14" s="107"/>
      <c r="B14" s="107"/>
      <c r="C14" s="107"/>
      <c r="D14">
        <v>2022</v>
      </c>
      <c r="E14">
        <v>0</v>
      </c>
      <c r="F14">
        <v>0</v>
      </c>
      <c r="G14">
        <v>0</v>
      </c>
      <c r="H14">
        <v>0</v>
      </c>
      <c r="I14">
        <v>0</v>
      </c>
      <c r="J14" s="107"/>
      <c r="K14" t="e">
        <f t="shared" si="5"/>
        <v>#REF!</v>
      </c>
      <c r="L14" t="e">
        <f t="shared" si="6"/>
        <v>#REF!</v>
      </c>
      <c r="M14" t="e">
        <f t="shared" si="7"/>
        <v>#REF!</v>
      </c>
      <c r="N14" t="e">
        <f t="shared" si="8"/>
        <v>#REF!</v>
      </c>
      <c r="O14" t="e">
        <f t="shared" si="9"/>
        <v>#REF!</v>
      </c>
      <c r="P14" s="107"/>
      <c r="Q14" t="e">
        <f>#REF!</f>
        <v>#REF!</v>
      </c>
      <c r="R14" t="e">
        <f>#REF!</f>
        <v>#REF!</v>
      </c>
      <c r="S14" t="e">
        <f>#REF!</f>
        <v>#REF!</v>
      </c>
      <c r="T14" t="e">
        <f>#REF!</f>
        <v>#REF!</v>
      </c>
      <c r="U14" t="e">
        <f>#REF!</f>
        <v>#REF!</v>
      </c>
      <c r="V14" s="107"/>
      <c r="W14" s="107"/>
    </row>
    <row r="15" spans="1:23" ht="23.25" customHeight="1" x14ac:dyDescent="0.25">
      <c r="A15" s="107"/>
      <c r="B15" s="107"/>
      <c r="C15" s="107"/>
      <c r="D15">
        <v>2023</v>
      </c>
      <c r="E15">
        <v>0</v>
      </c>
      <c r="F15">
        <v>0</v>
      </c>
      <c r="G15">
        <v>0</v>
      </c>
      <c r="H15">
        <v>0</v>
      </c>
      <c r="I15">
        <v>0</v>
      </c>
      <c r="J15" s="107"/>
      <c r="K15" t="e">
        <f t="shared" si="5"/>
        <v>#REF!</v>
      </c>
      <c r="L15" t="e">
        <f t="shared" si="6"/>
        <v>#REF!</v>
      </c>
      <c r="M15" t="e">
        <f t="shared" si="7"/>
        <v>#REF!</v>
      </c>
      <c r="N15" t="e">
        <f t="shared" si="8"/>
        <v>#REF!</v>
      </c>
      <c r="O15" t="e">
        <f t="shared" si="9"/>
        <v>#REF!</v>
      </c>
      <c r="P15" s="107"/>
      <c r="Q15" t="e">
        <f>#REF!</f>
        <v>#REF!</v>
      </c>
      <c r="R15" t="e">
        <f>#REF!</f>
        <v>#REF!</v>
      </c>
      <c r="S15" t="e">
        <f>#REF!</f>
        <v>#REF!</v>
      </c>
      <c r="T15" t="e">
        <f>#REF!</f>
        <v>#REF!</v>
      </c>
      <c r="U15" t="e">
        <f>#REF!</f>
        <v>#REF!</v>
      </c>
      <c r="V15" s="107"/>
      <c r="W15" s="107"/>
    </row>
    <row r="16" spans="1:23" ht="23.25" customHeight="1" x14ac:dyDescent="0.25">
      <c r="A16" s="107"/>
      <c r="B16" s="107"/>
      <c r="C16" s="107"/>
      <c r="D16">
        <v>2024</v>
      </c>
      <c r="E16">
        <v>0</v>
      </c>
      <c r="F16">
        <v>0</v>
      </c>
      <c r="G16">
        <v>0</v>
      </c>
      <c r="H16">
        <v>0</v>
      </c>
      <c r="I16">
        <v>0</v>
      </c>
      <c r="J16" s="107"/>
      <c r="K16" t="e">
        <f t="shared" si="5"/>
        <v>#REF!</v>
      </c>
      <c r="L16" t="e">
        <f t="shared" si="6"/>
        <v>#REF!</v>
      </c>
      <c r="M16" t="e">
        <f t="shared" si="7"/>
        <v>#REF!</v>
      </c>
      <c r="N16" t="e">
        <f t="shared" si="8"/>
        <v>#REF!</v>
      </c>
      <c r="O16" t="e">
        <f t="shared" si="9"/>
        <v>#REF!</v>
      </c>
      <c r="P16" s="107"/>
      <c r="Q16" t="e">
        <f>#REF!</f>
        <v>#REF!</v>
      </c>
      <c r="R16" t="e">
        <f>#REF!</f>
        <v>#REF!</v>
      </c>
      <c r="S16" t="e">
        <f>#REF!</f>
        <v>#REF!</v>
      </c>
      <c r="T16" t="e">
        <f>#REF!</f>
        <v>#REF!</v>
      </c>
      <c r="U16" t="e">
        <f>#REF!</f>
        <v>#REF!</v>
      </c>
      <c r="V16" s="107"/>
      <c r="W16" s="107"/>
    </row>
    <row r="17" spans="1:23" ht="23.25" customHeight="1" x14ac:dyDescent="0.25">
      <c r="A17" s="107"/>
      <c r="B17" s="107"/>
      <c r="C17" s="107"/>
      <c r="D17">
        <v>2025</v>
      </c>
      <c r="E17">
        <v>0</v>
      </c>
      <c r="F17">
        <v>0</v>
      </c>
      <c r="G17">
        <v>0</v>
      </c>
      <c r="H17">
        <v>0</v>
      </c>
      <c r="I17">
        <v>0</v>
      </c>
      <c r="J17" s="107"/>
      <c r="K17" t="e">
        <f t="shared" si="5"/>
        <v>#REF!</v>
      </c>
      <c r="L17" t="e">
        <f t="shared" si="6"/>
        <v>#REF!</v>
      </c>
      <c r="M17" t="e">
        <f t="shared" si="7"/>
        <v>#REF!</v>
      </c>
      <c r="N17" t="e">
        <f t="shared" si="8"/>
        <v>#REF!</v>
      </c>
      <c r="O17" t="e">
        <f t="shared" si="9"/>
        <v>#REF!</v>
      </c>
      <c r="P17" s="107"/>
      <c r="Q17" t="e">
        <f>#REF!</f>
        <v>#REF!</v>
      </c>
      <c r="R17" t="e">
        <f>#REF!</f>
        <v>#REF!</v>
      </c>
      <c r="S17" t="e">
        <f>#REF!</f>
        <v>#REF!</v>
      </c>
      <c r="T17" t="e">
        <f>#REF!</f>
        <v>#REF!</v>
      </c>
      <c r="U17" t="e">
        <f>#REF!</f>
        <v>#REF!</v>
      </c>
      <c r="V17" s="107"/>
      <c r="W17" s="107"/>
    </row>
  </sheetData>
  <mergeCells count="22">
    <mergeCell ref="V6:V11"/>
    <mergeCell ref="W6:W11"/>
    <mergeCell ref="A12:A17"/>
    <mergeCell ref="B12:B17"/>
    <mergeCell ref="C12:C17"/>
    <mergeCell ref="J12:J17"/>
    <mergeCell ref="P12:P17"/>
    <mergeCell ref="V12:V17"/>
    <mergeCell ref="W12:W17"/>
    <mergeCell ref="A6:A11"/>
    <mergeCell ref="B6:B11"/>
    <mergeCell ref="C6:C11"/>
    <mergeCell ref="J6:J11"/>
    <mergeCell ref="P6:P11"/>
    <mergeCell ref="A2:W2"/>
    <mergeCell ref="A4:A5"/>
    <mergeCell ref="B4:B5"/>
    <mergeCell ref="C4:C5"/>
    <mergeCell ref="D4:J4"/>
    <mergeCell ref="K4:O4"/>
    <mergeCell ref="P4:V4"/>
    <mergeCell ref="W4:W5"/>
  </mergeCells>
  <pageMargins left="0.7" right="0.7" top="0.75" bottom="0.75" header="0.3" footer="0.3"/>
  <pageSetup paperSize="9" firstPageNumber="429496729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pageSetUpPr fitToPage="1"/>
  </sheetPr>
  <dimension ref="A1:O395"/>
  <sheetViews>
    <sheetView workbookViewId="0">
      <pane xSplit="3" ySplit="4" topLeftCell="D5" activePane="bottomRight" state="frozen"/>
      <selection activeCell="F20" sqref="F20"/>
      <selection pane="topRight"/>
      <selection pane="bottomLeft"/>
      <selection pane="bottomRight" activeCell="D5" sqref="D5"/>
    </sheetView>
  </sheetViews>
  <sheetFormatPr defaultRowHeight="15" outlineLevelRow="1" x14ac:dyDescent="0.25"/>
  <cols>
    <col min="1" max="1" width="5.8554687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2" width="13" customWidth="1"/>
    <col min="14" max="14" width="13" customWidth="1"/>
  </cols>
  <sheetData>
    <row r="1" spans="1:15" ht="15.75" customHeight="1" x14ac:dyDescent="0.25">
      <c r="A1" s="107" t="s">
        <v>0</v>
      </c>
      <c r="B1" s="107"/>
      <c r="C1" s="107"/>
      <c r="D1" s="107"/>
      <c r="E1" s="107"/>
      <c r="F1" s="107"/>
      <c r="G1" s="107"/>
      <c r="H1" s="107"/>
      <c r="I1" s="107"/>
      <c r="J1" s="107"/>
      <c r="K1" s="107"/>
    </row>
    <row r="2" spans="1:15" x14ac:dyDescent="0.25">
      <c r="A2" s="107"/>
      <c r="B2" s="107"/>
      <c r="C2" s="107"/>
      <c r="D2" s="107"/>
      <c r="E2" s="107"/>
      <c r="F2" s="107"/>
      <c r="G2" s="107"/>
      <c r="H2" s="107"/>
      <c r="I2" s="107"/>
      <c r="J2" s="107"/>
      <c r="K2" s="107"/>
    </row>
    <row r="3" spans="1:15" ht="15" customHeight="1" x14ac:dyDescent="0.25">
      <c r="A3" s="107" t="s">
        <v>1</v>
      </c>
      <c r="B3" s="107" t="s">
        <v>2</v>
      </c>
      <c r="C3" s="107" t="s">
        <v>3</v>
      </c>
      <c r="D3" s="107" t="s">
        <v>4</v>
      </c>
      <c r="E3" s="107"/>
      <c r="F3" s="107"/>
      <c r="G3" s="107"/>
      <c r="H3" s="107"/>
      <c r="I3" s="107"/>
      <c r="J3" s="107" t="s">
        <v>5</v>
      </c>
      <c r="K3" s="107" t="s">
        <v>6</v>
      </c>
    </row>
    <row r="4" spans="1:15" ht="36.75" customHeight="1" x14ac:dyDescent="0.25">
      <c r="A4" s="107"/>
      <c r="B4" s="107"/>
      <c r="C4" s="107"/>
      <c r="D4" t="s">
        <v>7</v>
      </c>
      <c r="E4" t="s">
        <v>8</v>
      </c>
      <c r="F4" t="s">
        <v>9</v>
      </c>
      <c r="G4" t="s">
        <v>10</v>
      </c>
      <c r="H4" t="s">
        <v>11</v>
      </c>
      <c r="I4" t="s">
        <v>12</v>
      </c>
      <c r="J4" s="107"/>
      <c r="K4" s="107"/>
    </row>
    <row r="5" spans="1:15" ht="15" customHeight="1" x14ac:dyDescent="0.25">
      <c r="A5" s="107"/>
      <c r="B5" s="107" t="s">
        <v>13</v>
      </c>
      <c r="C5" s="107" t="s">
        <v>14</v>
      </c>
      <c r="D5" t="s">
        <v>8</v>
      </c>
      <c r="E5">
        <f t="shared" ref="E5:E34" si="0">SUM(F5:I5)</f>
        <v>5510336.6328926375</v>
      </c>
      <c r="F5">
        <f>SUM(F6:F10)</f>
        <v>4852333.9410867505</v>
      </c>
      <c r="G5">
        <f>SUM(G6:G10)</f>
        <v>599464.19999999995</v>
      </c>
      <c r="H5">
        <f>SUM(H6:H10)</f>
        <v>58538.491805886551</v>
      </c>
      <c r="I5">
        <f>SUM(I6:I10)</f>
        <v>0</v>
      </c>
      <c r="J5" s="107"/>
      <c r="K5" s="107" t="s">
        <v>482</v>
      </c>
    </row>
    <row r="6" spans="1:15" x14ac:dyDescent="0.25">
      <c r="A6" s="107"/>
      <c r="B6" s="107"/>
      <c r="C6" s="107"/>
      <c r="D6">
        <v>2021</v>
      </c>
      <c r="E6">
        <f t="shared" si="0"/>
        <v>1604993.6144657943</v>
      </c>
      <c r="F6">
        <f t="shared" ref="F6:G10" si="1">F24+F116+F218+F379</f>
        <v>1245686.26565675</v>
      </c>
      <c r="G6">
        <f t="shared" si="1"/>
        <v>316136.2</v>
      </c>
      <c r="H6">
        <f>H12+H18</f>
        <v>43171.148809044447</v>
      </c>
      <c r="I6">
        <f t="shared" ref="I6:I10" si="2">I24+I116+I218+I379</f>
        <v>0</v>
      </c>
      <c r="J6" s="107"/>
      <c r="K6" s="107"/>
    </row>
    <row r="7" spans="1:15" x14ac:dyDescent="0.25">
      <c r="A7" s="107"/>
      <c r="B7" s="107"/>
      <c r="C7" s="107"/>
      <c r="D7">
        <v>2022</v>
      </c>
      <c r="E7">
        <f t="shared" si="0"/>
        <v>1270772.12326</v>
      </c>
      <c r="F7">
        <f t="shared" si="1"/>
        <v>1119492.575</v>
      </c>
      <c r="G7">
        <f t="shared" si="1"/>
        <v>136318.79999999999</v>
      </c>
      <c r="H7">
        <f t="shared" ref="H7:H10" si="3">H25+H117+H219+H380</f>
        <v>14960.74826</v>
      </c>
      <c r="I7">
        <f t="shared" si="2"/>
        <v>0</v>
      </c>
      <c r="J7" s="107"/>
      <c r="K7" s="107"/>
    </row>
    <row r="8" spans="1:15" x14ac:dyDescent="0.25">
      <c r="A8" s="107"/>
      <c r="B8" s="107"/>
      <c r="C8" s="107"/>
      <c r="D8">
        <v>2023</v>
      </c>
      <c r="E8">
        <f t="shared" si="0"/>
        <v>985181.13771684223</v>
      </c>
      <c r="F8">
        <f t="shared" si="1"/>
        <v>837765.34298000007</v>
      </c>
      <c r="G8">
        <f t="shared" si="1"/>
        <v>147009.20000000001</v>
      </c>
      <c r="H8">
        <f t="shared" si="3"/>
        <v>406.59473684210525</v>
      </c>
      <c r="I8">
        <f t="shared" si="2"/>
        <v>0</v>
      </c>
      <c r="J8" s="107"/>
      <c r="K8" s="107"/>
    </row>
    <row r="9" spans="1:15" x14ac:dyDescent="0.25">
      <c r="A9" s="107"/>
      <c r="B9" s="107"/>
      <c r="C9" s="107"/>
      <c r="D9">
        <v>2024</v>
      </c>
      <c r="E9">
        <f t="shared" si="0"/>
        <v>829941.89545000007</v>
      </c>
      <c r="F9">
        <f t="shared" si="1"/>
        <v>829941.89545000007</v>
      </c>
      <c r="G9">
        <f t="shared" si="1"/>
        <v>0</v>
      </c>
      <c r="H9">
        <f t="shared" si="3"/>
        <v>0</v>
      </c>
      <c r="I9">
        <f t="shared" si="2"/>
        <v>0</v>
      </c>
      <c r="J9" s="107"/>
      <c r="K9" s="107"/>
    </row>
    <row r="10" spans="1:15"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5" x14ac:dyDescent="0.25">
      <c r="A11" s="107"/>
      <c r="B11" s="107" t="s">
        <v>483</v>
      </c>
      <c r="C11" s="107" t="s">
        <v>14</v>
      </c>
      <c r="D11" t="s">
        <v>8</v>
      </c>
      <c r="E11">
        <f t="shared" si="0"/>
        <v>4509696.3490510006</v>
      </c>
      <c r="F11">
        <f>SUM(F12:F16)</f>
        <v>4393360.5579710007</v>
      </c>
      <c r="G11">
        <f>SUM(G12:G16)</f>
        <v>97073.200000000012</v>
      </c>
      <c r="H11">
        <f>SUM(H12:H16)</f>
        <v>19262.591080000002</v>
      </c>
      <c r="I11">
        <f>SUM(I12:I16)</f>
        <v>0</v>
      </c>
      <c r="J11" s="107"/>
      <c r="K11" s="107" t="s">
        <v>484</v>
      </c>
    </row>
    <row r="12" spans="1:15" x14ac:dyDescent="0.25">
      <c r="A12" s="107"/>
      <c r="B12" s="107"/>
      <c r="C12" s="107"/>
      <c r="D12">
        <v>2021</v>
      </c>
      <c r="E12">
        <f t="shared" si="0"/>
        <v>1156195.1605510002</v>
      </c>
      <c r="F12">
        <f>F24+F116+F271+F277+F283+F289+F355+F379+F343+F253</f>
        <v>1078285.0694710002</v>
      </c>
      <c r="G12">
        <f>G24+G116+G265+G355+G379</f>
        <v>58647.500000000007</v>
      </c>
      <c r="H12">
        <f>H24+H116+H271+H289+H355+H379</f>
        <v>19262.591080000002</v>
      </c>
      <c r="I12">
        <f t="shared" ref="I12:I15" si="4">I6-I18</f>
        <v>0</v>
      </c>
      <c r="J12" s="107"/>
      <c r="K12" s="107"/>
      <c r="L12">
        <f>1136630691.26/1000</f>
        <v>1136630.69126</v>
      </c>
      <c r="M12">
        <f>L12-F12-G12</f>
        <v>-301.87821100024303</v>
      </c>
      <c r="N12">
        <f>M12*1000</f>
        <v>-301878.21100024303</v>
      </c>
      <c r="O12" t="s">
        <v>485</v>
      </c>
    </row>
    <row r="13" spans="1:15" x14ac:dyDescent="0.25">
      <c r="A13" s="107"/>
      <c r="B13" s="107"/>
      <c r="C13" s="107"/>
      <c r="D13">
        <v>2022</v>
      </c>
      <c r="E13">
        <f t="shared" ref="E13:E14" si="5">SUM(F13:I13)</f>
        <v>854453.18806999992</v>
      </c>
      <c r="F13">
        <f t="shared" ref="F13:H16" si="6">F7-F19</f>
        <v>835645.68806999992</v>
      </c>
      <c r="G13">
        <f t="shared" si="6"/>
        <v>18807.499999999985</v>
      </c>
      <c r="H13">
        <f t="shared" si="6"/>
        <v>0</v>
      </c>
      <c r="I13">
        <f t="shared" si="4"/>
        <v>0</v>
      </c>
      <c r="J13" s="107"/>
      <c r="K13" s="107"/>
    </row>
    <row r="14" spans="1:15" x14ac:dyDescent="0.25">
      <c r="A14" s="107"/>
      <c r="B14" s="107"/>
      <c r="C14" s="107"/>
      <c r="D14">
        <v>2023</v>
      </c>
      <c r="E14">
        <f t="shared" si="5"/>
        <v>849658.2429800001</v>
      </c>
      <c r="F14">
        <f t="shared" si="6"/>
        <v>830040.04298000003</v>
      </c>
      <c r="G14">
        <f t="shared" si="6"/>
        <v>19618.200000000012</v>
      </c>
      <c r="H14">
        <f t="shared" si="6"/>
        <v>0</v>
      </c>
      <c r="I14">
        <f t="shared" si="4"/>
        <v>0</v>
      </c>
      <c r="J14" s="107"/>
      <c r="K14" s="107"/>
    </row>
    <row r="15" spans="1:15" x14ac:dyDescent="0.25">
      <c r="A15" s="107"/>
      <c r="B15" s="107"/>
      <c r="C15" s="107"/>
      <c r="D15">
        <v>2024</v>
      </c>
      <c r="E15">
        <f t="shared" si="0"/>
        <v>829941.89545000007</v>
      </c>
      <c r="F15">
        <f t="shared" si="6"/>
        <v>829941.89545000007</v>
      </c>
      <c r="G15">
        <f t="shared" si="6"/>
        <v>0</v>
      </c>
      <c r="H15">
        <f t="shared" si="6"/>
        <v>0</v>
      </c>
      <c r="I15">
        <f t="shared" si="4"/>
        <v>0</v>
      </c>
      <c r="J15" s="107"/>
      <c r="K15" s="107"/>
    </row>
    <row r="16" spans="1:15" x14ac:dyDescent="0.25">
      <c r="A16" s="107"/>
      <c r="B16" s="107"/>
      <c r="C16" s="107"/>
      <c r="D16">
        <v>2025</v>
      </c>
      <c r="E16">
        <f t="shared" si="0"/>
        <v>819447.86199999996</v>
      </c>
      <c r="F16">
        <f t="shared" si="6"/>
        <v>819447.86199999996</v>
      </c>
      <c r="G16">
        <f t="shared" si="6"/>
        <v>0</v>
      </c>
      <c r="H16">
        <f t="shared" si="6"/>
        <v>0</v>
      </c>
      <c r="I16">
        <f>I10-I22</f>
        <v>0</v>
      </c>
      <c r="J16" s="107"/>
      <c r="K16" s="107"/>
    </row>
    <row r="17" spans="1:11" x14ac:dyDescent="0.25">
      <c r="A17" s="107"/>
      <c r="B17" s="107" t="s">
        <v>18</v>
      </c>
      <c r="C17" s="107" t="s">
        <v>19</v>
      </c>
      <c r="D17" t="s">
        <v>8</v>
      </c>
      <c r="E17">
        <f t="shared" si="0"/>
        <v>1000640.2838416366</v>
      </c>
      <c r="F17">
        <f>SUM(F18:F22)</f>
        <v>458973.38311574998</v>
      </c>
      <c r="G17">
        <f>SUM(G18:G22)</f>
        <v>502391</v>
      </c>
      <c r="H17">
        <f>SUM(H18:H22)</f>
        <v>39275.900725886546</v>
      </c>
      <c r="I17">
        <f>SUM(I18:I22)</f>
        <v>0</v>
      </c>
      <c r="J17" s="107"/>
      <c r="K17" s="107" t="s">
        <v>20</v>
      </c>
    </row>
    <row r="18" spans="1:11" x14ac:dyDescent="0.25">
      <c r="A18" s="107"/>
      <c r="B18" s="107"/>
      <c r="C18" s="107"/>
      <c r="D18">
        <v>2021</v>
      </c>
      <c r="E18">
        <f t="shared" si="0"/>
        <v>448798.45391479443</v>
      </c>
      <c r="F18">
        <f t="shared" ref="F18:I22" si="7">F361+F367+F235+F373+F241+F295+F301+F307+F313+F319+F325+F247+F259+F331+F337</f>
        <v>167401.19618574996</v>
      </c>
      <c r="G18">
        <f t="shared" si="7"/>
        <v>257488.7</v>
      </c>
      <c r="H18">
        <f t="shared" si="7"/>
        <v>23908.557729044442</v>
      </c>
      <c r="I18">
        <f t="shared" si="7"/>
        <v>0</v>
      </c>
      <c r="J18" s="107"/>
      <c r="K18" s="107"/>
    </row>
    <row r="19" spans="1:11" x14ac:dyDescent="0.25">
      <c r="A19" s="107"/>
      <c r="B19" s="107"/>
      <c r="C19" s="107"/>
      <c r="D19">
        <v>2022</v>
      </c>
      <c r="E19">
        <f t="shared" si="0"/>
        <v>416318.93519000005</v>
      </c>
      <c r="F19">
        <f t="shared" si="7"/>
        <v>283846.88693000004</v>
      </c>
      <c r="G19">
        <f t="shared" si="7"/>
        <v>117511.3</v>
      </c>
      <c r="H19">
        <f t="shared" si="7"/>
        <v>14960.74826</v>
      </c>
      <c r="I19">
        <f t="shared" si="7"/>
        <v>0</v>
      </c>
      <c r="J19" s="107"/>
      <c r="K19" s="107"/>
    </row>
    <row r="20" spans="1:11" x14ac:dyDescent="0.25">
      <c r="A20" s="107"/>
      <c r="B20" s="107"/>
      <c r="C20" s="107"/>
      <c r="D20">
        <v>2023</v>
      </c>
      <c r="E20">
        <f t="shared" si="0"/>
        <v>135522.89473684211</v>
      </c>
      <c r="F20">
        <f t="shared" si="7"/>
        <v>7725.3</v>
      </c>
      <c r="G20">
        <f t="shared" si="7"/>
        <v>127391</v>
      </c>
      <c r="H20">
        <f t="shared" si="7"/>
        <v>406.59473684210525</v>
      </c>
      <c r="I20">
        <f t="shared" si="7"/>
        <v>0</v>
      </c>
      <c r="J20" s="107"/>
      <c r="K20" s="107"/>
    </row>
    <row r="21" spans="1:11" x14ac:dyDescent="0.25">
      <c r="A21" s="107"/>
      <c r="B21" s="107"/>
      <c r="C21" s="107"/>
      <c r="D21">
        <v>2024</v>
      </c>
      <c r="E21">
        <f t="shared" si="0"/>
        <v>0</v>
      </c>
      <c r="F21">
        <f t="shared" si="7"/>
        <v>0</v>
      </c>
      <c r="G21">
        <f t="shared" si="7"/>
        <v>0</v>
      </c>
      <c r="H21">
        <f t="shared" si="7"/>
        <v>0</v>
      </c>
      <c r="I21">
        <f t="shared" si="7"/>
        <v>0</v>
      </c>
      <c r="J21" s="107"/>
      <c r="K21" s="107"/>
    </row>
    <row r="22" spans="1:11" x14ac:dyDescent="0.25">
      <c r="A22" s="107"/>
      <c r="B22" s="107"/>
      <c r="C22" s="107"/>
      <c r="D22">
        <v>2025</v>
      </c>
      <c r="E22">
        <f t="shared" si="0"/>
        <v>0</v>
      </c>
      <c r="F22">
        <f t="shared" si="7"/>
        <v>0</v>
      </c>
      <c r="G22">
        <f t="shared" si="7"/>
        <v>0</v>
      </c>
      <c r="H22">
        <f t="shared" si="7"/>
        <v>0</v>
      </c>
      <c r="I22">
        <f t="shared" si="7"/>
        <v>0</v>
      </c>
      <c r="J22" s="107"/>
      <c r="K22" s="107"/>
    </row>
    <row r="23" spans="1:11" ht="15" customHeight="1" x14ac:dyDescent="0.25">
      <c r="A23" s="107">
        <v>1</v>
      </c>
      <c r="B23" s="107" t="s">
        <v>21</v>
      </c>
      <c r="C23" s="107" t="s">
        <v>14</v>
      </c>
      <c r="D23" t="s">
        <v>8</v>
      </c>
      <c r="E23">
        <f t="shared" si="0"/>
        <v>272292.80984999996</v>
      </c>
      <c r="F23">
        <f>SUM(F24:F28)</f>
        <v>247388.70984999998</v>
      </c>
      <c r="G23">
        <f>SUM(G24:G28)</f>
        <v>24904.1</v>
      </c>
      <c r="H23">
        <f>SUM(H24:H28)</f>
        <v>0</v>
      </c>
      <c r="I23">
        <f>SUM(I24:I28)</f>
        <v>0</v>
      </c>
      <c r="J23" s="107"/>
      <c r="K23" s="107" t="s">
        <v>1104</v>
      </c>
    </row>
    <row r="24" spans="1:11" x14ac:dyDescent="0.25">
      <c r="A24" s="107"/>
      <c r="B24" s="107"/>
      <c r="C24" s="107"/>
      <c r="D24">
        <v>2021</v>
      </c>
      <c r="E24">
        <f t="shared" si="0"/>
        <v>137399.53860999999</v>
      </c>
      <c r="F24">
        <f t="shared" ref="F24:I28" si="8">F30+F45+F81</f>
        <v>116132.13860999999</v>
      </c>
      <c r="G24">
        <f t="shared" si="8"/>
        <v>21267.4</v>
      </c>
      <c r="H24">
        <f t="shared" si="8"/>
        <v>0</v>
      </c>
      <c r="I24">
        <f t="shared" si="8"/>
        <v>0</v>
      </c>
      <c r="J24" s="107"/>
      <c r="K24" s="107"/>
    </row>
    <row r="25" spans="1:11" x14ac:dyDescent="0.25">
      <c r="A25" s="107"/>
      <c r="B25" s="107"/>
      <c r="C25" s="107"/>
      <c r="D25">
        <v>2022</v>
      </c>
      <c r="E25">
        <f t="shared" si="0"/>
        <v>35570.269139999997</v>
      </c>
      <c r="F25">
        <f t="shared" si="8"/>
        <v>33752.169139999998</v>
      </c>
      <c r="G25">
        <f t="shared" si="8"/>
        <v>1818.1</v>
      </c>
      <c r="H25">
        <f t="shared" si="8"/>
        <v>0</v>
      </c>
      <c r="I25">
        <f t="shared" si="8"/>
        <v>0</v>
      </c>
      <c r="J25" s="107"/>
      <c r="K25" s="107"/>
    </row>
    <row r="26" spans="1:11" x14ac:dyDescent="0.25">
      <c r="A26" s="107"/>
      <c r="B26" s="107"/>
      <c r="C26" s="107"/>
      <c r="D26">
        <v>2023</v>
      </c>
      <c r="E26">
        <f t="shared" si="0"/>
        <v>35570.801050000002</v>
      </c>
      <c r="F26">
        <f t="shared" si="8"/>
        <v>33752.201050000003</v>
      </c>
      <c r="G26">
        <f t="shared" si="8"/>
        <v>1818.6</v>
      </c>
      <c r="H26">
        <f t="shared" si="8"/>
        <v>0</v>
      </c>
      <c r="I26">
        <f t="shared" si="8"/>
        <v>0</v>
      </c>
      <c r="J26" s="107"/>
      <c r="K26" s="107"/>
    </row>
    <row r="27" spans="1:11" x14ac:dyDescent="0.25">
      <c r="A27" s="107"/>
      <c r="B27" s="107"/>
      <c r="C27" s="107"/>
      <c r="D27">
        <v>2024</v>
      </c>
      <c r="E27">
        <f t="shared" si="0"/>
        <v>33752.201050000003</v>
      </c>
      <c r="F27">
        <f t="shared" si="8"/>
        <v>33752.201050000003</v>
      </c>
      <c r="G27">
        <f t="shared" si="8"/>
        <v>0</v>
      </c>
      <c r="H27">
        <f t="shared" si="8"/>
        <v>0</v>
      </c>
      <c r="I27">
        <f t="shared" si="8"/>
        <v>0</v>
      </c>
      <c r="J27" s="107"/>
      <c r="K27" s="107"/>
    </row>
    <row r="28" spans="1:11" x14ac:dyDescent="0.25">
      <c r="A28" s="107"/>
      <c r="B28" s="107"/>
      <c r="C28" s="107"/>
      <c r="D28">
        <v>2025</v>
      </c>
      <c r="E28">
        <f t="shared" si="0"/>
        <v>30000</v>
      </c>
      <c r="F28">
        <f t="shared" si="8"/>
        <v>30000</v>
      </c>
      <c r="G28">
        <f t="shared" si="8"/>
        <v>0</v>
      </c>
      <c r="H28">
        <f t="shared" si="8"/>
        <v>0</v>
      </c>
      <c r="I28">
        <f t="shared" si="8"/>
        <v>0</v>
      </c>
      <c r="J28" s="107"/>
      <c r="K28" s="107"/>
    </row>
    <row r="29" spans="1:11" x14ac:dyDescent="0.25">
      <c r="A29" s="107" t="s">
        <v>23</v>
      </c>
      <c r="B29" s="107" t="s">
        <v>24</v>
      </c>
      <c r="C29" s="107" t="s">
        <v>14</v>
      </c>
      <c r="D29" t="s">
        <v>8</v>
      </c>
      <c r="E29">
        <f t="shared" si="0"/>
        <v>0</v>
      </c>
      <c r="F29">
        <f>SUM(F30:F34)</f>
        <v>0</v>
      </c>
      <c r="G29">
        <f>SUM(G30:G34)</f>
        <v>0</v>
      </c>
      <c r="H29">
        <f>SUM(H30:H34)</f>
        <v>0</v>
      </c>
      <c r="I29">
        <f>SUM(I30:I34)</f>
        <v>0</v>
      </c>
      <c r="J29" s="107" t="s">
        <v>25</v>
      </c>
      <c r="K29" s="107" t="s">
        <v>1056</v>
      </c>
    </row>
    <row r="30" spans="1:11" x14ac:dyDescent="0.25">
      <c r="A30" s="107"/>
      <c r="B30" s="107"/>
      <c r="C30" s="107"/>
      <c r="D30">
        <v>2021</v>
      </c>
      <c r="E30">
        <f t="shared" si="0"/>
        <v>0</v>
      </c>
      <c r="F30">
        <f t="shared" ref="F30:I34" si="9">F36</f>
        <v>0</v>
      </c>
      <c r="G30">
        <f t="shared" si="9"/>
        <v>0</v>
      </c>
      <c r="H30">
        <f t="shared" si="9"/>
        <v>0</v>
      </c>
      <c r="I30">
        <f t="shared" si="9"/>
        <v>0</v>
      </c>
      <c r="J30" s="107"/>
      <c r="K30" s="107"/>
    </row>
    <row r="31" spans="1:11" x14ac:dyDescent="0.25">
      <c r="A31" s="107"/>
      <c r="B31" s="107"/>
      <c r="C31" s="107"/>
      <c r="D31">
        <v>2022</v>
      </c>
      <c r="E31">
        <f t="shared" si="0"/>
        <v>0</v>
      </c>
      <c r="F31">
        <f t="shared" si="9"/>
        <v>0</v>
      </c>
      <c r="G31">
        <f t="shared" si="9"/>
        <v>0</v>
      </c>
      <c r="H31">
        <f t="shared" si="9"/>
        <v>0</v>
      </c>
      <c r="I31">
        <f t="shared" si="9"/>
        <v>0</v>
      </c>
      <c r="J31" s="107"/>
      <c r="K31" s="107"/>
    </row>
    <row r="32" spans="1:11" x14ac:dyDescent="0.25">
      <c r="A32" s="107"/>
      <c r="B32" s="107"/>
      <c r="C32" s="107"/>
      <c r="D32">
        <v>2023</v>
      </c>
      <c r="E32">
        <f t="shared" si="0"/>
        <v>0</v>
      </c>
      <c r="F32">
        <f t="shared" si="9"/>
        <v>0</v>
      </c>
      <c r="G32">
        <f t="shared" si="9"/>
        <v>0</v>
      </c>
      <c r="H32">
        <f t="shared" si="9"/>
        <v>0</v>
      </c>
      <c r="I32">
        <f t="shared" si="9"/>
        <v>0</v>
      </c>
      <c r="J32" s="107"/>
      <c r="K32" s="107"/>
    </row>
    <row r="33" spans="1:11" x14ac:dyDescent="0.25">
      <c r="A33" s="107"/>
      <c r="B33" s="107"/>
      <c r="C33" s="107"/>
      <c r="D33">
        <v>2024</v>
      </c>
      <c r="E33">
        <f t="shared" si="0"/>
        <v>0</v>
      </c>
      <c r="F33">
        <f t="shared" si="9"/>
        <v>0</v>
      </c>
      <c r="G33">
        <f t="shared" si="9"/>
        <v>0</v>
      </c>
      <c r="H33">
        <f t="shared" si="9"/>
        <v>0</v>
      </c>
      <c r="I33">
        <f t="shared" si="9"/>
        <v>0</v>
      </c>
      <c r="J33" s="107"/>
      <c r="K33" s="107"/>
    </row>
    <row r="34" spans="1:11" x14ac:dyDescent="0.25">
      <c r="A34" s="107"/>
      <c r="B34" s="107"/>
      <c r="C34" s="107"/>
      <c r="D34">
        <v>2025</v>
      </c>
      <c r="E34">
        <f t="shared" si="0"/>
        <v>0</v>
      </c>
      <c r="F34">
        <f t="shared" si="9"/>
        <v>0</v>
      </c>
      <c r="G34">
        <f>G40</f>
        <v>0</v>
      </c>
      <c r="H34">
        <f>H40</f>
        <v>0</v>
      </c>
      <c r="I34">
        <f>I40</f>
        <v>0</v>
      </c>
      <c r="J34" s="107"/>
      <c r="K34" s="107"/>
    </row>
    <row r="35" spans="1:11" x14ac:dyDescent="0.25">
      <c r="A35" s="107" t="s">
        <v>1055</v>
      </c>
      <c r="B35" s="107" t="s">
        <v>28</v>
      </c>
      <c r="C35" s="107" t="s">
        <v>490</v>
      </c>
      <c r="D35" t="s">
        <v>8</v>
      </c>
      <c r="E35">
        <f>SUM(E36:E40)</f>
        <v>0</v>
      </c>
      <c r="F35">
        <f>SUM(F36:F40)</f>
        <v>0</v>
      </c>
      <c r="G35">
        <f>SUM(G36:G40)</f>
        <v>0</v>
      </c>
      <c r="H35">
        <f>SUM(H36:H40)</f>
        <v>0</v>
      </c>
      <c r="I35">
        <f>SUM(I36:I40)</f>
        <v>0</v>
      </c>
      <c r="J35" s="107" t="s">
        <v>29</v>
      </c>
      <c r="K35" s="107" t="s">
        <v>1056</v>
      </c>
    </row>
    <row r="36" spans="1:11" x14ac:dyDescent="0.25">
      <c r="A36" s="107"/>
      <c r="B36" s="107"/>
      <c r="C36" s="107"/>
      <c r="D36">
        <v>2021</v>
      </c>
      <c r="E36">
        <f>SUM(F36:I36)</f>
        <v>0</v>
      </c>
      <c r="F36">
        <v>0</v>
      </c>
      <c r="G36">
        <v>0</v>
      </c>
      <c r="H36">
        <v>0</v>
      </c>
      <c r="I36">
        <v>0</v>
      </c>
      <c r="J36" s="107"/>
      <c r="K36" s="107"/>
    </row>
    <row r="37" spans="1:11" x14ac:dyDescent="0.25">
      <c r="A37" s="107"/>
      <c r="B37" s="107"/>
      <c r="C37" s="107"/>
      <c r="D37">
        <v>2022</v>
      </c>
      <c r="E37">
        <v>0</v>
      </c>
      <c r="F37">
        <v>0</v>
      </c>
      <c r="G37">
        <v>0</v>
      </c>
      <c r="H37">
        <v>0</v>
      </c>
      <c r="I37">
        <v>0</v>
      </c>
      <c r="J37" s="107"/>
      <c r="K37" s="107"/>
    </row>
    <row r="38" spans="1:11" x14ac:dyDescent="0.25">
      <c r="A38" s="107"/>
      <c r="B38" s="107"/>
      <c r="C38" s="107"/>
      <c r="D38">
        <v>2023</v>
      </c>
      <c r="E38">
        <v>0</v>
      </c>
      <c r="F38">
        <v>0</v>
      </c>
      <c r="G38">
        <v>0</v>
      </c>
      <c r="H38">
        <v>0</v>
      </c>
      <c r="I38">
        <v>0</v>
      </c>
      <c r="J38" s="107"/>
      <c r="K38" s="107"/>
    </row>
    <row r="39" spans="1:11" x14ac:dyDescent="0.25">
      <c r="A39" s="107"/>
      <c r="B39" s="107"/>
      <c r="C39" s="107"/>
      <c r="D39">
        <v>2024</v>
      </c>
      <c r="E39">
        <v>0</v>
      </c>
      <c r="F39">
        <v>0</v>
      </c>
      <c r="G39">
        <v>0</v>
      </c>
      <c r="H39">
        <v>0</v>
      </c>
      <c r="I39">
        <v>0</v>
      </c>
      <c r="J39" s="107"/>
      <c r="K39" s="107"/>
    </row>
    <row r="40" spans="1:11" x14ac:dyDescent="0.25">
      <c r="A40" s="107"/>
      <c r="B40" s="107"/>
      <c r="C40" s="107"/>
      <c r="D40">
        <v>2025</v>
      </c>
      <c r="E40">
        <v>0</v>
      </c>
      <c r="F40">
        <v>0</v>
      </c>
      <c r="G40">
        <v>0</v>
      </c>
      <c r="H40">
        <v>0</v>
      </c>
      <c r="I40">
        <v>0</v>
      </c>
      <c r="J40" s="107"/>
      <c r="K40" s="107"/>
    </row>
    <row r="44" spans="1:11" x14ac:dyDescent="0.25">
      <c r="A44" s="107" t="s">
        <v>30</v>
      </c>
      <c r="B44" s="107" t="s">
        <v>31</v>
      </c>
      <c r="C44" s="107" t="s">
        <v>14</v>
      </c>
      <c r="D44" t="s">
        <v>8</v>
      </c>
      <c r="E44">
        <f t="shared" ref="E44:E55" si="10">SUM(F44:I44)</f>
        <v>229143.125</v>
      </c>
      <c r="F44">
        <f>SUM(F45:F49)</f>
        <v>229143.125</v>
      </c>
      <c r="G44">
        <f>SUM(G45:G49)</f>
        <v>0</v>
      </c>
      <c r="H44">
        <f>SUM(H45:H49)</f>
        <v>0</v>
      </c>
      <c r="I44">
        <f>SUM(I45:I49)</f>
        <v>0</v>
      </c>
      <c r="J44" s="107" t="s">
        <v>32</v>
      </c>
      <c r="K44" s="107" t="s">
        <v>484</v>
      </c>
    </row>
    <row r="45" spans="1:11" x14ac:dyDescent="0.25">
      <c r="A45" s="107"/>
      <c r="B45" s="107"/>
      <c r="C45" s="107"/>
      <c r="D45">
        <v>2021</v>
      </c>
      <c r="E45">
        <f t="shared" si="10"/>
        <v>109143.125</v>
      </c>
      <c r="F45">
        <f t="shared" ref="F45:F47" si="11">SUM(F51+F57+F63+F69+F75)</f>
        <v>109143.125</v>
      </c>
      <c r="G45">
        <f t="shared" ref="F45:I49" si="12">SUM(G51+G57+G63+G69+G75)</f>
        <v>0</v>
      </c>
      <c r="H45">
        <f t="shared" si="12"/>
        <v>0</v>
      </c>
      <c r="I45">
        <f t="shared" si="12"/>
        <v>0</v>
      </c>
      <c r="J45" s="107"/>
      <c r="K45" s="107"/>
    </row>
    <row r="46" spans="1:11" x14ac:dyDescent="0.25">
      <c r="A46" s="107"/>
      <c r="B46" s="107"/>
      <c r="C46" s="107"/>
      <c r="D46">
        <v>2022</v>
      </c>
      <c r="E46">
        <f t="shared" si="10"/>
        <v>30000</v>
      </c>
      <c r="F46">
        <f t="shared" si="11"/>
        <v>30000</v>
      </c>
      <c r="G46">
        <f t="shared" si="12"/>
        <v>0</v>
      </c>
      <c r="H46">
        <f t="shared" si="12"/>
        <v>0</v>
      </c>
      <c r="I46">
        <f t="shared" si="12"/>
        <v>0</v>
      </c>
      <c r="J46" s="107"/>
      <c r="K46" s="107"/>
    </row>
    <row r="47" spans="1:11" x14ac:dyDescent="0.25">
      <c r="A47" s="107"/>
      <c r="B47" s="107"/>
      <c r="C47" s="107"/>
      <c r="D47">
        <v>2023</v>
      </c>
      <c r="E47">
        <f t="shared" si="10"/>
        <v>30000</v>
      </c>
      <c r="F47">
        <f t="shared" si="11"/>
        <v>30000</v>
      </c>
      <c r="G47">
        <f t="shared" si="12"/>
        <v>0</v>
      </c>
      <c r="H47">
        <f t="shared" si="12"/>
        <v>0</v>
      </c>
      <c r="I47">
        <f t="shared" si="12"/>
        <v>0</v>
      </c>
      <c r="J47" s="107"/>
      <c r="K47" s="107"/>
    </row>
    <row r="48" spans="1:11" x14ac:dyDescent="0.25">
      <c r="A48" s="107"/>
      <c r="B48" s="107"/>
      <c r="C48" s="107"/>
      <c r="D48">
        <v>2024</v>
      </c>
      <c r="E48">
        <f t="shared" si="10"/>
        <v>30000</v>
      </c>
      <c r="F48">
        <f t="shared" si="12"/>
        <v>30000</v>
      </c>
      <c r="G48">
        <f t="shared" si="12"/>
        <v>0</v>
      </c>
      <c r="H48">
        <f t="shared" si="12"/>
        <v>0</v>
      </c>
      <c r="I48">
        <f t="shared" si="12"/>
        <v>0</v>
      </c>
      <c r="J48" s="107"/>
      <c r="K48" s="107"/>
    </row>
    <row r="49" spans="1:11" x14ac:dyDescent="0.25">
      <c r="A49" s="107"/>
      <c r="B49" s="107"/>
      <c r="C49" s="107"/>
      <c r="D49">
        <v>2025</v>
      </c>
      <c r="E49">
        <f t="shared" si="10"/>
        <v>30000</v>
      </c>
      <c r="F49">
        <f t="shared" si="12"/>
        <v>30000</v>
      </c>
      <c r="G49">
        <f t="shared" si="12"/>
        <v>0</v>
      </c>
      <c r="H49">
        <f t="shared" si="12"/>
        <v>0</v>
      </c>
      <c r="I49">
        <f t="shared" si="12"/>
        <v>0</v>
      </c>
      <c r="J49" s="107"/>
      <c r="K49" s="107"/>
    </row>
    <row r="50" spans="1:11" ht="15" customHeight="1" x14ac:dyDescent="0.25">
      <c r="A50" s="107" t="s">
        <v>33</v>
      </c>
      <c r="B50" s="107" t="s">
        <v>496</v>
      </c>
      <c r="C50" s="107" t="s">
        <v>14</v>
      </c>
      <c r="D50" t="s">
        <v>8</v>
      </c>
      <c r="E50">
        <f t="shared" si="10"/>
        <v>163000</v>
      </c>
      <c r="F50">
        <f>SUM(F51:F55)</f>
        <v>163000</v>
      </c>
      <c r="G50">
        <f>SUM(G51:G55)</f>
        <v>0</v>
      </c>
      <c r="H50">
        <f>SUM(H51:H55)</f>
        <v>0</v>
      </c>
      <c r="I50">
        <f>SUM(I51:I55)</f>
        <v>0</v>
      </c>
      <c r="J50" s="107" t="s">
        <v>35</v>
      </c>
      <c r="K50" s="107" t="s">
        <v>484</v>
      </c>
    </row>
    <row r="51" spans="1:11" x14ac:dyDescent="0.25">
      <c r="A51" s="107"/>
      <c r="B51" s="107"/>
      <c r="C51" s="107"/>
      <c r="D51">
        <v>2021</v>
      </c>
      <c r="E51">
        <f t="shared" si="10"/>
        <v>43000</v>
      </c>
      <c r="F51">
        <v>43000</v>
      </c>
      <c r="G51">
        <v>0</v>
      </c>
      <c r="H51">
        <v>0</v>
      </c>
      <c r="I51">
        <v>0</v>
      </c>
      <c r="J51" s="107"/>
      <c r="K51" s="107"/>
    </row>
    <row r="52" spans="1:11" x14ac:dyDescent="0.25">
      <c r="A52" s="107"/>
      <c r="B52" s="107"/>
      <c r="C52" s="107"/>
      <c r="D52">
        <v>2022</v>
      </c>
      <c r="E52">
        <f t="shared" si="10"/>
        <v>30000</v>
      </c>
      <c r="F52">
        <v>30000</v>
      </c>
      <c r="G52">
        <v>0</v>
      </c>
      <c r="H52">
        <v>0</v>
      </c>
      <c r="I52">
        <v>0</v>
      </c>
      <c r="J52" s="107"/>
      <c r="K52" s="107"/>
    </row>
    <row r="53" spans="1:11" x14ac:dyDescent="0.25">
      <c r="A53" s="107"/>
      <c r="B53" s="107"/>
      <c r="C53" s="107"/>
      <c r="D53">
        <v>2023</v>
      </c>
      <c r="E53">
        <f t="shared" si="10"/>
        <v>30000</v>
      </c>
      <c r="F53">
        <v>30000</v>
      </c>
      <c r="G53">
        <v>0</v>
      </c>
      <c r="H53">
        <v>0</v>
      </c>
      <c r="I53">
        <v>0</v>
      </c>
      <c r="J53" s="107"/>
      <c r="K53" s="107"/>
    </row>
    <row r="54" spans="1:11" x14ac:dyDescent="0.25">
      <c r="A54" s="107"/>
      <c r="B54" s="107"/>
      <c r="C54" s="107"/>
      <c r="D54">
        <v>2024</v>
      </c>
      <c r="E54">
        <f t="shared" si="10"/>
        <v>30000</v>
      </c>
      <c r="F54">
        <v>30000</v>
      </c>
      <c r="G54">
        <v>0</v>
      </c>
      <c r="H54">
        <v>0</v>
      </c>
      <c r="I54">
        <v>0</v>
      </c>
      <c r="J54" s="107"/>
      <c r="K54" s="107"/>
    </row>
    <row r="55" spans="1:11" x14ac:dyDescent="0.25">
      <c r="A55" s="107"/>
      <c r="B55" s="107"/>
      <c r="C55" s="107"/>
      <c r="D55">
        <v>2025</v>
      </c>
      <c r="E55">
        <f t="shared" si="10"/>
        <v>30000</v>
      </c>
      <c r="F55">
        <v>30000</v>
      </c>
      <c r="G55">
        <v>0</v>
      </c>
      <c r="H55">
        <v>0</v>
      </c>
      <c r="I55">
        <v>0</v>
      </c>
      <c r="J55" s="107"/>
      <c r="K55" s="107"/>
    </row>
    <row r="56" spans="1:11" ht="13.5" customHeight="1" outlineLevel="1" x14ac:dyDescent="0.25">
      <c r="A56" s="107" t="s">
        <v>36</v>
      </c>
      <c r="B56" s="107" t="s">
        <v>498</v>
      </c>
      <c r="C56" s="107">
        <v>2021</v>
      </c>
      <c r="D56" t="s">
        <v>8</v>
      </c>
      <c r="E56">
        <f>SUM(E57:E61)</f>
        <v>0</v>
      </c>
      <c r="F56">
        <f>SUM(F57:F61)</f>
        <v>0</v>
      </c>
      <c r="G56">
        <f>SUM(G57:G61)</f>
        <v>0</v>
      </c>
      <c r="H56">
        <f>SUM(H57:H61)</f>
        <v>0</v>
      </c>
      <c r="I56">
        <f>SUM(I57:I61)</f>
        <v>0</v>
      </c>
      <c r="J56" s="107" t="s">
        <v>499</v>
      </c>
      <c r="K56" s="107" t="s">
        <v>484</v>
      </c>
    </row>
    <row r="57" spans="1:11" ht="13.5" customHeight="1" outlineLevel="1" x14ac:dyDescent="0.25">
      <c r="A57" s="107"/>
      <c r="B57" s="107"/>
      <c r="C57" s="107"/>
      <c r="D57">
        <v>2021</v>
      </c>
      <c r="E57">
        <f t="shared" ref="E57:E61" si="13">SUM(F57:I57)</f>
        <v>0</v>
      </c>
      <c r="F57">
        <v>0</v>
      </c>
      <c r="G57">
        <v>0</v>
      </c>
      <c r="H57">
        <v>0</v>
      </c>
      <c r="I57">
        <v>0</v>
      </c>
      <c r="J57" s="107"/>
      <c r="K57" s="107"/>
    </row>
    <row r="58" spans="1:11" ht="13.5" customHeight="1" outlineLevel="1" x14ac:dyDescent="0.25">
      <c r="A58" s="107"/>
      <c r="B58" s="107"/>
      <c r="C58" s="107"/>
      <c r="D58">
        <v>2022</v>
      </c>
      <c r="E58">
        <f t="shared" si="13"/>
        <v>0</v>
      </c>
      <c r="F58">
        <v>0</v>
      </c>
      <c r="G58">
        <v>0</v>
      </c>
      <c r="H58">
        <v>0</v>
      </c>
      <c r="I58">
        <v>0</v>
      </c>
      <c r="J58" s="107"/>
      <c r="K58" s="107"/>
    </row>
    <row r="59" spans="1:11" ht="13.5" customHeight="1" outlineLevel="1" x14ac:dyDescent="0.25">
      <c r="A59" s="107"/>
      <c r="B59" s="107"/>
      <c r="C59" s="107"/>
      <c r="D59">
        <v>2023</v>
      </c>
      <c r="E59">
        <f t="shared" si="13"/>
        <v>0</v>
      </c>
      <c r="F59">
        <v>0</v>
      </c>
      <c r="G59">
        <v>0</v>
      </c>
      <c r="H59">
        <v>0</v>
      </c>
      <c r="I59">
        <v>0</v>
      </c>
      <c r="J59" s="107"/>
      <c r="K59" s="107"/>
    </row>
    <row r="60" spans="1:11" ht="13.5" customHeight="1" outlineLevel="1" x14ac:dyDescent="0.25">
      <c r="A60" s="107"/>
      <c r="B60" s="107"/>
      <c r="C60" s="107"/>
      <c r="D60">
        <v>2024</v>
      </c>
      <c r="E60">
        <f t="shared" si="13"/>
        <v>0</v>
      </c>
      <c r="F60">
        <v>0</v>
      </c>
      <c r="G60">
        <v>0</v>
      </c>
      <c r="H60">
        <v>0</v>
      </c>
      <c r="I60">
        <v>0</v>
      </c>
      <c r="J60" s="107"/>
      <c r="K60" s="107"/>
    </row>
    <row r="61" spans="1:11" ht="13.5" customHeight="1" outlineLevel="1" x14ac:dyDescent="0.25">
      <c r="A61" s="107"/>
      <c r="B61" s="107"/>
      <c r="C61" s="107"/>
      <c r="D61">
        <v>2025</v>
      </c>
      <c r="E61">
        <f t="shared" si="13"/>
        <v>0</v>
      </c>
      <c r="F61">
        <v>0</v>
      </c>
      <c r="G61">
        <v>0</v>
      </c>
      <c r="H61">
        <v>0</v>
      </c>
      <c r="I61">
        <v>0</v>
      </c>
      <c r="J61" s="107"/>
      <c r="K61" s="107"/>
    </row>
    <row r="62" spans="1:11" ht="13.5" customHeight="1" outlineLevel="1" x14ac:dyDescent="0.25">
      <c r="A62" s="107" t="s">
        <v>500</v>
      </c>
      <c r="B62" s="107" t="s">
        <v>501</v>
      </c>
      <c r="C62" s="107">
        <v>2021</v>
      </c>
      <c r="D62" t="s">
        <v>8</v>
      </c>
      <c r="E62">
        <f>SUM(E63:E67)</f>
        <v>34000</v>
      </c>
      <c r="F62">
        <f>SUM(F63:F67)</f>
        <v>34000</v>
      </c>
      <c r="G62">
        <f>SUM(G63:G67)</f>
        <v>0</v>
      </c>
      <c r="H62">
        <f>SUM(H63:H67)</f>
        <v>0</v>
      </c>
      <c r="I62">
        <f>SUM(I63:I67)</f>
        <v>0</v>
      </c>
      <c r="J62" s="107" t="s">
        <v>502</v>
      </c>
      <c r="K62" s="107" t="s">
        <v>484</v>
      </c>
    </row>
    <row r="63" spans="1:11" ht="13.5" customHeight="1" outlineLevel="1" x14ac:dyDescent="0.25">
      <c r="A63" s="107"/>
      <c r="B63" s="107"/>
      <c r="C63" s="107"/>
      <c r="D63">
        <v>2021</v>
      </c>
      <c r="E63">
        <f t="shared" ref="E63:E67" si="14">SUM(F63:I63)</f>
        <v>34000</v>
      </c>
      <c r="F63">
        <v>34000</v>
      </c>
      <c r="G63">
        <v>0</v>
      </c>
      <c r="H63">
        <v>0</v>
      </c>
      <c r="I63">
        <v>0</v>
      </c>
      <c r="J63" s="107"/>
      <c r="K63" s="107"/>
    </row>
    <row r="64" spans="1:11" ht="13.5" customHeight="1" outlineLevel="1" x14ac:dyDescent="0.25">
      <c r="A64" s="107"/>
      <c r="B64" s="107"/>
      <c r="C64" s="107"/>
      <c r="D64">
        <v>2022</v>
      </c>
      <c r="E64">
        <f t="shared" si="14"/>
        <v>0</v>
      </c>
      <c r="F64">
        <v>0</v>
      </c>
      <c r="G64">
        <v>0</v>
      </c>
      <c r="H64">
        <v>0</v>
      </c>
      <c r="I64">
        <v>0</v>
      </c>
      <c r="J64" s="107"/>
      <c r="K64" s="107"/>
    </row>
    <row r="65" spans="1:11" ht="13.5" customHeight="1" outlineLevel="1" x14ac:dyDescent="0.25">
      <c r="A65" s="107"/>
      <c r="B65" s="107"/>
      <c r="C65" s="107"/>
      <c r="D65">
        <v>2023</v>
      </c>
      <c r="E65">
        <f t="shared" si="14"/>
        <v>0</v>
      </c>
      <c r="F65">
        <v>0</v>
      </c>
      <c r="G65">
        <v>0</v>
      </c>
      <c r="H65">
        <v>0</v>
      </c>
      <c r="I65">
        <v>0</v>
      </c>
      <c r="J65" s="107"/>
      <c r="K65" s="107"/>
    </row>
    <row r="66" spans="1:11" ht="13.5" customHeight="1" outlineLevel="1" x14ac:dyDescent="0.25">
      <c r="A66" s="107"/>
      <c r="B66" s="107"/>
      <c r="C66" s="107"/>
      <c r="D66">
        <v>2024</v>
      </c>
      <c r="E66">
        <f t="shared" si="14"/>
        <v>0</v>
      </c>
      <c r="F66">
        <v>0</v>
      </c>
      <c r="G66">
        <v>0</v>
      </c>
      <c r="H66">
        <v>0</v>
      </c>
      <c r="I66">
        <v>0</v>
      </c>
      <c r="J66" s="107"/>
      <c r="K66" s="107"/>
    </row>
    <row r="67" spans="1:11" ht="13.5" customHeight="1" outlineLevel="1" x14ac:dyDescent="0.25">
      <c r="A67" s="107"/>
      <c r="B67" s="107"/>
      <c r="C67" s="107"/>
      <c r="D67">
        <v>2025</v>
      </c>
      <c r="E67">
        <f t="shared" si="14"/>
        <v>0</v>
      </c>
      <c r="F67">
        <v>0</v>
      </c>
      <c r="G67">
        <v>0</v>
      </c>
      <c r="H67">
        <v>0</v>
      </c>
      <c r="I67">
        <v>0</v>
      </c>
      <c r="J67" s="107"/>
      <c r="K67" s="107"/>
    </row>
    <row r="68" spans="1:11" ht="13.5" customHeight="1" outlineLevel="1" x14ac:dyDescent="0.25">
      <c r="A68" s="107" t="s">
        <v>503</v>
      </c>
      <c r="B68" s="107" t="s">
        <v>504</v>
      </c>
      <c r="C68" s="107">
        <v>2021</v>
      </c>
      <c r="D68" t="s">
        <v>8</v>
      </c>
      <c r="E68">
        <f>SUM(E69:E73)</f>
        <v>2700</v>
      </c>
      <c r="F68">
        <f>SUM(F69:F73)</f>
        <v>2700</v>
      </c>
      <c r="G68">
        <f>SUM(G69:G73)</f>
        <v>0</v>
      </c>
      <c r="H68">
        <f>SUM(H69:H73)</f>
        <v>0</v>
      </c>
      <c r="I68">
        <f>SUM(I69:I73)</f>
        <v>0</v>
      </c>
      <c r="J68" s="107" t="s">
        <v>505</v>
      </c>
      <c r="K68" s="107" t="s">
        <v>484</v>
      </c>
    </row>
    <row r="69" spans="1:11" ht="13.5" customHeight="1" outlineLevel="1" x14ac:dyDescent="0.25">
      <c r="A69" s="107"/>
      <c r="B69" s="107"/>
      <c r="C69" s="107"/>
      <c r="D69">
        <v>2021</v>
      </c>
      <c r="E69">
        <f t="shared" ref="E69:E73" si="15">SUM(F69:I69)</f>
        <v>2700</v>
      </c>
      <c r="F69">
        <f>1350+1350</f>
        <v>2700</v>
      </c>
      <c r="G69">
        <v>0</v>
      </c>
      <c r="H69">
        <v>0</v>
      </c>
      <c r="I69">
        <v>0</v>
      </c>
      <c r="J69" s="107"/>
      <c r="K69" s="107"/>
    </row>
    <row r="70" spans="1:11" ht="13.5" customHeight="1" outlineLevel="1" x14ac:dyDescent="0.25">
      <c r="A70" s="107"/>
      <c r="B70" s="107"/>
      <c r="C70" s="107"/>
      <c r="D70">
        <v>2022</v>
      </c>
      <c r="E70">
        <f t="shared" si="15"/>
        <v>0</v>
      </c>
      <c r="F70">
        <v>0</v>
      </c>
      <c r="G70">
        <v>0</v>
      </c>
      <c r="H70">
        <v>0</v>
      </c>
      <c r="I70">
        <v>0</v>
      </c>
      <c r="J70" s="107"/>
      <c r="K70" s="107"/>
    </row>
    <row r="71" spans="1:11" ht="13.5" customHeight="1" outlineLevel="1" x14ac:dyDescent="0.25">
      <c r="A71" s="107"/>
      <c r="B71" s="107"/>
      <c r="C71" s="107"/>
      <c r="D71">
        <v>2023</v>
      </c>
      <c r="E71">
        <f t="shared" si="15"/>
        <v>0</v>
      </c>
      <c r="F71">
        <v>0</v>
      </c>
      <c r="G71">
        <v>0</v>
      </c>
      <c r="H71">
        <v>0</v>
      </c>
      <c r="I71">
        <v>0</v>
      </c>
      <c r="J71" s="107"/>
      <c r="K71" s="107"/>
    </row>
    <row r="72" spans="1:11" ht="13.5" customHeight="1" outlineLevel="1" x14ac:dyDescent="0.25">
      <c r="A72" s="107"/>
      <c r="B72" s="107"/>
      <c r="C72" s="107"/>
      <c r="D72">
        <v>2024</v>
      </c>
      <c r="E72">
        <f t="shared" si="15"/>
        <v>0</v>
      </c>
      <c r="F72">
        <v>0</v>
      </c>
      <c r="G72">
        <v>0</v>
      </c>
      <c r="H72">
        <v>0</v>
      </c>
      <c r="I72">
        <v>0</v>
      </c>
      <c r="J72" s="107"/>
      <c r="K72" s="107"/>
    </row>
    <row r="73" spans="1:11" ht="13.5" customHeight="1" outlineLevel="1" x14ac:dyDescent="0.25">
      <c r="A73" s="107"/>
      <c r="B73" s="107"/>
      <c r="C73" s="107"/>
      <c r="D73">
        <v>2025</v>
      </c>
      <c r="E73">
        <f t="shared" si="15"/>
        <v>0</v>
      </c>
      <c r="F73">
        <v>0</v>
      </c>
      <c r="G73">
        <v>0</v>
      </c>
      <c r="H73">
        <v>0</v>
      </c>
      <c r="I73">
        <v>0</v>
      </c>
      <c r="J73" s="107"/>
      <c r="K73" s="107"/>
    </row>
    <row r="74" spans="1:11" ht="13.5" customHeight="1" outlineLevel="1" x14ac:dyDescent="0.25">
      <c r="A74" s="107" t="s">
        <v>506</v>
      </c>
      <c r="B74" s="107" t="s">
        <v>507</v>
      </c>
      <c r="C74" s="107">
        <v>2021</v>
      </c>
      <c r="D74" t="s">
        <v>8</v>
      </c>
      <c r="E74">
        <f>SUM(E75:E79)</f>
        <v>29443.125</v>
      </c>
      <c r="F74">
        <f>SUM(F75:F79)</f>
        <v>29443.125</v>
      </c>
      <c r="G74">
        <f>SUM(G75:G79)</f>
        <v>0</v>
      </c>
      <c r="H74">
        <f>SUM(H75:H79)</f>
        <v>0</v>
      </c>
      <c r="I74">
        <f>SUM(I75:I79)</f>
        <v>0</v>
      </c>
      <c r="J74" s="107" t="s">
        <v>508</v>
      </c>
      <c r="K74" s="107" t="s">
        <v>484</v>
      </c>
    </row>
    <row r="75" spans="1:11" ht="13.5" customHeight="1" outlineLevel="1" x14ac:dyDescent="0.25">
      <c r="A75" s="107"/>
      <c r="B75" s="107"/>
      <c r="C75" s="107"/>
      <c r="D75">
        <v>2021</v>
      </c>
      <c r="E75">
        <f t="shared" ref="E75:E108" si="16">SUM(F75:I75)</f>
        <v>29443.125</v>
      </c>
      <c r="F75">
        <f>29443125/1000</f>
        <v>29443.125</v>
      </c>
      <c r="G75">
        <v>0</v>
      </c>
      <c r="H75">
        <v>0</v>
      </c>
      <c r="I75">
        <v>0</v>
      </c>
      <c r="J75" s="107"/>
      <c r="K75" s="107"/>
    </row>
    <row r="76" spans="1:11" ht="13.5" customHeight="1" outlineLevel="1" x14ac:dyDescent="0.25">
      <c r="A76" s="107"/>
      <c r="B76" s="107"/>
      <c r="C76" s="107"/>
      <c r="D76">
        <v>2022</v>
      </c>
      <c r="E76">
        <f t="shared" si="16"/>
        <v>0</v>
      </c>
      <c r="F76">
        <v>0</v>
      </c>
      <c r="G76">
        <v>0</v>
      </c>
      <c r="H76">
        <v>0</v>
      </c>
      <c r="I76">
        <v>0</v>
      </c>
      <c r="J76" s="107"/>
      <c r="K76" s="107"/>
    </row>
    <row r="77" spans="1:11" ht="13.5" customHeight="1" outlineLevel="1" x14ac:dyDescent="0.25">
      <c r="A77" s="107"/>
      <c r="B77" s="107"/>
      <c r="C77" s="107"/>
      <c r="D77">
        <v>2023</v>
      </c>
      <c r="E77">
        <f t="shared" si="16"/>
        <v>0</v>
      </c>
      <c r="F77">
        <v>0</v>
      </c>
      <c r="G77">
        <v>0</v>
      </c>
      <c r="H77">
        <v>0</v>
      </c>
      <c r="I77">
        <v>0</v>
      </c>
      <c r="J77" s="107"/>
      <c r="K77" s="107"/>
    </row>
    <row r="78" spans="1:11" ht="13.5" customHeight="1" outlineLevel="1" x14ac:dyDescent="0.25">
      <c r="A78" s="107"/>
      <c r="B78" s="107"/>
      <c r="C78" s="107"/>
      <c r="D78">
        <v>2024</v>
      </c>
      <c r="E78">
        <f t="shared" si="16"/>
        <v>0</v>
      </c>
      <c r="F78">
        <v>0</v>
      </c>
      <c r="G78">
        <v>0</v>
      </c>
      <c r="H78">
        <v>0</v>
      </c>
      <c r="I78">
        <v>0</v>
      </c>
      <c r="J78" s="107"/>
      <c r="K78" s="107"/>
    </row>
    <row r="79" spans="1:11" ht="13.5" customHeight="1" outlineLevel="1" x14ac:dyDescent="0.25">
      <c r="A79" s="107"/>
      <c r="B79" s="107"/>
      <c r="C79" s="107"/>
      <c r="D79">
        <v>2025</v>
      </c>
      <c r="E79">
        <f t="shared" si="16"/>
        <v>0</v>
      </c>
      <c r="F79">
        <v>0</v>
      </c>
      <c r="G79">
        <v>0</v>
      </c>
      <c r="H79">
        <v>0</v>
      </c>
      <c r="I79">
        <v>0</v>
      </c>
      <c r="J79" s="107"/>
      <c r="K79" s="107"/>
    </row>
    <row r="80" spans="1:11" ht="15" customHeight="1" outlineLevel="1" x14ac:dyDescent="0.25">
      <c r="A80" s="107" t="s">
        <v>39</v>
      </c>
      <c r="B80" s="107" t="s">
        <v>40</v>
      </c>
      <c r="C80" s="107" t="s">
        <v>41</v>
      </c>
      <c r="D80" t="s">
        <v>8</v>
      </c>
      <c r="E80">
        <f t="shared" si="16"/>
        <v>43149.684849999998</v>
      </c>
      <c r="F80">
        <f>SUM(F81:F85)</f>
        <v>18245.584849999999</v>
      </c>
      <c r="G80">
        <f>SUM(G81:G85)</f>
        <v>24904.1</v>
      </c>
      <c r="H80">
        <f>SUM(H81:H85)</f>
        <v>0</v>
      </c>
      <c r="I80">
        <f>SUM(I81:I85)</f>
        <v>0</v>
      </c>
      <c r="J80" s="107" t="s">
        <v>42</v>
      </c>
      <c r="K80" s="107" t="s">
        <v>510</v>
      </c>
    </row>
    <row r="81" spans="1:11" outlineLevel="1" x14ac:dyDescent="0.25">
      <c r="A81" s="107"/>
      <c r="B81" s="107"/>
      <c r="C81" s="107"/>
      <c r="D81">
        <v>2021</v>
      </c>
      <c r="E81">
        <f t="shared" si="16"/>
        <v>28256.413610000003</v>
      </c>
      <c r="F81">
        <f>F98+F110+F87+F104</f>
        <v>6989.01361</v>
      </c>
      <c r="G81">
        <f t="shared" ref="F81:I85" si="17">G98+G110+G87+G104</f>
        <v>21267.4</v>
      </c>
      <c r="H81">
        <f t="shared" si="17"/>
        <v>0</v>
      </c>
      <c r="I81">
        <f t="shared" si="17"/>
        <v>0</v>
      </c>
      <c r="J81" s="107"/>
      <c r="K81" s="107"/>
    </row>
    <row r="82" spans="1:11" outlineLevel="1" x14ac:dyDescent="0.25">
      <c r="A82" s="107"/>
      <c r="B82" s="107"/>
      <c r="C82" s="107"/>
      <c r="D82">
        <v>2022</v>
      </c>
      <c r="E82">
        <f t="shared" si="16"/>
        <v>5570.2691400000003</v>
      </c>
      <c r="F82">
        <f t="shared" si="17"/>
        <v>3752.16914</v>
      </c>
      <c r="G82">
        <f t="shared" si="17"/>
        <v>1818.1</v>
      </c>
      <c r="H82">
        <f t="shared" si="17"/>
        <v>0</v>
      </c>
      <c r="I82">
        <f t="shared" si="17"/>
        <v>0</v>
      </c>
      <c r="J82" s="107"/>
      <c r="K82" s="107"/>
    </row>
    <row r="83" spans="1:11" outlineLevel="1" x14ac:dyDescent="0.25">
      <c r="A83" s="107"/>
      <c r="B83" s="107"/>
      <c r="C83" s="107"/>
      <c r="D83">
        <v>2023</v>
      </c>
      <c r="E83">
        <f t="shared" si="16"/>
        <v>5570.80105</v>
      </c>
      <c r="F83">
        <f t="shared" si="17"/>
        <v>3752.2010500000001</v>
      </c>
      <c r="G83">
        <f t="shared" si="17"/>
        <v>1818.6</v>
      </c>
      <c r="H83">
        <f t="shared" si="17"/>
        <v>0</v>
      </c>
      <c r="I83">
        <f t="shared" si="17"/>
        <v>0</v>
      </c>
      <c r="J83" s="107"/>
      <c r="K83" s="107"/>
    </row>
    <row r="84" spans="1:11" outlineLevel="1" x14ac:dyDescent="0.25">
      <c r="A84" s="107"/>
      <c r="B84" s="107"/>
      <c r="C84" s="107"/>
      <c r="D84">
        <v>2024</v>
      </c>
      <c r="E84">
        <f t="shared" si="16"/>
        <v>3752.2010500000001</v>
      </c>
      <c r="F84">
        <f t="shared" si="17"/>
        <v>3752.2010500000001</v>
      </c>
      <c r="G84">
        <f t="shared" si="17"/>
        <v>0</v>
      </c>
      <c r="H84">
        <f t="shared" si="17"/>
        <v>0</v>
      </c>
      <c r="I84">
        <f t="shared" si="17"/>
        <v>0</v>
      </c>
      <c r="J84" s="107"/>
      <c r="K84" s="107"/>
    </row>
    <row r="85" spans="1:11" outlineLevel="1" x14ac:dyDescent="0.25">
      <c r="A85" s="107"/>
      <c r="B85" s="107"/>
      <c r="C85" s="107"/>
      <c r="D85">
        <v>2025</v>
      </c>
      <c r="E85">
        <f t="shared" si="16"/>
        <v>0</v>
      </c>
      <c r="F85">
        <f t="shared" si="17"/>
        <v>0</v>
      </c>
      <c r="G85">
        <f t="shared" si="17"/>
        <v>0</v>
      </c>
      <c r="H85">
        <f t="shared" si="17"/>
        <v>0</v>
      </c>
      <c r="I85">
        <f t="shared" si="17"/>
        <v>0</v>
      </c>
      <c r="J85" s="107"/>
      <c r="K85" s="107"/>
    </row>
    <row r="86" spans="1:11" outlineLevel="1" x14ac:dyDescent="0.25">
      <c r="A86" s="107" t="s">
        <v>44</v>
      </c>
      <c r="B86" s="107" t="s">
        <v>45</v>
      </c>
      <c r="C86" s="107" t="s">
        <v>41</v>
      </c>
      <c r="D86" t="s">
        <v>8</v>
      </c>
      <c r="E86">
        <f t="shared" si="16"/>
        <v>5333.2085100000004</v>
      </c>
      <c r="F86">
        <f>SUM(F87:F91)</f>
        <v>429.10850999999997</v>
      </c>
      <c r="G86">
        <f>SUM(G87:G91)</f>
        <v>4904.1000000000004</v>
      </c>
      <c r="H86">
        <f>SUM(H87:H91)</f>
        <v>0</v>
      </c>
      <c r="I86">
        <f>SUM(I87:I91)</f>
        <v>0</v>
      </c>
      <c r="J86" s="107" t="s">
        <v>46</v>
      </c>
      <c r="K86" s="107" t="s">
        <v>1105</v>
      </c>
    </row>
    <row r="87" spans="1:11" outlineLevel="1" x14ac:dyDescent="0.25">
      <c r="A87" s="107"/>
      <c r="B87" s="107"/>
      <c r="C87" s="107"/>
      <c r="D87">
        <v>2021</v>
      </c>
      <c r="E87">
        <f t="shared" si="16"/>
        <v>1348.2978700000001</v>
      </c>
      <c r="F87">
        <v>80.897869999999998</v>
      </c>
      <c r="G87">
        <v>1267.4000000000001</v>
      </c>
      <c r="H87">
        <v>0</v>
      </c>
      <c r="I87">
        <v>0</v>
      </c>
      <c r="J87" s="107"/>
      <c r="K87" s="107"/>
    </row>
    <row r="88" spans="1:11" outlineLevel="1" x14ac:dyDescent="0.25">
      <c r="A88" s="107"/>
      <c r="B88" s="107"/>
      <c r="C88" s="107"/>
      <c r="D88">
        <v>2022</v>
      </c>
      <c r="E88">
        <f t="shared" si="16"/>
        <v>1934.1489399999998</v>
      </c>
      <c r="F88">
        <v>116.04894</v>
      </c>
      <c r="G88">
        <v>1818.1</v>
      </c>
      <c r="H88">
        <v>0</v>
      </c>
      <c r="I88">
        <v>0</v>
      </c>
      <c r="J88" s="107"/>
      <c r="K88" s="107"/>
    </row>
    <row r="89" spans="1:11" outlineLevel="1" x14ac:dyDescent="0.25">
      <c r="A89" s="107"/>
      <c r="B89" s="107"/>
      <c r="C89" s="107"/>
      <c r="D89">
        <v>2023</v>
      </c>
      <c r="E89">
        <f t="shared" si="16"/>
        <v>1934.68085</v>
      </c>
      <c r="F89">
        <v>116.08085</v>
      </c>
      <c r="G89">
        <v>1818.6</v>
      </c>
      <c r="H89">
        <v>0</v>
      </c>
      <c r="I89">
        <v>0</v>
      </c>
      <c r="J89" s="107"/>
      <c r="K89" s="107"/>
    </row>
    <row r="90" spans="1:11" outlineLevel="1" x14ac:dyDescent="0.25">
      <c r="A90" s="107"/>
      <c r="B90" s="107"/>
      <c r="C90" s="107"/>
      <c r="D90">
        <v>2024</v>
      </c>
      <c r="E90">
        <f t="shared" si="16"/>
        <v>116.08085</v>
      </c>
      <c r="F90">
        <v>116.08085</v>
      </c>
      <c r="G90">
        <v>0</v>
      </c>
      <c r="H90">
        <v>0</v>
      </c>
      <c r="I90">
        <v>0</v>
      </c>
      <c r="J90" s="107"/>
      <c r="K90" s="107"/>
    </row>
    <row r="91" spans="1:11" outlineLevel="1" x14ac:dyDescent="0.25">
      <c r="A91" s="107"/>
      <c r="B91" s="107"/>
      <c r="C91" s="107"/>
      <c r="D91">
        <v>2025</v>
      </c>
      <c r="E91">
        <f t="shared" si="16"/>
        <v>0</v>
      </c>
      <c r="F91">
        <v>0</v>
      </c>
      <c r="G91">
        <v>0</v>
      </c>
      <c r="H91">
        <v>0</v>
      </c>
      <c r="I91">
        <v>0</v>
      </c>
      <c r="J91" s="107"/>
      <c r="K91" s="107"/>
    </row>
    <row r="92" spans="1:11" outlineLevel="1" x14ac:dyDescent="0.25"/>
    <row r="93" spans="1:11" outlineLevel="1" x14ac:dyDescent="0.25"/>
    <row r="94" spans="1:11" outlineLevel="1" x14ac:dyDescent="0.25"/>
    <row r="95" spans="1:11" outlineLevel="1" x14ac:dyDescent="0.25"/>
    <row r="96" spans="1:11" outlineLevel="1" x14ac:dyDescent="0.25"/>
    <row r="97" spans="1:11" ht="15" customHeight="1" outlineLevel="1" x14ac:dyDescent="0.25">
      <c r="A97" s="107" t="s">
        <v>48</v>
      </c>
      <c r="B97" s="107" t="s">
        <v>1060</v>
      </c>
      <c r="C97" s="107" t="s">
        <v>41</v>
      </c>
      <c r="D97" t="s">
        <v>8</v>
      </c>
      <c r="E97">
        <f t="shared" si="16"/>
        <v>6539.8806000000004</v>
      </c>
      <c r="F97">
        <f>SUM(F98:F102)</f>
        <v>6539.8806000000004</v>
      </c>
      <c r="G97">
        <f>SUM(G98:G102)</f>
        <v>0</v>
      </c>
      <c r="H97">
        <f>SUM(H98:H102)</f>
        <v>0</v>
      </c>
      <c r="I97">
        <f>SUM(I98:I102)</f>
        <v>0</v>
      </c>
      <c r="J97" s="107" t="s">
        <v>50</v>
      </c>
      <c r="K97" s="107" t="s">
        <v>484</v>
      </c>
    </row>
    <row r="98" spans="1:11" outlineLevel="1" x14ac:dyDescent="0.25">
      <c r="A98" s="107"/>
      <c r="B98" s="107"/>
      <c r="C98" s="107"/>
      <c r="D98">
        <v>2021</v>
      </c>
      <c r="E98">
        <f t="shared" si="16"/>
        <v>1631.52</v>
      </c>
      <c r="F98">
        <v>1631.52</v>
      </c>
      <c r="G98">
        <v>0</v>
      </c>
      <c r="H98">
        <v>0</v>
      </c>
      <c r="I98">
        <v>0</v>
      </c>
      <c r="J98" s="107"/>
      <c r="K98" s="107"/>
    </row>
    <row r="99" spans="1:11" outlineLevel="1" x14ac:dyDescent="0.25">
      <c r="A99" s="107"/>
      <c r="B99" s="107"/>
      <c r="C99" s="107"/>
      <c r="D99">
        <v>2022</v>
      </c>
      <c r="E99">
        <f t="shared" si="16"/>
        <v>1636.1202000000001</v>
      </c>
      <c r="F99">
        <v>1636.1202000000001</v>
      </c>
      <c r="G99">
        <v>0</v>
      </c>
      <c r="H99">
        <v>0</v>
      </c>
      <c r="I99">
        <v>0</v>
      </c>
      <c r="J99" s="107"/>
      <c r="K99" s="107"/>
    </row>
    <row r="100" spans="1:11" outlineLevel="1" x14ac:dyDescent="0.25">
      <c r="A100" s="107"/>
      <c r="B100" s="107"/>
      <c r="C100" s="107"/>
      <c r="D100">
        <v>2023</v>
      </c>
      <c r="E100">
        <f t="shared" si="16"/>
        <v>1636.1202000000001</v>
      </c>
      <c r="F100">
        <v>1636.1202000000001</v>
      </c>
      <c r="G100">
        <v>0</v>
      </c>
      <c r="H100">
        <v>0</v>
      </c>
      <c r="I100">
        <v>0</v>
      </c>
      <c r="J100" s="107"/>
      <c r="K100" s="107"/>
    </row>
    <row r="101" spans="1:11" outlineLevel="1" x14ac:dyDescent="0.25">
      <c r="A101" s="107"/>
      <c r="B101" s="107"/>
      <c r="C101" s="107"/>
      <c r="D101">
        <v>2024</v>
      </c>
      <c r="E101">
        <f t="shared" si="16"/>
        <v>1636.1202000000001</v>
      </c>
      <c r="F101">
        <v>1636.1202000000001</v>
      </c>
      <c r="G101">
        <v>0</v>
      </c>
      <c r="H101">
        <v>0</v>
      </c>
      <c r="I101">
        <v>0</v>
      </c>
      <c r="J101" s="107"/>
      <c r="K101" s="107"/>
    </row>
    <row r="102" spans="1:11" outlineLevel="1" x14ac:dyDescent="0.25">
      <c r="A102" s="107"/>
      <c r="B102" s="107"/>
      <c r="C102" s="107"/>
      <c r="D102">
        <v>2025</v>
      </c>
      <c r="E102">
        <f t="shared" si="16"/>
        <v>0</v>
      </c>
      <c r="F102">
        <v>0</v>
      </c>
      <c r="G102">
        <v>0</v>
      </c>
      <c r="H102">
        <v>0</v>
      </c>
      <c r="I102">
        <v>0</v>
      </c>
      <c r="J102" s="107"/>
      <c r="K102" s="107"/>
    </row>
    <row r="103" spans="1:11" ht="13.5" customHeight="1" outlineLevel="1" x14ac:dyDescent="0.25">
      <c r="A103" s="107" t="s">
        <v>51</v>
      </c>
      <c r="B103" s="107" t="s">
        <v>52</v>
      </c>
      <c r="C103" s="107" t="s">
        <v>41</v>
      </c>
      <c r="D103" t="s">
        <v>8</v>
      </c>
      <c r="E103">
        <f t="shared" si="16"/>
        <v>10000</v>
      </c>
      <c r="F103">
        <f>SUM(F104:F108)</f>
        <v>10000</v>
      </c>
      <c r="G103">
        <f>SUM(G104:G108)</f>
        <v>0</v>
      </c>
      <c r="H103">
        <f>SUM(H104:H108)</f>
        <v>0</v>
      </c>
      <c r="I103">
        <f>SUM(I104:I108)</f>
        <v>0</v>
      </c>
      <c r="J103" s="107" t="s">
        <v>53</v>
      </c>
      <c r="K103" s="107" t="s">
        <v>484</v>
      </c>
    </row>
    <row r="104" spans="1:11" ht="13.5" customHeight="1" outlineLevel="1" x14ac:dyDescent="0.25">
      <c r="A104" s="107"/>
      <c r="B104" s="107"/>
      <c r="C104" s="107"/>
      <c r="D104">
        <v>2021</v>
      </c>
      <c r="E104">
        <f t="shared" si="16"/>
        <v>4000</v>
      </c>
      <c r="F104">
        <v>4000</v>
      </c>
      <c r="G104">
        <v>0</v>
      </c>
      <c r="H104">
        <v>0</v>
      </c>
      <c r="I104">
        <v>0</v>
      </c>
      <c r="J104" s="107"/>
      <c r="K104" s="107"/>
    </row>
    <row r="105" spans="1:11" ht="13.5" customHeight="1" outlineLevel="1" x14ac:dyDescent="0.25">
      <c r="A105" s="107"/>
      <c r="B105" s="107"/>
      <c r="C105" s="107"/>
      <c r="D105">
        <v>2022</v>
      </c>
      <c r="E105">
        <f t="shared" si="16"/>
        <v>2000</v>
      </c>
      <c r="F105">
        <v>2000</v>
      </c>
      <c r="G105">
        <v>0</v>
      </c>
      <c r="H105">
        <v>0</v>
      </c>
      <c r="I105">
        <v>0</v>
      </c>
      <c r="J105" s="107"/>
      <c r="K105" s="107"/>
    </row>
    <row r="106" spans="1:11" ht="13.5" customHeight="1" outlineLevel="1" x14ac:dyDescent="0.25">
      <c r="A106" s="107"/>
      <c r="B106" s="107"/>
      <c r="C106" s="107"/>
      <c r="D106">
        <v>2023</v>
      </c>
      <c r="E106">
        <f t="shared" si="16"/>
        <v>2000</v>
      </c>
      <c r="F106">
        <v>2000</v>
      </c>
      <c r="G106">
        <v>0</v>
      </c>
      <c r="H106">
        <v>0</v>
      </c>
      <c r="I106">
        <v>0</v>
      </c>
      <c r="J106" s="107"/>
      <c r="K106" s="107"/>
    </row>
    <row r="107" spans="1:11" ht="13.5" customHeight="1" outlineLevel="1" x14ac:dyDescent="0.25">
      <c r="A107" s="107"/>
      <c r="B107" s="107"/>
      <c r="C107" s="107"/>
      <c r="D107">
        <v>2024</v>
      </c>
      <c r="E107">
        <f t="shared" si="16"/>
        <v>2000</v>
      </c>
      <c r="F107">
        <v>2000</v>
      </c>
      <c r="G107">
        <v>0</v>
      </c>
      <c r="H107">
        <v>0</v>
      </c>
      <c r="I107">
        <v>0</v>
      </c>
      <c r="J107" s="107"/>
      <c r="K107" s="107"/>
    </row>
    <row r="108" spans="1:11" ht="13.5" customHeight="1" outlineLevel="1" x14ac:dyDescent="0.25">
      <c r="A108" s="107"/>
      <c r="B108" s="107"/>
      <c r="C108" s="107"/>
      <c r="D108">
        <v>2025</v>
      </c>
      <c r="E108">
        <f t="shared" si="16"/>
        <v>0</v>
      </c>
      <c r="F108">
        <v>0</v>
      </c>
      <c r="G108">
        <v>0</v>
      </c>
      <c r="H108">
        <v>0</v>
      </c>
      <c r="I108">
        <v>0</v>
      </c>
      <c r="J108" s="107"/>
      <c r="K108" s="107"/>
    </row>
    <row r="109" spans="1:11" ht="13.5" customHeight="1" outlineLevel="1" x14ac:dyDescent="0.25">
      <c r="A109" s="107" t="s">
        <v>516</v>
      </c>
      <c r="B109" s="107" t="s">
        <v>45</v>
      </c>
      <c r="C109" s="107" t="s">
        <v>41</v>
      </c>
      <c r="D109" t="s">
        <v>8</v>
      </c>
      <c r="E109">
        <f t="shared" ref="E109:E170" si="18">SUM(F109:I109)</f>
        <v>21276.595740000001</v>
      </c>
      <c r="F109">
        <f>SUM(F110:F114)</f>
        <v>1276.59574</v>
      </c>
      <c r="G109">
        <f>SUM(G110:G114)</f>
        <v>20000</v>
      </c>
      <c r="H109">
        <f>SUM(H110:H114)</f>
        <v>0</v>
      </c>
      <c r="I109">
        <f>SUM(I110:I114)</f>
        <v>0</v>
      </c>
      <c r="J109" s="107" t="s">
        <v>517</v>
      </c>
      <c r="K109" s="107" t="s">
        <v>484</v>
      </c>
    </row>
    <row r="110" spans="1:11" ht="13.5" customHeight="1" outlineLevel="1" x14ac:dyDescent="0.25">
      <c r="A110" s="107"/>
      <c r="B110" s="107"/>
      <c r="C110" s="107"/>
      <c r="D110">
        <v>2021</v>
      </c>
      <c r="E110">
        <f t="shared" si="18"/>
        <v>21276.595740000001</v>
      </c>
      <c r="F110">
        <v>1276.59574</v>
      </c>
      <c r="G110">
        <v>20000</v>
      </c>
      <c r="H110">
        <v>0</v>
      </c>
      <c r="I110">
        <v>0</v>
      </c>
      <c r="J110" s="107"/>
      <c r="K110" s="107"/>
    </row>
    <row r="111" spans="1:11" ht="13.5" customHeight="1" outlineLevel="1" x14ac:dyDescent="0.25">
      <c r="A111" s="107"/>
      <c r="B111" s="107"/>
      <c r="C111" s="107"/>
      <c r="D111">
        <v>2022</v>
      </c>
      <c r="E111">
        <v>0</v>
      </c>
      <c r="F111">
        <v>0</v>
      </c>
      <c r="G111">
        <v>0</v>
      </c>
      <c r="H111">
        <v>0</v>
      </c>
      <c r="I111">
        <v>0</v>
      </c>
      <c r="J111" s="107"/>
      <c r="K111" s="107"/>
    </row>
    <row r="112" spans="1:11" ht="13.5" customHeight="1" outlineLevel="1" x14ac:dyDescent="0.25">
      <c r="A112" s="107"/>
      <c r="B112" s="107"/>
      <c r="C112" s="107"/>
      <c r="D112">
        <v>2023</v>
      </c>
      <c r="E112">
        <v>0</v>
      </c>
      <c r="F112">
        <v>0</v>
      </c>
      <c r="G112">
        <v>0</v>
      </c>
      <c r="H112">
        <v>0</v>
      </c>
      <c r="I112">
        <v>0</v>
      </c>
      <c r="J112" s="107"/>
      <c r="K112" s="107"/>
    </row>
    <row r="113" spans="1:11" ht="13.5" customHeight="1" outlineLevel="1" x14ac:dyDescent="0.25">
      <c r="A113" s="107"/>
      <c r="B113" s="107"/>
      <c r="C113" s="107"/>
      <c r="D113">
        <v>2024</v>
      </c>
      <c r="E113">
        <v>0</v>
      </c>
      <c r="F113">
        <v>0</v>
      </c>
      <c r="G113">
        <v>0</v>
      </c>
      <c r="H113">
        <v>0</v>
      </c>
      <c r="I113">
        <v>0</v>
      </c>
      <c r="J113" s="107"/>
      <c r="K113" s="107"/>
    </row>
    <row r="114" spans="1:11" ht="13.5" customHeight="1" outlineLevel="1" x14ac:dyDescent="0.25">
      <c r="A114" s="107"/>
      <c r="B114" s="107"/>
      <c r="C114" s="107"/>
      <c r="D114">
        <v>2025</v>
      </c>
      <c r="E114">
        <f t="shared" si="18"/>
        <v>0</v>
      </c>
      <c r="F114">
        <v>0</v>
      </c>
      <c r="G114">
        <v>0</v>
      </c>
      <c r="H114">
        <v>0</v>
      </c>
      <c r="I114">
        <v>0</v>
      </c>
      <c r="J114" s="107"/>
      <c r="K114" s="107"/>
    </row>
    <row r="115" spans="1:11" ht="15" customHeight="1" x14ac:dyDescent="0.25">
      <c r="A115" s="107" t="s">
        <v>54</v>
      </c>
      <c r="B115" s="107" t="s">
        <v>55</v>
      </c>
      <c r="C115" s="107" t="s">
        <v>14</v>
      </c>
      <c r="D115" t="s">
        <v>8</v>
      </c>
      <c r="E115">
        <f t="shared" si="18"/>
        <v>3911012.2287600003</v>
      </c>
      <c r="F115">
        <f>SUM(F116:F120)</f>
        <v>3825525.4285500003</v>
      </c>
      <c r="G115">
        <f>SUM(G116:G120)</f>
        <v>72169.100000000006</v>
      </c>
      <c r="H115">
        <f>SUM(H116:H120)</f>
        <v>13317.700210000001</v>
      </c>
      <c r="I115">
        <f>SUM(I116:I120)</f>
        <v>0</v>
      </c>
      <c r="J115" s="107"/>
      <c r="K115" s="107" t="s">
        <v>510</v>
      </c>
    </row>
    <row r="116" spans="1:11" x14ac:dyDescent="0.25">
      <c r="A116" s="107"/>
      <c r="B116" s="107"/>
      <c r="C116" s="107"/>
      <c r="D116">
        <v>2021</v>
      </c>
      <c r="E116">
        <f t="shared" si="18"/>
        <v>916227.94750000001</v>
      </c>
      <c r="F116">
        <f t="shared" ref="F116:I120" si="19">F122+F182+F200</f>
        <v>865530.14728999999</v>
      </c>
      <c r="G116">
        <f t="shared" si="19"/>
        <v>37380.100000000006</v>
      </c>
      <c r="H116">
        <f t="shared" si="19"/>
        <v>13317.700210000001</v>
      </c>
      <c r="I116">
        <f t="shared" si="19"/>
        <v>0</v>
      </c>
      <c r="J116" s="107"/>
      <c r="K116" s="107"/>
    </row>
    <row r="117" spans="1:11" x14ac:dyDescent="0.25">
      <c r="A117" s="107"/>
      <c r="B117" s="107"/>
      <c r="C117" s="107"/>
      <c r="D117">
        <v>2022</v>
      </c>
      <c r="E117">
        <f t="shared" si="18"/>
        <v>761914.50992999994</v>
      </c>
      <c r="F117">
        <f t="shared" si="19"/>
        <v>744925.10992999992</v>
      </c>
      <c r="G117">
        <f t="shared" si="19"/>
        <v>16989.400000000001</v>
      </c>
      <c r="H117">
        <f t="shared" si="19"/>
        <v>0</v>
      </c>
      <c r="I117">
        <f t="shared" si="19"/>
        <v>0</v>
      </c>
      <c r="J117" s="107"/>
      <c r="K117" s="107"/>
    </row>
    <row r="118" spans="1:11" x14ac:dyDescent="0.25">
      <c r="A118" s="107"/>
      <c r="B118" s="107"/>
      <c r="C118" s="107"/>
      <c r="D118">
        <v>2023</v>
      </c>
      <c r="E118">
        <f t="shared" si="18"/>
        <v>757119.03292999999</v>
      </c>
      <c r="F118">
        <f t="shared" si="19"/>
        <v>739319.43293000001</v>
      </c>
      <c r="G118">
        <f t="shared" si="19"/>
        <v>17799.599999999999</v>
      </c>
      <c r="H118">
        <f t="shared" si="19"/>
        <v>0</v>
      </c>
      <c r="I118">
        <f t="shared" si="19"/>
        <v>0</v>
      </c>
      <c r="J118" s="107"/>
      <c r="K118" s="107"/>
    </row>
    <row r="119" spans="1:11" x14ac:dyDescent="0.25">
      <c r="A119" s="107"/>
      <c r="B119" s="107"/>
      <c r="C119" s="107"/>
      <c r="D119">
        <v>2024</v>
      </c>
      <c r="E119">
        <f t="shared" si="18"/>
        <v>739221.28540000005</v>
      </c>
      <c r="F119">
        <f t="shared" si="19"/>
        <v>739221.28540000005</v>
      </c>
      <c r="G119">
        <f t="shared" si="19"/>
        <v>0</v>
      </c>
      <c r="H119">
        <f t="shared" si="19"/>
        <v>0</v>
      </c>
      <c r="I119">
        <f t="shared" si="19"/>
        <v>0</v>
      </c>
      <c r="J119" s="107"/>
      <c r="K119" s="107"/>
    </row>
    <row r="120" spans="1:11" x14ac:dyDescent="0.25">
      <c r="A120" s="107"/>
      <c r="B120" s="107"/>
      <c r="C120" s="107"/>
      <c r="D120">
        <v>2025</v>
      </c>
      <c r="E120">
        <f t="shared" si="18"/>
        <v>736529.45299999998</v>
      </c>
      <c r="F120">
        <f t="shared" si="19"/>
        <v>736529.45299999998</v>
      </c>
      <c r="G120">
        <f t="shared" si="19"/>
        <v>0</v>
      </c>
      <c r="H120">
        <f t="shared" si="19"/>
        <v>0</v>
      </c>
      <c r="I120">
        <f>I126+I186+I204</f>
        <v>0</v>
      </c>
      <c r="J120" s="107"/>
      <c r="K120" s="107"/>
    </row>
    <row r="121" spans="1:11" ht="13.5" customHeight="1" outlineLevel="1" x14ac:dyDescent="0.25">
      <c r="A121" s="107" t="s">
        <v>56</v>
      </c>
      <c r="B121" s="107" t="s">
        <v>518</v>
      </c>
      <c r="C121" s="107" t="s">
        <v>14</v>
      </c>
      <c r="D121" t="s">
        <v>8</v>
      </c>
      <c r="E121">
        <f t="shared" si="18"/>
        <v>3771957.8097000001</v>
      </c>
      <c r="F121">
        <f>SUM(F122:F126)</f>
        <v>3771957.8097000001</v>
      </c>
      <c r="G121">
        <f>SUM(G122:G126)</f>
        <v>0</v>
      </c>
      <c r="H121">
        <f>SUM(H122:H126)</f>
        <v>0</v>
      </c>
      <c r="I121">
        <f>SUM(I122:I126)</f>
        <v>0</v>
      </c>
      <c r="J121" s="107" t="s">
        <v>58</v>
      </c>
      <c r="K121" s="107" t="s">
        <v>486</v>
      </c>
    </row>
    <row r="122" spans="1:11" ht="13.5" customHeight="1" outlineLevel="1" x14ac:dyDescent="0.25">
      <c r="A122" s="107"/>
      <c r="B122" s="107"/>
      <c r="C122" s="107"/>
      <c r="D122">
        <v>2021</v>
      </c>
      <c r="E122">
        <f t="shared" si="18"/>
        <v>820182.60270000005</v>
      </c>
      <c r="F122">
        <f>F128+F134+F140+F146+F152+F158++F164+F170+F176</f>
        <v>820182.60270000005</v>
      </c>
      <c r="G122">
        <f t="shared" ref="F122:I126" si="20">G128+G134+G140+G146+G152+G158++G164+G170+G176</f>
        <v>0</v>
      </c>
      <c r="H122">
        <f t="shared" si="20"/>
        <v>0</v>
      </c>
      <c r="I122">
        <f t="shared" si="20"/>
        <v>0</v>
      </c>
      <c r="J122" s="107"/>
      <c r="K122" s="107"/>
    </row>
    <row r="123" spans="1:11" ht="13.5" customHeight="1" outlineLevel="1" x14ac:dyDescent="0.25">
      <c r="A123" s="107"/>
      <c r="B123" s="107"/>
      <c r="C123" s="107"/>
      <c r="D123">
        <v>2022</v>
      </c>
      <c r="E123">
        <f t="shared" si="18"/>
        <v>742186.84499999997</v>
      </c>
      <c r="F123">
        <f t="shared" si="20"/>
        <v>742186.84499999997</v>
      </c>
      <c r="G123">
        <f t="shared" si="20"/>
        <v>0</v>
      </c>
      <c r="H123">
        <f t="shared" si="20"/>
        <v>0</v>
      </c>
      <c r="I123">
        <f t="shared" si="20"/>
        <v>0</v>
      </c>
      <c r="J123" s="107"/>
      <c r="K123" s="107"/>
    </row>
    <row r="124" spans="1:11" ht="13.5" customHeight="1" outlineLevel="1" x14ac:dyDescent="0.25">
      <c r="A124" s="107"/>
      <c r="B124" s="107"/>
      <c r="C124" s="107"/>
      <c r="D124">
        <v>2023</v>
      </c>
      <c r="E124">
        <f t="shared" si="18"/>
        <v>736529.45299999998</v>
      </c>
      <c r="F124">
        <f t="shared" si="20"/>
        <v>736529.45299999998</v>
      </c>
      <c r="G124">
        <f t="shared" si="20"/>
        <v>0</v>
      </c>
      <c r="H124">
        <f t="shared" si="20"/>
        <v>0</v>
      </c>
      <c r="I124">
        <f t="shared" si="20"/>
        <v>0</v>
      </c>
      <c r="J124" s="107"/>
      <c r="K124" s="107"/>
    </row>
    <row r="125" spans="1:11" ht="13.5" customHeight="1" outlineLevel="1" x14ac:dyDescent="0.25">
      <c r="A125" s="107"/>
      <c r="B125" s="107"/>
      <c r="C125" s="107"/>
      <c r="D125">
        <v>2024</v>
      </c>
      <c r="E125">
        <f t="shared" si="18"/>
        <v>736529.45600000001</v>
      </c>
      <c r="F125">
        <f t="shared" si="20"/>
        <v>736529.45600000001</v>
      </c>
      <c r="G125">
        <f t="shared" si="20"/>
        <v>0</v>
      </c>
      <c r="H125">
        <f t="shared" si="20"/>
        <v>0</v>
      </c>
      <c r="I125">
        <f t="shared" si="20"/>
        <v>0</v>
      </c>
      <c r="J125" s="107"/>
      <c r="K125" s="107"/>
    </row>
    <row r="126" spans="1:11" ht="13.5" customHeight="1" outlineLevel="1" x14ac:dyDescent="0.25">
      <c r="A126" s="107"/>
      <c r="B126" s="107"/>
      <c r="C126" s="107"/>
      <c r="D126">
        <v>2025</v>
      </c>
      <c r="E126">
        <f t="shared" si="18"/>
        <v>736529.45299999998</v>
      </c>
      <c r="F126">
        <f t="shared" si="20"/>
        <v>736529.45299999998</v>
      </c>
      <c r="G126">
        <f t="shared" si="20"/>
        <v>0</v>
      </c>
      <c r="H126">
        <f t="shared" si="20"/>
        <v>0</v>
      </c>
      <c r="I126">
        <f>I132+I138+I144+I150+I156+I162++I168+I174+I180</f>
        <v>0</v>
      </c>
      <c r="J126" s="107"/>
      <c r="K126" s="107"/>
    </row>
    <row r="127" spans="1:11" ht="13.5" customHeight="1" outlineLevel="1" x14ac:dyDescent="0.25">
      <c r="A127" s="107" t="s">
        <v>60</v>
      </c>
      <c r="B127" s="107" t="s">
        <v>61</v>
      </c>
      <c r="C127" s="107" t="s">
        <v>14</v>
      </c>
      <c r="D127" t="s">
        <v>8</v>
      </c>
      <c r="E127">
        <f t="shared" si="18"/>
        <v>10533.2857</v>
      </c>
      <c r="F127">
        <f>SUM(F128:F132)</f>
        <v>10533.2857</v>
      </c>
      <c r="G127">
        <f>SUM(G128:G132)</f>
        <v>0</v>
      </c>
      <c r="H127">
        <f>SUM(H128:H132)</f>
        <v>0</v>
      </c>
      <c r="I127">
        <f>SUM(I128:I132)</f>
        <v>0</v>
      </c>
      <c r="J127" s="107" t="s">
        <v>62</v>
      </c>
      <c r="K127" s="107" t="s">
        <v>484</v>
      </c>
    </row>
    <row r="128" spans="1:11" ht="13.5" customHeight="1" outlineLevel="1" x14ac:dyDescent="0.25">
      <c r="A128" s="107"/>
      <c r="B128" s="107"/>
      <c r="C128" s="107"/>
      <c r="D128">
        <v>2021</v>
      </c>
      <c r="E128">
        <f t="shared" si="18"/>
        <v>2106.6577000000002</v>
      </c>
      <c r="F128">
        <f>2106.6577</f>
        <v>2106.6577000000002</v>
      </c>
      <c r="G128">
        <v>0</v>
      </c>
      <c r="H128">
        <v>0</v>
      </c>
      <c r="I128">
        <v>0</v>
      </c>
      <c r="J128" s="107"/>
      <c r="K128" s="107"/>
    </row>
    <row r="129" spans="1:11" ht="13.5" customHeight="1" outlineLevel="1" x14ac:dyDescent="0.25">
      <c r="A129" s="107"/>
      <c r="B129" s="107"/>
      <c r="C129" s="107"/>
      <c r="D129">
        <v>2022</v>
      </c>
      <c r="E129">
        <f t="shared" si="18"/>
        <v>2106.6570000000002</v>
      </c>
      <c r="F129">
        <v>2106.6570000000002</v>
      </c>
      <c r="G129">
        <v>0</v>
      </c>
      <c r="H129">
        <v>0</v>
      </c>
      <c r="I129">
        <v>0</v>
      </c>
      <c r="J129" s="107"/>
      <c r="K129" s="107"/>
    </row>
    <row r="130" spans="1:11" ht="13.5" customHeight="1" outlineLevel="1" x14ac:dyDescent="0.25">
      <c r="A130" s="107"/>
      <c r="B130" s="107"/>
      <c r="C130" s="107"/>
      <c r="D130">
        <v>2023</v>
      </c>
      <c r="E130">
        <f t="shared" si="18"/>
        <v>2106.6570000000002</v>
      </c>
      <c r="F130">
        <v>2106.6570000000002</v>
      </c>
      <c r="G130">
        <v>0</v>
      </c>
      <c r="H130">
        <v>0</v>
      </c>
      <c r="I130">
        <v>0</v>
      </c>
      <c r="J130" s="107"/>
      <c r="K130" s="107"/>
    </row>
    <row r="131" spans="1:11" ht="13.5" customHeight="1" outlineLevel="1" x14ac:dyDescent="0.25">
      <c r="A131" s="107"/>
      <c r="B131" s="107"/>
      <c r="C131" s="107"/>
      <c r="D131">
        <v>2024</v>
      </c>
      <c r="E131">
        <f t="shared" si="18"/>
        <v>2106.6570000000002</v>
      </c>
      <c r="F131">
        <v>2106.6570000000002</v>
      </c>
      <c r="G131">
        <v>0</v>
      </c>
      <c r="H131">
        <v>0</v>
      </c>
      <c r="I131">
        <v>0</v>
      </c>
      <c r="J131" s="107"/>
      <c r="K131" s="107"/>
    </row>
    <row r="132" spans="1:11" ht="13.5" customHeight="1" outlineLevel="1" x14ac:dyDescent="0.25">
      <c r="A132" s="107"/>
      <c r="B132" s="107"/>
      <c r="C132" s="107"/>
      <c r="D132">
        <v>2025</v>
      </c>
      <c r="E132">
        <f t="shared" si="18"/>
        <v>2106.6570000000002</v>
      </c>
      <c r="F132">
        <v>2106.6570000000002</v>
      </c>
      <c r="G132">
        <f>+G138+G144+G150+G174</f>
        <v>0</v>
      </c>
      <c r="H132">
        <v>0</v>
      </c>
      <c r="I132">
        <v>0</v>
      </c>
      <c r="J132" s="107"/>
      <c r="K132" s="107"/>
    </row>
    <row r="133" spans="1:11" ht="13.5" customHeight="1" outlineLevel="1" x14ac:dyDescent="0.25">
      <c r="A133" s="107" t="s">
        <v>63</v>
      </c>
      <c r="B133" s="107" t="s">
        <v>520</v>
      </c>
      <c r="C133" s="107" t="s">
        <v>14</v>
      </c>
      <c r="D133" t="s">
        <v>8</v>
      </c>
      <c r="E133">
        <f t="shared" si="18"/>
        <v>4792</v>
      </c>
      <c r="F133">
        <f>SUM(F134:F138)</f>
        <v>4792</v>
      </c>
      <c r="G133">
        <f>SUM(G134:G138)</f>
        <v>0</v>
      </c>
      <c r="H133">
        <f>SUM(H134:H138)</f>
        <v>0</v>
      </c>
      <c r="I133">
        <f>SUM(I134:I138)</f>
        <v>0</v>
      </c>
      <c r="J133" s="107" t="s">
        <v>521</v>
      </c>
      <c r="K133" s="107" t="s">
        <v>484</v>
      </c>
    </row>
    <row r="134" spans="1:11" ht="13.5" customHeight="1" outlineLevel="1" x14ac:dyDescent="0.25">
      <c r="A134" s="107"/>
      <c r="B134" s="107"/>
      <c r="C134" s="107"/>
      <c r="D134">
        <v>2021</v>
      </c>
      <c r="E134">
        <f t="shared" si="18"/>
        <v>456</v>
      </c>
      <c r="F134">
        <v>456</v>
      </c>
      <c r="G134">
        <v>0</v>
      </c>
      <c r="H134">
        <v>0</v>
      </c>
      <c r="I134">
        <v>0</v>
      </c>
      <c r="J134" s="107"/>
      <c r="K134" s="107"/>
    </row>
    <row r="135" spans="1:11" ht="13.5" customHeight="1" outlineLevel="1" x14ac:dyDescent="0.25">
      <c r="A135" s="107"/>
      <c r="B135" s="107"/>
      <c r="C135" s="107"/>
      <c r="D135">
        <v>2022</v>
      </c>
      <c r="E135">
        <f t="shared" si="18"/>
        <v>1084</v>
      </c>
      <c r="F135">
        <v>1084</v>
      </c>
      <c r="G135">
        <v>0</v>
      </c>
      <c r="H135">
        <v>0</v>
      </c>
      <c r="I135">
        <v>0</v>
      </c>
      <c r="J135" s="107"/>
      <c r="K135" s="107"/>
    </row>
    <row r="136" spans="1:11" ht="13.5" customHeight="1" outlineLevel="1" x14ac:dyDescent="0.25">
      <c r="A136" s="107"/>
      <c r="B136" s="107"/>
      <c r="C136" s="107"/>
      <c r="D136">
        <v>2023</v>
      </c>
      <c r="E136">
        <f t="shared" si="18"/>
        <v>1084</v>
      </c>
      <c r="F136">
        <v>1084</v>
      </c>
      <c r="G136">
        <v>0</v>
      </c>
      <c r="H136">
        <v>0</v>
      </c>
      <c r="I136">
        <v>0</v>
      </c>
      <c r="J136" s="107"/>
      <c r="K136" s="107"/>
    </row>
    <row r="137" spans="1:11" ht="13.5" customHeight="1" outlineLevel="1" x14ac:dyDescent="0.25">
      <c r="A137" s="107"/>
      <c r="B137" s="107"/>
      <c r="C137" s="107"/>
      <c r="D137">
        <v>2024</v>
      </c>
      <c r="E137">
        <f t="shared" si="18"/>
        <v>1084</v>
      </c>
      <c r="F137">
        <v>1084</v>
      </c>
      <c r="G137">
        <v>0</v>
      </c>
      <c r="H137">
        <v>0</v>
      </c>
      <c r="I137">
        <v>0</v>
      </c>
      <c r="J137" s="107"/>
      <c r="K137" s="107"/>
    </row>
    <row r="138" spans="1:11" ht="13.5" customHeight="1" outlineLevel="1" x14ac:dyDescent="0.25">
      <c r="A138" s="107"/>
      <c r="B138" s="107"/>
      <c r="C138" s="107"/>
      <c r="D138">
        <v>2025</v>
      </c>
      <c r="E138">
        <f t="shared" si="18"/>
        <v>1084</v>
      </c>
      <c r="F138">
        <v>1084</v>
      </c>
      <c r="G138">
        <v>0</v>
      </c>
      <c r="H138">
        <v>0</v>
      </c>
      <c r="I138">
        <v>0</v>
      </c>
      <c r="J138" s="107"/>
      <c r="K138" s="107"/>
    </row>
    <row r="139" spans="1:11" ht="13.5" customHeight="1" outlineLevel="1" x14ac:dyDescent="0.25">
      <c r="A139" s="107" t="s">
        <v>66</v>
      </c>
      <c r="B139" s="107" t="s">
        <v>67</v>
      </c>
      <c r="C139" s="107" t="s">
        <v>14</v>
      </c>
      <c r="D139" t="s">
        <v>8</v>
      </c>
      <c r="E139">
        <f t="shared" si="18"/>
        <v>156.04999999999998</v>
      </c>
      <c r="F139">
        <f>SUM(F140:F144)</f>
        <v>156.04999999999998</v>
      </c>
      <c r="G139">
        <f>SUM(G140:G144)</f>
        <v>0</v>
      </c>
      <c r="H139">
        <f>SUM(H140:H144)</f>
        <v>0</v>
      </c>
      <c r="I139">
        <f>SUM(I140:I144)</f>
        <v>0</v>
      </c>
      <c r="J139" s="107" t="s">
        <v>522</v>
      </c>
      <c r="K139" s="107" t="s">
        <v>69</v>
      </c>
    </row>
    <row r="140" spans="1:11" ht="13.5" customHeight="1" outlineLevel="1" x14ac:dyDescent="0.25">
      <c r="A140" s="107"/>
      <c r="B140" s="107"/>
      <c r="C140" s="107"/>
      <c r="D140">
        <v>2021</v>
      </c>
      <c r="E140">
        <f t="shared" si="18"/>
        <v>27.77</v>
      </c>
      <c r="F140">
        <f>27770/1000</f>
        <v>27.77</v>
      </c>
      <c r="G140">
        <v>0</v>
      </c>
      <c r="H140">
        <v>0</v>
      </c>
      <c r="I140">
        <v>0</v>
      </c>
      <c r="J140" s="107"/>
      <c r="K140" s="107"/>
    </row>
    <row r="141" spans="1:11" ht="13.5" customHeight="1" outlineLevel="1" x14ac:dyDescent="0.25">
      <c r="A141" s="107"/>
      <c r="B141" s="107"/>
      <c r="C141" s="107"/>
      <c r="D141">
        <v>2022</v>
      </c>
      <c r="E141">
        <f t="shared" si="18"/>
        <v>32.07</v>
      </c>
      <c r="F141">
        <v>32.07</v>
      </c>
      <c r="G141">
        <v>0</v>
      </c>
      <c r="H141">
        <v>0</v>
      </c>
      <c r="I141">
        <v>0</v>
      </c>
      <c r="J141" s="107"/>
      <c r="K141" s="107"/>
    </row>
    <row r="142" spans="1:11" ht="13.5" customHeight="1" outlineLevel="1" x14ac:dyDescent="0.25">
      <c r="A142" s="107"/>
      <c r="B142" s="107"/>
      <c r="C142" s="107"/>
      <c r="D142">
        <v>2023</v>
      </c>
      <c r="E142">
        <f t="shared" si="18"/>
        <v>32.07</v>
      </c>
      <c r="F142">
        <v>32.07</v>
      </c>
      <c r="G142">
        <v>0</v>
      </c>
      <c r="H142">
        <v>0</v>
      </c>
      <c r="I142">
        <v>0</v>
      </c>
      <c r="J142" s="107"/>
      <c r="K142" s="107"/>
    </row>
    <row r="143" spans="1:11" ht="13.5" customHeight="1" outlineLevel="1" x14ac:dyDescent="0.25">
      <c r="A143" s="107"/>
      <c r="B143" s="107"/>
      <c r="C143" s="107"/>
      <c r="D143">
        <v>2024</v>
      </c>
      <c r="E143">
        <f t="shared" si="18"/>
        <v>32.07</v>
      </c>
      <c r="F143">
        <v>32.07</v>
      </c>
      <c r="G143">
        <v>0</v>
      </c>
      <c r="H143">
        <v>0</v>
      </c>
      <c r="I143">
        <v>0</v>
      </c>
      <c r="J143" s="107"/>
      <c r="K143" s="107"/>
    </row>
    <row r="144" spans="1:11" ht="13.5" customHeight="1" outlineLevel="1" x14ac:dyDescent="0.25">
      <c r="A144" s="107"/>
      <c r="B144" s="107"/>
      <c r="C144" s="107"/>
      <c r="D144">
        <v>2025</v>
      </c>
      <c r="E144">
        <f t="shared" si="18"/>
        <v>32.07</v>
      </c>
      <c r="F144">
        <v>32.07</v>
      </c>
      <c r="G144">
        <v>0</v>
      </c>
      <c r="H144">
        <v>0</v>
      </c>
      <c r="I144">
        <v>0</v>
      </c>
      <c r="J144" s="107"/>
      <c r="K144" s="107"/>
    </row>
    <row r="145" spans="1:11" ht="13.5" customHeight="1" outlineLevel="1" x14ac:dyDescent="0.25">
      <c r="A145" s="107" t="s">
        <v>70</v>
      </c>
      <c r="B145" s="107" t="s">
        <v>71</v>
      </c>
      <c r="C145" s="107" t="s">
        <v>14</v>
      </c>
      <c r="D145" t="s">
        <v>8</v>
      </c>
      <c r="E145">
        <f t="shared" si="18"/>
        <v>3686615.0469999998</v>
      </c>
      <c r="F145">
        <f>SUM(F146:F150)</f>
        <v>3686615.0469999998</v>
      </c>
      <c r="G145">
        <f>SUM(G146:G150)</f>
        <v>0</v>
      </c>
      <c r="H145">
        <f>SUM(H146:H150)</f>
        <v>0</v>
      </c>
      <c r="I145">
        <f>SUM(I146:I150)</f>
        <v>0</v>
      </c>
      <c r="J145" s="107" t="s">
        <v>72</v>
      </c>
      <c r="K145" s="107" t="s">
        <v>77</v>
      </c>
    </row>
    <row r="146" spans="1:11" ht="13.5" customHeight="1" outlineLevel="1" x14ac:dyDescent="0.25">
      <c r="A146" s="107"/>
      <c r="B146" s="107"/>
      <c r="C146" s="107"/>
      <c r="D146">
        <v>2021</v>
      </c>
      <c r="E146">
        <f t="shared" si="18"/>
        <v>761975.94799999997</v>
      </c>
      <c r="F146">
        <f>753975.948+8000</f>
        <v>761975.94799999997</v>
      </c>
      <c r="G146">
        <v>0</v>
      </c>
      <c r="H146">
        <v>0</v>
      </c>
      <c r="I146">
        <v>0</v>
      </c>
      <c r="J146" s="107"/>
      <c r="K146" s="107"/>
    </row>
    <row r="147" spans="1:11" ht="13.5" customHeight="1" outlineLevel="1" x14ac:dyDescent="0.25">
      <c r="A147" s="107"/>
      <c r="B147" s="107"/>
      <c r="C147" s="107"/>
      <c r="D147">
        <v>2022</v>
      </c>
      <c r="E147">
        <f t="shared" si="18"/>
        <v>735402.81799999997</v>
      </c>
      <c r="F147">
        <v>735402.81799999997</v>
      </c>
      <c r="G147">
        <v>0</v>
      </c>
      <c r="H147">
        <v>0</v>
      </c>
      <c r="I147">
        <v>0</v>
      </c>
      <c r="J147" s="107"/>
      <c r="K147" s="107"/>
    </row>
    <row r="148" spans="1:11" ht="13.5" customHeight="1" outlineLevel="1" x14ac:dyDescent="0.25">
      <c r="A148" s="107"/>
      <c r="B148" s="107"/>
      <c r="C148" s="107"/>
      <c r="D148">
        <v>2023</v>
      </c>
      <c r="E148">
        <f t="shared" si="18"/>
        <v>729745.42599999998</v>
      </c>
      <c r="F148">
        <v>729745.42599999998</v>
      </c>
      <c r="G148">
        <v>0</v>
      </c>
      <c r="H148">
        <v>0</v>
      </c>
      <c r="I148">
        <v>0</v>
      </c>
      <c r="J148" s="107"/>
      <c r="K148" s="107"/>
    </row>
    <row r="149" spans="1:11" ht="13.5" customHeight="1" outlineLevel="1" x14ac:dyDescent="0.25">
      <c r="A149" s="107"/>
      <c r="B149" s="107"/>
      <c r="C149" s="107"/>
      <c r="D149">
        <v>2024</v>
      </c>
      <c r="E149">
        <f t="shared" si="18"/>
        <v>729745.429</v>
      </c>
      <c r="F149">
        <v>729745.429</v>
      </c>
      <c r="G149">
        <v>0</v>
      </c>
      <c r="H149">
        <v>0</v>
      </c>
      <c r="I149">
        <v>0</v>
      </c>
      <c r="J149" s="107"/>
      <c r="K149" s="107"/>
    </row>
    <row r="150" spans="1:11" ht="13.5" customHeight="1" outlineLevel="1" x14ac:dyDescent="0.25">
      <c r="A150" s="107"/>
      <c r="B150" s="107"/>
      <c r="C150" s="107"/>
      <c r="D150">
        <v>2025</v>
      </c>
      <c r="E150">
        <f t="shared" si="18"/>
        <v>729745.42599999998</v>
      </c>
      <c r="F150">
        <v>729745.42599999998</v>
      </c>
      <c r="G150">
        <v>0</v>
      </c>
      <c r="H150">
        <v>0</v>
      </c>
      <c r="I150">
        <v>0</v>
      </c>
      <c r="J150" s="107"/>
      <c r="K150" s="107"/>
    </row>
    <row r="151" spans="1:11" ht="13.5" customHeight="1" outlineLevel="1" x14ac:dyDescent="0.25">
      <c r="A151" s="107" t="s">
        <v>74</v>
      </c>
      <c r="B151" s="107" t="s">
        <v>75</v>
      </c>
      <c r="C151" s="107" t="s">
        <v>14</v>
      </c>
      <c r="D151" t="s">
        <v>8</v>
      </c>
      <c r="E151">
        <f t="shared" si="18"/>
        <v>17806.5</v>
      </c>
      <c r="F151">
        <f>SUM(F152:F156)</f>
        <v>17806.5</v>
      </c>
      <c r="G151">
        <f>SUM(G152:G156)</f>
        <v>0</v>
      </c>
      <c r="H151">
        <f>SUM(H152:H156)</f>
        <v>0</v>
      </c>
      <c r="I151">
        <f>SUM(I152:I156)</f>
        <v>0</v>
      </c>
      <c r="J151" s="107" t="s">
        <v>523</v>
      </c>
      <c r="K151" s="107" t="s">
        <v>77</v>
      </c>
    </row>
    <row r="152" spans="1:11" ht="13.5" customHeight="1" outlineLevel="1" x14ac:dyDescent="0.25">
      <c r="A152" s="107"/>
      <c r="B152" s="107"/>
      <c r="C152" s="107"/>
      <c r="D152">
        <v>2021</v>
      </c>
      <c r="E152">
        <f t="shared" si="18"/>
        <v>3561.3</v>
      </c>
      <c r="F152">
        <v>3561.3</v>
      </c>
      <c r="G152">
        <v>0</v>
      </c>
      <c r="H152">
        <v>0</v>
      </c>
      <c r="I152">
        <v>0</v>
      </c>
      <c r="J152" s="107"/>
      <c r="K152" s="107"/>
    </row>
    <row r="153" spans="1:11" ht="13.5" customHeight="1" outlineLevel="1" x14ac:dyDescent="0.25">
      <c r="A153" s="107"/>
      <c r="B153" s="107"/>
      <c r="C153" s="107"/>
      <c r="D153">
        <v>2022</v>
      </c>
      <c r="E153">
        <f t="shared" si="18"/>
        <v>3561.3</v>
      </c>
      <c r="F153">
        <v>3561.3</v>
      </c>
      <c r="G153">
        <v>0</v>
      </c>
      <c r="H153">
        <v>0</v>
      </c>
      <c r="I153">
        <v>0</v>
      </c>
      <c r="J153" s="107"/>
      <c r="K153" s="107"/>
    </row>
    <row r="154" spans="1:11" ht="13.5" customHeight="1" outlineLevel="1" x14ac:dyDescent="0.25">
      <c r="A154" s="107"/>
      <c r="B154" s="107"/>
      <c r="C154" s="107"/>
      <c r="D154">
        <v>2023</v>
      </c>
      <c r="E154">
        <f t="shared" si="18"/>
        <v>3561.3</v>
      </c>
      <c r="F154">
        <v>3561.3</v>
      </c>
      <c r="G154">
        <v>0</v>
      </c>
      <c r="H154">
        <v>0</v>
      </c>
      <c r="I154">
        <v>0</v>
      </c>
      <c r="J154" s="107"/>
      <c r="K154" s="107"/>
    </row>
    <row r="155" spans="1:11" ht="13.5" customHeight="1" outlineLevel="1" x14ac:dyDescent="0.25">
      <c r="A155" s="107"/>
      <c r="B155" s="107"/>
      <c r="C155" s="107"/>
      <c r="D155">
        <v>2024</v>
      </c>
      <c r="E155">
        <f t="shared" si="18"/>
        <v>3561.3</v>
      </c>
      <c r="F155">
        <v>3561.3</v>
      </c>
      <c r="G155">
        <v>0</v>
      </c>
      <c r="H155">
        <v>0</v>
      </c>
      <c r="I155">
        <v>0</v>
      </c>
      <c r="J155" s="107"/>
      <c r="K155" s="107"/>
    </row>
    <row r="156" spans="1:11" ht="19.5" customHeight="1" outlineLevel="1" x14ac:dyDescent="0.25">
      <c r="A156" s="107"/>
      <c r="B156" s="107"/>
      <c r="C156" s="107"/>
      <c r="D156">
        <v>2025</v>
      </c>
      <c r="E156">
        <f t="shared" si="18"/>
        <v>3561.3</v>
      </c>
      <c r="F156">
        <v>3561.3</v>
      </c>
      <c r="G156">
        <v>0</v>
      </c>
      <c r="H156">
        <v>0</v>
      </c>
      <c r="I156">
        <v>0</v>
      </c>
      <c r="J156" s="107"/>
      <c r="K156" s="107"/>
    </row>
    <row r="157" spans="1:11" ht="14.25" customHeight="1" outlineLevel="1" x14ac:dyDescent="0.25">
      <c r="A157" s="107" t="s">
        <v>524</v>
      </c>
      <c r="B157" s="107" t="s">
        <v>525</v>
      </c>
      <c r="C157" s="107" t="s">
        <v>14</v>
      </c>
      <c r="D157" t="s">
        <v>8</v>
      </c>
      <c r="E157">
        <f t="shared" si="18"/>
        <v>27000</v>
      </c>
      <c r="F157">
        <f>SUM(F158:F162)</f>
        <v>27000</v>
      </c>
      <c r="G157">
        <f>SUM(G158:G162)</f>
        <v>0</v>
      </c>
      <c r="H157">
        <f>SUM(H158:H162)</f>
        <v>0</v>
      </c>
      <c r="I157">
        <f>SUM(I158:I162)</f>
        <v>0</v>
      </c>
      <c r="J157" s="107" t="s">
        <v>526</v>
      </c>
      <c r="K157" s="107" t="s">
        <v>527</v>
      </c>
    </row>
    <row r="158" spans="1:11" ht="13.5" customHeight="1" outlineLevel="1" x14ac:dyDescent="0.25">
      <c r="A158" s="107"/>
      <c r="B158" s="107"/>
      <c r="C158" s="107"/>
      <c r="D158">
        <v>2021</v>
      </c>
      <c r="E158">
        <f t="shared" si="18"/>
        <v>27000</v>
      </c>
      <c r="F158">
        <v>27000</v>
      </c>
      <c r="G158">
        <v>0</v>
      </c>
      <c r="H158">
        <v>0</v>
      </c>
      <c r="I158">
        <v>0</v>
      </c>
      <c r="J158" s="107"/>
      <c r="K158" s="107"/>
    </row>
    <row r="159" spans="1:11" ht="13.5" customHeight="1" outlineLevel="1" x14ac:dyDescent="0.25">
      <c r="A159" s="107"/>
      <c r="B159" s="107"/>
      <c r="C159" s="107"/>
      <c r="D159">
        <v>2022</v>
      </c>
      <c r="G159">
        <v>0</v>
      </c>
      <c r="H159">
        <v>0</v>
      </c>
      <c r="I159">
        <v>0</v>
      </c>
      <c r="J159" s="107"/>
      <c r="K159" s="107"/>
    </row>
    <row r="160" spans="1:11" ht="13.5" customHeight="1" outlineLevel="1" x14ac:dyDescent="0.25">
      <c r="A160" s="107"/>
      <c r="B160" s="107"/>
      <c r="C160" s="107"/>
      <c r="D160">
        <v>2023</v>
      </c>
      <c r="G160">
        <v>0</v>
      </c>
      <c r="H160">
        <v>0</v>
      </c>
      <c r="I160">
        <v>0</v>
      </c>
      <c r="J160" s="107"/>
      <c r="K160" s="107"/>
    </row>
    <row r="161" spans="1:11" ht="13.5" customHeight="1" outlineLevel="1" x14ac:dyDescent="0.25">
      <c r="A161" s="107"/>
      <c r="B161" s="107"/>
      <c r="C161" s="107"/>
      <c r="D161">
        <v>2024</v>
      </c>
      <c r="G161">
        <v>0</v>
      </c>
      <c r="H161">
        <v>0</v>
      </c>
      <c r="I161">
        <v>0</v>
      </c>
      <c r="J161" s="107"/>
      <c r="K161" s="107"/>
    </row>
    <row r="162" spans="1:11" ht="19.5" customHeight="1" outlineLevel="1" x14ac:dyDescent="0.25">
      <c r="A162" s="107"/>
      <c r="B162" s="107"/>
      <c r="C162" s="107"/>
      <c r="D162">
        <v>2025</v>
      </c>
      <c r="G162">
        <v>0</v>
      </c>
      <c r="H162">
        <v>0</v>
      </c>
      <c r="I162">
        <v>0</v>
      </c>
      <c r="J162" s="107"/>
      <c r="K162" s="107"/>
    </row>
    <row r="163" spans="1:11" ht="14.25" customHeight="1" outlineLevel="1" x14ac:dyDescent="0.25">
      <c r="A163" s="107" t="s">
        <v>528</v>
      </c>
      <c r="B163" s="107" t="s">
        <v>529</v>
      </c>
      <c r="C163" s="107" t="s">
        <v>14</v>
      </c>
      <c r="D163" t="s">
        <v>8</v>
      </c>
      <c r="E163">
        <f t="shared" si="18"/>
        <v>24356</v>
      </c>
      <c r="F163">
        <f>SUM(F164:F168)</f>
        <v>24356</v>
      </c>
      <c r="G163">
        <f>SUM(G164:G168)</f>
        <v>0</v>
      </c>
      <c r="H163">
        <f>SUM(H164:H168)</f>
        <v>0</v>
      </c>
      <c r="I163">
        <f>SUM(I164:I168)</f>
        <v>0</v>
      </c>
      <c r="J163" s="107" t="s">
        <v>530</v>
      </c>
      <c r="K163" s="107" t="s">
        <v>92</v>
      </c>
    </row>
    <row r="164" spans="1:11" ht="13.5" customHeight="1" outlineLevel="1" x14ac:dyDescent="0.25">
      <c r="A164" s="107"/>
      <c r="B164" s="107"/>
      <c r="C164" s="107"/>
      <c r="D164">
        <v>2021</v>
      </c>
      <c r="E164">
        <f t="shared" si="18"/>
        <v>24356</v>
      </c>
      <c r="F164">
        <v>24356</v>
      </c>
      <c r="G164">
        <v>0</v>
      </c>
      <c r="H164">
        <v>0</v>
      </c>
      <c r="I164">
        <v>0</v>
      </c>
      <c r="J164" s="107"/>
      <c r="K164" s="107"/>
    </row>
    <row r="165" spans="1:11" ht="13.5" customHeight="1" outlineLevel="1" x14ac:dyDescent="0.25">
      <c r="A165" s="107"/>
      <c r="B165" s="107"/>
      <c r="C165" s="107"/>
      <c r="D165">
        <v>2022</v>
      </c>
      <c r="G165">
        <v>0</v>
      </c>
      <c r="H165">
        <v>0</v>
      </c>
      <c r="I165">
        <v>0</v>
      </c>
      <c r="J165" s="107"/>
      <c r="K165" s="107"/>
    </row>
    <row r="166" spans="1:11" ht="13.5" customHeight="1" outlineLevel="1" x14ac:dyDescent="0.25">
      <c r="A166" s="107"/>
      <c r="B166" s="107"/>
      <c r="C166" s="107"/>
      <c r="D166">
        <v>2023</v>
      </c>
      <c r="G166">
        <v>0</v>
      </c>
      <c r="H166">
        <v>0</v>
      </c>
      <c r="I166">
        <v>0</v>
      </c>
      <c r="J166" s="107"/>
      <c r="K166" s="107"/>
    </row>
    <row r="167" spans="1:11" ht="13.5" customHeight="1" outlineLevel="1" x14ac:dyDescent="0.25">
      <c r="A167" s="107"/>
      <c r="B167" s="107"/>
      <c r="C167" s="107"/>
      <c r="D167">
        <v>2024</v>
      </c>
      <c r="G167">
        <v>0</v>
      </c>
      <c r="H167">
        <v>0</v>
      </c>
      <c r="I167">
        <v>0</v>
      </c>
      <c r="J167" s="107"/>
      <c r="K167" s="107"/>
    </row>
    <row r="168" spans="1:11" ht="19.5" customHeight="1" outlineLevel="1" x14ac:dyDescent="0.25">
      <c r="A168" s="107"/>
      <c r="B168" s="107"/>
      <c r="C168" s="107"/>
      <c r="D168">
        <v>2025</v>
      </c>
      <c r="G168">
        <v>0</v>
      </c>
      <c r="H168">
        <v>0</v>
      </c>
      <c r="I168">
        <v>0</v>
      </c>
      <c r="J168" s="107"/>
      <c r="K168" s="107"/>
    </row>
    <row r="169" spans="1:11" ht="14.25" customHeight="1" outlineLevel="1" x14ac:dyDescent="0.25">
      <c r="A169" s="107" t="s">
        <v>532</v>
      </c>
      <c r="B169" s="107" t="s">
        <v>533</v>
      </c>
      <c r="C169" s="107" t="s">
        <v>14</v>
      </c>
      <c r="D169" t="s">
        <v>8</v>
      </c>
      <c r="E169">
        <f t="shared" si="18"/>
        <v>100</v>
      </c>
      <c r="F169">
        <f>SUM(F170:F174)</f>
        <v>100</v>
      </c>
      <c r="G169">
        <f>SUM(G170:G174)</f>
        <v>0</v>
      </c>
      <c r="H169">
        <f>SUM(H170:H174)</f>
        <v>0</v>
      </c>
      <c r="I169">
        <f>SUM(I170:I174)</f>
        <v>0</v>
      </c>
      <c r="J169" s="107" t="s">
        <v>534</v>
      </c>
      <c r="K169" s="107" t="s">
        <v>92</v>
      </c>
    </row>
    <row r="170" spans="1:11" ht="13.5" customHeight="1" outlineLevel="1" x14ac:dyDescent="0.25">
      <c r="A170" s="107"/>
      <c r="B170" s="107"/>
      <c r="C170" s="107"/>
      <c r="D170">
        <v>2021</v>
      </c>
      <c r="E170">
        <f t="shared" si="18"/>
        <v>100</v>
      </c>
      <c r="F170">
        <v>100</v>
      </c>
      <c r="G170">
        <v>0</v>
      </c>
      <c r="H170">
        <v>0</v>
      </c>
      <c r="I170">
        <v>0</v>
      </c>
      <c r="J170" s="107"/>
      <c r="K170" s="107"/>
    </row>
    <row r="171" spans="1:11" ht="13.5" customHeight="1" outlineLevel="1" x14ac:dyDescent="0.25">
      <c r="A171" s="107"/>
      <c r="B171" s="107"/>
      <c r="C171" s="107"/>
      <c r="D171">
        <v>2022</v>
      </c>
      <c r="G171">
        <v>0</v>
      </c>
      <c r="H171">
        <v>0</v>
      </c>
      <c r="I171">
        <v>0</v>
      </c>
      <c r="J171" s="107"/>
      <c r="K171" s="107"/>
    </row>
    <row r="172" spans="1:11" ht="13.5" customHeight="1" outlineLevel="1" x14ac:dyDescent="0.25">
      <c r="A172" s="107"/>
      <c r="B172" s="107"/>
      <c r="C172" s="107"/>
      <c r="D172">
        <v>2023</v>
      </c>
      <c r="G172">
        <v>0</v>
      </c>
      <c r="H172">
        <v>0</v>
      </c>
      <c r="I172">
        <v>0</v>
      </c>
      <c r="J172" s="107"/>
      <c r="K172" s="107"/>
    </row>
    <row r="173" spans="1:11" ht="13.5" customHeight="1" outlineLevel="1" x14ac:dyDescent="0.25">
      <c r="A173" s="107"/>
      <c r="B173" s="107"/>
      <c r="C173" s="107"/>
      <c r="D173">
        <v>2024</v>
      </c>
      <c r="G173">
        <v>0</v>
      </c>
      <c r="H173">
        <v>0</v>
      </c>
      <c r="I173">
        <v>0</v>
      </c>
      <c r="J173" s="107"/>
      <c r="K173" s="107"/>
    </row>
    <row r="174" spans="1:11" ht="19.5" customHeight="1" outlineLevel="1" x14ac:dyDescent="0.25">
      <c r="A174" s="107"/>
      <c r="B174" s="107"/>
      <c r="C174" s="107"/>
      <c r="D174">
        <v>2025</v>
      </c>
      <c r="G174">
        <v>0</v>
      </c>
      <c r="H174">
        <v>0</v>
      </c>
      <c r="I174">
        <v>0</v>
      </c>
      <c r="J174" s="107"/>
      <c r="K174" s="107"/>
    </row>
    <row r="175" spans="1:11" ht="16.5" customHeight="1" outlineLevel="1" x14ac:dyDescent="0.25">
      <c r="A175" s="107" t="s">
        <v>535</v>
      </c>
      <c r="B175" s="107" t="s">
        <v>536</v>
      </c>
      <c r="C175" s="107" t="s">
        <v>14</v>
      </c>
      <c r="D175" t="s">
        <v>8</v>
      </c>
      <c r="E175">
        <f t="shared" ref="E175:E186" si="21">SUM(F175:I175)</f>
        <v>598.92700000000002</v>
      </c>
      <c r="F175">
        <f>SUM(F176:F180)</f>
        <v>598.92700000000002</v>
      </c>
      <c r="G175">
        <f>SUM(G176:G180)</f>
        <v>0</v>
      </c>
      <c r="H175">
        <f>SUM(H176:H180)</f>
        <v>0</v>
      </c>
      <c r="I175">
        <f>SUM(I176:I180)</f>
        <v>0</v>
      </c>
      <c r="J175" s="107" t="s">
        <v>537</v>
      </c>
      <c r="K175" s="107" t="s">
        <v>92</v>
      </c>
    </row>
    <row r="176" spans="1:11" ht="16.5" customHeight="1" outlineLevel="1" x14ac:dyDescent="0.25">
      <c r="A176" s="107"/>
      <c r="B176" s="107"/>
      <c r="C176" s="107"/>
      <c r="D176">
        <v>2021</v>
      </c>
      <c r="E176">
        <f t="shared" si="21"/>
        <v>598.92700000000002</v>
      </c>
      <c r="F176">
        <v>598.92700000000002</v>
      </c>
      <c r="G176">
        <v>0</v>
      </c>
      <c r="H176">
        <v>0</v>
      </c>
      <c r="I176">
        <v>0</v>
      </c>
      <c r="J176" s="107"/>
      <c r="K176" s="107"/>
    </row>
    <row r="177" spans="1:11" ht="16.5" customHeight="1" outlineLevel="1" x14ac:dyDescent="0.25">
      <c r="A177" s="107"/>
      <c r="B177" s="107"/>
      <c r="C177" s="107"/>
      <c r="D177">
        <v>2022</v>
      </c>
      <c r="E177">
        <f t="shared" si="21"/>
        <v>0</v>
      </c>
      <c r="F177">
        <v>0</v>
      </c>
      <c r="G177">
        <v>0</v>
      </c>
      <c r="H177">
        <v>0</v>
      </c>
      <c r="I177">
        <v>0</v>
      </c>
      <c r="J177" s="107"/>
      <c r="K177" s="107"/>
    </row>
    <row r="178" spans="1:11" ht="16.5" customHeight="1" outlineLevel="1" x14ac:dyDescent="0.25">
      <c r="A178" s="107"/>
      <c r="B178" s="107"/>
      <c r="C178" s="107"/>
      <c r="D178">
        <v>2023</v>
      </c>
      <c r="E178">
        <f t="shared" si="21"/>
        <v>0</v>
      </c>
      <c r="F178">
        <v>0</v>
      </c>
      <c r="G178">
        <v>0</v>
      </c>
      <c r="H178">
        <v>0</v>
      </c>
      <c r="I178">
        <v>0</v>
      </c>
      <c r="J178" s="107"/>
      <c r="K178" s="107"/>
    </row>
    <row r="179" spans="1:11" ht="16.5" customHeight="1" outlineLevel="1" x14ac:dyDescent="0.25">
      <c r="A179" s="107"/>
      <c r="B179" s="107"/>
      <c r="C179" s="107"/>
      <c r="D179">
        <v>2024</v>
      </c>
      <c r="E179">
        <f t="shared" si="21"/>
        <v>0</v>
      </c>
      <c r="F179">
        <v>0</v>
      </c>
      <c r="G179">
        <v>0</v>
      </c>
      <c r="H179">
        <v>0</v>
      </c>
      <c r="I179">
        <v>0</v>
      </c>
      <c r="J179" s="107"/>
      <c r="K179" s="107"/>
    </row>
    <row r="180" spans="1:11" ht="16.5" customHeight="1" outlineLevel="1" x14ac:dyDescent="0.25">
      <c r="A180" s="107"/>
      <c r="B180" s="107"/>
      <c r="C180" s="107"/>
      <c r="D180">
        <v>2025</v>
      </c>
      <c r="E180">
        <f t="shared" si="21"/>
        <v>0</v>
      </c>
      <c r="F180">
        <v>0</v>
      </c>
      <c r="G180">
        <v>0</v>
      </c>
      <c r="H180">
        <v>0</v>
      </c>
      <c r="I180">
        <v>0</v>
      </c>
      <c r="J180" s="107"/>
      <c r="K180" s="107"/>
    </row>
    <row r="181" spans="1:11" ht="20.100000000000001" customHeight="1" outlineLevel="1" x14ac:dyDescent="0.25">
      <c r="A181" s="107" t="s">
        <v>78</v>
      </c>
      <c r="B181" s="107" t="s">
        <v>79</v>
      </c>
      <c r="C181" s="107" t="s">
        <v>14</v>
      </c>
      <c r="D181" t="s">
        <v>8</v>
      </c>
      <c r="E181">
        <f t="shared" si="21"/>
        <v>54717.700210000003</v>
      </c>
      <c r="F181">
        <f>SUM(F182:F186)</f>
        <v>41400</v>
      </c>
      <c r="G181">
        <f>SUM(G182:G186)</f>
        <v>0</v>
      </c>
      <c r="H181">
        <f>SUM(H182:H186)</f>
        <v>13317.700210000001</v>
      </c>
      <c r="I181">
        <f>SUM(I182:I186)</f>
        <v>0</v>
      </c>
      <c r="J181" s="107" t="s">
        <v>80</v>
      </c>
      <c r="K181" s="107" t="s">
        <v>1056</v>
      </c>
    </row>
    <row r="182" spans="1:11" ht="20.100000000000001" customHeight="1" outlineLevel="1" x14ac:dyDescent="0.25">
      <c r="A182" s="107"/>
      <c r="B182" s="107"/>
      <c r="C182" s="107"/>
      <c r="D182">
        <v>2021</v>
      </c>
      <c r="E182">
        <f t="shared" si="21"/>
        <v>54717.700210000003</v>
      </c>
      <c r="F182">
        <f t="shared" ref="F182:I186" si="22">F194+F188</f>
        <v>41400</v>
      </c>
      <c r="G182">
        <f t="shared" si="22"/>
        <v>0</v>
      </c>
      <c r="H182">
        <f t="shared" si="22"/>
        <v>13317.700210000001</v>
      </c>
      <c r="I182">
        <f t="shared" si="22"/>
        <v>0</v>
      </c>
      <c r="J182" s="107"/>
      <c r="K182" s="107"/>
    </row>
    <row r="183" spans="1:11" ht="20.100000000000001" customHeight="1" outlineLevel="1" x14ac:dyDescent="0.25">
      <c r="A183" s="107"/>
      <c r="B183" s="107"/>
      <c r="C183" s="107"/>
      <c r="D183">
        <v>2022</v>
      </c>
      <c r="E183">
        <f t="shared" si="21"/>
        <v>0</v>
      </c>
      <c r="F183">
        <f t="shared" si="22"/>
        <v>0</v>
      </c>
      <c r="G183">
        <f t="shared" si="22"/>
        <v>0</v>
      </c>
      <c r="H183">
        <f t="shared" si="22"/>
        <v>0</v>
      </c>
      <c r="I183">
        <f t="shared" si="22"/>
        <v>0</v>
      </c>
      <c r="J183" s="107"/>
      <c r="K183" s="107"/>
    </row>
    <row r="184" spans="1:11" ht="20.100000000000001" customHeight="1" outlineLevel="1" x14ac:dyDescent="0.25">
      <c r="A184" s="107"/>
      <c r="B184" s="107"/>
      <c r="C184" s="107"/>
      <c r="D184">
        <v>2023</v>
      </c>
      <c r="E184">
        <f t="shared" si="21"/>
        <v>0</v>
      </c>
      <c r="F184">
        <f t="shared" si="22"/>
        <v>0</v>
      </c>
      <c r="G184">
        <f t="shared" si="22"/>
        <v>0</v>
      </c>
      <c r="H184">
        <f t="shared" si="22"/>
        <v>0</v>
      </c>
      <c r="I184">
        <f t="shared" si="22"/>
        <v>0</v>
      </c>
      <c r="J184" s="107"/>
      <c r="K184" s="107"/>
    </row>
    <row r="185" spans="1:11" ht="20.100000000000001" customHeight="1" outlineLevel="1" x14ac:dyDescent="0.25">
      <c r="A185" s="107"/>
      <c r="B185" s="107"/>
      <c r="C185" s="107"/>
      <c r="D185">
        <v>2024</v>
      </c>
      <c r="E185">
        <f t="shared" si="21"/>
        <v>0</v>
      </c>
      <c r="F185">
        <f t="shared" si="22"/>
        <v>0</v>
      </c>
      <c r="G185">
        <f t="shared" si="22"/>
        <v>0</v>
      </c>
      <c r="H185">
        <f t="shared" si="22"/>
        <v>0</v>
      </c>
      <c r="I185">
        <f t="shared" si="22"/>
        <v>0</v>
      </c>
      <c r="J185" s="107"/>
      <c r="K185" s="107"/>
    </row>
    <row r="186" spans="1:11" ht="20.100000000000001" customHeight="1" outlineLevel="1" x14ac:dyDescent="0.25">
      <c r="A186" s="107"/>
      <c r="B186" s="107"/>
      <c r="C186" s="107"/>
      <c r="D186">
        <v>2025</v>
      </c>
      <c r="E186">
        <f t="shared" si="21"/>
        <v>0</v>
      </c>
      <c r="F186">
        <f t="shared" si="22"/>
        <v>0</v>
      </c>
      <c r="G186">
        <f t="shared" si="22"/>
        <v>0</v>
      </c>
      <c r="H186">
        <f t="shared" si="22"/>
        <v>0</v>
      </c>
      <c r="I186">
        <f t="shared" si="22"/>
        <v>0</v>
      </c>
      <c r="J186" s="107"/>
      <c r="K186" s="107"/>
    </row>
    <row r="187" spans="1:11" ht="18.75" customHeight="1" outlineLevel="1" x14ac:dyDescent="0.25">
      <c r="A187" s="107" t="s">
        <v>81</v>
      </c>
      <c r="B187" s="107" t="s">
        <v>82</v>
      </c>
      <c r="C187" s="107">
        <v>2021</v>
      </c>
      <c r="D187" t="s">
        <v>8</v>
      </c>
      <c r="E187">
        <f>SUM(E188:E192)</f>
        <v>9800.9188400000003</v>
      </c>
      <c r="F187">
        <f>SUM(F188:F192)</f>
        <v>6400</v>
      </c>
      <c r="G187">
        <f>SUM(G188:G192)</f>
        <v>0</v>
      </c>
      <c r="H187">
        <f>SUM(H188:H192)</f>
        <v>3400.9188399999998</v>
      </c>
      <c r="I187">
        <f>SUM(I188:I192)</f>
        <v>0</v>
      </c>
      <c r="J187" s="107" t="s">
        <v>83</v>
      </c>
      <c r="K187" s="107" t="s">
        <v>484</v>
      </c>
    </row>
    <row r="188" spans="1:11" ht="18.75" customHeight="1" outlineLevel="1" x14ac:dyDescent="0.25">
      <c r="A188" s="107"/>
      <c r="B188" s="107"/>
      <c r="C188" s="107"/>
      <c r="D188">
        <v>2021</v>
      </c>
      <c r="E188">
        <f t="shared" ref="E188:E192" si="23">SUM(F188:I188)</f>
        <v>9800.9188400000003</v>
      </c>
      <c r="F188">
        <v>6400</v>
      </c>
      <c r="G188">
        <v>0</v>
      </c>
      <c r="H188">
        <v>3400.9188399999998</v>
      </c>
      <c r="I188">
        <v>0</v>
      </c>
      <c r="J188" s="107"/>
      <c r="K188" s="107"/>
    </row>
    <row r="189" spans="1:11" ht="18.75" customHeight="1" outlineLevel="1" x14ac:dyDescent="0.25">
      <c r="A189" s="107"/>
      <c r="B189" s="107"/>
      <c r="C189" s="107"/>
      <c r="D189">
        <v>2022</v>
      </c>
      <c r="E189">
        <f t="shared" si="23"/>
        <v>0</v>
      </c>
      <c r="F189">
        <v>0</v>
      </c>
      <c r="G189">
        <v>0</v>
      </c>
      <c r="H189">
        <v>0</v>
      </c>
      <c r="I189">
        <v>0</v>
      </c>
      <c r="J189" s="107"/>
      <c r="K189" s="107"/>
    </row>
    <row r="190" spans="1:11" ht="18.75" customHeight="1" outlineLevel="1" x14ac:dyDescent="0.25">
      <c r="A190" s="107"/>
      <c r="B190" s="107"/>
      <c r="C190" s="107"/>
      <c r="D190">
        <v>2023</v>
      </c>
      <c r="E190">
        <f t="shared" si="23"/>
        <v>0</v>
      </c>
      <c r="F190">
        <v>0</v>
      </c>
      <c r="G190">
        <v>0</v>
      </c>
      <c r="H190">
        <v>0</v>
      </c>
      <c r="I190">
        <v>0</v>
      </c>
      <c r="J190" s="107"/>
      <c r="K190" s="107"/>
    </row>
    <row r="191" spans="1:11" ht="18.75" customHeight="1" outlineLevel="1" x14ac:dyDescent="0.25">
      <c r="A191" s="107"/>
      <c r="B191" s="107"/>
      <c r="C191" s="107"/>
      <c r="D191">
        <v>2024</v>
      </c>
      <c r="E191">
        <f t="shared" si="23"/>
        <v>0</v>
      </c>
      <c r="F191">
        <v>0</v>
      </c>
      <c r="G191">
        <v>0</v>
      </c>
      <c r="H191">
        <v>0</v>
      </c>
      <c r="I191">
        <v>0</v>
      </c>
      <c r="J191" s="107"/>
      <c r="K191" s="107"/>
    </row>
    <row r="192" spans="1:11" ht="18.75" customHeight="1" outlineLevel="1" x14ac:dyDescent="0.25">
      <c r="A192" s="107"/>
      <c r="B192" s="107"/>
      <c r="C192" s="107"/>
      <c r="D192">
        <v>2025</v>
      </c>
      <c r="E192">
        <f t="shared" si="23"/>
        <v>0</v>
      </c>
      <c r="F192">
        <v>0</v>
      </c>
      <c r="G192">
        <v>0</v>
      </c>
      <c r="H192">
        <v>0</v>
      </c>
      <c r="I192">
        <v>0</v>
      </c>
      <c r="J192" s="107"/>
      <c r="K192" s="107"/>
    </row>
    <row r="193" spans="1:11" ht="17.100000000000001" customHeight="1" outlineLevel="1" x14ac:dyDescent="0.25">
      <c r="A193" s="107" t="s">
        <v>540</v>
      </c>
      <c r="B193" s="107" t="s">
        <v>541</v>
      </c>
      <c r="C193" s="107">
        <v>2021</v>
      </c>
      <c r="D193" t="s">
        <v>8</v>
      </c>
      <c r="E193">
        <f>SUM(E194:E198)</f>
        <v>44916.781369999997</v>
      </c>
      <c r="F193">
        <f>SUM(F194:F198)</f>
        <v>35000</v>
      </c>
      <c r="G193">
        <f>SUM(G194:G198)</f>
        <v>0</v>
      </c>
      <c r="H193">
        <f>SUM(H194:H198)</f>
        <v>9916.7813700000006</v>
      </c>
      <c r="I193">
        <f>SUM(I194:I198)</f>
        <v>0</v>
      </c>
      <c r="J193" s="107" t="s">
        <v>542</v>
      </c>
      <c r="K193" s="107" t="s">
        <v>484</v>
      </c>
    </row>
    <row r="194" spans="1:11" ht="17.100000000000001" customHeight="1" outlineLevel="1" x14ac:dyDescent="0.25">
      <c r="A194" s="107"/>
      <c r="B194" s="107"/>
      <c r="C194" s="107"/>
      <c r="D194">
        <v>2021</v>
      </c>
      <c r="E194">
        <f t="shared" ref="E194:E228" si="24">SUM(F194:I194)</f>
        <v>44916.781369999997</v>
      </c>
      <c r="F194">
        <v>35000</v>
      </c>
      <c r="G194">
        <v>0</v>
      </c>
      <c r="H194">
        <v>9916.7813700000006</v>
      </c>
      <c r="I194">
        <v>0</v>
      </c>
      <c r="J194" s="107"/>
      <c r="K194" s="107"/>
    </row>
    <row r="195" spans="1:11" ht="17.100000000000001" customHeight="1" outlineLevel="1" x14ac:dyDescent="0.25">
      <c r="A195" s="107"/>
      <c r="B195" s="107"/>
      <c r="C195" s="107"/>
      <c r="D195">
        <v>2022</v>
      </c>
      <c r="E195">
        <f t="shared" si="24"/>
        <v>0</v>
      </c>
      <c r="F195">
        <v>0</v>
      </c>
      <c r="G195">
        <v>0</v>
      </c>
      <c r="H195">
        <v>0</v>
      </c>
      <c r="I195">
        <v>0</v>
      </c>
      <c r="J195" s="107"/>
      <c r="K195" s="107"/>
    </row>
    <row r="196" spans="1:11" ht="17.100000000000001" customHeight="1" outlineLevel="1" x14ac:dyDescent="0.25">
      <c r="A196" s="107"/>
      <c r="B196" s="107"/>
      <c r="C196" s="107"/>
      <c r="D196">
        <v>2023</v>
      </c>
      <c r="E196">
        <f t="shared" si="24"/>
        <v>0</v>
      </c>
      <c r="F196">
        <v>0</v>
      </c>
      <c r="G196">
        <v>0</v>
      </c>
      <c r="H196">
        <v>0</v>
      </c>
      <c r="I196">
        <v>0</v>
      </c>
      <c r="J196" s="107"/>
      <c r="K196" s="107"/>
    </row>
    <row r="197" spans="1:11" ht="17.100000000000001" customHeight="1" outlineLevel="1" x14ac:dyDescent="0.25">
      <c r="A197" s="107"/>
      <c r="B197" s="107"/>
      <c r="C197" s="107"/>
      <c r="D197">
        <v>2024</v>
      </c>
      <c r="E197">
        <f t="shared" si="24"/>
        <v>0</v>
      </c>
      <c r="F197">
        <v>0</v>
      </c>
      <c r="G197">
        <v>0</v>
      </c>
      <c r="H197">
        <v>0</v>
      </c>
      <c r="I197">
        <v>0</v>
      </c>
      <c r="J197" s="107"/>
      <c r="K197" s="107"/>
    </row>
    <row r="198" spans="1:11" ht="17.100000000000001" customHeight="1" outlineLevel="1" x14ac:dyDescent="0.25">
      <c r="A198" s="107"/>
      <c r="B198" s="107"/>
      <c r="C198" s="107"/>
      <c r="D198">
        <v>2025</v>
      </c>
      <c r="E198">
        <f t="shared" si="24"/>
        <v>0</v>
      </c>
      <c r="F198">
        <v>0</v>
      </c>
      <c r="G198">
        <v>0</v>
      </c>
      <c r="H198">
        <v>0</v>
      </c>
      <c r="I198">
        <v>0</v>
      </c>
      <c r="J198" s="107"/>
      <c r="K198" s="107"/>
    </row>
    <row r="199" spans="1:11" ht="20.100000000000001" customHeight="1" outlineLevel="1" x14ac:dyDescent="0.25">
      <c r="A199" s="107" t="s">
        <v>84</v>
      </c>
      <c r="B199" s="107" t="s">
        <v>40</v>
      </c>
      <c r="C199" s="107" t="s">
        <v>41</v>
      </c>
      <c r="D199" t="s">
        <v>8</v>
      </c>
      <c r="E199">
        <f t="shared" si="24"/>
        <v>84336.718850000005</v>
      </c>
      <c r="F199">
        <f>SUM(F200:F204)</f>
        <v>12167.618850000001</v>
      </c>
      <c r="G199">
        <f>SUM(G200:G204)</f>
        <v>72169.100000000006</v>
      </c>
      <c r="H199">
        <f>SUM(H200:H204)</f>
        <v>0</v>
      </c>
      <c r="I199">
        <f>SUM(I200:I204)</f>
        <v>0</v>
      </c>
      <c r="J199" s="107" t="s">
        <v>85</v>
      </c>
      <c r="K199" s="107" t="s">
        <v>486</v>
      </c>
    </row>
    <row r="200" spans="1:11" ht="20.100000000000001" customHeight="1" outlineLevel="1" x14ac:dyDescent="0.25">
      <c r="A200" s="107"/>
      <c r="B200" s="107"/>
      <c r="C200" s="107"/>
      <c r="D200">
        <v>2021</v>
      </c>
      <c r="E200">
        <f t="shared" si="24"/>
        <v>41327.644590000004</v>
      </c>
      <c r="F200">
        <f t="shared" ref="F200:F203" si="25">F206+F212</f>
        <v>3947.54459</v>
      </c>
      <c r="G200">
        <f t="shared" ref="F200:I204" si="26">G206+G212</f>
        <v>37380.100000000006</v>
      </c>
      <c r="H200">
        <f t="shared" si="26"/>
        <v>0</v>
      </c>
      <c r="I200">
        <f t="shared" si="26"/>
        <v>0</v>
      </c>
      <c r="J200" s="107"/>
      <c r="K200" s="107"/>
    </row>
    <row r="201" spans="1:11" ht="20.100000000000001" customHeight="1" outlineLevel="1" x14ac:dyDescent="0.25">
      <c r="A201" s="107"/>
      <c r="B201" s="107"/>
      <c r="C201" s="107"/>
      <c r="D201">
        <v>2022</v>
      </c>
      <c r="E201">
        <f t="shared" si="24"/>
        <v>19727.664930000003</v>
      </c>
      <c r="F201">
        <f t="shared" si="25"/>
        <v>2738.2649299999998</v>
      </c>
      <c r="G201">
        <f t="shared" si="26"/>
        <v>16989.400000000001</v>
      </c>
      <c r="H201">
        <f t="shared" si="26"/>
        <v>0</v>
      </c>
      <c r="I201">
        <f t="shared" si="26"/>
        <v>0</v>
      </c>
      <c r="J201" s="107"/>
      <c r="K201" s="107"/>
    </row>
    <row r="202" spans="1:11" ht="20.100000000000001" customHeight="1" outlineLevel="1" x14ac:dyDescent="0.25">
      <c r="A202" s="107"/>
      <c r="B202" s="107"/>
      <c r="C202" s="107"/>
      <c r="D202">
        <v>2023</v>
      </c>
      <c r="E202">
        <f t="shared" si="24"/>
        <v>20589.57993</v>
      </c>
      <c r="F202">
        <f t="shared" si="25"/>
        <v>2789.97993</v>
      </c>
      <c r="G202">
        <f t="shared" si="26"/>
        <v>17799.599999999999</v>
      </c>
      <c r="H202">
        <f t="shared" si="26"/>
        <v>0</v>
      </c>
      <c r="I202">
        <f t="shared" si="26"/>
        <v>0</v>
      </c>
      <c r="J202" s="107"/>
      <c r="K202" s="107"/>
    </row>
    <row r="203" spans="1:11" ht="20.100000000000001" customHeight="1" outlineLevel="1" x14ac:dyDescent="0.25">
      <c r="A203" s="107"/>
      <c r="B203" s="107"/>
      <c r="C203" s="107"/>
      <c r="D203">
        <v>2024</v>
      </c>
      <c r="E203">
        <f t="shared" si="24"/>
        <v>2691.8294000000001</v>
      </c>
      <c r="F203">
        <f t="shared" si="25"/>
        <v>2691.8294000000001</v>
      </c>
      <c r="G203">
        <f t="shared" si="26"/>
        <v>0</v>
      </c>
      <c r="H203">
        <f t="shared" si="26"/>
        <v>0</v>
      </c>
      <c r="I203">
        <f t="shared" si="26"/>
        <v>0</v>
      </c>
      <c r="J203" s="107"/>
      <c r="K203" s="107"/>
    </row>
    <row r="204" spans="1:11" ht="20.100000000000001" customHeight="1" outlineLevel="1" x14ac:dyDescent="0.25">
      <c r="A204" s="107"/>
      <c r="B204" s="107"/>
      <c r="C204" s="107"/>
      <c r="D204">
        <v>2025</v>
      </c>
      <c r="E204">
        <f t="shared" si="24"/>
        <v>0</v>
      </c>
      <c r="F204">
        <f t="shared" si="26"/>
        <v>0</v>
      </c>
      <c r="G204">
        <f t="shared" si="26"/>
        <v>0</v>
      </c>
      <c r="H204">
        <f t="shared" si="26"/>
        <v>0</v>
      </c>
      <c r="I204">
        <f>I210+I216</f>
        <v>0</v>
      </c>
      <c r="J204" s="107"/>
      <c r="K204" s="107"/>
    </row>
    <row r="205" spans="1:11" ht="15.75" customHeight="1" outlineLevel="1" x14ac:dyDescent="0.25">
      <c r="A205" s="107" t="s">
        <v>86</v>
      </c>
      <c r="B205" s="107" t="s">
        <v>87</v>
      </c>
      <c r="C205" s="107" t="s">
        <v>41</v>
      </c>
      <c r="D205" t="s">
        <v>8</v>
      </c>
      <c r="E205">
        <f t="shared" si="24"/>
        <v>62476.141380000001</v>
      </c>
      <c r="F205">
        <f>SUM(F206:F210)</f>
        <v>4436.3413799999998</v>
      </c>
      <c r="G205">
        <f>SUM(G206:G210)</f>
        <v>58039.8</v>
      </c>
      <c r="H205">
        <f>SUM(H206:H210)</f>
        <v>0</v>
      </c>
      <c r="I205">
        <f>SUM(I206:I210)</f>
        <v>0</v>
      </c>
      <c r="J205" s="107" t="s">
        <v>88</v>
      </c>
      <c r="K205" s="107" t="s">
        <v>1106</v>
      </c>
    </row>
    <row r="206" spans="1:11" outlineLevel="1" x14ac:dyDescent="0.25">
      <c r="A206" s="107"/>
      <c r="B206" s="107"/>
      <c r="C206" s="107"/>
      <c r="D206">
        <v>2021</v>
      </c>
      <c r="E206">
        <f t="shared" si="24"/>
        <v>34945.531910000005</v>
      </c>
      <c r="F206">
        <f>(1595744.68+500987.23)/1000</f>
        <v>2096.73191</v>
      </c>
      <c r="G206">
        <f>25000+7848.8</f>
        <v>32848.800000000003</v>
      </c>
      <c r="H206">
        <v>0</v>
      </c>
      <c r="I206">
        <v>0</v>
      </c>
      <c r="J206" s="107"/>
      <c r="K206" s="107"/>
    </row>
    <row r="207" spans="1:11" outlineLevel="1" x14ac:dyDescent="0.25">
      <c r="A207" s="107"/>
      <c r="B207" s="107"/>
      <c r="C207" s="107"/>
      <c r="D207">
        <v>2022</v>
      </c>
      <c r="E207">
        <f t="shared" si="24"/>
        <v>12968.51</v>
      </c>
      <c r="F207">
        <v>778.11</v>
      </c>
      <c r="G207">
        <v>12190.4</v>
      </c>
      <c r="H207">
        <v>0</v>
      </c>
      <c r="I207">
        <v>0</v>
      </c>
      <c r="J207" s="107"/>
      <c r="K207" s="107"/>
    </row>
    <row r="208" spans="1:11" outlineLevel="1" x14ac:dyDescent="0.25">
      <c r="A208" s="107"/>
      <c r="B208" s="107"/>
      <c r="C208" s="107"/>
      <c r="D208">
        <v>2023</v>
      </c>
      <c r="E208">
        <f t="shared" si="24"/>
        <v>13830.425000000001</v>
      </c>
      <c r="F208">
        <v>829.82500000000005</v>
      </c>
      <c r="G208">
        <v>13000.6</v>
      </c>
      <c r="H208">
        <v>0</v>
      </c>
      <c r="I208">
        <v>0</v>
      </c>
      <c r="J208" s="107"/>
      <c r="K208" s="107"/>
    </row>
    <row r="209" spans="1:11" outlineLevel="1" x14ac:dyDescent="0.25">
      <c r="A209" s="107"/>
      <c r="B209" s="107"/>
      <c r="C209" s="107"/>
      <c r="D209">
        <v>2024</v>
      </c>
      <c r="E209">
        <f t="shared" si="24"/>
        <v>731.67447000000004</v>
      </c>
      <c r="F209">
        <v>731.67447000000004</v>
      </c>
      <c r="G209">
        <v>0</v>
      </c>
      <c r="H209">
        <v>0</v>
      </c>
      <c r="I209">
        <v>0</v>
      </c>
      <c r="J209" s="107"/>
      <c r="K209" s="107"/>
    </row>
    <row r="210" spans="1:11" outlineLevel="1" x14ac:dyDescent="0.25">
      <c r="A210" s="107"/>
      <c r="B210" s="107"/>
      <c r="C210" s="107"/>
      <c r="D210">
        <v>2025</v>
      </c>
      <c r="E210">
        <f t="shared" si="24"/>
        <v>0</v>
      </c>
      <c r="F210">
        <v>0</v>
      </c>
      <c r="G210">
        <v>0</v>
      </c>
      <c r="H210">
        <v>0</v>
      </c>
      <c r="I210">
        <v>0</v>
      </c>
      <c r="J210" s="107"/>
      <c r="K210" s="107"/>
    </row>
    <row r="211" spans="1:11" ht="19.5" customHeight="1" outlineLevel="1" x14ac:dyDescent="0.25">
      <c r="A211" s="107" t="s">
        <v>63</v>
      </c>
      <c r="B211" s="107" t="s">
        <v>90</v>
      </c>
      <c r="C211" s="107" t="s">
        <v>14</v>
      </c>
      <c r="D211" t="s">
        <v>8</v>
      </c>
      <c r="E211">
        <f t="shared" si="24"/>
        <v>21860.577469999997</v>
      </c>
      <c r="F211">
        <f>SUM(F212:F216)</f>
        <v>7731.2774699999991</v>
      </c>
      <c r="G211">
        <f>SUM(G212:G216)</f>
        <v>14129.3</v>
      </c>
      <c r="H211">
        <f>SUM(H212:H216)</f>
        <v>0</v>
      </c>
      <c r="I211">
        <f>SUM(I212:I216)</f>
        <v>0</v>
      </c>
      <c r="J211" s="107" t="s">
        <v>91</v>
      </c>
      <c r="K211" s="107" t="s">
        <v>1107</v>
      </c>
    </row>
    <row r="212" spans="1:11" ht="15" customHeight="1" outlineLevel="1" x14ac:dyDescent="0.25">
      <c r="A212" s="107"/>
      <c r="B212" s="107"/>
      <c r="C212" s="107"/>
      <c r="D212">
        <v>2021</v>
      </c>
      <c r="E212">
        <f t="shared" si="24"/>
        <v>6382.1126800000002</v>
      </c>
      <c r="F212">
        <v>1850.81268</v>
      </c>
      <c r="G212">
        <v>4531.3</v>
      </c>
      <c r="H212">
        <v>0</v>
      </c>
      <c r="I212">
        <v>0</v>
      </c>
      <c r="J212" s="107"/>
      <c r="K212" s="107"/>
    </row>
    <row r="213" spans="1:11" ht="16.5" customHeight="1" outlineLevel="1" x14ac:dyDescent="0.25">
      <c r="A213" s="107"/>
      <c r="B213" s="107"/>
      <c r="C213" s="107"/>
      <c r="D213">
        <v>2022</v>
      </c>
      <c r="E213">
        <f t="shared" si="24"/>
        <v>6759.1549299999997</v>
      </c>
      <c r="F213">
        <v>1960.1549299999999</v>
      </c>
      <c r="G213">
        <v>4799</v>
      </c>
      <c r="H213">
        <v>0</v>
      </c>
      <c r="I213">
        <v>0</v>
      </c>
      <c r="J213" s="107"/>
      <c r="K213" s="107"/>
    </row>
    <row r="214" spans="1:11" ht="14.25" customHeight="1" outlineLevel="1" x14ac:dyDescent="0.25">
      <c r="A214" s="107"/>
      <c r="B214" s="107"/>
      <c r="C214" s="107"/>
      <c r="D214">
        <v>2023</v>
      </c>
      <c r="E214">
        <f t="shared" si="24"/>
        <v>6759.1549299999997</v>
      </c>
      <c r="F214">
        <v>1960.1549299999999</v>
      </c>
      <c r="G214">
        <v>4799</v>
      </c>
      <c r="H214">
        <v>0</v>
      </c>
      <c r="I214">
        <v>0</v>
      </c>
      <c r="J214" s="107"/>
      <c r="K214" s="107"/>
    </row>
    <row r="215" spans="1:11" ht="12.75" customHeight="1" outlineLevel="1" x14ac:dyDescent="0.25">
      <c r="A215" s="107"/>
      <c r="B215" s="107"/>
      <c r="C215" s="107"/>
      <c r="D215">
        <v>2024</v>
      </c>
      <c r="E215">
        <f t="shared" si="24"/>
        <v>1960.1549299999999</v>
      </c>
      <c r="F215">
        <v>1960.1549299999999</v>
      </c>
      <c r="G215">
        <v>0</v>
      </c>
      <c r="H215">
        <v>0</v>
      </c>
      <c r="I215">
        <v>0</v>
      </c>
      <c r="J215" s="107"/>
      <c r="K215" s="107"/>
    </row>
    <row r="216" spans="1:11" ht="14.25" customHeight="1" outlineLevel="1" x14ac:dyDescent="0.25">
      <c r="A216" s="107"/>
      <c r="B216" s="107"/>
      <c r="C216" s="107"/>
      <c r="D216">
        <v>2025</v>
      </c>
      <c r="E216">
        <f t="shared" si="24"/>
        <v>0</v>
      </c>
      <c r="F216">
        <v>0</v>
      </c>
      <c r="G216">
        <v>0</v>
      </c>
      <c r="H216">
        <v>0</v>
      </c>
      <c r="I216">
        <v>0</v>
      </c>
      <c r="J216" s="107"/>
      <c r="K216" s="107"/>
    </row>
    <row r="217" spans="1:11" ht="15.95" customHeight="1" x14ac:dyDescent="0.25">
      <c r="A217" s="107" t="s">
        <v>93</v>
      </c>
      <c r="B217" s="107" t="s">
        <v>94</v>
      </c>
      <c r="C217" s="107" t="s">
        <v>14</v>
      </c>
      <c r="D217" t="s">
        <v>8</v>
      </c>
      <c r="E217">
        <f t="shared" si="24"/>
        <v>1100349.4216126367</v>
      </c>
      <c r="F217">
        <f>SUM(F218:F222)</f>
        <v>552737.63001675007</v>
      </c>
      <c r="G217">
        <f>SUM(G218:G222)</f>
        <v>502391</v>
      </c>
      <c r="H217">
        <f>SUM(H218:H222)</f>
        <v>45220.791595886549</v>
      </c>
      <c r="I217">
        <f>SUM(I218:I222)</f>
        <v>0</v>
      </c>
      <c r="J217" s="107"/>
      <c r="K217" s="107" t="s">
        <v>1068</v>
      </c>
    </row>
    <row r="218" spans="1:11" ht="15.95" customHeight="1" x14ac:dyDescent="0.25">
      <c r="A218" s="107"/>
      <c r="B218" s="107"/>
      <c r="C218" s="107"/>
      <c r="D218">
        <v>2021</v>
      </c>
      <c r="E218">
        <f t="shared" si="24"/>
        <v>512357.59168579447</v>
      </c>
      <c r="F218">
        <f>F224+F265+F349</f>
        <v>225015.44308674999</v>
      </c>
      <c r="G218">
        <f t="shared" ref="F218:I222" si="27">G224+G265+G349</f>
        <v>257488.7</v>
      </c>
      <c r="H218">
        <f t="shared" si="27"/>
        <v>29853.448599044441</v>
      </c>
      <c r="I218">
        <f t="shared" si="27"/>
        <v>0</v>
      </c>
      <c r="J218" s="107"/>
      <c r="K218" s="107"/>
    </row>
    <row r="219" spans="1:11" ht="15.95" customHeight="1" x14ac:dyDescent="0.25">
      <c r="A219" s="107"/>
      <c r="B219" s="107"/>
      <c r="C219" s="107"/>
      <c r="D219">
        <v>2022</v>
      </c>
      <c r="E219">
        <f t="shared" si="24"/>
        <v>426368.93519000005</v>
      </c>
      <c r="F219">
        <f t="shared" si="27"/>
        <v>293896.88693000004</v>
      </c>
      <c r="G219">
        <f t="shared" si="27"/>
        <v>117511.3</v>
      </c>
      <c r="H219">
        <f t="shared" si="27"/>
        <v>14960.74826</v>
      </c>
      <c r="I219">
        <f t="shared" si="27"/>
        <v>0</v>
      </c>
      <c r="J219" s="107"/>
      <c r="K219" s="107"/>
    </row>
    <row r="220" spans="1:11" ht="15.95" customHeight="1" x14ac:dyDescent="0.25">
      <c r="A220" s="107"/>
      <c r="B220" s="107"/>
      <c r="C220" s="107"/>
      <c r="D220">
        <v>2023</v>
      </c>
      <c r="E220">
        <f t="shared" si="24"/>
        <v>145572.89473684211</v>
      </c>
      <c r="F220">
        <f t="shared" si="27"/>
        <v>17775.3</v>
      </c>
      <c r="G220">
        <f t="shared" si="27"/>
        <v>127391</v>
      </c>
      <c r="H220">
        <f t="shared" si="27"/>
        <v>406.59473684210525</v>
      </c>
      <c r="I220">
        <f t="shared" si="27"/>
        <v>0</v>
      </c>
      <c r="J220" s="107"/>
      <c r="K220" s="107"/>
    </row>
    <row r="221" spans="1:11" ht="15.95" customHeight="1" x14ac:dyDescent="0.25">
      <c r="A221" s="107"/>
      <c r="B221" s="107"/>
      <c r="C221" s="107"/>
      <c r="D221">
        <v>2024</v>
      </c>
      <c r="E221">
        <f t="shared" si="24"/>
        <v>10050</v>
      </c>
      <c r="F221">
        <f t="shared" si="27"/>
        <v>10050</v>
      </c>
      <c r="G221">
        <f t="shared" si="27"/>
        <v>0</v>
      </c>
      <c r="H221">
        <f t="shared" si="27"/>
        <v>0</v>
      </c>
      <c r="I221">
        <f t="shared" si="27"/>
        <v>0</v>
      </c>
      <c r="J221" s="107"/>
      <c r="K221" s="107"/>
    </row>
    <row r="222" spans="1:11" ht="15.95" customHeight="1" x14ac:dyDescent="0.25">
      <c r="A222" s="107"/>
      <c r="B222" s="107"/>
      <c r="C222" s="107"/>
      <c r="D222">
        <v>2025</v>
      </c>
      <c r="E222">
        <f t="shared" si="24"/>
        <v>6000</v>
      </c>
      <c r="F222">
        <f t="shared" si="27"/>
        <v>6000</v>
      </c>
      <c r="G222">
        <f t="shared" si="27"/>
        <v>0</v>
      </c>
      <c r="H222">
        <f t="shared" si="27"/>
        <v>0</v>
      </c>
      <c r="I222">
        <f t="shared" si="27"/>
        <v>0</v>
      </c>
      <c r="J222" s="107"/>
      <c r="K222" s="107"/>
    </row>
    <row r="223" spans="1:11" ht="15" customHeight="1" outlineLevel="1" x14ac:dyDescent="0.25">
      <c r="A223" s="107" t="s">
        <v>96</v>
      </c>
      <c r="B223" s="107" t="s">
        <v>97</v>
      </c>
      <c r="C223" s="107">
        <v>2021</v>
      </c>
      <c r="D223" t="s">
        <v>8</v>
      </c>
      <c r="E223">
        <f t="shared" si="24"/>
        <v>63796.753819741811</v>
      </c>
      <c r="F223">
        <f>SUM(F224:F228)</f>
        <v>49757.999901000003</v>
      </c>
      <c r="G223">
        <f>SUM(G224:G228)</f>
        <v>0</v>
      </c>
      <c r="H223">
        <f>SUM(H224:H228)</f>
        <v>14038.753918741808</v>
      </c>
      <c r="I223">
        <f>SUM(I224:I228)</f>
        <v>0</v>
      </c>
      <c r="J223" s="107" t="s">
        <v>98</v>
      </c>
      <c r="K223" s="107" t="s">
        <v>99</v>
      </c>
    </row>
    <row r="224" spans="1:11" outlineLevel="1" x14ac:dyDescent="0.25">
      <c r="A224" s="107"/>
      <c r="B224" s="107"/>
      <c r="C224" s="107"/>
      <c r="D224">
        <v>2021</v>
      </c>
      <c r="E224">
        <f t="shared" si="24"/>
        <v>63796.753819741811</v>
      </c>
      <c r="F224">
        <f>F235+F241+F247+F253+F259</f>
        <v>49757.999901000003</v>
      </c>
      <c r="G224">
        <f t="shared" ref="F224:I228" si="28">G235+G241+G247+G253+G259</f>
        <v>0</v>
      </c>
      <c r="H224">
        <f t="shared" si="28"/>
        <v>14038.753918741808</v>
      </c>
      <c r="I224">
        <f t="shared" si="28"/>
        <v>0</v>
      </c>
      <c r="J224" s="107"/>
      <c r="K224" s="107"/>
    </row>
    <row r="225" spans="1:11" outlineLevel="1" x14ac:dyDescent="0.25">
      <c r="A225" s="107"/>
      <c r="B225" s="107"/>
      <c r="C225" s="107"/>
      <c r="D225">
        <v>2022</v>
      </c>
      <c r="E225">
        <f t="shared" si="24"/>
        <v>0</v>
      </c>
      <c r="F225">
        <f t="shared" si="28"/>
        <v>0</v>
      </c>
      <c r="G225">
        <f t="shared" si="28"/>
        <v>0</v>
      </c>
      <c r="H225">
        <f t="shared" si="28"/>
        <v>0</v>
      </c>
      <c r="I225">
        <f t="shared" si="28"/>
        <v>0</v>
      </c>
      <c r="J225" s="107"/>
      <c r="K225" s="107"/>
    </row>
    <row r="226" spans="1:11" outlineLevel="1" x14ac:dyDescent="0.25">
      <c r="A226" s="107"/>
      <c r="B226" s="107"/>
      <c r="C226" s="107"/>
      <c r="D226">
        <v>2023</v>
      </c>
      <c r="E226">
        <f t="shared" si="24"/>
        <v>0</v>
      </c>
      <c r="F226">
        <f t="shared" si="28"/>
        <v>0</v>
      </c>
      <c r="G226">
        <f t="shared" si="28"/>
        <v>0</v>
      </c>
      <c r="H226">
        <f t="shared" si="28"/>
        <v>0</v>
      </c>
      <c r="I226">
        <f t="shared" si="28"/>
        <v>0</v>
      </c>
      <c r="J226" s="107"/>
      <c r="K226" s="107"/>
    </row>
    <row r="227" spans="1:11" outlineLevel="1" x14ac:dyDescent="0.25">
      <c r="A227" s="107"/>
      <c r="B227" s="107"/>
      <c r="C227" s="107"/>
      <c r="D227">
        <v>2024</v>
      </c>
      <c r="E227">
        <f t="shared" si="24"/>
        <v>0</v>
      </c>
      <c r="F227">
        <f t="shared" si="28"/>
        <v>0</v>
      </c>
      <c r="G227">
        <f t="shared" si="28"/>
        <v>0</v>
      </c>
      <c r="H227">
        <f t="shared" si="28"/>
        <v>0</v>
      </c>
      <c r="I227">
        <f t="shared" si="28"/>
        <v>0</v>
      </c>
      <c r="J227" s="107"/>
      <c r="K227" s="107"/>
    </row>
    <row r="228" spans="1:11" outlineLevel="1" x14ac:dyDescent="0.25">
      <c r="A228" s="107"/>
      <c r="B228" s="107"/>
      <c r="C228" s="107"/>
      <c r="D228">
        <v>2025</v>
      </c>
      <c r="E228">
        <f t="shared" si="24"/>
        <v>0</v>
      </c>
      <c r="F228">
        <f t="shared" si="28"/>
        <v>0</v>
      </c>
      <c r="G228">
        <f t="shared" si="28"/>
        <v>0</v>
      </c>
      <c r="H228">
        <f t="shared" si="28"/>
        <v>0</v>
      </c>
      <c r="I228">
        <f t="shared" si="28"/>
        <v>0</v>
      </c>
      <c r="J228" s="107"/>
      <c r="K228" s="107"/>
    </row>
    <row r="229" spans="1:11" outlineLevel="1" x14ac:dyDescent="0.25"/>
    <row r="230" spans="1:11" outlineLevel="1" x14ac:dyDescent="0.25"/>
    <row r="231" spans="1:11" outlineLevel="1" x14ac:dyDescent="0.25"/>
    <row r="232" spans="1:11" outlineLevel="1" x14ac:dyDescent="0.25"/>
    <row r="233" spans="1:11" outlineLevel="1" x14ac:dyDescent="0.25"/>
    <row r="234" spans="1:11" ht="15" customHeight="1" outlineLevel="1" x14ac:dyDescent="0.25">
      <c r="A234" s="107" t="s">
        <v>100</v>
      </c>
      <c r="B234" s="107" t="s">
        <v>101</v>
      </c>
      <c r="C234" s="107">
        <v>2021</v>
      </c>
      <c r="D234" t="s">
        <v>8</v>
      </c>
      <c r="E234">
        <f>SUM(E235:E239)</f>
        <v>10735.3</v>
      </c>
      <c r="F234">
        <f>SUM(F235:F239)</f>
        <v>8888.7999999999993</v>
      </c>
      <c r="G234">
        <f>SUM(G235:G239)</f>
        <v>0</v>
      </c>
      <c r="H234">
        <f>SUM(H235:H239)</f>
        <v>1846.5</v>
      </c>
      <c r="I234">
        <f>SUM(I235:I239)</f>
        <v>0</v>
      </c>
      <c r="J234" s="107" t="s">
        <v>102</v>
      </c>
      <c r="K234" s="107" t="s">
        <v>103</v>
      </c>
    </row>
    <row r="235" spans="1:11" outlineLevel="1" x14ac:dyDescent="0.25">
      <c r="A235" s="107"/>
      <c r="B235" s="107"/>
      <c r="C235" s="107"/>
      <c r="D235">
        <v>2021</v>
      </c>
      <c r="E235">
        <f t="shared" ref="E235:E239" si="29">SUM(F235:I235)</f>
        <v>10735.3</v>
      </c>
      <c r="F235">
        <v>8888.7999999999993</v>
      </c>
      <c r="G235">
        <v>0</v>
      </c>
      <c r="H235">
        <v>1846.5</v>
      </c>
      <c r="I235">
        <v>0</v>
      </c>
      <c r="J235" s="107"/>
      <c r="K235" s="107"/>
    </row>
    <row r="236" spans="1:11" outlineLevel="1" x14ac:dyDescent="0.25">
      <c r="A236" s="107"/>
      <c r="B236" s="107"/>
      <c r="C236" s="107"/>
      <c r="D236">
        <v>2022</v>
      </c>
      <c r="E236">
        <f t="shared" si="29"/>
        <v>0</v>
      </c>
      <c r="F236">
        <v>0</v>
      </c>
      <c r="G236">
        <v>0</v>
      </c>
      <c r="H236">
        <v>0</v>
      </c>
      <c r="I236">
        <v>0</v>
      </c>
      <c r="J236" s="107"/>
      <c r="K236" s="107"/>
    </row>
    <row r="237" spans="1:11" outlineLevel="1" x14ac:dyDescent="0.25">
      <c r="A237" s="107"/>
      <c r="B237" s="107"/>
      <c r="C237" s="107"/>
      <c r="D237">
        <v>2023</v>
      </c>
      <c r="E237">
        <f t="shared" si="29"/>
        <v>0</v>
      </c>
      <c r="F237">
        <v>0</v>
      </c>
      <c r="G237">
        <v>0</v>
      </c>
      <c r="H237">
        <v>0</v>
      </c>
      <c r="I237">
        <v>0</v>
      </c>
      <c r="J237" s="107"/>
      <c r="K237" s="107"/>
    </row>
    <row r="238" spans="1:11" outlineLevel="1" x14ac:dyDescent="0.25">
      <c r="A238" s="107"/>
      <c r="B238" s="107"/>
      <c r="C238" s="107"/>
      <c r="D238">
        <v>2024</v>
      </c>
      <c r="E238">
        <f t="shared" si="29"/>
        <v>0</v>
      </c>
      <c r="F238">
        <v>0</v>
      </c>
      <c r="G238">
        <v>0</v>
      </c>
      <c r="H238">
        <v>0</v>
      </c>
      <c r="I238">
        <v>0</v>
      </c>
      <c r="J238" s="107"/>
      <c r="K238" s="107"/>
    </row>
    <row r="239" spans="1:11" outlineLevel="1" x14ac:dyDescent="0.25">
      <c r="A239" s="107"/>
      <c r="B239" s="107"/>
      <c r="C239" s="107"/>
      <c r="D239">
        <v>2025</v>
      </c>
      <c r="E239">
        <f t="shared" si="29"/>
        <v>0</v>
      </c>
      <c r="F239">
        <v>0</v>
      </c>
      <c r="G239">
        <v>0</v>
      </c>
      <c r="H239">
        <v>0</v>
      </c>
      <c r="I239">
        <v>0</v>
      </c>
      <c r="J239" s="107"/>
      <c r="K239" s="107"/>
    </row>
    <row r="240" spans="1:11" ht="15" customHeight="1" outlineLevel="1" x14ac:dyDescent="0.25">
      <c r="A240" s="107" t="s">
        <v>548</v>
      </c>
      <c r="B240" s="107" t="s">
        <v>442</v>
      </c>
      <c r="C240" s="107">
        <v>2021</v>
      </c>
      <c r="D240" t="s">
        <v>8</v>
      </c>
      <c r="E240">
        <f>SUM(E241:E245)</f>
        <v>40997.273918741805</v>
      </c>
      <c r="F240">
        <f>SUM(F241:F245)</f>
        <v>31280.92</v>
      </c>
      <c r="G240">
        <f>SUM(G241:G245)</f>
        <v>0</v>
      </c>
      <c r="H240">
        <f>SUM(H241:H245)</f>
        <v>9716.3539187418082</v>
      </c>
      <c r="I240">
        <f>SUM(I241:I245)</f>
        <v>0</v>
      </c>
      <c r="J240" s="107" t="s">
        <v>549</v>
      </c>
      <c r="K240" s="107" t="s">
        <v>103</v>
      </c>
    </row>
    <row r="241" spans="1:11" outlineLevel="1" x14ac:dyDescent="0.25">
      <c r="A241" s="107"/>
      <c r="B241" s="107"/>
      <c r="C241" s="107"/>
      <c r="D241">
        <v>2021</v>
      </c>
      <c r="E241">
        <f t="shared" ref="E241:E301" si="30">SUM(F241:I241)</f>
        <v>40997.273918741805</v>
      </c>
      <c r="F241">
        <v>31280.92</v>
      </c>
      <c r="G241">
        <v>0</v>
      </c>
      <c r="H241">
        <f>F241/76.3*23.7</f>
        <v>9716.3539187418082</v>
      </c>
      <c r="I241">
        <v>0</v>
      </c>
      <c r="J241" s="107"/>
      <c r="K241" s="107"/>
    </row>
    <row r="242" spans="1:11" outlineLevel="1" x14ac:dyDescent="0.25">
      <c r="A242" s="107"/>
      <c r="B242" s="107"/>
      <c r="C242" s="107"/>
      <c r="D242">
        <v>2022</v>
      </c>
      <c r="E242">
        <f t="shared" si="30"/>
        <v>0</v>
      </c>
      <c r="F242">
        <v>0</v>
      </c>
      <c r="G242">
        <v>0</v>
      </c>
      <c r="H242">
        <v>0</v>
      </c>
      <c r="I242">
        <v>0</v>
      </c>
      <c r="J242" s="107"/>
      <c r="K242" s="107"/>
    </row>
    <row r="243" spans="1:11" outlineLevel="1" x14ac:dyDescent="0.25">
      <c r="A243" s="107"/>
      <c r="B243" s="107"/>
      <c r="C243" s="107"/>
      <c r="D243">
        <v>2023</v>
      </c>
      <c r="E243">
        <f t="shared" si="30"/>
        <v>0</v>
      </c>
      <c r="F243">
        <v>0</v>
      </c>
      <c r="G243">
        <v>0</v>
      </c>
      <c r="H243">
        <v>0</v>
      </c>
      <c r="I243">
        <v>0</v>
      </c>
      <c r="J243" s="107"/>
      <c r="K243" s="107"/>
    </row>
    <row r="244" spans="1:11" outlineLevel="1" x14ac:dyDescent="0.25">
      <c r="A244" s="107"/>
      <c r="B244" s="107"/>
      <c r="C244" s="107"/>
      <c r="D244">
        <v>2024</v>
      </c>
      <c r="E244">
        <f t="shared" si="30"/>
        <v>0</v>
      </c>
      <c r="F244">
        <v>0</v>
      </c>
      <c r="G244">
        <v>0</v>
      </c>
      <c r="H244">
        <v>0</v>
      </c>
      <c r="I244">
        <v>0</v>
      </c>
      <c r="J244" s="107"/>
      <c r="K244" s="107"/>
    </row>
    <row r="245" spans="1:11" outlineLevel="1" x14ac:dyDescent="0.25">
      <c r="A245" s="107"/>
      <c r="B245" s="107"/>
      <c r="C245" s="107"/>
      <c r="D245">
        <v>2025</v>
      </c>
      <c r="E245">
        <f t="shared" si="30"/>
        <v>0</v>
      </c>
      <c r="F245">
        <v>0</v>
      </c>
      <c r="G245">
        <v>0</v>
      </c>
      <c r="H245">
        <v>0</v>
      </c>
      <c r="I245">
        <v>0</v>
      </c>
      <c r="J245" s="107"/>
      <c r="K245" s="107"/>
    </row>
    <row r="246" spans="1:11" ht="15" customHeight="1" outlineLevel="1" x14ac:dyDescent="0.25">
      <c r="A246" s="107" t="s">
        <v>550</v>
      </c>
      <c r="B246" s="107" t="s">
        <v>551</v>
      </c>
      <c r="C246" s="107">
        <v>2021</v>
      </c>
      <c r="D246" t="s">
        <v>8</v>
      </c>
      <c r="E246">
        <v>1315.5</v>
      </c>
      <c r="F246">
        <v>1315.5</v>
      </c>
      <c r="G246">
        <f>SUM(G247:G251)</f>
        <v>0</v>
      </c>
      <c r="H246">
        <v>0</v>
      </c>
      <c r="I246">
        <f>SUM(I247:I251)</f>
        <v>0</v>
      </c>
      <c r="J246" s="107" t="s">
        <v>552</v>
      </c>
      <c r="K246" s="107" t="s">
        <v>773</v>
      </c>
    </row>
    <row r="247" spans="1:11" ht="15" customHeight="1" outlineLevel="1" x14ac:dyDescent="0.25">
      <c r="A247" s="107"/>
      <c r="B247" s="107"/>
      <c r="C247" s="107"/>
      <c r="D247">
        <v>2021</v>
      </c>
      <c r="E247">
        <v>1315.5</v>
      </c>
      <c r="F247">
        <v>1315.5</v>
      </c>
      <c r="G247">
        <v>0</v>
      </c>
      <c r="H247">
        <v>0</v>
      </c>
      <c r="I247">
        <v>0</v>
      </c>
      <c r="J247" s="107"/>
      <c r="K247" s="107"/>
    </row>
    <row r="248" spans="1:11" outlineLevel="1" x14ac:dyDescent="0.25">
      <c r="A248" s="107"/>
      <c r="B248" s="107"/>
      <c r="C248" s="107"/>
      <c r="D248">
        <v>2022</v>
      </c>
      <c r="E248">
        <v>0</v>
      </c>
      <c r="F248">
        <v>0</v>
      </c>
      <c r="G248">
        <v>0</v>
      </c>
      <c r="H248">
        <v>0</v>
      </c>
      <c r="I248">
        <v>0</v>
      </c>
      <c r="J248" s="107"/>
      <c r="K248" s="107"/>
    </row>
    <row r="249" spans="1:11" outlineLevel="1" x14ac:dyDescent="0.25">
      <c r="A249" s="107"/>
      <c r="B249" s="107"/>
      <c r="C249" s="107"/>
      <c r="D249">
        <v>2023</v>
      </c>
      <c r="E249">
        <v>0</v>
      </c>
      <c r="F249">
        <v>0</v>
      </c>
      <c r="G249">
        <v>0</v>
      </c>
      <c r="H249">
        <v>0</v>
      </c>
      <c r="I249">
        <v>0</v>
      </c>
      <c r="J249" s="107"/>
      <c r="K249" s="107"/>
    </row>
    <row r="250" spans="1:11" outlineLevel="1" x14ac:dyDescent="0.25">
      <c r="A250" s="107"/>
      <c r="B250" s="107"/>
      <c r="C250" s="107"/>
      <c r="D250">
        <v>2024</v>
      </c>
      <c r="E250">
        <v>0</v>
      </c>
      <c r="F250">
        <v>0</v>
      </c>
      <c r="G250">
        <v>0</v>
      </c>
      <c r="H250">
        <v>0</v>
      </c>
      <c r="I250">
        <v>0</v>
      </c>
      <c r="J250" s="107"/>
      <c r="K250" s="107"/>
    </row>
    <row r="251" spans="1:11" outlineLevel="1" x14ac:dyDescent="0.25">
      <c r="A251" s="107"/>
      <c r="B251" s="107"/>
      <c r="C251" s="107"/>
      <c r="D251">
        <v>2025</v>
      </c>
      <c r="E251">
        <v>0</v>
      </c>
      <c r="F251">
        <v>0</v>
      </c>
      <c r="G251">
        <v>0</v>
      </c>
      <c r="H251">
        <v>0</v>
      </c>
      <c r="I251">
        <v>0</v>
      </c>
      <c r="J251" s="107"/>
      <c r="K251" s="107"/>
    </row>
    <row r="252" spans="1:11" outlineLevel="1" x14ac:dyDescent="0.25">
      <c r="A252" s="107" t="s">
        <v>554</v>
      </c>
      <c r="B252" s="107" t="s">
        <v>1108</v>
      </c>
      <c r="C252" s="107">
        <v>2021</v>
      </c>
      <c r="D252" t="s">
        <v>8</v>
      </c>
      <c r="E252">
        <f t="shared" si="30"/>
        <v>301.87990100000002</v>
      </c>
      <c r="F252">
        <f>SUM(F253:F257)</f>
        <v>301.87990100000002</v>
      </c>
      <c r="G252">
        <f>SUM(G253:G257)</f>
        <v>0</v>
      </c>
      <c r="H252">
        <f>SUM(H253:H257)</f>
        <v>0</v>
      </c>
      <c r="I252">
        <f>SUM(I253:I257)</f>
        <v>0</v>
      </c>
      <c r="J252" s="107" t="s">
        <v>556</v>
      </c>
      <c r="K252" s="107" t="s">
        <v>484</v>
      </c>
    </row>
    <row r="253" spans="1:11" outlineLevel="1" x14ac:dyDescent="0.25">
      <c r="A253" s="107"/>
      <c r="B253" s="107"/>
      <c r="C253" s="107"/>
      <c r="D253">
        <v>2021</v>
      </c>
      <c r="E253">
        <f t="shared" si="30"/>
        <v>301.87990100000002</v>
      </c>
      <c r="F253">
        <v>301.87990100000002</v>
      </c>
      <c r="G253">
        <v>0</v>
      </c>
      <c r="H253">
        <v>0</v>
      </c>
      <c r="I253">
        <v>0</v>
      </c>
      <c r="J253" s="107"/>
      <c r="K253" s="107"/>
    </row>
    <row r="254" spans="1:11" outlineLevel="1" x14ac:dyDescent="0.25">
      <c r="A254" s="107"/>
      <c r="B254" s="107"/>
      <c r="C254" s="107"/>
      <c r="D254">
        <v>2022</v>
      </c>
      <c r="E254">
        <f t="shared" si="30"/>
        <v>0</v>
      </c>
      <c r="F254">
        <v>0</v>
      </c>
      <c r="G254">
        <v>0</v>
      </c>
      <c r="H254">
        <v>0</v>
      </c>
      <c r="I254">
        <v>0</v>
      </c>
      <c r="J254" s="107"/>
      <c r="K254" s="107"/>
    </row>
    <row r="255" spans="1:11" outlineLevel="1" x14ac:dyDescent="0.25">
      <c r="A255" s="107"/>
      <c r="B255" s="107"/>
      <c r="C255" s="107"/>
      <c r="D255">
        <v>2023</v>
      </c>
      <c r="E255">
        <f t="shared" si="30"/>
        <v>0</v>
      </c>
      <c r="F255">
        <v>0</v>
      </c>
      <c r="G255">
        <v>0</v>
      </c>
      <c r="H255">
        <v>0</v>
      </c>
      <c r="I255">
        <v>0</v>
      </c>
      <c r="J255" s="107"/>
      <c r="K255" s="107"/>
    </row>
    <row r="256" spans="1:11" outlineLevel="1" x14ac:dyDescent="0.25">
      <c r="A256" s="107"/>
      <c r="B256" s="107"/>
      <c r="C256" s="107"/>
      <c r="D256">
        <v>2024</v>
      </c>
      <c r="E256">
        <f t="shared" si="30"/>
        <v>0</v>
      </c>
      <c r="F256">
        <v>0</v>
      </c>
      <c r="G256">
        <v>0</v>
      </c>
      <c r="H256">
        <v>0</v>
      </c>
      <c r="I256">
        <v>0</v>
      </c>
      <c r="J256" s="107"/>
      <c r="K256" s="107"/>
    </row>
    <row r="257" spans="1:11" outlineLevel="1" x14ac:dyDescent="0.25">
      <c r="A257" s="107"/>
      <c r="B257" s="107"/>
      <c r="C257" s="107"/>
      <c r="D257">
        <v>2025</v>
      </c>
      <c r="E257">
        <f t="shared" si="30"/>
        <v>0</v>
      </c>
      <c r="F257">
        <v>0</v>
      </c>
      <c r="G257">
        <v>0</v>
      </c>
      <c r="H257">
        <v>0</v>
      </c>
      <c r="I257">
        <v>0</v>
      </c>
      <c r="J257" s="107"/>
      <c r="K257" s="107"/>
    </row>
    <row r="258" spans="1:11" ht="15" customHeight="1" outlineLevel="1" x14ac:dyDescent="0.25">
      <c r="A258" s="107" t="s">
        <v>557</v>
      </c>
      <c r="B258" s="107" t="s">
        <v>558</v>
      </c>
      <c r="C258" s="107">
        <v>2021</v>
      </c>
      <c r="D258" t="s">
        <v>8</v>
      </c>
      <c r="E258">
        <f t="shared" si="30"/>
        <v>10446.799999999999</v>
      </c>
      <c r="F258">
        <f>SUM(F259:F263)</f>
        <v>7970.9</v>
      </c>
      <c r="G258">
        <f>SUM(G259:G263)</f>
        <v>0</v>
      </c>
      <c r="H258">
        <f>SUM(H259:H263)</f>
        <v>2475.9</v>
      </c>
      <c r="I258">
        <f>SUM(I259:I263)</f>
        <v>0</v>
      </c>
      <c r="J258" s="107" t="s">
        <v>559</v>
      </c>
      <c r="K258" s="107" t="s">
        <v>748</v>
      </c>
    </row>
    <row r="259" spans="1:11" ht="15" customHeight="1" outlineLevel="1" x14ac:dyDescent="0.25">
      <c r="A259" s="107"/>
      <c r="B259" s="107"/>
      <c r="C259" s="107"/>
      <c r="D259">
        <v>2021</v>
      </c>
      <c r="E259">
        <f t="shared" si="30"/>
        <v>10446.799999999999</v>
      </c>
      <c r="F259">
        <v>7970.9</v>
      </c>
      <c r="G259">
        <v>0</v>
      </c>
      <c r="H259">
        <v>2475.9</v>
      </c>
      <c r="I259">
        <v>0</v>
      </c>
      <c r="J259" s="107"/>
      <c r="K259" s="107"/>
    </row>
    <row r="260" spans="1:11" ht="15" customHeight="1" outlineLevel="1" x14ac:dyDescent="0.25">
      <c r="A260" s="107"/>
      <c r="B260" s="107"/>
      <c r="C260" s="107"/>
      <c r="D260">
        <v>2022</v>
      </c>
      <c r="E260">
        <f t="shared" si="30"/>
        <v>0</v>
      </c>
      <c r="F260">
        <v>0</v>
      </c>
      <c r="G260">
        <v>0</v>
      </c>
      <c r="H260">
        <v>0</v>
      </c>
      <c r="I260">
        <v>0</v>
      </c>
      <c r="J260" s="107"/>
      <c r="K260" s="107"/>
    </row>
    <row r="261" spans="1:11" ht="15" customHeight="1" outlineLevel="1" x14ac:dyDescent="0.25">
      <c r="A261" s="107"/>
      <c r="B261" s="107"/>
      <c r="C261" s="107"/>
      <c r="D261">
        <v>2023</v>
      </c>
      <c r="E261">
        <f t="shared" si="30"/>
        <v>0</v>
      </c>
      <c r="F261">
        <v>0</v>
      </c>
      <c r="G261">
        <v>0</v>
      </c>
      <c r="H261">
        <v>0</v>
      </c>
      <c r="I261">
        <v>0</v>
      </c>
      <c r="J261" s="107"/>
      <c r="K261" s="107"/>
    </row>
    <row r="262" spans="1:11" ht="15" customHeight="1" outlineLevel="1" x14ac:dyDescent="0.25">
      <c r="A262" s="107"/>
      <c r="B262" s="107"/>
      <c r="C262" s="107"/>
      <c r="D262">
        <v>2024</v>
      </c>
      <c r="E262">
        <f t="shared" si="30"/>
        <v>0</v>
      </c>
      <c r="F262">
        <v>0</v>
      </c>
      <c r="G262">
        <v>0</v>
      </c>
      <c r="H262">
        <v>0</v>
      </c>
      <c r="I262">
        <v>0</v>
      </c>
      <c r="J262" s="107"/>
      <c r="K262" s="107"/>
    </row>
    <row r="263" spans="1:11" ht="15" customHeight="1" outlineLevel="1" x14ac:dyDescent="0.25">
      <c r="A263" s="107"/>
      <c r="B263" s="107"/>
      <c r="C263" s="107"/>
      <c r="D263">
        <v>2025</v>
      </c>
      <c r="E263">
        <f t="shared" si="30"/>
        <v>0</v>
      </c>
      <c r="F263">
        <v>0</v>
      </c>
      <c r="G263">
        <v>0</v>
      </c>
      <c r="H263">
        <v>0</v>
      </c>
      <c r="I263">
        <v>0</v>
      </c>
      <c r="J263" s="107"/>
      <c r="K263" s="107"/>
    </row>
    <row r="264" spans="1:11" ht="15" customHeight="1" outlineLevel="1" x14ac:dyDescent="0.25">
      <c r="A264" s="107" t="s">
        <v>104</v>
      </c>
      <c r="B264" s="107" t="s">
        <v>105</v>
      </c>
      <c r="C264" s="107" t="s">
        <v>14</v>
      </c>
      <c r="D264" t="s">
        <v>8</v>
      </c>
      <c r="E264">
        <f t="shared" si="30"/>
        <v>195391.41487605261</v>
      </c>
      <c r="F264">
        <f>SUM(F265:F269)</f>
        <v>180398.49265574999</v>
      </c>
      <c r="G264">
        <f>SUM(G265:G269)</f>
        <v>0</v>
      </c>
      <c r="H264">
        <f>SUM(H265:H269)</f>
        <v>14992.922220302633</v>
      </c>
      <c r="I264">
        <f>SUM(I265:I269)</f>
        <v>0</v>
      </c>
      <c r="J264" s="107" t="s">
        <v>106</v>
      </c>
      <c r="K264" s="107" t="s">
        <v>1109</v>
      </c>
    </row>
    <row r="265" spans="1:11" outlineLevel="1" x14ac:dyDescent="0.25">
      <c r="A265" s="107"/>
      <c r="B265" s="107"/>
      <c r="C265" s="107"/>
      <c r="D265">
        <v>2021</v>
      </c>
      <c r="E265">
        <f t="shared" si="30"/>
        <v>171391.41487605261</v>
      </c>
      <c r="F265">
        <f>SUM(F271+F277+F283+F289+F295+F301+F307+F313+F319+F325+F331+F337+F343)</f>
        <v>156398.49265574999</v>
      </c>
      <c r="G265">
        <f t="shared" ref="F265:I269" si="31">SUM(G271+G277+G283+G289+G295+G301+G307+G313+G319+G325+G331+G337+G343)</f>
        <v>0</v>
      </c>
      <c r="H265">
        <f t="shared" si="31"/>
        <v>14992.922220302633</v>
      </c>
      <c r="I265">
        <f t="shared" si="31"/>
        <v>0</v>
      </c>
      <c r="J265" s="107"/>
      <c r="K265" s="107"/>
    </row>
    <row r="266" spans="1:11" outlineLevel="1" x14ac:dyDescent="0.25">
      <c r="A266" s="107"/>
      <c r="B266" s="107"/>
      <c r="C266" s="107"/>
      <c r="D266">
        <v>2022</v>
      </c>
      <c r="E266">
        <f t="shared" si="30"/>
        <v>6000</v>
      </c>
      <c r="F266">
        <f t="shared" si="31"/>
        <v>6000</v>
      </c>
      <c r="G266">
        <f t="shared" si="31"/>
        <v>0</v>
      </c>
      <c r="H266">
        <f t="shared" si="31"/>
        <v>0</v>
      </c>
      <c r="I266">
        <f t="shared" si="31"/>
        <v>0</v>
      </c>
      <c r="J266" s="107"/>
      <c r="K266" s="107"/>
    </row>
    <row r="267" spans="1:11" outlineLevel="1" x14ac:dyDescent="0.25">
      <c r="A267" s="107"/>
      <c r="B267" s="107"/>
      <c r="C267" s="107"/>
      <c r="D267">
        <v>2023</v>
      </c>
      <c r="E267">
        <f t="shared" si="30"/>
        <v>6000</v>
      </c>
      <c r="F267">
        <f t="shared" si="31"/>
        <v>6000</v>
      </c>
      <c r="G267">
        <f t="shared" si="31"/>
        <v>0</v>
      </c>
      <c r="H267">
        <f t="shared" si="31"/>
        <v>0</v>
      </c>
      <c r="I267">
        <f t="shared" si="31"/>
        <v>0</v>
      </c>
      <c r="J267" s="107"/>
      <c r="K267" s="107"/>
    </row>
    <row r="268" spans="1:11" outlineLevel="1" x14ac:dyDescent="0.25">
      <c r="A268" s="107"/>
      <c r="B268" s="107"/>
      <c r="C268" s="107"/>
      <c r="D268">
        <v>2024</v>
      </c>
      <c r="E268">
        <f t="shared" si="30"/>
        <v>6000</v>
      </c>
      <c r="F268">
        <f t="shared" si="31"/>
        <v>6000</v>
      </c>
      <c r="G268">
        <f t="shared" si="31"/>
        <v>0</v>
      </c>
      <c r="H268">
        <f t="shared" si="31"/>
        <v>0</v>
      </c>
      <c r="I268">
        <f t="shared" si="31"/>
        <v>0</v>
      </c>
      <c r="J268" s="107"/>
      <c r="K268" s="107"/>
    </row>
    <row r="269" spans="1:11" outlineLevel="1" x14ac:dyDescent="0.25">
      <c r="A269" s="107"/>
      <c r="B269" s="107"/>
      <c r="C269" s="107"/>
      <c r="D269">
        <v>2025</v>
      </c>
      <c r="E269">
        <f t="shared" si="30"/>
        <v>6000</v>
      </c>
      <c r="F269">
        <f t="shared" si="31"/>
        <v>6000</v>
      </c>
      <c r="G269">
        <f t="shared" si="31"/>
        <v>0</v>
      </c>
      <c r="H269">
        <f t="shared" si="31"/>
        <v>0</v>
      </c>
      <c r="I269">
        <f t="shared" si="31"/>
        <v>0</v>
      </c>
      <c r="J269" s="107"/>
      <c r="K269" s="107"/>
    </row>
    <row r="270" spans="1:11" ht="17.100000000000001" customHeight="1" outlineLevel="1" x14ac:dyDescent="0.25">
      <c r="A270" s="107" t="s">
        <v>108</v>
      </c>
      <c r="B270" s="107" t="s">
        <v>109</v>
      </c>
      <c r="C270" s="107">
        <v>2021</v>
      </c>
      <c r="D270" t="s">
        <v>8</v>
      </c>
      <c r="E270">
        <f t="shared" si="30"/>
        <v>27027.03</v>
      </c>
      <c r="F270">
        <f>SUM(F271:F275)</f>
        <v>25000</v>
      </c>
      <c r="G270">
        <f>SUM(G271:G275)</f>
        <v>0</v>
      </c>
      <c r="H270">
        <f>SUM(H271:H275)</f>
        <v>2027.03</v>
      </c>
      <c r="I270">
        <f>SUM(I271:I275)</f>
        <v>0</v>
      </c>
      <c r="J270" s="107" t="s">
        <v>565</v>
      </c>
      <c r="K270" s="107" t="s">
        <v>1075</v>
      </c>
    </row>
    <row r="271" spans="1:11" ht="17.100000000000001" customHeight="1" outlineLevel="1" x14ac:dyDescent="0.25">
      <c r="A271" s="107"/>
      <c r="B271" s="107"/>
      <c r="C271" s="107"/>
      <c r="D271">
        <v>2021</v>
      </c>
      <c r="E271">
        <f t="shared" si="30"/>
        <v>27027.03</v>
      </c>
      <c r="F271">
        <v>25000</v>
      </c>
      <c r="G271">
        <v>0</v>
      </c>
      <c r="H271">
        <v>2027.03</v>
      </c>
      <c r="I271">
        <v>0</v>
      </c>
      <c r="J271" s="107"/>
      <c r="K271" s="107"/>
    </row>
    <row r="272" spans="1:11" ht="17.100000000000001" customHeight="1" outlineLevel="1" x14ac:dyDescent="0.25">
      <c r="A272" s="107"/>
      <c r="B272" s="107"/>
      <c r="C272" s="107"/>
      <c r="D272">
        <v>2022</v>
      </c>
      <c r="E272">
        <f t="shared" si="30"/>
        <v>0</v>
      </c>
      <c r="F272">
        <v>0</v>
      </c>
      <c r="G272">
        <v>0</v>
      </c>
      <c r="H272">
        <f>+H290</f>
        <v>0</v>
      </c>
      <c r="I272">
        <v>0</v>
      </c>
      <c r="J272" s="107"/>
      <c r="K272" s="107"/>
    </row>
    <row r="273" spans="1:11" ht="17.100000000000001" customHeight="1" outlineLevel="1" x14ac:dyDescent="0.25">
      <c r="A273" s="107"/>
      <c r="B273" s="107"/>
      <c r="C273" s="107"/>
      <c r="D273">
        <v>2023</v>
      </c>
      <c r="E273">
        <f t="shared" si="30"/>
        <v>0</v>
      </c>
      <c r="F273">
        <v>0</v>
      </c>
      <c r="G273">
        <v>0</v>
      </c>
      <c r="H273">
        <v>0</v>
      </c>
      <c r="I273">
        <v>0</v>
      </c>
      <c r="J273" s="107"/>
      <c r="K273" s="107"/>
    </row>
    <row r="274" spans="1:11" outlineLevel="1" x14ac:dyDescent="0.25">
      <c r="A274" s="107"/>
      <c r="B274" s="107"/>
      <c r="C274" s="107"/>
      <c r="D274">
        <v>2024</v>
      </c>
      <c r="E274">
        <f t="shared" si="30"/>
        <v>0</v>
      </c>
      <c r="F274">
        <v>0</v>
      </c>
      <c r="G274">
        <v>0</v>
      </c>
      <c r="H274">
        <v>0</v>
      </c>
      <c r="I274">
        <v>0</v>
      </c>
      <c r="J274" s="107"/>
      <c r="K274" s="107"/>
    </row>
    <row r="275" spans="1:11" outlineLevel="1" x14ac:dyDescent="0.25">
      <c r="A275" s="107"/>
      <c r="B275" s="107"/>
      <c r="C275" s="107"/>
      <c r="D275">
        <v>2025</v>
      </c>
      <c r="E275">
        <f t="shared" si="30"/>
        <v>0</v>
      </c>
      <c r="F275">
        <v>0</v>
      </c>
      <c r="G275">
        <v>0</v>
      </c>
      <c r="H275">
        <v>0</v>
      </c>
      <c r="I275">
        <v>0</v>
      </c>
      <c r="J275" s="107"/>
      <c r="K275" s="107"/>
    </row>
    <row r="276" spans="1:11" ht="17.100000000000001" customHeight="1" outlineLevel="1" x14ac:dyDescent="0.25">
      <c r="A276" s="107" t="s">
        <v>112</v>
      </c>
      <c r="B276" s="107" t="s">
        <v>113</v>
      </c>
      <c r="C276" s="107" t="s">
        <v>14</v>
      </c>
      <c r="D276" t="s">
        <v>8</v>
      </c>
      <c r="E276">
        <f t="shared" si="30"/>
        <v>30000</v>
      </c>
      <c r="F276">
        <f>SUM(F277:F281)</f>
        <v>30000</v>
      </c>
      <c r="G276">
        <f>SUM(G277:G281)</f>
        <v>0</v>
      </c>
      <c r="H276">
        <f>SUM(H277:H281)</f>
        <v>0</v>
      </c>
      <c r="I276">
        <f>SUM(I277:I281)</f>
        <v>0</v>
      </c>
      <c r="J276" s="107" t="s">
        <v>114</v>
      </c>
      <c r="K276" s="107" t="s">
        <v>1110</v>
      </c>
    </row>
    <row r="277" spans="1:11" ht="17.100000000000001" customHeight="1" outlineLevel="1" x14ac:dyDescent="0.25">
      <c r="A277" s="107"/>
      <c r="B277" s="107"/>
      <c r="C277" s="107"/>
      <c r="D277">
        <v>2021</v>
      </c>
      <c r="E277">
        <f t="shared" si="30"/>
        <v>6000</v>
      </c>
      <c r="F277">
        <v>6000</v>
      </c>
      <c r="G277">
        <v>0</v>
      </c>
      <c r="H277">
        <v>0</v>
      </c>
      <c r="I277">
        <v>0</v>
      </c>
      <c r="J277" s="107"/>
      <c r="K277" s="107"/>
    </row>
    <row r="278" spans="1:11" ht="17.100000000000001" customHeight="1" outlineLevel="1" x14ac:dyDescent="0.25">
      <c r="A278" s="107"/>
      <c r="B278" s="107"/>
      <c r="C278" s="107"/>
      <c r="D278">
        <v>2022</v>
      </c>
      <c r="E278">
        <f t="shared" si="30"/>
        <v>6000</v>
      </c>
      <c r="F278">
        <v>6000</v>
      </c>
      <c r="G278">
        <v>0</v>
      </c>
      <c r="H278">
        <v>0</v>
      </c>
      <c r="I278">
        <v>0</v>
      </c>
      <c r="J278" s="107"/>
      <c r="K278" s="107"/>
    </row>
    <row r="279" spans="1:11" ht="17.100000000000001" customHeight="1" outlineLevel="1" x14ac:dyDescent="0.25">
      <c r="A279" s="107"/>
      <c r="B279" s="107"/>
      <c r="C279" s="107"/>
      <c r="D279">
        <v>2023</v>
      </c>
      <c r="E279">
        <f t="shared" si="30"/>
        <v>6000</v>
      </c>
      <c r="F279">
        <v>6000</v>
      </c>
      <c r="G279">
        <v>0</v>
      </c>
      <c r="H279">
        <v>0</v>
      </c>
      <c r="I279">
        <v>0</v>
      </c>
      <c r="J279" s="107"/>
      <c r="K279" s="107"/>
    </row>
    <row r="280" spans="1:11" outlineLevel="1" x14ac:dyDescent="0.25">
      <c r="A280" s="107"/>
      <c r="B280" s="107"/>
      <c r="C280" s="107"/>
      <c r="D280">
        <v>2024</v>
      </c>
      <c r="E280">
        <f t="shared" si="30"/>
        <v>6000</v>
      </c>
      <c r="F280">
        <v>6000</v>
      </c>
      <c r="G280">
        <v>0</v>
      </c>
      <c r="H280">
        <v>0</v>
      </c>
      <c r="I280">
        <v>0</v>
      </c>
      <c r="J280" s="107"/>
      <c r="K280" s="107"/>
    </row>
    <row r="281" spans="1:11" outlineLevel="1" x14ac:dyDescent="0.25">
      <c r="A281" s="107"/>
      <c r="B281" s="107"/>
      <c r="C281" s="107"/>
      <c r="D281">
        <v>2025</v>
      </c>
      <c r="E281">
        <f t="shared" si="30"/>
        <v>6000</v>
      </c>
      <c r="F281">
        <v>6000</v>
      </c>
      <c r="G281">
        <v>0</v>
      </c>
      <c r="H281">
        <v>0</v>
      </c>
      <c r="I281">
        <v>0</v>
      </c>
      <c r="J281" s="107"/>
      <c r="K281" s="107"/>
    </row>
    <row r="282" spans="1:11" ht="17.100000000000001" customHeight="1" outlineLevel="1" x14ac:dyDescent="0.25">
      <c r="A282" s="107" t="s">
        <v>568</v>
      </c>
      <c r="B282" s="107" t="s">
        <v>569</v>
      </c>
      <c r="C282" s="107">
        <v>2021</v>
      </c>
      <c r="D282" t="s">
        <v>8</v>
      </c>
      <c r="E282">
        <f t="shared" si="30"/>
        <v>3963.1770000000001</v>
      </c>
      <c r="F282">
        <f>SUM(F283:F287)</f>
        <v>3963.1770000000001</v>
      </c>
      <c r="G282">
        <f>SUM(G283:G287)</f>
        <v>0</v>
      </c>
      <c r="H282">
        <f>SUM(H283:H287)</f>
        <v>0</v>
      </c>
      <c r="I282">
        <f>SUM(I283:I287)</f>
        <v>0</v>
      </c>
      <c r="J282" s="107" t="s">
        <v>570</v>
      </c>
      <c r="K282" s="107" t="s">
        <v>1056</v>
      </c>
    </row>
    <row r="283" spans="1:11" ht="17.100000000000001" customHeight="1" outlineLevel="1" x14ac:dyDescent="0.25">
      <c r="A283" s="107"/>
      <c r="B283" s="107"/>
      <c r="C283" s="107"/>
      <c r="D283">
        <v>2021</v>
      </c>
      <c r="E283">
        <f t="shared" si="30"/>
        <v>3963.1770000000001</v>
      </c>
      <c r="F283">
        <f>3963177/1000</f>
        <v>3963.1770000000001</v>
      </c>
      <c r="G283">
        <v>0</v>
      </c>
      <c r="H283">
        <v>0</v>
      </c>
      <c r="I283">
        <v>0</v>
      </c>
      <c r="J283" s="107"/>
      <c r="K283" s="107"/>
    </row>
    <row r="284" spans="1:11" ht="17.100000000000001" customHeight="1" outlineLevel="1" x14ac:dyDescent="0.25">
      <c r="A284" s="107"/>
      <c r="B284" s="107"/>
      <c r="C284" s="107"/>
      <c r="D284">
        <v>2022</v>
      </c>
      <c r="E284">
        <v>0</v>
      </c>
      <c r="F284">
        <v>0</v>
      </c>
      <c r="G284">
        <v>0</v>
      </c>
      <c r="H284">
        <v>0</v>
      </c>
      <c r="I284">
        <v>0</v>
      </c>
      <c r="J284" s="107"/>
      <c r="K284" s="107"/>
    </row>
    <row r="285" spans="1:11" ht="17.100000000000001" customHeight="1" outlineLevel="1" x14ac:dyDescent="0.25">
      <c r="A285" s="107"/>
      <c r="B285" s="107"/>
      <c r="C285" s="107"/>
      <c r="D285">
        <v>2023</v>
      </c>
      <c r="E285">
        <v>0</v>
      </c>
      <c r="F285">
        <v>0</v>
      </c>
      <c r="G285">
        <v>0</v>
      </c>
      <c r="H285">
        <v>0</v>
      </c>
      <c r="I285">
        <v>0</v>
      </c>
      <c r="J285" s="107"/>
      <c r="K285" s="107"/>
    </row>
    <row r="286" spans="1:11" outlineLevel="1" x14ac:dyDescent="0.25">
      <c r="A286" s="107"/>
      <c r="B286" s="107"/>
      <c r="C286" s="107"/>
      <c r="D286">
        <v>2024</v>
      </c>
      <c r="E286">
        <v>0</v>
      </c>
      <c r="F286">
        <v>0</v>
      </c>
      <c r="G286">
        <v>0</v>
      </c>
      <c r="H286">
        <v>0</v>
      </c>
      <c r="I286">
        <v>0</v>
      </c>
      <c r="J286" s="107"/>
      <c r="K286" s="107"/>
    </row>
    <row r="287" spans="1:11" outlineLevel="1" x14ac:dyDescent="0.25">
      <c r="A287" s="107"/>
      <c r="B287" s="107"/>
      <c r="C287" s="107"/>
      <c r="D287">
        <v>2025</v>
      </c>
      <c r="E287">
        <v>0</v>
      </c>
      <c r="F287">
        <v>0</v>
      </c>
      <c r="G287">
        <v>0</v>
      </c>
      <c r="H287">
        <v>0</v>
      </c>
      <c r="I287">
        <v>0</v>
      </c>
      <c r="J287" s="107"/>
      <c r="K287" s="107"/>
    </row>
    <row r="288" spans="1:11" ht="17.100000000000001" customHeight="1" outlineLevel="1" x14ac:dyDescent="0.25">
      <c r="A288" s="107" t="s">
        <v>571</v>
      </c>
      <c r="B288" s="107" t="s">
        <v>572</v>
      </c>
      <c r="C288" s="107">
        <v>2021</v>
      </c>
      <c r="D288" t="s">
        <v>8</v>
      </c>
      <c r="E288">
        <f t="shared" si="30"/>
        <v>22778.260870000002</v>
      </c>
      <c r="F288">
        <f>SUM(F289:F293)</f>
        <v>18860.400000000001</v>
      </c>
      <c r="G288">
        <f>SUM(G289:G293)</f>
        <v>0</v>
      </c>
      <c r="H288">
        <f>SUM(H289:H293)</f>
        <v>3917.86087</v>
      </c>
      <c r="I288">
        <f>SUM(I289:I293)</f>
        <v>0</v>
      </c>
      <c r="J288" s="107" t="s">
        <v>573</v>
      </c>
      <c r="K288" s="107" t="s">
        <v>1075</v>
      </c>
    </row>
    <row r="289" spans="1:11" ht="17.100000000000001" customHeight="1" outlineLevel="1" x14ac:dyDescent="0.25">
      <c r="A289" s="107"/>
      <c r="B289" s="107"/>
      <c r="C289" s="107"/>
      <c r="D289">
        <v>2021</v>
      </c>
      <c r="E289">
        <f t="shared" si="30"/>
        <v>22778.260870000002</v>
      </c>
      <c r="F289">
        <v>18860.400000000001</v>
      </c>
      <c r="G289">
        <v>0</v>
      </c>
      <c r="H289">
        <v>3917.86087</v>
      </c>
      <c r="I289">
        <v>0</v>
      </c>
      <c r="J289" s="107"/>
      <c r="K289" s="107"/>
    </row>
    <row r="290" spans="1:11" ht="17.100000000000001" customHeight="1" outlineLevel="1" x14ac:dyDescent="0.25">
      <c r="A290" s="107"/>
      <c r="B290" s="107"/>
      <c r="C290" s="107"/>
      <c r="D290">
        <v>2022</v>
      </c>
      <c r="E290">
        <v>0</v>
      </c>
      <c r="F290">
        <v>0</v>
      </c>
      <c r="G290">
        <v>0</v>
      </c>
      <c r="H290">
        <v>0</v>
      </c>
      <c r="I290">
        <v>0</v>
      </c>
      <c r="J290" s="107"/>
      <c r="K290" s="107"/>
    </row>
    <row r="291" spans="1:11" ht="17.100000000000001" customHeight="1" outlineLevel="1" x14ac:dyDescent="0.25">
      <c r="A291" s="107"/>
      <c r="B291" s="107"/>
      <c r="C291" s="107"/>
      <c r="D291">
        <v>2023</v>
      </c>
      <c r="E291">
        <v>0</v>
      </c>
      <c r="F291">
        <v>0</v>
      </c>
      <c r="G291">
        <v>0</v>
      </c>
      <c r="H291">
        <v>0</v>
      </c>
      <c r="I291">
        <v>0</v>
      </c>
      <c r="J291" s="107"/>
      <c r="K291" s="107"/>
    </row>
    <row r="292" spans="1:11" outlineLevel="1" x14ac:dyDescent="0.25">
      <c r="A292" s="107"/>
      <c r="B292" s="107"/>
      <c r="C292" s="107"/>
      <c r="D292">
        <v>2024</v>
      </c>
      <c r="E292">
        <v>0</v>
      </c>
      <c r="F292">
        <v>0</v>
      </c>
      <c r="G292">
        <v>0</v>
      </c>
      <c r="H292">
        <v>0</v>
      </c>
      <c r="I292">
        <v>0</v>
      </c>
      <c r="J292" s="107"/>
      <c r="K292" s="107"/>
    </row>
    <row r="293" spans="1:11" outlineLevel="1" x14ac:dyDescent="0.25">
      <c r="A293" s="107"/>
      <c r="B293" s="107"/>
      <c r="C293" s="107"/>
      <c r="D293">
        <v>2025</v>
      </c>
      <c r="E293">
        <v>0</v>
      </c>
      <c r="F293">
        <v>0</v>
      </c>
      <c r="G293">
        <v>0</v>
      </c>
      <c r="H293">
        <v>0</v>
      </c>
      <c r="I293">
        <v>0</v>
      </c>
      <c r="J293" s="107"/>
      <c r="K293" s="107"/>
    </row>
    <row r="294" spans="1:11" ht="17.100000000000001" customHeight="1" outlineLevel="1" x14ac:dyDescent="0.25">
      <c r="A294" s="107" t="s">
        <v>574</v>
      </c>
      <c r="B294" s="107" t="s">
        <v>575</v>
      </c>
      <c r="C294" s="107">
        <v>2021</v>
      </c>
      <c r="D294" t="s">
        <v>8</v>
      </c>
      <c r="E294">
        <f t="shared" si="30"/>
        <v>13258.611985</v>
      </c>
      <c r="F294">
        <f>SUM(F295:F299)</f>
        <v>12595.68138575</v>
      </c>
      <c r="G294">
        <f>SUM(G295:G299)</f>
        <v>0</v>
      </c>
      <c r="H294">
        <f>SUM(H295:H299)</f>
        <v>662.93059924999989</v>
      </c>
      <c r="I294">
        <f>SUM(I295:I299)</f>
        <v>0</v>
      </c>
      <c r="J294" s="107" t="s">
        <v>576</v>
      </c>
      <c r="K294" s="107" t="s">
        <v>103</v>
      </c>
    </row>
    <row r="295" spans="1:11" ht="17.100000000000001" customHeight="1" outlineLevel="1" x14ac:dyDescent="0.25">
      <c r="A295" s="107"/>
      <c r="B295" s="107"/>
      <c r="C295" s="107"/>
      <c r="D295">
        <v>2021</v>
      </c>
      <c r="E295">
        <f t="shared" si="30"/>
        <v>13258.611985</v>
      </c>
      <c r="F295">
        <v>12595.68138575</v>
      </c>
      <c r="G295">
        <v>0</v>
      </c>
      <c r="H295">
        <f>F295/95*5</f>
        <v>662.93059924999989</v>
      </c>
      <c r="I295">
        <v>0</v>
      </c>
      <c r="J295" s="107"/>
      <c r="K295" s="107"/>
    </row>
    <row r="296" spans="1:11" ht="17.100000000000001" customHeight="1" outlineLevel="1" x14ac:dyDescent="0.25">
      <c r="A296" s="107"/>
      <c r="B296" s="107"/>
      <c r="C296" s="107"/>
      <c r="D296">
        <v>2022</v>
      </c>
      <c r="E296">
        <v>0</v>
      </c>
      <c r="F296">
        <v>0</v>
      </c>
      <c r="G296">
        <v>0</v>
      </c>
      <c r="H296">
        <v>0</v>
      </c>
      <c r="I296">
        <v>0</v>
      </c>
      <c r="J296" s="107"/>
      <c r="K296" s="107"/>
    </row>
    <row r="297" spans="1:11" ht="17.100000000000001" customHeight="1" outlineLevel="1" x14ac:dyDescent="0.25">
      <c r="A297" s="107"/>
      <c r="B297" s="107"/>
      <c r="C297" s="107"/>
      <c r="D297">
        <v>2023</v>
      </c>
      <c r="E297">
        <v>0</v>
      </c>
      <c r="F297">
        <v>0</v>
      </c>
      <c r="G297">
        <v>0</v>
      </c>
      <c r="H297">
        <v>0</v>
      </c>
      <c r="I297">
        <v>0</v>
      </c>
      <c r="J297" s="107"/>
      <c r="K297" s="107"/>
    </row>
    <row r="298" spans="1:11" outlineLevel="1" x14ac:dyDescent="0.25">
      <c r="A298" s="107"/>
      <c r="B298" s="107"/>
      <c r="C298" s="107"/>
      <c r="D298">
        <v>2024</v>
      </c>
      <c r="E298">
        <v>0</v>
      </c>
      <c r="F298">
        <v>0</v>
      </c>
      <c r="G298">
        <v>0</v>
      </c>
      <c r="H298">
        <v>0</v>
      </c>
      <c r="I298">
        <v>0</v>
      </c>
      <c r="J298" s="107"/>
      <c r="K298" s="107"/>
    </row>
    <row r="299" spans="1:11" outlineLevel="1" x14ac:dyDescent="0.25">
      <c r="A299" s="107"/>
      <c r="B299" s="107"/>
      <c r="C299" s="107"/>
      <c r="D299">
        <v>2025</v>
      </c>
      <c r="E299">
        <v>0</v>
      </c>
      <c r="F299">
        <v>0</v>
      </c>
      <c r="G299">
        <v>0</v>
      </c>
      <c r="H299">
        <v>0</v>
      </c>
      <c r="I299">
        <v>0</v>
      </c>
      <c r="J299" s="107"/>
      <c r="K299" s="107"/>
    </row>
    <row r="300" spans="1:11" ht="17.100000000000001" customHeight="1" outlineLevel="1" x14ac:dyDescent="0.25">
      <c r="A300" s="107" t="s">
        <v>577</v>
      </c>
      <c r="B300" s="107" t="s">
        <v>578</v>
      </c>
      <c r="C300" s="107">
        <v>2021</v>
      </c>
      <c r="D300" t="s">
        <v>8</v>
      </c>
      <c r="E300">
        <f t="shared" si="30"/>
        <v>7451.59</v>
      </c>
      <c r="F300">
        <f>SUM(F301:F305)</f>
        <v>7079.0105000000003</v>
      </c>
      <c r="G300">
        <f>SUM(G301:G305)</f>
        <v>0</v>
      </c>
      <c r="H300">
        <f>SUM(H301:H305)</f>
        <v>372.5795</v>
      </c>
      <c r="I300">
        <f>SUM(I301:I305)</f>
        <v>0</v>
      </c>
      <c r="J300" s="107" t="s">
        <v>579</v>
      </c>
      <c r="K300" s="107" t="s">
        <v>103</v>
      </c>
    </row>
    <row r="301" spans="1:11" ht="17.100000000000001" customHeight="1" outlineLevel="1" x14ac:dyDescent="0.25">
      <c r="A301" s="107"/>
      <c r="B301" s="107"/>
      <c r="C301" s="107"/>
      <c r="D301">
        <v>2021</v>
      </c>
      <c r="E301">
        <f t="shared" si="30"/>
        <v>7451.59</v>
      </c>
      <c r="F301">
        <v>7079.0105000000003</v>
      </c>
      <c r="G301">
        <v>0</v>
      </c>
      <c r="H301">
        <f>F301/95*5</f>
        <v>372.5795</v>
      </c>
      <c r="I301">
        <v>0</v>
      </c>
      <c r="J301" s="107"/>
      <c r="K301" s="107"/>
    </row>
    <row r="302" spans="1:11" ht="17.100000000000001" customHeight="1" outlineLevel="1" x14ac:dyDescent="0.25">
      <c r="A302" s="107"/>
      <c r="B302" s="107"/>
      <c r="C302" s="107"/>
      <c r="D302">
        <v>2022</v>
      </c>
      <c r="E302">
        <v>0</v>
      </c>
      <c r="F302">
        <v>0</v>
      </c>
      <c r="G302">
        <v>0</v>
      </c>
      <c r="H302">
        <v>0</v>
      </c>
      <c r="I302">
        <v>0</v>
      </c>
      <c r="J302" s="107"/>
      <c r="K302" s="107"/>
    </row>
    <row r="303" spans="1:11" ht="17.100000000000001" customHeight="1" outlineLevel="1" x14ac:dyDescent="0.25">
      <c r="A303" s="107"/>
      <c r="B303" s="107"/>
      <c r="C303" s="107"/>
      <c r="D303">
        <v>2023</v>
      </c>
      <c r="E303">
        <v>0</v>
      </c>
      <c r="F303">
        <v>0</v>
      </c>
      <c r="G303">
        <v>0</v>
      </c>
      <c r="H303">
        <v>0</v>
      </c>
      <c r="I303">
        <v>0</v>
      </c>
      <c r="J303" s="107"/>
      <c r="K303" s="107"/>
    </row>
    <row r="304" spans="1:11" outlineLevel="1" x14ac:dyDescent="0.25">
      <c r="A304" s="107"/>
      <c r="B304" s="107"/>
      <c r="C304" s="107"/>
      <c r="D304">
        <v>2024</v>
      </c>
      <c r="E304">
        <v>0</v>
      </c>
      <c r="F304">
        <v>0</v>
      </c>
      <c r="G304">
        <v>0</v>
      </c>
      <c r="H304">
        <v>0</v>
      </c>
      <c r="I304">
        <v>0</v>
      </c>
      <c r="J304" s="107"/>
      <c r="K304" s="107"/>
    </row>
    <row r="305" spans="1:11" outlineLevel="1" x14ac:dyDescent="0.25">
      <c r="A305" s="107"/>
      <c r="B305" s="107"/>
      <c r="C305" s="107"/>
      <c r="D305">
        <v>2025</v>
      </c>
      <c r="E305">
        <v>0</v>
      </c>
      <c r="F305">
        <v>0</v>
      </c>
      <c r="G305">
        <v>0</v>
      </c>
      <c r="H305">
        <v>0</v>
      </c>
      <c r="I305">
        <v>0</v>
      </c>
      <c r="J305" s="107"/>
      <c r="K305" s="107"/>
    </row>
    <row r="306" spans="1:11" ht="17.100000000000001" customHeight="1" outlineLevel="1" x14ac:dyDescent="0.25">
      <c r="A306" s="107" t="s">
        <v>580</v>
      </c>
      <c r="B306" s="107" t="s">
        <v>416</v>
      </c>
      <c r="C306" s="107">
        <v>2021</v>
      </c>
      <c r="D306" t="s">
        <v>8</v>
      </c>
      <c r="E306">
        <f t="shared" ref="E306:E368" si="32">SUM(F306:I306)</f>
        <v>50013.516600000003</v>
      </c>
      <c r="F306">
        <f>SUM(F307:F311)</f>
        <v>47512.840770000003</v>
      </c>
      <c r="G306">
        <f>SUM(G307:G311)</f>
        <v>0</v>
      </c>
      <c r="H306">
        <f>SUM(H307:H311)</f>
        <v>2500.6758300000001</v>
      </c>
      <c r="I306">
        <f>SUM(I307:I311)</f>
        <v>0</v>
      </c>
      <c r="J306" s="107" t="s">
        <v>581</v>
      </c>
      <c r="K306" s="107" t="s">
        <v>103</v>
      </c>
    </row>
    <row r="307" spans="1:11" ht="17.100000000000001" customHeight="1" outlineLevel="1" x14ac:dyDescent="0.25">
      <c r="A307" s="107"/>
      <c r="B307" s="107"/>
      <c r="C307" s="107"/>
      <c r="D307">
        <v>2021</v>
      </c>
      <c r="E307">
        <f t="shared" si="32"/>
        <v>50013.516600000003</v>
      </c>
      <c r="F307">
        <v>47512.840770000003</v>
      </c>
      <c r="G307">
        <v>0</v>
      </c>
      <c r="H307">
        <f>F307/95*5</f>
        <v>2500.6758300000001</v>
      </c>
      <c r="I307">
        <v>0</v>
      </c>
      <c r="J307" s="107"/>
      <c r="K307" s="107"/>
    </row>
    <row r="308" spans="1:11" ht="17.100000000000001" customHeight="1" outlineLevel="1" x14ac:dyDescent="0.25">
      <c r="A308" s="107"/>
      <c r="B308" s="107"/>
      <c r="C308" s="107"/>
      <c r="D308">
        <v>2022</v>
      </c>
      <c r="E308">
        <v>0</v>
      </c>
      <c r="F308">
        <v>0</v>
      </c>
      <c r="G308">
        <v>0</v>
      </c>
      <c r="H308">
        <v>0</v>
      </c>
      <c r="I308">
        <v>0</v>
      </c>
      <c r="J308" s="107"/>
      <c r="K308" s="107"/>
    </row>
    <row r="309" spans="1:11" ht="17.100000000000001" customHeight="1" outlineLevel="1" x14ac:dyDescent="0.25">
      <c r="A309" s="107"/>
      <c r="B309" s="107"/>
      <c r="C309" s="107"/>
      <c r="D309">
        <v>2023</v>
      </c>
      <c r="E309">
        <v>0</v>
      </c>
      <c r="F309">
        <v>0</v>
      </c>
      <c r="G309">
        <v>0</v>
      </c>
      <c r="H309">
        <v>0</v>
      </c>
      <c r="I309">
        <v>0</v>
      </c>
      <c r="J309" s="107"/>
      <c r="K309" s="107"/>
    </row>
    <row r="310" spans="1:11" outlineLevel="1" x14ac:dyDescent="0.25">
      <c r="A310" s="107"/>
      <c r="B310" s="107"/>
      <c r="C310" s="107"/>
      <c r="D310">
        <v>2024</v>
      </c>
      <c r="E310">
        <v>0</v>
      </c>
      <c r="F310">
        <v>0</v>
      </c>
      <c r="G310">
        <v>0</v>
      </c>
      <c r="H310">
        <v>0</v>
      </c>
      <c r="I310">
        <v>0</v>
      </c>
      <c r="J310" s="107"/>
      <c r="K310" s="107"/>
    </row>
    <row r="311" spans="1:11" outlineLevel="1" x14ac:dyDescent="0.25">
      <c r="A311" s="107"/>
      <c r="B311" s="107"/>
      <c r="C311" s="107"/>
      <c r="D311">
        <v>2025</v>
      </c>
      <c r="E311">
        <v>0</v>
      </c>
      <c r="F311">
        <v>0</v>
      </c>
      <c r="G311">
        <v>0</v>
      </c>
      <c r="H311">
        <v>0</v>
      </c>
      <c r="I311">
        <v>0</v>
      </c>
      <c r="J311" s="107"/>
      <c r="K311" s="107"/>
    </row>
    <row r="312" spans="1:11" ht="17.100000000000001" customHeight="1" outlineLevel="1" x14ac:dyDescent="0.25">
      <c r="A312" s="107" t="s">
        <v>582</v>
      </c>
      <c r="B312" s="107" t="s">
        <v>419</v>
      </c>
      <c r="C312" s="107">
        <v>2021</v>
      </c>
      <c r="D312" t="s">
        <v>8</v>
      </c>
      <c r="E312">
        <f t="shared" si="32"/>
        <v>11561</v>
      </c>
      <c r="F312">
        <f>SUM(F313:F317)</f>
        <v>7549.3329999999996</v>
      </c>
      <c r="G312">
        <f>SUM(G313:G317)</f>
        <v>0</v>
      </c>
      <c r="H312">
        <f>SUM(H313:H317)</f>
        <v>4011.6670000000004</v>
      </c>
      <c r="I312">
        <f>SUM(I313:I317)</f>
        <v>0</v>
      </c>
      <c r="J312" s="107" t="s">
        <v>583</v>
      </c>
      <c r="K312" s="107" t="s">
        <v>103</v>
      </c>
    </row>
    <row r="313" spans="1:11" ht="17.100000000000001" customHeight="1" outlineLevel="1" x14ac:dyDescent="0.25">
      <c r="A313" s="107"/>
      <c r="B313" s="107"/>
      <c r="C313" s="107"/>
      <c r="D313">
        <v>2021</v>
      </c>
      <c r="E313">
        <f t="shared" si="32"/>
        <v>11561</v>
      </c>
      <c r="F313">
        <v>7549.3329999999996</v>
      </c>
      <c r="G313">
        <v>0</v>
      </c>
      <c r="H313">
        <f>F313/65.3*34.7</f>
        <v>4011.6670000000004</v>
      </c>
      <c r="I313">
        <v>0</v>
      </c>
      <c r="J313" s="107"/>
      <c r="K313" s="107"/>
    </row>
    <row r="314" spans="1:11" ht="17.100000000000001" customHeight="1" outlineLevel="1" x14ac:dyDescent="0.25">
      <c r="A314" s="107"/>
      <c r="B314" s="107"/>
      <c r="C314" s="107"/>
      <c r="D314">
        <v>2022</v>
      </c>
      <c r="E314">
        <v>0</v>
      </c>
      <c r="F314">
        <v>0</v>
      </c>
      <c r="G314">
        <v>0</v>
      </c>
      <c r="H314">
        <v>0</v>
      </c>
      <c r="I314">
        <v>0</v>
      </c>
      <c r="J314" s="107"/>
      <c r="K314" s="107"/>
    </row>
    <row r="315" spans="1:11" ht="17.100000000000001" customHeight="1" outlineLevel="1" x14ac:dyDescent="0.25">
      <c r="A315" s="107"/>
      <c r="B315" s="107"/>
      <c r="C315" s="107"/>
      <c r="D315">
        <v>2023</v>
      </c>
      <c r="E315">
        <v>0</v>
      </c>
      <c r="F315">
        <v>0</v>
      </c>
      <c r="G315">
        <v>0</v>
      </c>
      <c r="H315">
        <v>0</v>
      </c>
      <c r="I315">
        <v>0</v>
      </c>
      <c r="J315" s="107"/>
      <c r="K315" s="107"/>
    </row>
    <row r="316" spans="1:11" outlineLevel="1" x14ac:dyDescent="0.25">
      <c r="A316" s="107"/>
      <c r="B316" s="107"/>
      <c r="C316" s="107"/>
      <c r="D316">
        <v>2024</v>
      </c>
      <c r="E316">
        <v>0</v>
      </c>
      <c r="F316">
        <v>0</v>
      </c>
      <c r="G316">
        <v>0</v>
      </c>
      <c r="H316">
        <v>0</v>
      </c>
      <c r="I316">
        <v>0</v>
      </c>
      <c r="J316" s="107"/>
      <c r="K316" s="107"/>
    </row>
    <row r="317" spans="1:11" outlineLevel="1" x14ac:dyDescent="0.25">
      <c r="A317" s="107"/>
      <c r="B317" s="107"/>
      <c r="C317" s="107"/>
      <c r="D317">
        <v>2025</v>
      </c>
      <c r="E317">
        <v>0</v>
      </c>
      <c r="F317">
        <v>0</v>
      </c>
      <c r="G317">
        <v>0</v>
      </c>
      <c r="H317">
        <v>0</v>
      </c>
      <c r="I317">
        <v>0</v>
      </c>
      <c r="J317" s="107"/>
      <c r="K317" s="107"/>
    </row>
    <row r="318" spans="1:11" ht="16.5" hidden="1" customHeight="1" outlineLevel="1" x14ac:dyDescent="0.25">
      <c r="A318" s="107" t="s">
        <v>584</v>
      </c>
      <c r="B318" s="107" t="s">
        <v>424</v>
      </c>
      <c r="C318" s="107">
        <v>2021</v>
      </c>
      <c r="D318" t="s">
        <v>8</v>
      </c>
      <c r="E318">
        <f t="shared" si="32"/>
        <v>0</v>
      </c>
      <c r="F318">
        <f>SUM(F319:F323)</f>
        <v>0</v>
      </c>
      <c r="G318">
        <f>SUM(G319:G323)</f>
        <v>0</v>
      </c>
      <c r="H318">
        <f>SUM(H319:H323)</f>
        <v>0</v>
      </c>
      <c r="I318">
        <f>SUM(I319:I323)</f>
        <v>0</v>
      </c>
      <c r="J318" s="107" t="s">
        <v>585</v>
      </c>
      <c r="K318" s="107" t="s">
        <v>103</v>
      </c>
    </row>
    <row r="319" spans="1:11" ht="16.5" hidden="1" customHeight="1" outlineLevel="1" x14ac:dyDescent="0.25">
      <c r="A319" s="107"/>
      <c r="B319" s="107"/>
      <c r="C319" s="107"/>
      <c r="D319">
        <v>2021</v>
      </c>
      <c r="E319">
        <f t="shared" si="32"/>
        <v>0</v>
      </c>
      <c r="F319">
        <v>0</v>
      </c>
      <c r="G319">
        <v>0</v>
      </c>
      <c r="H319">
        <f>F319/95*5</f>
        <v>0</v>
      </c>
      <c r="I319">
        <v>0</v>
      </c>
      <c r="J319" s="107"/>
      <c r="K319" s="107"/>
    </row>
    <row r="320" spans="1:11" ht="16.5" hidden="1" customHeight="1" outlineLevel="1" x14ac:dyDescent="0.25">
      <c r="A320" s="107"/>
      <c r="B320" s="107"/>
      <c r="C320" s="107"/>
      <c r="D320">
        <v>2022</v>
      </c>
      <c r="E320">
        <v>0</v>
      </c>
      <c r="F320">
        <v>0</v>
      </c>
      <c r="G320">
        <v>0</v>
      </c>
      <c r="H320">
        <v>0</v>
      </c>
      <c r="I320">
        <v>0</v>
      </c>
      <c r="J320" s="107"/>
      <c r="K320" s="107"/>
    </row>
    <row r="321" spans="1:11" ht="16.5" hidden="1" customHeight="1" outlineLevel="1" x14ac:dyDescent="0.25">
      <c r="A321" s="107"/>
      <c r="B321" s="107"/>
      <c r="C321" s="107"/>
      <c r="D321">
        <v>2023</v>
      </c>
      <c r="E321">
        <v>0</v>
      </c>
      <c r="F321">
        <v>0</v>
      </c>
      <c r="G321">
        <v>0</v>
      </c>
      <c r="H321">
        <v>0</v>
      </c>
      <c r="I321">
        <v>0</v>
      </c>
      <c r="J321" s="107"/>
      <c r="K321" s="107"/>
    </row>
    <row r="322" spans="1:11" hidden="1" outlineLevel="1" x14ac:dyDescent="0.25">
      <c r="A322" s="107"/>
      <c r="B322" s="107"/>
      <c r="C322" s="107"/>
      <c r="D322">
        <v>2024</v>
      </c>
      <c r="E322">
        <v>0</v>
      </c>
      <c r="F322">
        <v>0</v>
      </c>
      <c r="G322">
        <v>0</v>
      </c>
      <c r="H322">
        <v>0</v>
      </c>
      <c r="I322">
        <v>0</v>
      </c>
      <c r="J322" s="107"/>
      <c r="K322" s="107"/>
    </row>
    <row r="323" spans="1:11" hidden="1" outlineLevel="1" x14ac:dyDescent="0.25">
      <c r="A323" s="107"/>
      <c r="B323" s="107"/>
      <c r="C323" s="107"/>
      <c r="D323">
        <v>2025</v>
      </c>
      <c r="E323">
        <v>0</v>
      </c>
      <c r="F323">
        <v>0</v>
      </c>
      <c r="G323">
        <v>0</v>
      </c>
      <c r="H323">
        <v>0</v>
      </c>
      <c r="I323">
        <v>0</v>
      </c>
      <c r="J323" s="107"/>
      <c r="K323" s="107"/>
    </row>
    <row r="324" spans="1:11" ht="15" customHeight="1" outlineLevel="1" x14ac:dyDescent="0.25">
      <c r="A324" s="107" t="s">
        <v>586</v>
      </c>
      <c r="B324" s="107" t="s">
        <v>587</v>
      </c>
      <c r="C324" s="107">
        <v>2021</v>
      </c>
      <c r="D324" t="s">
        <v>8</v>
      </c>
      <c r="E324">
        <f t="shared" si="32"/>
        <v>26597.568421052631</v>
      </c>
      <c r="F324">
        <f>SUM(F325:F329)</f>
        <v>25267.69</v>
      </c>
      <c r="G324">
        <f>SUM(G325:G329)</f>
        <v>0</v>
      </c>
      <c r="H324">
        <f>SUM(H325:H329)</f>
        <v>1329.8784210526314</v>
      </c>
      <c r="I324">
        <f>SUM(I325:I329)</f>
        <v>0</v>
      </c>
      <c r="J324" s="107" t="s">
        <v>588</v>
      </c>
      <c r="K324" s="107" t="s">
        <v>103</v>
      </c>
    </row>
    <row r="325" spans="1:11" ht="15" customHeight="1" outlineLevel="1" x14ac:dyDescent="0.25">
      <c r="A325" s="107"/>
      <c r="B325" s="107"/>
      <c r="C325" s="107"/>
      <c r="D325">
        <v>2021</v>
      </c>
      <c r="E325">
        <f t="shared" si="32"/>
        <v>26597.568421052631</v>
      </c>
      <c r="F325">
        <v>25267.69</v>
      </c>
      <c r="G325">
        <v>0</v>
      </c>
      <c r="H325">
        <f>F325/95*5</f>
        <v>1329.8784210526314</v>
      </c>
      <c r="I325">
        <v>0</v>
      </c>
      <c r="J325" s="107"/>
      <c r="K325" s="107"/>
    </row>
    <row r="326" spans="1:11" ht="15" customHeight="1" outlineLevel="1" x14ac:dyDescent="0.25">
      <c r="A326" s="107"/>
      <c r="B326" s="107"/>
      <c r="C326" s="107"/>
      <c r="D326">
        <v>2022</v>
      </c>
      <c r="E326">
        <v>0</v>
      </c>
      <c r="F326">
        <v>0</v>
      </c>
      <c r="G326">
        <v>0</v>
      </c>
      <c r="H326">
        <v>0</v>
      </c>
      <c r="I326">
        <v>0</v>
      </c>
      <c r="J326" s="107"/>
      <c r="K326" s="107"/>
    </row>
    <row r="327" spans="1:11" ht="15" customHeight="1" outlineLevel="1" x14ac:dyDescent="0.25">
      <c r="A327" s="107"/>
      <c r="B327" s="107"/>
      <c r="C327" s="107"/>
      <c r="D327">
        <v>2023</v>
      </c>
      <c r="E327">
        <v>0</v>
      </c>
      <c r="F327">
        <v>0</v>
      </c>
      <c r="G327">
        <v>0</v>
      </c>
      <c r="H327">
        <v>0</v>
      </c>
      <c r="I327">
        <v>0</v>
      </c>
      <c r="J327" s="107"/>
      <c r="K327" s="107"/>
    </row>
    <row r="328" spans="1:11" ht="15" customHeight="1" outlineLevel="1" x14ac:dyDescent="0.25">
      <c r="A328" s="107"/>
      <c r="B328" s="107"/>
      <c r="C328" s="107"/>
      <c r="D328">
        <v>2024</v>
      </c>
      <c r="E328">
        <v>0</v>
      </c>
      <c r="F328">
        <v>0</v>
      </c>
      <c r="G328">
        <v>0</v>
      </c>
      <c r="H328">
        <v>0</v>
      </c>
      <c r="I328">
        <v>0</v>
      </c>
      <c r="J328" s="107"/>
      <c r="K328" s="107"/>
    </row>
    <row r="329" spans="1:11" ht="15" customHeight="1" outlineLevel="1" x14ac:dyDescent="0.25">
      <c r="A329" s="107"/>
      <c r="B329" s="107"/>
      <c r="C329" s="107"/>
      <c r="D329">
        <v>2025</v>
      </c>
      <c r="E329">
        <v>0</v>
      </c>
      <c r="F329">
        <v>0</v>
      </c>
      <c r="G329">
        <v>0</v>
      </c>
      <c r="H329">
        <v>0</v>
      </c>
      <c r="I329">
        <v>0</v>
      </c>
      <c r="J329" s="107"/>
      <c r="K329" s="107"/>
    </row>
    <row r="330" spans="1:11" ht="15" customHeight="1" outlineLevel="1" x14ac:dyDescent="0.25">
      <c r="A330" s="107" t="s">
        <v>589</v>
      </c>
      <c r="B330" s="107" t="s">
        <v>590</v>
      </c>
      <c r="C330" s="107">
        <v>2021</v>
      </c>
      <c r="D330" t="s">
        <v>8</v>
      </c>
      <c r="E330">
        <f t="shared" si="32"/>
        <v>2270.6600000000003</v>
      </c>
      <c r="F330">
        <f>SUM(F331:F335)</f>
        <v>2100.36</v>
      </c>
      <c r="G330">
        <f>SUM(G331:G335)</f>
        <v>0</v>
      </c>
      <c r="H330">
        <f>SUM(H331:H335)</f>
        <v>170.3</v>
      </c>
      <c r="I330">
        <f>SUM(I331:I335)</f>
        <v>0</v>
      </c>
      <c r="J330" s="107" t="s">
        <v>591</v>
      </c>
      <c r="K330" s="107" t="s">
        <v>748</v>
      </c>
    </row>
    <row r="331" spans="1:11" ht="15" customHeight="1" outlineLevel="1" x14ac:dyDescent="0.25">
      <c r="A331" s="107"/>
      <c r="B331" s="107"/>
      <c r="C331" s="107"/>
      <c r="D331">
        <v>2021</v>
      </c>
      <c r="E331">
        <f t="shared" si="32"/>
        <v>2270.6600000000003</v>
      </c>
      <c r="F331">
        <v>2100.36</v>
      </c>
      <c r="G331">
        <v>0</v>
      </c>
      <c r="H331">
        <v>170.3</v>
      </c>
      <c r="I331">
        <v>0</v>
      </c>
      <c r="J331" s="107"/>
      <c r="K331" s="107"/>
    </row>
    <row r="332" spans="1:11" ht="15" customHeight="1" outlineLevel="1" x14ac:dyDescent="0.25">
      <c r="A332" s="107"/>
      <c r="B332" s="107"/>
      <c r="C332" s="107"/>
      <c r="D332">
        <v>2022</v>
      </c>
      <c r="E332">
        <f t="shared" si="32"/>
        <v>0</v>
      </c>
      <c r="F332">
        <v>0</v>
      </c>
      <c r="G332">
        <v>0</v>
      </c>
      <c r="H332">
        <v>0</v>
      </c>
      <c r="I332">
        <v>0</v>
      </c>
      <c r="J332" s="107"/>
      <c r="K332" s="107"/>
    </row>
    <row r="333" spans="1:11" ht="15" customHeight="1" outlineLevel="1" x14ac:dyDescent="0.25">
      <c r="A333" s="107"/>
      <c r="B333" s="107"/>
      <c r="C333" s="107"/>
      <c r="D333">
        <v>2023</v>
      </c>
      <c r="E333">
        <f t="shared" si="32"/>
        <v>0</v>
      </c>
      <c r="F333">
        <v>0</v>
      </c>
      <c r="G333">
        <v>0</v>
      </c>
      <c r="H333">
        <v>0</v>
      </c>
      <c r="I333">
        <v>0</v>
      </c>
      <c r="J333" s="107"/>
      <c r="K333" s="107"/>
    </row>
    <row r="334" spans="1:11" ht="15" customHeight="1" outlineLevel="1" x14ac:dyDescent="0.25">
      <c r="A334" s="107"/>
      <c r="B334" s="107"/>
      <c r="C334" s="107"/>
      <c r="D334">
        <v>2024</v>
      </c>
      <c r="E334">
        <f t="shared" si="32"/>
        <v>0</v>
      </c>
      <c r="F334">
        <v>0</v>
      </c>
      <c r="G334">
        <v>0</v>
      </c>
      <c r="H334">
        <v>0</v>
      </c>
      <c r="I334">
        <v>0</v>
      </c>
      <c r="J334" s="107"/>
      <c r="K334" s="107"/>
    </row>
    <row r="335" spans="1:11" ht="14.25" customHeight="1" outlineLevel="1" x14ac:dyDescent="0.25">
      <c r="A335" s="107"/>
      <c r="B335" s="107"/>
      <c r="C335" s="107"/>
      <c r="D335">
        <v>2025</v>
      </c>
      <c r="E335">
        <f t="shared" si="32"/>
        <v>0</v>
      </c>
      <c r="F335">
        <v>0</v>
      </c>
      <c r="G335">
        <v>0</v>
      </c>
      <c r="H335">
        <v>0</v>
      </c>
      <c r="I335">
        <v>0</v>
      </c>
      <c r="J335" s="107"/>
      <c r="K335" s="107"/>
    </row>
    <row r="336" spans="1:11" ht="15" hidden="1" customHeight="1" outlineLevel="1" x14ac:dyDescent="0.25">
      <c r="A336" s="107" t="s">
        <v>592</v>
      </c>
      <c r="B336" s="107" t="s">
        <v>593</v>
      </c>
      <c r="C336" s="107">
        <v>2021</v>
      </c>
      <c r="D336" t="s">
        <v>8</v>
      </c>
      <c r="J336" s="107" t="s">
        <v>594</v>
      </c>
      <c r="K336" s="107" t="s">
        <v>103</v>
      </c>
    </row>
    <row r="337" spans="1:12" ht="14.25" hidden="1" customHeight="1" outlineLevel="1" x14ac:dyDescent="0.25">
      <c r="A337" s="107"/>
      <c r="B337" s="107"/>
      <c r="C337" s="107"/>
      <c r="D337">
        <v>2021</v>
      </c>
      <c r="J337" s="107"/>
      <c r="K337" s="107"/>
    </row>
    <row r="338" spans="1:12" ht="12.75" hidden="1" customHeight="1" outlineLevel="1" x14ac:dyDescent="0.25">
      <c r="A338" s="107"/>
      <c r="B338" s="107"/>
      <c r="C338" s="107"/>
      <c r="D338">
        <v>2022</v>
      </c>
      <c r="J338" s="107"/>
      <c r="K338" s="107"/>
    </row>
    <row r="339" spans="1:12" ht="12.75" hidden="1" customHeight="1" outlineLevel="1" x14ac:dyDescent="0.25">
      <c r="A339" s="107"/>
      <c r="B339" s="107"/>
      <c r="C339" s="107"/>
      <c r="D339">
        <v>2023</v>
      </c>
      <c r="J339" s="107"/>
      <c r="K339" s="107"/>
    </row>
    <row r="340" spans="1:12" ht="12.75" hidden="1" customHeight="1" outlineLevel="1" x14ac:dyDescent="0.25">
      <c r="A340" s="107"/>
      <c r="B340" s="107"/>
      <c r="C340" s="107"/>
      <c r="D340">
        <v>2024</v>
      </c>
      <c r="J340" s="107"/>
      <c r="K340" s="107"/>
    </row>
    <row r="341" spans="1:12" ht="20.25" hidden="1" customHeight="1" outlineLevel="1" x14ac:dyDescent="0.25">
      <c r="A341" s="107"/>
      <c r="B341" s="107"/>
      <c r="C341" s="107"/>
      <c r="D341">
        <v>2025</v>
      </c>
      <c r="J341" s="107"/>
      <c r="K341" s="107"/>
    </row>
    <row r="342" spans="1:12" ht="12.75" customHeight="1" outlineLevel="1" x14ac:dyDescent="0.25">
      <c r="A342" s="107" t="s">
        <v>592</v>
      </c>
      <c r="B342" s="107" t="s">
        <v>595</v>
      </c>
      <c r="C342" s="107">
        <v>2021</v>
      </c>
      <c r="D342" t="s">
        <v>8</v>
      </c>
      <c r="E342">
        <f t="shared" si="32"/>
        <v>470</v>
      </c>
      <c r="F342">
        <f>SUM(F343:F347)</f>
        <v>470</v>
      </c>
      <c r="G342">
        <f>SUM(G343:G347)</f>
        <v>0</v>
      </c>
      <c r="H342">
        <f>SUM(H343:H347)</f>
        <v>0</v>
      </c>
      <c r="I342">
        <f>SUM(I343:I347)</f>
        <v>0</v>
      </c>
      <c r="J342" s="107" t="s">
        <v>596</v>
      </c>
      <c r="K342" s="107" t="s">
        <v>597</v>
      </c>
    </row>
    <row r="343" spans="1:12" ht="12.75" customHeight="1" outlineLevel="1" x14ac:dyDescent="0.25">
      <c r="A343" s="107"/>
      <c r="B343" s="107"/>
      <c r="C343" s="107"/>
      <c r="D343">
        <v>2021</v>
      </c>
      <c r="E343">
        <f t="shared" si="32"/>
        <v>470</v>
      </c>
      <c r="F343">
        <v>470</v>
      </c>
      <c r="G343">
        <v>0</v>
      </c>
      <c r="H343">
        <v>0</v>
      </c>
      <c r="I343">
        <v>0</v>
      </c>
      <c r="J343" s="107"/>
      <c r="K343" s="107"/>
    </row>
    <row r="344" spans="1:12" ht="12.75" customHeight="1" outlineLevel="1" x14ac:dyDescent="0.25">
      <c r="A344" s="107"/>
      <c r="B344" s="107"/>
      <c r="C344" s="107"/>
      <c r="D344">
        <v>2022</v>
      </c>
      <c r="E344">
        <f t="shared" si="32"/>
        <v>0</v>
      </c>
      <c r="F344">
        <v>0</v>
      </c>
      <c r="G344">
        <v>0</v>
      </c>
      <c r="H344">
        <v>0</v>
      </c>
      <c r="I344">
        <v>0</v>
      </c>
      <c r="J344" s="107"/>
      <c r="K344" s="107"/>
    </row>
    <row r="345" spans="1:12" ht="12.75" customHeight="1" outlineLevel="1" x14ac:dyDescent="0.25">
      <c r="A345" s="107"/>
      <c r="B345" s="107"/>
      <c r="C345" s="107"/>
      <c r="D345">
        <v>2023</v>
      </c>
      <c r="E345">
        <f t="shared" si="32"/>
        <v>0</v>
      </c>
      <c r="F345">
        <v>0</v>
      </c>
      <c r="G345">
        <v>0</v>
      </c>
      <c r="H345">
        <v>0</v>
      </c>
      <c r="I345">
        <v>0</v>
      </c>
      <c r="J345" s="107"/>
      <c r="K345" s="107"/>
    </row>
    <row r="346" spans="1:12" ht="12.75" customHeight="1" outlineLevel="1" x14ac:dyDescent="0.25">
      <c r="A346" s="107"/>
      <c r="B346" s="107"/>
      <c r="C346" s="107"/>
      <c r="D346">
        <v>2024</v>
      </c>
      <c r="E346">
        <f t="shared" si="32"/>
        <v>0</v>
      </c>
      <c r="F346">
        <v>0</v>
      </c>
      <c r="G346">
        <v>0</v>
      </c>
      <c r="H346">
        <v>0</v>
      </c>
      <c r="I346">
        <v>0</v>
      </c>
      <c r="J346" s="107"/>
      <c r="K346" s="107"/>
    </row>
    <row r="347" spans="1:12" ht="12.75" customHeight="1" outlineLevel="1" x14ac:dyDescent="0.25">
      <c r="A347" s="107"/>
      <c r="B347" s="107"/>
      <c r="C347" s="107"/>
      <c r="D347">
        <v>2025</v>
      </c>
      <c r="E347">
        <f t="shared" si="32"/>
        <v>0</v>
      </c>
      <c r="F347">
        <v>0</v>
      </c>
      <c r="G347">
        <v>0</v>
      </c>
      <c r="H347">
        <v>0</v>
      </c>
      <c r="I347">
        <v>0</v>
      </c>
      <c r="J347" s="107"/>
      <c r="K347" s="107"/>
    </row>
    <row r="348" spans="1:12" ht="12.75" customHeight="1" outlineLevel="1" x14ac:dyDescent="0.25">
      <c r="A348" s="107" t="s">
        <v>116</v>
      </c>
      <c r="B348" s="107" t="s">
        <v>40</v>
      </c>
      <c r="C348" s="107" t="s">
        <v>41</v>
      </c>
      <c r="D348" t="s">
        <v>8</v>
      </c>
      <c r="E348">
        <f t="shared" si="32"/>
        <v>841161.25291684223</v>
      </c>
      <c r="F348">
        <f>SUM(F349:F353)</f>
        <v>322581.13746000006</v>
      </c>
      <c r="G348">
        <f>SUM(G349:G353)</f>
        <v>502391</v>
      </c>
      <c r="H348">
        <f>SUM(H349:H353)</f>
        <v>16189.115456842106</v>
      </c>
      <c r="I348">
        <f>SUM(I349:I353)</f>
        <v>0</v>
      </c>
      <c r="J348" s="107" t="s">
        <v>117</v>
      </c>
      <c r="K348" s="107" t="s">
        <v>601</v>
      </c>
    </row>
    <row r="349" spans="1:12" outlineLevel="1" x14ac:dyDescent="0.25">
      <c r="A349" s="107"/>
      <c r="B349" s="107"/>
      <c r="C349" s="107"/>
      <c r="D349">
        <v>2021</v>
      </c>
      <c r="E349">
        <f t="shared" si="32"/>
        <v>277169.42298999999</v>
      </c>
      <c r="F349">
        <f>F355+F361+F367+F373</f>
        <v>18858.950530000002</v>
      </c>
      <c r="G349">
        <f t="shared" ref="F349:I353" si="33">G355+G361+G367+G373</f>
        <v>257488.7</v>
      </c>
      <c r="H349">
        <f t="shared" si="33"/>
        <v>821.77245999999991</v>
      </c>
      <c r="I349">
        <f t="shared" si="33"/>
        <v>0</v>
      </c>
      <c r="J349" s="107"/>
      <c r="K349" s="107"/>
      <c r="L349">
        <f t="shared" ref="L349:L350" si="34">F361/95*5</f>
        <v>287.26860684210527</v>
      </c>
    </row>
    <row r="350" spans="1:12" outlineLevel="1" x14ac:dyDescent="0.25">
      <c r="A350" s="107"/>
      <c r="B350" s="107"/>
      <c r="C350" s="107"/>
      <c r="D350">
        <v>2022</v>
      </c>
      <c r="E350">
        <f t="shared" si="32"/>
        <v>420368.93519000005</v>
      </c>
      <c r="F350">
        <f t="shared" si="33"/>
        <v>287896.88693000004</v>
      </c>
      <c r="G350">
        <f t="shared" si="33"/>
        <v>117511.3</v>
      </c>
      <c r="H350">
        <f t="shared" si="33"/>
        <v>14960.74826</v>
      </c>
      <c r="I350">
        <f t="shared" si="33"/>
        <v>0</v>
      </c>
      <c r="J350" s="107"/>
      <c r="K350" s="107"/>
      <c r="L350">
        <f t="shared" si="34"/>
        <v>7972.525007368421</v>
      </c>
    </row>
    <row r="351" spans="1:12" outlineLevel="1" x14ac:dyDescent="0.25">
      <c r="A351" s="107"/>
      <c r="B351" s="107"/>
      <c r="C351" s="107"/>
      <c r="D351">
        <v>2023</v>
      </c>
      <c r="E351">
        <f t="shared" si="32"/>
        <v>139572.89473684211</v>
      </c>
      <c r="F351">
        <f t="shared" si="33"/>
        <v>11775.3</v>
      </c>
      <c r="G351">
        <f t="shared" si="33"/>
        <v>127391</v>
      </c>
      <c r="H351">
        <f t="shared" si="33"/>
        <v>406.59473684210525</v>
      </c>
      <c r="I351">
        <f t="shared" si="33"/>
        <v>0</v>
      </c>
      <c r="J351" s="107"/>
      <c r="K351" s="107"/>
    </row>
    <row r="352" spans="1:12" outlineLevel="1" x14ac:dyDescent="0.25">
      <c r="A352" s="107"/>
      <c r="B352" s="107"/>
      <c r="C352" s="107"/>
      <c r="D352">
        <v>2024</v>
      </c>
      <c r="E352">
        <f t="shared" si="32"/>
        <v>4050</v>
      </c>
      <c r="F352">
        <f t="shared" si="33"/>
        <v>4050</v>
      </c>
      <c r="G352">
        <f t="shared" si="33"/>
        <v>0</v>
      </c>
      <c r="H352">
        <f t="shared" si="33"/>
        <v>0</v>
      </c>
      <c r="I352">
        <f t="shared" si="33"/>
        <v>0</v>
      </c>
      <c r="J352" s="107"/>
      <c r="K352" s="107"/>
    </row>
    <row r="353" spans="1:11" outlineLevel="1" x14ac:dyDescent="0.25">
      <c r="A353" s="107"/>
      <c r="B353" s="107"/>
      <c r="C353" s="107"/>
      <c r="D353">
        <v>2025</v>
      </c>
      <c r="E353">
        <f t="shared" si="32"/>
        <v>0</v>
      </c>
      <c r="F353">
        <f t="shared" si="33"/>
        <v>0</v>
      </c>
      <c r="G353">
        <f t="shared" si="33"/>
        <v>0</v>
      </c>
      <c r="H353">
        <f t="shared" si="33"/>
        <v>0</v>
      </c>
      <c r="I353">
        <f>I359+I365+I371+I377</f>
        <v>0</v>
      </c>
      <c r="J353" s="107"/>
      <c r="K353" s="107"/>
    </row>
    <row r="354" spans="1:11" x14ac:dyDescent="0.25">
      <c r="A354" s="107" t="s">
        <v>119</v>
      </c>
      <c r="B354" s="107" t="s">
        <v>120</v>
      </c>
      <c r="C354" s="107" t="s">
        <v>41</v>
      </c>
      <c r="D354" t="s">
        <v>8</v>
      </c>
      <c r="E354">
        <f t="shared" si="32"/>
        <v>15168.79</v>
      </c>
      <c r="F354">
        <f>SUM(F355:F359)</f>
        <v>15168.79</v>
      </c>
      <c r="G354">
        <f>SUM(G355:G359)</f>
        <v>0</v>
      </c>
      <c r="H354">
        <f>SUM(H355:H359)</f>
        <v>0</v>
      </c>
      <c r="I354">
        <f>SUM(I355:I359)</f>
        <v>0</v>
      </c>
      <c r="J354" s="107" t="s">
        <v>121</v>
      </c>
      <c r="K354" s="107" t="s">
        <v>484</v>
      </c>
    </row>
    <row r="355" spans="1:11" ht="14.25" customHeight="1" x14ac:dyDescent="0.25">
      <c r="A355" s="107"/>
      <c r="B355" s="107"/>
      <c r="C355" s="107"/>
      <c r="D355">
        <v>2021</v>
      </c>
      <c r="E355">
        <f t="shared" si="32"/>
        <v>3018.79</v>
      </c>
      <c r="F355">
        <f>3018790/1000</f>
        <v>3018.79</v>
      </c>
      <c r="G355">
        <v>0</v>
      </c>
      <c r="H355">
        <v>0</v>
      </c>
      <c r="I355">
        <v>0</v>
      </c>
      <c r="J355" s="107"/>
      <c r="K355" s="107"/>
    </row>
    <row r="356" spans="1:11" x14ac:dyDescent="0.25">
      <c r="A356" s="107"/>
      <c r="B356" s="107"/>
      <c r="C356" s="107"/>
      <c r="D356">
        <v>2022</v>
      </c>
      <c r="E356">
        <f t="shared" si="32"/>
        <v>4050</v>
      </c>
      <c r="F356">
        <v>4050</v>
      </c>
      <c r="G356">
        <v>0</v>
      </c>
      <c r="H356">
        <v>0</v>
      </c>
      <c r="I356">
        <v>0</v>
      </c>
      <c r="J356" s="107"/>
      <c r="K356" s="107"/>
    </row>
    <row r="357" spans="1:11" x14ac:dyDescent="0.25">
      <c r="A357" s="107"/>
      <c r="B357" s="107"/>
      <c r="C357" s="107"/>
      <c r="D357">
        <v>2023</v>
      </c>
      <c r="E357">
        <f t="shared" si="32"/>
        <v>4050</v>
      </c>
      <c r="F357">
        <v>4050</v>
      </c>
      <c r="G357">
        <v>0</v>
      </c>
      <c r="H357">
        <v>0</v>
      </c>
      <c r="I357">
        <v>0</v>
      </c>
      <c r="J357" s="107"/>
      <c r="K357" s="107"/>
    </row>
    <row r="358" spans="1:11" x14ac:dyDescent="0.25">
      <c r="A358" s="107"/>
      <c r="B358" s="107"/>
      <c r="C358" s="107"/>
      <c r="D358">
        <v>2024</v>
      </c>
      <c r="E358">
        <f t="shared" si="32"/>
        <v>4050</v>
      </c>
      <c r="F358">
        <v>4050</v>
      </c>
      <c r="G358">
        <v>0</v>
      </c>
      <c r="H358">
        <v>0</v>
      </c>
      <c r="I358">
        <v>0</v>
      </c>
      <c r="J358" s="107"/>
      <c r="K358" s="107"/>
    </row>
    <row r="359" spans="1:11" x14ac:dyDescent="0.25">
      <c r="A359" s="107"/>
      <c r="B359" s="107"/>
      <c r="C359" s="107"/>
      <c r="D359">
        <v>2025</v>
      </c>
      <c r="E359">
        <f t="shared" si="32"/>
        <v>0</v>
      </c>
      <c r="F359">
        <v>0</v>
      </c>
      <c r="G359">
        <v>0</v>
      </c>
      <c r="H359">
        <v>0</v>
      </c>
      <c r="I359">
        <v>0</v>
      </c>
      <c r="J359" s="107"/>
      <c r="K359" s="107"/>
    </row>
    <row r="360" spans="1:11" x14ac:dyDescent="0.25">
      <c r="A360" s="107" t="s">
        <v>122</v>
      </c>
      <c r="B360" s="107" t="s">
        <v>123</v>
      </c>
      <c r="C360" s="107" t="s">
        <v>124</v>
      </c>
      <c r="D360" t="s">
        <v>8</v>
      </c>
      <c r="E360">
        <f t="shared" si="32"/>
        <v>286452.78574999998</v>
      </c>
      <c r="F360">
        <f>SUM(F361:F365)</f>
        <v>156936.07866999999</v>
      </c>
      <c r="G360">
        <f>SUM(G361:G365)</f>
        <v>121253.24861000001</v>
      </c>
      <c r="H360">
        <f>SUM(H361:H365)</f>
        <v>8263.4584699999996</v>
      </c>
      <c r="I360">
        <f>SUM(I361:I365)</f>
        <v>0</v>
      </c>
      <c r="J360" s="107" t="s">
        <v>602</v>
      </c>
      <c r="K360" s="107" t="s">
        <v>20</v>
      </c>
    </row>
    <row r="361" spans="1:11" ht="14.25" customHeight="1" x14ac:dyDescent="0.25">
      <c r="A361" s="107"/>
      <c r="B361" s="107"/>
      <c r="C361" s="107"/>
      <c r="D361">
        <v>2021</v>
      </c>
      <c r="E361">
        <f t="shared" si="32"/>
        <v>94465.110319999992</v>
      </c>
      <c r="F361">
        <v>5458.1035300000003</v>
      </c>
      <c r="G361">
        <v>88723.845570000005</v>
      </c>
      <c r="H361">
        <v>283.16122000000001</v>
      </c>
      <c r="I361">
        <v>0</v>
      </c>
      <c r="J361" s="107"/>
      <c r="K361" s="107"/>
    </row>
    <row r="362" spans="1:11" x14ac:dyDescent="0.25">
      <c r="A362" s="107"/>
      <c r="B362" s="107"/>
      <c r="C362" s="107"/>
      <c r="D362">
        <v>2022</v>
      </c>
      <c r="E362">
        <f t="shared" si="32"/>
        <v>191987.67543</v>
      </c>
      <c r="F362">
        <v>151477.97514</v>
      </c>
      <c r="G362">
        <v>32529.403040000001</v>
      </c>
      <c r="H362">
        <v>7980.2972499999996</v>
      </c>
      <c r="I362">
        <v>0</v>
      </c>
      <c r="J362" s="107"/>
      <c r="K362" s="107"/>
    </row>
    <row r="363" spans="1:11" x14ac:dyDescent="0.25">
      <c r="A363" s="107"/>
      <c r="B363" s="107"/>
      <c r="C363" s="107"/>
      <c r="D363">
        <v>2023</v>
      </c>
      <c r="E363">
        <f t="shared" si="32"/>
        <v>0</v>
      </c>
      <c r="F363">
        <v>0</v>
      </c>
      <c r="G363">
        <v>0</v>
      </c>
      <c r="H363">
        <v>0</v>
      </c>
      <c r="I363">
        <v>0</v>
      </c>
      <c r="J363" s="107"/>
      <c r="K363" s="107"/>
    </row>
    <row r="364" spans="1:11" x14ac:dyDescent="0.25">
      <c r="A364" s="107"/>
      <c r="B364" s="107"/>
      <c r="C364" s="107"/>
      <c r="D364">
        <v>2024</v>
      </c>
      <c r="E364">
        <f t="shared" si="32"/>
        <v>0</v>
      </c>
      <c r="F364">
        <v>0</v>
      </c>
      <c r="G364">
        <v>0</v>
      </c>
      <c r="H364">
        <v>0</v>
      </c>
      <c r="I364">
        <v>0</v>
      </c>
      <c r="J364" s="107"/>
      <c r="K364" s="107"/>
    </row>
    <row r="365" spans="1:11" x14ac:dyDescent="0.25">
      <c r="A365" s="107"/>
      <c r="B365" s="107"/>
      <c r="C365" s="107"/>
      <c r="D365">
        <v>2025</v>
      </c>
      <c r="E365">
        <f t="shared" si="32"/>
        <v>0</v>
      </c>
      <c r="F365">
        <v>0</v>
      </c>
      <c r="G365">
        <v>0</v>
      </c>
      <c r="H365">
        <v>0</v>
      </c>
      <c r="I365">
        <v>0</v>
      </c>
      <c r="J365" s="107"/>
      <c r="K365" s="107"/>
    </row>
    <row r="366" spans="1:11" x14ac:dyDescent="0.25">
      <c r="A366" s="107" t="s">
        <v>126</v>
      </c>
      <c r="B366" s="107" t="s">
        <v>127</v>
      </c>
      <c r="C366" s="107" t="s">
        <v>124</v>
      </c>
      <c r="D366" t="s">
        <v>8</v>
      </c>
      <c r="E366">
        <f t="shared" si="32"/>
        <v>404016.78243000002</v>
      </c>
      <c r="F366">
        <f>SUM(F367:F371)</f>
        <v>142750.96879000001</v>
      </c>
      <c r="G366">
        <f>SUM(G367:G371)</f>
        <v>253746.75138999999</v>
      </c>
      <c r="H366">
        <f>SUM(H367:H371)</f>
        <v>7519.0622499999999</v>
      </c>
      <c r="I366">
        <f>SUM(I367:I371)</f>
        <v>0</v>
      </c>
      <c r="J366" s="107" t="s">
        <v>603</v>
      </c>
      <c r="K366" s="107" t="s">
        <v>20</v>
      </c>
    </row>
    <row r="367" spans="1:11" x14ac:dyDescent="0.25">
      <c r="A367" s="107"/>
      <c r="B367" s="107"/>
      <c r="C367" s="107"/>
      <c r="D367">
        <v>2021</v>
      </c>
      <c r="E367">
        <f t="shared" si="32"/>
        <v>179685.52267000001</v>
      </c>
      <c r="F367">
        <v>10382.057000000001</v>
      </c>
      <c r="G367">
        <v>168764.85443000001</v>
      </c>
      <c r="H367">
        <v>538.61123999999995</v>
      </c>
      <c r="I367">
        <v>0</v>
      </c>
      <c r="J367" s="107"/>
      <c r="K367" s="107"/>
    </row>
    <row r="368" spans="1:11" x14ac:dyDescent="0.25">
      <c r="A368" s="107"/>
      <c r="B368" s="107"/>
      <c r="C368" s="107"/>
      <c r="D368">
        <v>2022</v>
      </c>
      <c r="E368">
        <f t="shared" si="32"/>
        <v>224331.25976000002</v>
      </c>
      <c r="F368">
        <v>132368.91179000001</v>
      </c>
      <c r="G368">
        <v>84981.896959999998</v>
      </c>
      <c r="H368">
        <v>6980.4510099999998</v>
      </c>
      <c r="I368">
        <v>0</v>
      </c>
      <c r="J368" s="107"/>
      <c r="K368" s="107"/>
    </row>
    <row r="369" spans="1:11" x14ac:dyDescent="0.25">
      <c r="A369" s="107"/>
      <c r="B369" s="107"/>
      <c r="C369" s="107"/>
      <c r="D369">
        <v>2023</v>
      </c>
      <c r="E369">
        <f t="shared" ref="E369:E395" si="35">SUM(F369:I369)</f>
        <v>0</v>
      </c>
      <c r="F369">
        <v>0</v>
      </c>
      <c r="G369">
        <v>0</v>
      </c>
      <c r="H369">
        <v>0</v>
      </c>
      <c r="I369">
        <v>0</v>
      </c>
      <c r="J369" s="107"/>
      <c r="K369" s="107"/>
    </row>
    <row r="370" spans="1:11" x14ac:dyDescent="0.25">
      <c r="A370" s="107"/>
      <c r="B370" s="107"/>
      <c r="C370" s="107"/>
      <c r="D370">
        <v>2024</v>
      </c>
      <c r="E370">
        <f t="shared" si="35"/>
        <v>0</v>
      </c>
      <c r="F370">
        <v>0</v>
      </c>
      <c r="G370">
        <v>0</v>
      </c>
      <c r="H370">
        <v>0</v>
      </c>
      <c r="I370">
        <v>0</v>
      </c>
      <c r="J370" s="107"/>
      <c r="K370" s="107"/>
    </row>
    <row r="371" spans="1:11" x14ac:dyDescent="0.25">
      <c r="A371" s="107"/>
      <c r="B371" s="107"/>
      <c r="C371" s="107"/>
      <c r="D371">
        <v>2025</v>
      </c>
      <c r="E371">
        <f t="shared" si="35"/>
        <v>0</v>
      </c>
      <c r="F371">
        <v>0</v>
      </c>
      <c r="G371">
        <v>0</v>
      </c>
      <c r="H371">
        <v>0</v>
      </c>
      <c r="I371">
        <v>0</v>
      </c>
      <c r="J371" s="107"/>
      <c r="K371" s="107"/>
    </row>
    <row r="372" spans="1:11" x14ac:dyDescent="0.25">
      <c r="A372" s="107" t="s">
        <v>128</v>
      </c>
      <c r="B372" s="107" t="s">
        <v>129</v>
      </c>
      <c r="C372" s="107">
        <v>2023</v>
      </c>
      <c r="D372" t="s">
        <v>8</v>
      </c>
      <c r="E372">
        <f t="shared" si="35"/>
        <v>135522.89473684211</v>
      </c>
      <c r="F372">
        <f>SUM(F373:F377)</f>
        <v>7725.3</v>
      </c>
      <c r="G372">
        <f>SUM(G373:G377)</f>
        <v>127391</v>
      </c>
      <c r="H372">
        <f>SUM(H373:H377)</f>
        <v>406.59473684210525</v>
      </c>
      <c r="I372">
        <f>SUM(I373:I377)</f>
        <v>0</v>
      </c>
      <c r="J372" s="107" t="s">
        <v>604</v>
      </c>
      <c r="K372" s="107" t="s">
        <v>20</v>
      </c>
    </row>
    <row r="373" spans="1:11" x14ac:dyDescent="0.25">
      <c r="A373" s="107"/>
      <c r="B373" s="107"/>
      <c r="C373" s="107"/>
      <c r="D373">
        <v>2021</v>
      </c>
      <c r="E373">
        <f t="shared" si="35"/>
        <v>0</v>
      </c>
      <c r="F373">
        <v>0</v>
      </c>
      <c r="G373">
        <v>0</v>
      </c>
      <c r="H373">
        <v>0</v>
      </c>
      <c r="I373">
        <v>0</v>
      </c>
      <c r="J373" s="107"/>
      <c r="K373" s="107"/>
    </row>
    <row r="374" spans="1:11" x14ac:dyDescent="0.25">
      <c r="A374" s="107"/>
      <c r="B374" s="107"/>
      <c r="C374" s="107"/>
      <c r="D374">
        <v>2022</v>
      </c>
      <c r="E374">
        <f t="shared" si="35"/>
        <v>0</v>
      </c>
      <c r="F374">
        <v>0</v>
      </c>
      <c r="G374">
        <v>0</v>
      </c>
      <c r="H374">
        <v>0</v>
      </c>
      <c r="I374">
        <v>0</v>
      </c>
      <c r="J374" s="107"/>
      <c r="K374" s="107"/>
    </row>
    <row r="375" spans="1:11" x14ac:dyDescent="0.25">
      <c r="A375" s="107"/>
      <c r="B375" s="107"/>
      <c r="C375" s="107"/>
      <c r="D375">
        <v>2023</v>
      </c>
      <c r="E375">
        <f t="shared" si="35"/>
        <v>135522.89473684211</v>
      </c>
      <c r="F375">
        <v>7725.3</v>
      </c>
      <c r="G375">
        <v>127391</v>
      </c>
      <c r="H375">
        <f>F375/95*5</f>
        <v>406.59473684210525</v>
      </c>
      <c r="I375">
        <v>0</v>
      </c>
      <c r="J375" s="107"/>
      <c r="K375" s="107"/>
    </row>
    <row r="376" spans="1:11" x14ac:dyDescent="0.25">
      <c r="A376" s="107"/>
      <c r="B376" s="107"/>
      <c r="C376" s="107"/>
      <c r="D376">
        <v>2024</v>
      </c>
      <c r="E376">
        <f t="shared" si="35"/>
        <v>0</v>
      </c>
      <c r="F376">
        <v>0</v>
      </c>
      <c r="G376">
        <v>0</v>
      </c>
      <c r="H376">
        <v>0</v>
      </c>
      <c r="I376">
        <v>0</v>
      </c>
      <c r="J376" s="107"/>
      <c r="K376" s="107"/>
    </row>
    <row r="377" spans="1:11" x14ac:dyDescent="0.25">
      <c r="A377" s="107"/>
      <c r="B377" s="107"/>
      <c r="C377" s="107"/>
      <c r="D377">
        <v>2025</v>
      </c>
      <c r="E377">
        <f t="shared" si="35"/>
        <v>0</v>
      </c>
      <c r="F377">
        <v>0</v>
      </c>
      <c r="G377">
        <v>0</v>
      </c>
      <c r="H377">
        <v>0</v>
      </c>
      <c r="I377">
        <v>0</v>
      </c>
      <c r="J377" s="107"/>
      <c r="K377" s="107"/>
    </row>
    <row r="378" spans="1:11" x14ac:dyDescent="0.25">
      <c r="A378" s="107" t="s">
        <v>131</v>
      </c>
      <c r="B378" s="107" t="s">
        <v>132</v>
      </c>
      <c r="C378" s="107" t="s">
        <v>14</v>
      </c>
      <c r="D378" t="s">
        <v>8</v>
      </c>
      <c r="E378">
        <f t="shared" si="35"/>
        <v>226682.17267</v>
      </c>
      <c r="F378">
        <f>SUM(F379:F383)</f>
        <v>226682.17267</v>
      </c>
      <c r="G378">
        <f>SUM(G379:G383)</f>
        <v>0</v>
      </c>
      <c r="H378">
        <f>SUM(H379:H383)</f>
        <v>0</v>
      </c>
      <c r="I378">
        <f>SUM(I379:I383)</f>
        <v>0</v>
      </c>
      <c r="J378" s="107"/>
      <c r="K378" s="107" t="s">
        <v>484</v>
      </c>
    </row>
    <row r="379" spans="1:11" x14ac:dyDescent="0.25">
      <c r="A379" s="107"/>
      <c r="B379" s="107"/>
      <c r="C379" s="107"/>
      <c r="D379">
        <v>2021</v>
      </c>
      <c r="E379">
        <f t="shared" si="35"/>
        <v>39008.536670000001</v>
      </c>
      <c r="F379">
        <f t="shared" ref="F379:I383" si="36">F385</f>
        <v>39008.536670000001</v>
      </c>
      <c r="G379">
        <f t="shared" si="36"/>
        <v>0</v>
      </c>
      <c r="H379">
        <f t="shared" si="36"/>
        <v>0</v>
      </c>
      <c r="I379">
        <f t="shared" si="36"/>
        <v>0</v>
      </c>
      <c r="J379" s="107"/>
      <c r="K379" s="107"/>
    </row>
    <row r="380" spans="1:11" x14ac:dyDescent="0.25">
      <c r="A380" s="107"/>
      <c r="B380" s="107"/>
      <c r="C380" s="107"/>
      <c r="D380">
        <v>2022</v>
      </c>
      <c r="E380">
        <f t="shared" si="35"/>
        <v>46918.409</v>
      </c>
      <c r="F380">
        <f t="shared" si="36"/>
        <v>46918.409</v>
      </c>
      <c r="G380">
        <f t="shared" si="36"/>
        <v>0</v>
      </c>
      <c r="H380">
        <f t="shared" si="36"/>
        <v>0</v>
      </c>
      <c r="I380">
        <f t="shared" si="36"/>
        <v>0</v>
      </c>
      <c r="J380" s="107"/>
      <c r="K380" s="107"/>
    </row>
    <row r="381" spans="1:11" x14ac:dyDescent="0.25">
      <c r="A381" s="107"/>
      <c r="B381" s="107"/>
      <c r="C381" s="107"/>
      <c r="D381">
        <v>2023</v>
      </c>
      <c r="E381">
        <f t="shared" si="35"/>
        <v>46918.409</v>
      </c>
      <c r="F381">
        <f t="shared" si="36"/>
        <v>46918.409</v>
      </c>
      <c r="G381">
        <f t="shared" si="36"/>
        <v>0</v>
      </c>
      <c r="H381">
        <f t="shared" si="36"/>
        <v>0</v>
      </c>
      <c r="I381">
        <f t="shared" si="36"/>
        <v>0</v>
      </c>
      <c r="J381" s="107"/>
      <c r="K381" s="107"/>
    </row>
    <row r="382" spans="1:11" x14ac:dyDescent="0.25">
      <c r="A382" s="107"/>
      <c r="B382" s="107"/>
      <c r="C382" s="107"/>
      <c r="D382">
        <v>2024</v>
      </c>
      <c r="E382">
        <f t="shared" si="35"/>
        <v>46918.409</v>
      </c>
      <c r="F382">
        <f t="shared" si="36"/>
        <v>46918.409</v>
      </c>
      <c r="G382">
        <f t="shared" si="36"/>
        <v>0</v>
      </c>
      <c r="H382">
        <f t="shared" si="36"/>
        <v>0</v>
      </c>
      <c r="I382">
        <f t="shared" si="36"/>
        <v>0</v>
      </c>
      <c r="J382" s="107"/>
      <c r="K382" s="107"/>
    </row>
    <row r="383" spans="1:11" x14ac:dyDescent="0.25">
      <c r="A383" s="107"/>
      <c r="B383" s="107"/>
      <c r="C383" s="107"/>
      <c r="D383">
        <v>2025</v>
      </c>
      <c r="E383">
        <f t="shared" si="35"/>
        <v>46918.409</v>
      </c>
      <c r="F383">
        <f t="shared" si="36"/>
        <v>46918.409</v>
      </c>
      <c r="G383">
        <f t="shared" si="36"/>
        <v>0</v>
      </c>
      <c r="H383">
        <f t="shared" si="36"/>
        <v>0</v>
      </c>
      <c r="I383">
        <f t="shared" si="36"/>
        <v>0</v>
      </c>
      <c r="J383" s="107"/>
      <c r="K383" s="107"/>
    </row>
    <row r="384" spans="1:11" ht="15" customHeight="1" x14ac:dyDescent="0.25">
      <c r="A384" s="107" t="s">
        <v>133</v>
      </c>
      <c r="B384" s="107" t="s">
        <v>134</v>
      </c>
      <c r="C384" s="107" t="s">
        <v>14</v>
      </c>
      <c r="D384" t="s">
        <v>8</v>
      </c>
      <c r="E384">
        <f t="shared" si="35"/>
        <v>226682.17267</v>
      </c>
      <c r="F384">
        <f>SUM(F385:F389)</f>
        <v>226682.17267</v>
      </c>
      <c r="G384">
        <f>SUM(G385:G389)</f>
        <v>0</v>
      </c>
      <c r="H384">
        <f>SUM(H385:H389)</f>
        <v>0</v>
      </c>
      <c r="I384">
        <f>SUM(I385:I389)</f>
        <v>0</v>
      </c>
      <c r="J384" s="107"/>
      <c r="K384" s="107" t="s">
        <v>484</v>
      </c>
    </row>
    <row r="385" spans="1:11" x14ac:dyDescent="0.25">
      <c r="A385" s="107"/>
      <c r="B385" s="107"/>
      <c r="C385" s="107"/>
      <c r="D385">
        <v>2021</v>
      </c>
      <c r="E385">
        <f t="shared" si="35"/>
        <v>39008.536670000001</v>
      </c>
      <c r="F385">
        <f t="shared" ref="F385:I389" si="37">F391</f>
        <v>39008.536670000001</v>
      </c>
      <c r="G385">
        <f t="shared" si="37"/>
        <v>0</v>
      </c>
      <c r="H385">
        <f t="shared" si="37"/>
        <v>0</v>
      </c>
      <c r="I385">
        <f t="shared" si="37"/>
        <v>0</v>
      </c>
      <c r="J385" s="107"/>
      <c r="K385" s="107"/>
    </row>
    <row r="386" spans="1:11" x14ac:dyDescent="0.25">
      <c r="A386" s="107"/>
      <c r="B386" s="107"/>
      <c r="C386" s="107"/>
      <c r="D386">
        <v>2022</v>
      </c>
      <c r="E386">
        <f t="shared" si="35"/>
        <v>46918.409</v>
      </c>
      <c r="F386">
        <f t="shared" si="37"/>
        <v>46918.409</v>
      </c>
      <c r="G386">
        <f t="shared" si="37"/>
        <v>0</v>
      </c>
      <c r="H386">
        <f t="shared" si="37"/>
        <v>0</v>
      </c>
      <c r="I386">
        <f t="shared" si="37"/>
        <v>0</v>
      </c>
      <c r="J386" s="107"/>
      <c r="K386" s="107"/>
    </row>
    <row r="387" spans="1:11" x14ac:dyDescent="0.25">
      <c r="A387" s="107"/>
      <c r="B387" s="107"/>
      <c r="C387" s="107"/>
      <c r="D387">
        <v>2023</v>
      </c>
      <c r="E387">
        <f t="shared" si="35"/>
        <v>46918.409</v>
      </c>
      <c r="F387">
        <f t="shared" si="37"/>
        <v>46918.409</v>
      </c>
      <c r="G387">
        <f t="shared" si="37"/>
        <v>0</v>
      </c>
      <c r="H387">
        <f t="shared" si="37"/>
        <v>0</v>
      </c>
      <c r="I387">
        <f t="shared" si="37"/>
        <v>0</v>
      </c>
      <c r="J387" s="107"/>
      <c r="K387" s="107"/>
    </row>
    <row r="388" spans="1:11" x14ac:dyDescent="0.25">
      <c r="A388" s="107"/>
      <c r="B388" s="107"/>
      <c r="C388" s="107"/>
      <c r="D388">
        <v>2024</v>
      </c>
      <c r="E388">
        <f t="shared" si="35"/>
        <v>46918.409</v>
      </c>
      <c r="F388">
        <f t="shared" si="37"/>
        <v>46918.409</v>
      </c>
      <c r="G388">
        <f t="shared" si="37"/>
        <v>0</v>
      </c>
      <c r="H388">
        <f t="shared" si="37"/>
        <v>0</v>
      </c>
      <c r="I388">
        <f t="shared" si="37"/>
        <v>0</v>
      </c>
      <c r="J388" s="107"/>
      <c r="K388" s="107"/>
    </row>
    <row r="389" spans="1:11" ht="52.5" customHeight="1" x14ac:dyDescent="0.25">
      <c r="A389" s="107"/>
      <c r="B389" s="107"/>
      <c r="C389" s="107"/>
      <c r="D389">
        <v>2025</v>
      </c>
      <c r="E389">
        <f t="shared" si="35"/>
        <v>46918.409</v>
      </c>
      <c r="F389">
        <f t="shared" si="37"/>
        <v>46918.409</v>
      </c>
      <c r="G389">
        <f>G395</f>
        <v>0</v>
      </c>
      <c r="H389">
        <f>H395</f>
        <v>0</v>
      </c>
      <c r="I389">
        <f>I395</f>
        <v>0</v>
      </c>
      <c r="J389" s="107"/>
      <c r="K389" s="107"/>
    </row>
    <row r="390" spans="1:11" x14ac:dyDescent="0.25">
      <c r="A390" s="107" t="s">
        <v>135</v>
      </c>
      <c r="B390" s="107" t="s">
        <v>136</v>
      </c>
      <c r="C390" s="107" t="s">
        <v>14</v>
      </c>
      <c r="D390" t="s">
        <v>8</v>
      </c>
      <c r="E390">
        <f t="shared" si="35"/>
        <v>226682.17267</v>
      </c>
      <c r="F390">
        <f>SUM(F391:F395)</f>
        <v>226682.17267</v>
      </c>
      <c r="G390">
        <f>SUM(G391:G395)</f>
        <v>0</v>
      </c>
      <c r="H390">
        <f>SUM(H391:H395)</f>
        <v>0</v>
      </c>
      <c r="I390">
        <f>SUM(I391:I395)</f>
        <v>0</v>
      </c>
      <c r="J390" s="107" t="s">
        <v>607</v>
      </c>
      <c r="K390" s="107" t="s">
        <v>484</v>
      </c>
    </row>
    <row r="391" spans="1:11" x14ac:dyDescent="0.25">
      <c r="A391" s="107"/>
      <c r="B391" s="107"/>
      <c r="C391" s="107"/>
      <c r="D391">
        <v>2021</v>
      </c>
      <c r="E391">
        <f t="shared" si="35"/>
        <v>39008.536670000001</v>
      </c>
      <c r="F391">
        <v>39008.536670000001</v>
      </c>
      <c r="G391">
        <v>0</v>
      </c>
      <c r="H391">
        <v>0</v>
      </c>
      <c r="I391">
        <v>0</v>
      </c>
      <c r="J391" s="107"/>
      <c r="K391" s="107"/>
    </row>
    <row r="392" spans="1:11" x14ac:dyDescent="0.25">
      <c r="A392" s="107"/>
      <c r="B392" s="107"/>
      <c r="C392" s="107"/>
      <c r="D392">
        <v>2022</v>
      </c>
      <c r="E392">
        <f t="shared" si="35"/>
        <v>46918.409</v>
      </c>
      <c r="F392">
        <v>46918.409</v>
      </c>
      <c r="G392">
        <v>0</v>
      </c>
      <c r="H392">
        <v>0</v>
      </c>
      <c r="I392">
        <v>0</v>
      </c>
      <c r="J392" s="107"/>
      <c r="K392" s="107"/>
    </row>
    <row r="393" spans="1:11" x14ac:dyDescent="0.25">
      <c r="A393" s="107"/>
      <c r="B393" s="107"/>
      <c r="C393" s="107"/>
      <c r="D393">
        <v>2023</v>
      </c>
      <c r="E393">
        <f t="shared" si="35"/>
        <v>46918.409</v>
      </c>
      <c r="F393">
        <v>46918.409</v>
      </c>
      <c r="G393">
        <v>0</v>
      </c>
      <c r="H393">
        <v>0</v>
      </c>
      <c r="I393">
        <v>0</v>
      </c>
      <c r="J393" s="107"/>
      <c r="K393" s="107"/>
    </row>
    <row r="394" spans="1:11" x14ac:dyDescent="0.25">
      <c r="A394" s="107"/>
      <c r="B394" s="107"/>
      <c r="C394" s="107"/>
      <c r="D394">
        <v>2024</v>
      </c>
      <c r="E394">
        <f t="shared" si="35"/>
        <v>46918.409</v>
      </c>
      <c r="F394">
        <v>46918.409</v>
      </c>
      <c r="G394">
        <v>0</v>
      </c>
      <c r="H394">
        <v>0</v>
      </c>
      <c r="I394">
        <v>0</v>
      </c>
      <c r="J394" s="107"/>
      <c r="K394" s="107"/>
    </row>
    <row r="395" spans="1:11" x14ac:dyDescent="0.25">
      <c r="A395" s="107"/>
      <c r="B395" s="107"/>
      <c r="C395" s="107"/>
      <c r="D395">
        <v>2025</v>
      </c>
      <c r="E395">
        <f t="shared" si="35"/>
        <v>46918.409</v>
      </c>
      <c r="F395">
        <v>46918.409</v>
      </c>
      <c r="G395">
        <v>0</v>
      </c>
      <c r="H395">
        <v>0</v>
      </c>
      <c r="I395">
        <v>0</v>
      </c>
      <c r="J395" s="107"/>
      <c r="K395" s="107"/>
    </row>
  </sheetData>
  <autoFilter ref="A4:L377">
    <filterColumn colId="3">
      <colorFilter dxfId="0"/>
    </filterColumn>
  </autoFilter>
  <mergeCells count="322">
    <mergeCell ref="A384:A389"/>
    <mergeCell ref="B384:B389"/>
    <mergeCell ref="C384:C389"/>
    <mergeCell ref="J384:J389"/>
    <mergeCell ref="K384:K389"/>
    <mergeCell ref="A390:A395"/>
    <mergeCell ref="B390:B395"/>
    <mergeCell ref="C390:C395"/>
    <mergeCell ref="J390:J395"/>
    <mergeCell ref="K390:K395"/>
    <mergeCell ref="A372:A377"/>
    <mergeCell ref="B372:B377"/>
    <mergeCell ref="C372:C377"/>
    <mergeCell ref="J372:J377"/>
    <mergeCell ref="K372:K377"/>
    <mergeCell ref="A378:A383"/>
    <mergeCell ref="B378:B383"/>
    <mergeCell ref="C378:C383"/>
    <mergeCell ref="J378:J383"/>
    <mergeCell ref="K378:K383"/>
    <mergeCell ref="A360:A365"/>
    <mergeCell ref="B360:B365"/>
    <mergeCell ref="C360:C365"/>
    <mergeCell ref="J360:J365"/>
    <mergeCell ref="K360:K365"/>
    <mergeCell ref="A366:A371"/>
    <mergeCell ref="B366:B371"/>
    <mergeCell ref="C366:C371"/>
    <mergeCell ref="J366:J371"/>
    <mergeCell ref="K366:K371"/>
    <mergeCell ref="A348:A353"/>
    <mergeCell ref="B348:B353"/>
    <mergeCell ref="C348:C353"/>
    <mergeCell ref="J348:J353"/>
    <mergeCell ref="K348:K353"/>
    <mergeCell ref="A354:A359"/>
    <mergeCell ref="B354:B359"/>
    <mergeCell ref="C354:C359"/>
    <mergeCell ref="J354:J359"/>
    <mergeCell ref="K354:K359"/>
    <mergeCell ref="A336:A341"/>
    <mergeCell ref="B336:B341"/>
    <mergeCell ref="C336:C341"/>
    <mergeCell ref="J336:J341"/>
    <mergeCell ref="K336:K341"/>
    <mergeCell ref="A342:A347"/>
    <mergeCell ref="B342:B347"/>
    <mergeCell ref="C342:C347"/>
    <mergeCell ref="J342:J347"/>
    <mergeCell ref="K342:K347"/>
    <mergeCell ref="A324:A329"/>
    <mergeCell ref="B324:B329"/>
    <mergeCell ref="C324:C329"/>
    <mergeCell ref="J324:J329"/>
    <mergeCell ref="K324:K329"/>
    <mergeCell ref="A330:A335"/>
    <mergeCell ref="B330:B335"/>
    <mergeCell ref="C330:C335"/>
    <mergeCell ref="J330:J335"/>
    <mergeCell ref="K330:K335"/>
    <mergeCell ref="A312:A317"/>
    <mergeCell ref="B312:B317"/>
    <mergeCell ref="C312:C317"/>
    <mergeCell ref="J312:J317"/>
    <mergeCell ref="K312:K317"/>
    <mergeCell ref="A318:A323"/>
    <mergeCell ref="B318:B323"/>
    <mergeCell ref="C318:C323"/>
    <mergeCell ref="J318:J323"/>
    <mergeCell ref="K318:K323"/>
    <mergeCell ref="A300:A305"/>
    <mergeCell ref="B300:B305"/>
    <mergeCell ref="C300:C305"/>
    <mergeCell ref="J300:J305"/>
    <mergeCell ref="K300:K305"/>
    <mergeCell ref="A306:A311"/>
    <mergeCell ref="B306:B311"/>
    <mergeCell ref="C306:C311"/>
    <mergeCell ref="J306:J311"/>
    <mergeCell ref="K306:K311"/>
    <mergeCell ref="A288:A293"/>
    <mergeCell ref="B288:B293"/>
    <mergeCell ref="C288:C293"/>
    <mergeCell ref="J288:J293"/>
    <mergeCell ref="K288:K293"/>
    <mergeCell ref="A294:A299"/>
    <mergeCell ref="B294:B299"/>
    <mergeCell ref="C294:C299"/>
    <mergeCell ref="J294:J299"/>
    <mergeCell ref="K294:K299"/>
    <mergeCell ref="A276:A281"/>
    <mergeCell ref="B276:B281"/>
    <mergeCell ref="C276:C281"/>
    <mergeCell ref="J276:J281"/>
    <mergeCell ref="K276:K281"/>
    <mergeCell ref="A282:A287"/>
    <mergeCell ref="B282:B287"/>
    <mergeCell ref="C282:C287"/>
    <mergeCell ref="J282:J287"/>
    <mergeCell ref="K282:K287"/>
    <mergeCell ref="A264:A269"/>
    <mergeCell ref="B264:B269"/>
    <mergeCell ref="C264:C269"/>
    <mergeCell ref="J264:J269"/>
    <mergeCell ref="K264:K269"/>
    <mergeCell ref="A270:A275"/>
    <mergeCell ref="B270:B275"/>
    <mergeCell ref="C270:C275"/>
    <mergeCell ref="J270:J275"/>
    <mergeCell ref="K270:K275"/>
    <mergeCell ref="A252:A257"/>
    <mergeCell ref="B252:B257"/>
    <mergeCell ref="C252:C257"/>
    <mergeCell ref="J252:J257"/>
    <mergeCell ref="K252:K257"/>
    <mergeCell ref="A258:A263"/>
    <mergeCell ref="B258:B263"/>
    <mergeCell ref="C258:C263"/>
    <mergeCell ref="J258:J263"/>
    <mergeCell ref="K258:K263"/>
    <mergeCell ref="A240:A245"/>
    <mergeCell ref="B240:B245"/>
    <mergeCell ref="C240:C245"/>
    <mergeCell ref="J240:J245"/>
    <mergeCell ref="K240:K245"/>
    <mergeCell ref="A246:A251"/>
    <mergeCell ref="B246:B251"/>
    <mergeCell ref="C246:C251"/>
    <mergeCell ref="J246:J251"/>
    <mergeCell ref="K246:K251"/>
    <mergeCell ref="A223:A228"/>
    <mergeCell ref="B223:B228"/>
    <mergeCell ref="C223:C228"/>
    <mergeCell ref="J223:J228"/>
    <mergeCell ref="K223:K228"/>
    <mergeCell ref="A234:A239"/>
    <mergeCell ref="B234:B239"/>
    <mergeCell ref="C234:C239"/>
    <mergeCell ref="J234:J239"/>
    <mergeCell ref="K234:K239"/>
    <mergeCell ref="A211:A216"/>
    <mergeCell ref="B211:B216"/>
    <mergeCell ref="C211:C216"/>
    <mergeCell ref="J211:J216"/>
    <mergeCell ref="K211:K216"/>
    <mergeCell ref="A217:A222"/>
    <mergeCell ref="B217:B222"/>
    <mergeCell ref="C217:C222"/>
    <mergeCell ref="J217:J222"/>
    <mergeCell ref="K217:K222"/>
    <mergeCell ref="A199:A204"/>
    <mergeCell ref="B199:B204"/>
    <mergeCell ref="C199:C204"/>
    <mergeCell ref="J199:J204"/>
    <mergeCell ref="K199:K204"/>
    <mergeCell ref="A205:A210"/>
    <mergeCell ref="B205:B210"/>
    <mergeCell ref="C205:C210"/>
    <mergeCell ref="J205:J210"/>
    <mergeCell ref="K205:K210"/>
    <mergeCell ref="A187:A192"/>
    <mergeCell ref="B187:B192"/>
    <mergeCell ref="C187:C192"/>
    <mergeCell ref="J187:J192"/>
    <mergeCell ref="K187:K192"/>
    <mergeCell ref="A193:A198"/>
    <mergeCell ref="B193:B198"/>
    <mergeCell ref="C193:C198"/>
    <mergeCell ref="J193:J198"/>
    <mergeCell ref="K193:K198"/>
    <mergeCell ref="A175:A180"/>
    <mergeCell ref="B175:B180"/>
    <mergeCell ref="C175:C180"/>
    <mergeCell ref="J175:J180"/>
    <mergeCell ref="K175:K180"/>
    <mergeCell ref="A181:A186"/>
    <mergeCell ref="B181:B186"/>
    <mergeCell ref="C181:C186"/>
    <mergeCell ref="J181:J186"/>
    <mergeCell ref="K181:K186"/>
    <mergeCell ref="A163:A168"/>
    <mergeCell ref="B163:B168"/>
    <mergeCell ref="C163:C168"/>
    <mergeCell ref="J163:J168"/>
    <mergeCell ref="K163:K168"/>
    <mergeCell ref="A169:A174"/>
    <mergeCell ref="B169:B174"/>
    <mergeCell ref="C169:C174"/>
    <mergeCell ref="J169:J174"/>
    <mergeCell ref="K169:K174"/>
    <mergeCell ref="A151:A156"/>
    <mergeCell ref="B151:B156"/>
    <mergeCell ref="C151:C156"/>
    <mergeCell ref="J151:J156"/>
    <mergeCell ref="K151:K156"/>
    <mergeCell ref="A157:A162"/>
    <mergeCell ref="B157:B162"/>
    <mergeCell ref="C157:C162"/>
    <mergeCell ref="J157:J162"/>
    <mergeCell ref="K157:K162"/>
    <mergeCell ref="A139:A144"/>
    <mergeCell ref="B139:B144"/>
    <mergeCell ref="C139:C144"/>
    <mergeCell ref="J139:J144"/>
    <mergeCell ref="K139:K144"/>
    <mergeCell ref="A145:A150"/>
    <mergeCell ref="B145:B150"/>
    <mergeCell ref="C145:C150"/>
    <mergeCell ref="J145:J150"/>
    <mergeCell ref="K145:K150"/>
    <mergeCell ref="A127:A132"/>
    <mergeCell ref="B127:B132"/>
    <mergeCell ref="C127:C132"/>
    <mergeCell ref="J127:J132"/>
    <mergeCell ref="K127:K132"/>
    <mergeCell ref="A133:A138"/>
    <mergeCell ref="B133:B138"/>
    <mergeCell ref="C133:C138"/>
    <mergeCell ref="J133:J138"/>
    <mergeCell ref="K133:K138"/>
    <mergeCell ref="A115:A120"/>
    <mergeCell ref="B115:B120"/>
    <mergeCell ref="C115:C120"/>
    <mergeCell ref="J115:J120"/>
    <mergeCell ref="K115:K120"/>
    <mergeCell ref="A121:A126"/>
    <mergeCell ref="B121:B126"/>
    <mergeCell ref="C121:C126"/>
    <mergeCell ref="J121:J126"/>
    <mergeCell ref="K121:K126"/>
    <mergeCell ref="A103:A108"/>
    <mergeCell ref="B103:B108"/>
    <mergeCell ref="C103:C108"/>
    <mergeCell ref="J103:J108"/>
    <mergeCell ref="K103:K108"/>
    <mergeCell ref="A109:A114"/>
    <mergeCell ref="B109:B114"/>
    <mergeCell ref="C109:C114"/>
    <mergeCell ref="J109:J114"/>
    <mergeCell ref="K109:K114"/>
    <mergeCell ref="A86:A91"/>
    <mergeCell ref="B86:B91"/>
    <mergeCell ref="C86:C91"/>
    <mergeCell ref="J86:J91"/>
    <mergeCell ref="K86:K91"/>
    <mergeCell ref="A97:A102"/>
    <mergeCell ref="B97:B102"/>
    <mergeCell ref="C97:C102"/>
    <mergeCell ref="J97:J102"/>
    <mergeCell ref="K97:K102"/>
    <mergeCell ref="A74:A79"/>
    <mergeCell ref="B74:B79"/>
    <mergeCell ref="C74:C79"/>
    <mergeCell ref="J74:J79"/>
    <mergeCell ref="K74:K79"/>
    <mergeCell ref="A80:A85"/>
    <mergeCell ref="B80:B85"/>
    <mergeCell ref="C80:C85"/>
    <mergeCell ref="J80:J85"/>
    <mergeCell ref="K80:K85"/>
    <mergeCell ref="A62:A67"/>
    <mergeCell ref="B62:B67"/>
    <mergeCell ref="C62:C67"/>
    <mergeCell ref="J62:J67"/>
    <mergeCell ref="K62:K67"/>
    <mergeCell ref="A68:A73"/>
    <mergeCell ref="B68:B73"/>
    <mergeCell ref="C68:C73"/>
    <mergeCell ref="J68:J73"/>
    <mergeCell ref="K68:K73"/>
    <mergeCell ref="A50:A55"/>
    <mergeCell ref="B50:B55"/>
    <mergeCell ref="C50:C55"/>
    <mergeCell ref="J50:J55"/>
    <mergeCell ref="K50:K55"/>
    <mergeCell ref="A56:A61"/>
    <mergeCell ref="B56:B61"/>
    <mergeCell ref="C56:C61"/>
    <mergeCell ref="J56:J61"/>
    <mergeCell ref="K56:K61"/>
    <mergeCell ref="A35:A40"/>
    <mergeCell ref="B35:B40"/>
    <mergeCell ref="C35:C40"/>
    <mergeCell ref="J35:J40"/>
    <mergeCell ref="K35:K40"/>
    <mergeCell ref="A44:A49"/>
    <mergeCell ref="B44:B49"/>
    <mergeCell ref="C44:C49"/>
    <mergeCell ref="J44:J49"/>
    <mergeCell ref="K44:K49"/>
    <mergeCell ref="A23:A28"/>
    <mergeCell ref="B23:B28"/>
    <mergeCell ref="C23:C28"/>
    <mergeCell ref="J23:J28"/>
    <mergeCell ref="K23:K28"/>
    <mergeCell ref="A29:A34"/>
    <mergeCell ref="B29:B34"/>
    <mergeCell ref="C29:C34"/>
    <mergeCell ref="J29:J34"/>
    <mergeCell ref="K29:K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857"/>
  <sheetViews>
    <sheetView workbookViewId="0">
      <pane xSplit="3" ySplit="4" topLeftCell="D781" activePane="bottomRight" state="frozen"/>
      <selection activeCell="J305" sqref="J305:J310"/>
      <selection pane="topRight"/>
      <selection pane="bottomLeft"/>
      <selection pane="bottomRight" activeCell="F796" sqref="F796"/>
    </sheetView>
  </sheetViews>
  <sheetFormatPr defaultRowHeight="15" outlineLevelRow="1" x14ac:dyDescent="0.25"/>
  <cols>
    <col min="1" max="1" width="7.42578125" style="17" customWidth="1"/>
    <col min="2" max="2" width="36.42578125" style="16" customWidth="1"/>
    <col min="3" max="3" width="12.7109375" style="9" customWidth="1"/>
    <col min="4" max="4" width="8.85546875" style="9" customWidth="1"/>
    <col min="5" max="5" width="17.140625" style="9" customWidth="1"/>
    <col min="6" max="6" width="18" style="9" customWidth="1"/>
    <col min="7" max="7" width="15" style="9" customWidth="1"/>
    <col min="8" max="8" width="11.7109375" style="9" customWidth="1"/>
    <col min="9" max="9" width="15.5703125" style="9" customWidth="1"/>
    <col min="10" max="10" width="43.42578125" style="9" customWidth="1"/>
    <col min="11" max="11" width="32.7109375" style="9" customWidth="1"/>
    <col min="12" max="12" width="0.140625" style="58" hidden="1" customWidth="1"/>
    <col min="13" max="13" width="12.85546875" style="58" customWidth="1"/>
    <col min="14" max="14" width="39.85546875" style="58" customWidth="1"/>
    <col min="15" max="15" width="12.5703125" style="58" customWidth="1"/>
    <col min="16" max="16" width="13.5703125" style="58" customWidth="1"/>
    <col min="17" max="16384" width="9.140625" style="58"/>
  </cols>
  <sheetData>
    <row r="1" spans="1:15" ht="15.75" customHeight="1" x14ac:dyDescent="0.25">
      <c r="A1" s="157" t="s">
        <v>1782</v>
      </c>
      <c r="B1" s="157"/>
      <c r="C1" s="157"/>
      <c r="D1" s="157"/>
      <c r="E1" s="157"/>
      <c r="F1" s="157"/>
      <c r="G1" s="157"/>
      <c r="H1" s="157"/>
      <c r="I1" s="157"/>
      <c r="J1" s="157"/>
      <c r="K1" s="157"/>
    </row>
    <row r="2" spans="1:15" x14ac:dyDescent="0.25">
      <c r="A2" s="158"/>
      <c r="B2" s="158"/>
      <c r="C2" s="158"/>
      <c r="D2" s="158"/>
      <c r="E2" s="158"/>
      <c r="F2" s="158"/>
      <c r="G2" s="158"/>
      <c r="H2" s="158"/>
      <c r="I2" s="158"/>
      <c r="J2" s="158"/>
      <c r="K2" s="158"/>
    </row>
    <row r="3" spans="1:15" ht="39.75" customHeight="1" x14ac:dyDescent="0.25">
      <c r="A3" s="117" t="s">
        <v>1</v>
      </c>
      <c r="B3" s="118" t="s">
        <v>2</v>
      </c>
      <c r="C3" s="119" t="s">
        <v>3</v>
      </c>
      <c r="D3" s="159" t="s">
        <v>4</v>
      </c>
      <c r="E3" s="159"/>
      <c r="F3" s="159"/>
      <c r="G3" s="159"/>
      <c r="H3" s="159"/>
      <c r="I3" s="159"/>
      <c r="J3" s="119" t="s">
        <v>5</v>
      </c>
      <c r="K3" s="119" t="s">
        <v>6</v>
      </c>
    </row>
    <row r="4" spans="1:15" ht="36.75" customHeight="1" x14ac:dyDescent="0.25">
      <c r="A4" s="117"/>
      <c r="B4" s="118"/>
      <c r="C4" s="119"/>
      <c r="D4" s="59" t="s">
        <v>7</v>
      </c>
      <c r="E4" s="59" t="s">
        <v>8</v>
      </c>
      <c r="F4" s="59" t="s">
        <v>9</v>
      </c>
      <c r="G4" s="59" t="s">
        <v>10</v>
      </c>
      <c r="H4" s="59" t="s">
        <v>11</v>
      </c>
      <c r="I4" s="59" t="s">
        <v>12</v>
      </c>
      <c r="J4" s="119"/>
      <c r="K4" s="119"/>
    </row>
    <row r="5" spans="1:15" ht="15" customHeight="1" x14ac:dyDescent="0.25">
      <c r="A5" s="108"/>
      <c r="B5" s="108" t="s">
        <v>13</v>
      </c>
      <c r="C5" s="111" t="s">
        <v>828</v>
      </c>
      <c r="D5" s="59" t="s">
        <v>8</v>
      </c>
      <c r="E5" s="8">
        <f t="shared" ref="E5:E31" si="0">SUM(F5:I5)</f>
        <v>12353429.66451475</v>
      </c>
      <c r="F5" s="8">
        <f>SUM(F6:F10)</f>
        <v>10597721.515460001</v>
      </c>
      <c r="G5" s="8">
        <f>SUM(G6:G10)</f>
        <v>1541023.1228499999</v>
      </c>
      <c r="H5" s="8">
        <f>SUM(H6:H10)</f>
        <v>214685.02620475087</v>
      </c>
      <c r="I5" s="8">
        <f>SUM(I6:I10)</f>
        <v>0</v>
      </c>
      <c r="J5" s="114"/>
      <c r="K5" s="114" t="s">
        <v>482</v>
      </c>
      <c r="M5" s="58">
        <f>E12+E19</f>
        <v>12353429.66451475</v>
      </c>
    </row>
    <row r="6" spans="1:15" x14ac:dyDescent="0.25">
      <c r="A6" s="109"/>
      <c r="B6" s="109"/>
      <c r="C6" s="112"/>
      <c r="D6" s="59">
        <v>2021</v>
      </c>
      <c r="E6" s="8">
        <f t="shared" si="0"/>
        <v>1613228.6017916503</v>
      </c>
      <c r="F6" s="8">
        <f t="shared" ref="F6:I10" si="1">F27+F197+F389+F836</f>
        <v>1267910.29015</v>
      </c>
      <c r="G6" s="8">
        <f t="shared" si="1"/>
        <v>301879.99800000002</v>
      </c>
      <c r="H6" s="8">
        <f t="shared" si="1"/>
        <v>43438.313641650384</v>
      </c>
      <c r="I6" s="8">
        <f t="shared" si="1"/>
        <v>0</v>
      </c>
      <c r="J6" s="115"/>
      <c r="K6" s="115"/>
    </row>
    <row r="7" spans="1:15" x14ac:dyDescent="0.25">
      <c r="A7" s="109"/>
      <c r="B7" s="109"/>
      <c r="C7" s="112"/>
      <c r="D7" s="59">
        <v>2022</v>
      </c>
      <c r="E7" s="8">
        <f t="shared" si="0"/>
        <v>2877258.0845731008</v>
      </c>
      <c r="F7" s="8">
        <f t="shared" si="1"/>
        <v>2553145.0424200003</v>
      </c>
      <c r="G7" s="8">
        <f t="shared" si="1"/>
        <v>244045.77</v>
      </c>
      <c r="H7" s="8">
        <f t="shared" si="1"/>
        <v>80067.272153100523</v>
      </c>
      <c r="I7" s="8">
        <f t="shared" si="1"/>
        <v>0</v>
      </c>
      <c r="J7" s="115"/>
      <c r="K7" s="115"/>
    </row>
    <row r="8" spans="1:15" x14ac:dyDescent="0.25">
      <c r="A8" s="109"/>
      <c r="B8" s="109"/>
      <c r="C8" s="112"/>
      <c r="D8" s="59">
        <v>2023</v>
      </c>
      <c r="E8" s="8">
        <f t="shared" si="0"/>
        <v>2154380.0654199999</v>
      </c>
      <c r="F8" s="8">
        <f t="shared" si="1"/>
        <v>1676033.8114900002</v>
      </c>
      <c r="G8" s="8">
        <f t="shared" si="1"/>
        <v>436920.95484999998</v>
      </c>
      <c r="H8" s="8">
        <f t="shared" si="1"/>
        <v>41425.299079999975</v>
      </c>
      <c r="I8" s="8">
        <f t="shared" si="1"/>
        <v>0</v>
      </c>
      <c r="J8" s="115"/>
      <c r="K8" s="115"/>
    </row>
    <row r="9" spans="1:15" x14ac:dyDescent="0.25">
      <c r="A9" s="109"/>
      <c r="B9" s="109"/>
      <c r="C9" s="112"/>
      <c r="D9" s="59">
        <v>2024</v>
      </c>
      <c r="E9" s="8">
        <f t="shared" si="0"/>
        <v>3549167.9386499994</v>
      </c>
      <c r="F9" s="8">
        <f t="shared" si="1"/>
        <v>3048619.3986499994</v>
      </c>
      <c r="G9" s="8">
        <f t="shared" si="1"/>
        <v>468176.39999999997</v>
      </c>
      <c r="H9" s="8">
        <f t="shared" si="1"/>
        <v>32372.14</v>
      </c>
      <c r="I9" s="8">
        <f t="shared" si="1"/>
        <v>0</v>
      </c>
      <c r="J9" s="115"/>
      <c r="K9" s="115"/>
    </row>
    <row r="10" spans="1:15" x14ac:dyDescent="0.25">
      <c r="A10" s="109"/>
      <c r="B10" s="109"/>
      <c r="C10" s="112"/>
      <c r="D10" s="59">
        <v>2025</v>
      </c>
      <c r="E10" s="8">
        <f t="shared" si="0"/>
        <v>2159394.9740799996</v>
      </c>
      <c r="F10" s="8">
        <f t="shared" si="1"/>
        <v>2052012.97275</v>
      </c>
      <c r="G10" s="8">
        <f t="shared" si="1"/>
        <v>90000</v>
      </c>
      <c r="H10" s="8">
        <f t="shared" si="1"/>
        <v>17382.001329999999</v>
      </c>
      <c r="I10" s="8">
        <f t="shared" si="1"/>
        <v>0</v>
      </c>
      <c r="J10" s="115"/>
      <c r="K10" s="115"/>
    </row>
    <row r="11" spans="1:15" x14ac:dyDescent="0.25">
      <c r="A11" s="110"/>
      <c r="B11" s="110"/>
      <c r="C11" s="113"/>
      <c r="D11" s="40">
        <v>2026</v>
      </c>
      <c r="E11" s="41">
        <f>SUM(F11:I11)</f>
        <v>0</v>
      </c>
      <c r="F11" s="41">
        <f>SUM(F32,F202,F394,F841)</f>
        <v>0</v>
      </c>
      <c r="G11" s="41">
        <f>SUM(G32,G202,G394,G841)</f>
        <v>0</v>
      </c>
      <c r="H11" s="41">
        <f>SUM(H32,H202,H394,H841)</f>
        <v>0</v>
      </c>
      <c r="I11" s="41">
        <f>SUM(I32,I202,I394,I841)</f>
        <v>0</v>
      </c>
      <c r="J11" s="116"/>
      <c r="K11" s="116"/>
    </row>
    <row r="12" spans="1:15" ht="15" customHeight="1" x14ac:dyDescent="0.25">
      <c r="A12" s="108"/>
      <c r="B12" s="108" t="s">
        <v>483</v>
      </c>
      <c r="C12" s="111" t="s">
        <v>828</v>
      </c>
      <c r="D12" s="59" t="s">
        <v>8</v>
      </c>
      <c r="E12" s="8">
        <f t="shared" ref="E12:E24" si="2">SUM(F12:I12)</f>
        <v>8066525.1228178432</v>
      </c>
      <c r="F12" s="8">
        <f>SUM(F13:F17)</f>
        <v>7644430.8865600005</v>
      </c>
      <c r="G12" s="8">
        <f t="shared" ref="G12:H12" si="3">SUM(G13:G17)</f>
        <v>311107.18385000003</v>
      </c>
      <c r="H12" s="8">
        <f t="shared" si="3"/>
        <v>110987.05240784268</v>
      </c>
      <c r="I12" s="8">
        <v>0</v>
      </c>
      <c r="J12" s="114"/>
      <c r="K12" s="114" t="s">
        <v>484</v>
      </c>
    </row>
    <row r="13" spans="1:15" x14ac:dyDescent="0.25">
      <c r="A13" s="109"/>
      <c r="B13" s="109"/>
      <c r="C13" s="112"/>
      <c r="D13" s="59">
        <v>2021</v>
      </c>
      <c r="E13" s="8">
        <f t="shared" si="2"/>
        <v>1143437.1402100001</v>
      </c>
      <c r="F13" s="8">
        <f t="shared" ref="F13:I18" si="4">F6-F20</f>
        <v>1079783.2501300001</v>
      </c>
      <c r="G13" s="8">
        <f t="shared" si="4"/>
        <v>44391.299000000028</v>
      </c>
      <c r="H13" s="8">
        <f t="shared" si="4"/>
        <v>19262.591080000006</v>
      </c>
      <c r="I13" s="8">
        <v>0</v>
      </c>
      <c r="J13" s="115"/>
      <c r="K13" s="115"/>
      <c r="M13" s="58" t="s">
        <v>9</v>
      </c>
      <c r="N13" s="58" t="s">
        <v>10</v>
      </c>
      <c r="O13" s="58" t="s">
        <v>11</v>
      </c>
    </row>
    <row r="14" spans="1:15" x14ac:dyDescent="0.25">
      <c r="A14" s="109"/>
      <c r="B14" s="109"/>
      <c r="C14" s="112"/>
      <c r="D14" s="59">
        <v>2022</v>
      </c>
      <c r="E14" s="8">
        <f t="shared" si="2"/>
        <v>1719476.5110178431</v>
      </c>
      <c r="F14" s="8">
        <f t="shared" si="4"/>
        <v>1631988.5963600003</v>
      </c>
      <c r="G14" s="8">
        <f t="shared" si="4"/>
        <v>66437.87</v>
      </c>
      <c r="H14" s="8">
        <f t="shared" si="4"/>
        <v>21050.044657842671</v>
      </c>
      <c r="I14" s="8">
        <v>0</v>
      </c>
      <c r="J14" s="115"/>
      <c r="K14" s="115"/>
      <c r="M14" s="10">
        <f>SUM(F28,F198,F421,F433,F511,F536,F542,F549,F555,F609,F639,F699,F705,F711,F717,F749,F812,F837)</f>
        <v>1637815.2563600005</v>
      </c>
      <c r="N14" s="58">
        <f>SUM(G28,G198,G421,G433,G511,G536,G542,G549,G555,G609,G639,G699,G705,G711,G717,G749,G812,G837)</f>
        <v>66437.87</v>
      </c>
      <c r="O14" s="58">
        <f>SUM(H28,H198,H421,H433,H511,H536,H542,H549,H555,H609,H639,H699,H705,H711,H717,H749,H812,H837)</f>
        <v>21356.710957842668</v>
      </c>
    </row>
    <row r="15" spans="1:15" x14ac:dyDescent="0.25">
      <c r="A15" s="109"/>
      <c r="B15" s="109"/>
      <c r="C15" s="112"/>
      <c r="D15" s="59">
        <v>2023</v>
      </c>
      <c r="E15" s="8">
        <f t="shared" si="2"/>
        <v>1506558.2592200004</v>
      </c>
      <c r="F15" s="8">
        <f t="shared" si="4"/>
        <v>1461119.3410300002</v>
      </c>
      <c r="G15" s="8">
        <f t="shared" si="4"/>
        <v>12210.214849999989</v>
      </c>
      <c r="H15" s="8">
        <f t="shared" si="4"/>
        <v>33228.70334</v>
      </c>
      <c r="I15" s="8">
        <v>0</v>
      </c>
      <c r="J15" s="115"/>
      <c r="K15" s="115"/>
    </row>
    <row r="16" spans="1:15" x14ac:dyDescent="0.25">
      <c r="A16" s="109"/>
      <c r="B16" s="109"/>
      <c r="C16" s="112"/>
      <c r="D16" s="59">
        <v>2024</v>
      </c>
      <c r="E16" s="8">
        <f t="shared" si="2"/>
        <v>2099076.0382899996</v>
      </c>
      <c r="F16" s="8">
        <f t="shared" si="4"/>
        <v>1980152.0482899994</v>
      </c>
      <c r="G16" s="8">
        <f t="shared" si="4"/>
        <v>98067.799999999988</v>
      </c>
      <c r="H16" s="8">
        <f t="shared" si="4"/>
        <v>20856.190000000002</v>
      </c>
      <c r="I16" s="8">
        <v>0</v>
      </c>
      <c r="J16" s="115"/>
      <c r="K16" s="115"/>
      <c r="M16" s="58">
        <f t="shared" ref="M16:O17" si="5">SUM(F30,F200,F423,F435,F513,F538,F544,F551,F557,F611,F641,F701,F707,F713,F719,F751,F814,F839)</f>
        <v>1980152.0482899998</v>
      </c>
      <c r="N16" s="58">
        <f t="shared" si="5"/>
        <v>98067.8</v>
      </c>
      <c r="O16" s="58">
        <f t="shared" si="5"/>
        <v>20856.189999999999</v>
      </c>
    </row>
    <row r="17" spans="1:15" x14ac:dyDescent="0.25">
      <c r="A17" s="109"/>
      <c r="B17" s="109"/>
      <c r="C17" s="112"/>
      <c r="D17" s="59">
        <v>2025</v>
      </c>
      <c r="E17" s="8">
        <f t="shared" si="2"/>
        <v>1597977.17408</v>
      </c>
      <c r="F17" s="8">
        <f t="shared" si="4"/>
        <v>1491387.65075</v>
      </c>
      <c r="G17" s="8">
        <f t="shared" si="4"/>
        <v>90000</v>
      </c>
      <c r="H17" s="8">
        <f t="shared" si="4"/>
        <v>16589.52333</v>
      </c>
      <c r="I17" s="8">
        <v>0</v>
      </c>
      <c r="J17" s="115"/>
      <c r="K17" s="115"/>
      <c r="M17" s="58">
        <f t="shared" si="5"/>
        <v>1491387.65075</v>
      </c>
      <c r="N17" s="58">
        <f t="shared" si="5"/>
        <v>90000</v>
      </c>
      <c r="O17" s="58">
        <f t="shared" si="5"/>
        <v>16589.52333</v>
      </c>
    </row>
    <row r="18" spans="1:15" x14ac:dyDescent="0.25">
      <c r="A18" s="110"/>
      <c r="B18" s="110"/>
      <c r="C18" s="113"/>
      <c r="D18" s="40">
        <v>2026</v>
      </c>
      <c r="E18" s="41">
        <f>SUM(F18:I18)</f>
        <v>0</v>
      </c>
      <c r="F18" s="41">
        <f t="shared" si="4"/>
        <v>0</v>
      </c>
      <c r="G18" s="41">
        <f t="shared" si="4"/>
        <v>0</v>
      </c>
      <c r="H18" s="41">
        <f t="shared" si="4"/>
        <v>0</v>
      </c>
      <c r="I18" s="41">
        <f t="shared" si="4"/>
        <v>0</v>
      </c>
      <c r="J18" s="116"/>
      <c r="K18" s="116"/>
    </row>
    <row r="19" spans="1:15" ht="15" customHeight="1" x14ac:dyDescent="0.25">
      <c r="A19" s="138"/>
      <c r="B19" s="138" t="s">
        <v>18</v>
      </c>
      <c r="C19" s="138" t="s">
        <v>828</v>
      </c>
      <c r="D19" s="48" t="s">
        <v>8</v>
      </c>
      <c r="E19" s="49">
        <f t="shared" si="2"/>
        <v>4286904.541696908</v>
      </c>
      <c r="F19" s="49">
        <f>F20+F21+F22+F23+F24</f>
        <v>2953290.6289000004</v>
      </c>
      <c r="G19" s="49">
        <f t="shared" ref="G19:H19" si="6">G20+G21+G22+G23+G24</f>
        <v>1229915.9389999998</v>
      </c>
      <c r="H19" s="49">
        <f t="shared" si="6"/>
        <v>103697.97379690821</v>
      </c>
      <c r="I19" s="49">
        <f t="shared" ref="I19" si="7">I20+I21+I22+I23</f>
        <v>0</v>
      </c>
      <c r="J19" s="114"/>
      <c r="K19" s="114" t="s">
        <v>20</v>
      </c>
    </row>
    <row r="20" spans="1:15" x14ac:dyDescent="0.25">
      <c r="A20" s="139"/>
      <c r="B20" s="139"/>
      <c r="C20" s="139"/>
      <c r="D20" s="48">
        <v>2021</v>
      </c>
      <c r="E20" s="49">
        <f t="shared" si="2"/>
        <v>469791.46158165036</v>
      </c>
      <c r="F20" s="49">
        <f t="shared" ref="F20:H21" si="8">F402+F408+F414+F426+F456+F468+F474+F504+F560+F566+F572+F578+F590+F596+F614+F620+F626+F632+F644+F650+F656+F662+F668+F674+F680+F686+F692+F722+F728+F768+F818+F824+F830+F492+F786+F774</f>
        <v>188127.04001999999</v>
      </c>
      <c r="G20" s="49">
        <f t="shared" si="8"/>
        <v>257488.69899999999</v>
      </c>
      <c r="H20" s="49">
        <f t="shared" si="8"/>
        <v>24175.722561650378</v>
      </c>
      <c r="I20" s="49">
        <f>I6-I13</f>
        <v>0</v>
      </c>
      <c r="J20" s="115"/>
      <c r="K20" s="115"/>
    </row>
    <row r="21" spans="1:15" x14ac:dyDescent="0.25">
      <c r="A21" s="139"/>
      <c r="B21" s="139"/>
      <c r="C21" s="139"/>
      <c r="D21" s="48">
        <v>2022</v>
      </c>
      <c r="E21" s="49">
        <f t="shared" si="2"/>
        <v>1157781.5735552579</v>
      </c>
      <c r="F21" s="49">
        <f t="shared" si="8"/>
        <v>921156.4460600001</v>
      </c>
      <c r="G21" s="49">
        <f t="shared" si="8"/>
        <v>177607.9</v>
      </c>
      <c r="H21" s="49">
        <f t="shared" si="8"/>
        <v>59017.227495257852</v>
      </c>
      <c r="I21" s="49">
        <f>I7-I14</f>
        <v>0</v>
      </c>
      <c r="J21" s="115"/>
      <c r="K21" s="115"/>
    </row>
    <row r="22" spans="1:15" x14ac:dyDescent="0.25">
      <c r="A22" s="139"/>
      <c r="B22" s="139"/>
      <c r="C22" s="139"/>
      <c r="D22" s="48">
        <v>2023</v>
      </c>
      <c r="E22" s="49">
        <f>SUM(F22:I22)</f>
        <v>647821.80619999999</v>
      </c>
      <c r="F22" s="49">
        <f>F404+F410+F416+F428+F458+F470+F476+F506+F562+F568+F574+F580+F592+F598+F616+F622+F628+F634+F646+F652+F658+F664+F670+F676+F682+F688+F694+F724+F730+F770+F820+F826+F832+F494+F788+F776</f>
        <v>214914.47045999998</v>
      </c>
      <c r="G22" s="49">
        <f>G404+G410+G416+G428+G458+G470+G476+G506+G562+G568+G574+G580+G592+G598+G616+G622+G628+G634+G646+G652+G658+G664+G670+G676+G682+G688+G694+G724+G730+G770+G820+G826+G832+G494+G788+G776+G782</f>
        <v>424710.74</v>
      </c>
      <c r="H22" s="49">
        <f>H404+H410+H416+H428+H458+H470+H476+H506+H562+H568+H574+H580+H592+H598+H616+H622+H628+H634+H646+H652+H658+H664+H670+H676+H682+H688+H694+H724+H730+H770+H820+H826+H832+H494+H788+H776</f>
        <v>8196.5957399999752</v>
      </c>
      <c r="I22" s="49">
        <f>I404+I410+I416+I428+I458+I470+I476+I506+I562+I568+I574+I580+I592+I598+I610+I616+I622+I628+I634+I646+I652+I658+I664+I670+I676+I682+I688+I694+I724+I730+I770+I820+I826+I832+I494+I788</f>
        <v>0</v>
      </c>
      <c r="J22" s="115"/>
      <c r="K22" s="115"/>
    </row>
    <row r="23" spans="1:15" x14ac:dyDescent="0.25">
      <c r="A23" s="139"/>
      <c r="B23" s="139"/>
      <c r="C23" s="139"/>
      <c r="D23" s="48">
        <v>2024</v>
      </c>
      <c r="E23" s="49">
        <f t="shared" si="2"/>
        <v>1450091.9003600001</v>
      </c>
      <c r="F23" s="49">
        <f>F405+F411+F417+F441+F447+F453+F459+F465+F471+F477+F483+F489+F495+F501+F507+F519+F525+F563+F569+F575+F581+F587+F593+F599+F617+F623+F629+F635+F647+F659+F665+F671+F677+F683+F689+F695+F765+F789+F833</f>
        <v>1068467.35036</v>
      </c>
      <c r="G23" s="49">
        <f>G405+G411+G417+G429+G459+G471+G477+G507+G563+G569+G575+G581+G593+G599+G617+G623+G629+G635+G647+G653+G659+G665+G671+G677+G683+G689+G695+G725+G731+G771+G821+G827+G833+G495+G789+G777</f>
        <v>370108.6</v>
      </c>
      <c r="H23" s="49">
        <f>H405+H411+H417+H429+H459+H471+H477+H507+H563+H569+H575+H581+H593+H599+H617+H623+H629+H635+H647+H653+H659+H665+H671+H677+H683+H689+H695+H725+H731+H771+H821+H827+H833+H495+H789+H777</f>
        <v>11515.949999999999</v>
      </c>
      <c r="I23" s="49">
        <f>I405+I411+I417+I429+I459+I471+I477+I507+I563+I569+I575+I581+I593+I599+I611+I617+I623+I629+I635+I647+I653+I659+I665+I671+I677+I683+I689+I695+I725+I731+I771+I821+I827+I833+I495+I789+I790</f>
        <v>0</v>
      </c>
      <c r="J23" s="115"/>
      <c r="K23" s="115"/>
      <c r="M23" s="10"/>
      <c r="N23" s="10"/>
    </row>
    <row r="24" spans="1:15" x14ac:dyDescent="0.25">
      <c r="A24" s="139"/>
      <c r="B24" s="139"/>
      <c r="C24" s="139"/>
      <c r="D24" s="48">
        <v>2025</v>
      </c>
      <c r="E24" s="49">
        <f t="shared" si="2"/>
        <v>561417.80000000005</v>
      </c>
      <c r="F24" s="49">
        <f>F406+F412+F418+F430+F460+F472+F478+F508+F564+F570+F576+F582+F594+F600+F618+F624+F630+F636+F648+F654+F660+F666+F672+F678+F684+F690+F696+F726+F732+F822+F828+F834+F496+F790+F766</f>
        <v>560625.32200000004</v>
      </c>
      <c r="G24" s="49">
        <f>G406+G412+G418+G430+G460+G472+G478+G508+G564+G570+G576+G582+G594+G600+G618+G624+G630+G636+G648+G654+G660+G666+G672+G678+G684+G690+G696+G726+G732+G772+G822+G828+G834+G496+G790+G778</f>
        <v>0</v>
      </c>
      <c r="H24" s="49">
        <f>H406+H412+H418+H430+H460+H472+H478+H508+H564+H570+H576+H582+H594+H600+H618+H624+H630+H636+H648+H654+H660+H666+H672+H678+H684+H690+H696+H726+H732+H772+H822+H828+H834+H496+H790+H778</f>
        <v>792.47800000000007</v>
      </c>
      <c r="I24" s="49">
        <f>I10-I17</f>
        <v>0</v>
      </c>
      <c r="J24" s="115"/>
      <c r="K24" s="115"/>
    </row>
    <row r="25" spans="1:15" x14ac:dyDescent="0.25">
      <c r="A25" s="156"/>
      <c r="B25" s="156"/>
      <c r="C25" s="156"/>
      <c r="D25" s="48">
        <v>2026</v>
      </c>
      <c r="E25" s="49"/>
      <c r="F25" s="49"/>
      <c r="G25" s="49"/>
      <c r="H25" s="49"/>
      <c r="I25" s="49"/>
      <c r="J25" s="116"/>
      <c r="K25" s="116"/>
    </row>
    <row r="26" spans="1:15" ht="15" customHeight="1" x14ac:dyDescent="0.25">
      <c r="A26" s="108" t="s">
        <v>806</v>
      </c>
      <c r="B26" s="108" t="s">
        <v>818</v>
      </c>
      <c r="C26" s="111" t="s">
        <v>828</v>
      </c>
      <c r="D26" s="59" t="s">
        <v>8</v>
      </c>
      <c r="E26" s="8">
        <f t="shared" si="0"/>
        <v>1436372.0296</v>
      </c>
      <c r="F26" s="8">
        <f>SUM(F27:F31)</f>
        <v>1400202.9307800001</v>
      </c>
      <c r="G26" s="8">
        <f>SUM(G27:G31)</f>
        <v>23683.307479999996</v>
      </c>
      <c r="H26" s="8">
        <f>SUM(H27:H31)</f>
        <v>12485.79134</v>
      </c>
      <c r="I26" s="8">
        <f>SUM(I27:I31)</f>
        <v>0</v>
      </c>
      <c r="J26" s="114"/>
      <c r="K26" s="108" t="s">
        <v>486</v>
      </c>
      <c r="L26" s="124" t="s">
        <v>1111</v>
      </c>
    </row>
    <row r="27" spans="1:15" x14ac:dyDescent="0.25">
      <c r="A27" s="109"/>
      <c r="B27" s="109"/>
      <c r="C27" s="112"/>
      <c r="D27" s="59">
        <v>2021</v>
      </c>
      <c r="E27" s="8">
        <f t="shared" si="0"/>
        <v>138607.88275000002</v>
      </c>
      <c r="F27" s="8">
        <f t="shared" ref="F27:I31" si="9">F34+F58+F164</f>
        <v>118407.68375000001</v>
      </c>
      <c r="G27" s="8">
        <f t="shared" si="9"/>
        <v>20200.198999999997</v>
      </c>
      <c r="H27" s="8">
        <f t="shared" si="9"/>
        <v>0</v>
      </c>
      <c r="I27" s="8">
        <f t="shared" si="9"/>
        <v>0</v>
      </c>
      <c r="J27" s="115"/>
      <c r="K27" s="109"/>
      <c r="L27" s="124"/>
    </row>
    <row r="28" spans="1:15" x14ac:dyDescent="0.25">
      <c r="A28" s="109"/>
      <c r="B28" s="109"/>
      <c r="C28" s="112"/>
      <c r="D28" s="59">
        <v>2022</v>
      </c>
      <c r="E28" s="8">
        <f t="shared" si="0"/>
        <v>284204.41166000004</v>
      </c>
      <c r="F28" s="8">
        <f t="shared" si="9"/>
        <v>281836.93466000003</v>
      </c>
      <c r="G28" s="8">
        <f t="shared" si="9"/>
        <v>2367.4769999999999</v>
      </c>
      <c r="H28" s="8">
        <f t="shared" si="9"/>
        <v>0</v>
      </c>
      <c r="I28" s="8">
        <f t="shared" si="9"/>
        <v>0</v>
      </c>
      <c r="J28" s="115"/>
      <c r="K28" s="109"/>
      <c r="L28" s="124"/>
    </row>
    <row r="29" spans="1:15" x14ac:dyDescent="0.25">
      <c r="A29" s="109"/>
      <c r="B29" s="109"/>
      <c r="C29" s="112"/>
      <c r="D29" s="59">
        <v>2023</v>
      </c>
      <c r="E29" s="8">
        <f t="shared" si="0"/>
        <v>296877.74302999995</v>
      </c>
      <c r="F29" s="8">
        <f t="shared" si="9"/>
        <v>283276.32020999998</v>
      </c>
      <c r="G29" s="8">
        <f t="shared" si="9"/>
        <v>1115.63148</v>
      </c>
      <c r="H29" s="8">
        <f t="shared" si="9"/>
        <v>12485.79134</v>
      </c>
      <c r="I29" s="8">
        <f t="shared" si="9"/>
        <v>0</v>
      </c>
      <c r="J29" s="115"/>
      <c r="K29" s="109"/>
      <c r="L29" s="124"/>
    </row>
    <row r="30" spans="1:15" x14ac:dyDescent="0.25">
      <c r="A30" s="109"/>
      <c r="B30" s="109"/>
      <c r="C30" s="112"/>
      <c r="D30" s="59">
        <v>2024</v>
      </c>
      <c r="E30" s="8">
        <f t="shared" si="0"/>
        <v>469124.59357999999</v>
      </c>
      <c r="F30" s="8">
        <f>F37+F61+F167+F55</f>
        <v>469124.59357999999</v>
      </c>
      <c r="G30" s="8">
        <f t="shared" si="9"/>
        <v>0</v>
      </c>
      <c r="H30" s="8">
        <f t="shared" si="9"/>
        <v>0</v>
      </c>
      <c r="I30" s="8">
        <f t="shared" si="9"/>
        <v>0</v>
      </c>
      <c r="J30" s="115"/>
      <c r="K30" s="109"/>
      <c r="L30" s="124"/>
    </row>
    <row r="31" spans="1:15" x14ac:dyDescent="0.25">
      <c r="A31" s="109"/>
      <c r="B31" s="109"/>
      <c r="C31" s="112"/>
      <c r="D31" s="59">
        <v>2025</v>
      </c>
      <c r="E31" s="8">
        <f t="shared" si="0"/>
        <v>247557.39858000001</v>
      </c>
      <c r="F31" s="8">
        <f>F38+F62+F168</f>
        <v>247557.39858000001</v>
      </c>
      <c r="G31" s="8">
        <f t="shared" si="9"/>
        <v>0</v>
      </c>
      <c r="H31" s="8">
        <f t="shared" si="9"/>
        <v>0</v>
      </c>
      <c r="I31" s="8">
        <f t="shared" si="9"/>
        <v>0</v>
      </c>
      <c r="J31" s="115"/>
      <c r="K31" s="109"/>
      <c r="L31" s="124"/>
    </row>
    <row r="32" spans="1:15" x14ac:dyDescent="0.25">
      <c r="A32" s="110"/>
      <c r="B32" s="110"/>
      <c r="C32" s="113"/>
      <c r="D32" s="48">
        <v>2026</v>
      </c>
      <c r="E32" s="49">
        <f>SUM(F32:I32)</f>
        <v>0</v>
      </c>
      <c r="F32" s="49">
        <f>SUM(F63,F169)</f>
        <v>0</v>
      </c>
      <c r="G32" s="49">
        <f t="shared" ref="G32:I32" si="10">SUM(G63,G169)</f>
        <v>0</v>
      </c>
      <c r="H32" s="49">
        <f t="shared" si="10"/>
        <v>0</v>
      </c>
      <c r="I32" s="49">
        <f t="shared" si="10"/>
        <v>0</v>
      </c>
      <c r="J32" s="116"/>
      <c r="K32" s="110"/>
    </row>
    <row r="33" spans="1:12" x14ac:dyDescent="0.25">
      <c r="A33" s="117" t="s">
        <v>23</v>
      </c>
      <c r="B33" s="118" t="s">
        <v>24</v>
      </c>
      <c r="C33" s="153" t="s">
        <v>14</v>
      </c>
      <c r="D33" s="59" t="s">
        <v>8</v>
      </c>
      <c r="E33" s="8">
        <f t="shared" ref="E33:E44" si="11">SUM(F33:I33)</f>
        <v>5422.4259999999995</v>
      </c>
      <c r="F33" s="8">
        <f>SUM(F34:F38)</f>
        <v>5422.4259999999995</v>
      </c>
      <c r="G33" s="8">
        <f>SUM(G34:G38)</f>
        <v>0</v>
      </c>
      <c r="H33" s="8">
        <f>SUM(H34:H38)</f>
        <v>0</v>
      </c>
      <c r="I33" s="8">
        <f>SUM(I34:I38)</f>
        <v>0</v>
      </c>
      <c r="J33" s="119" t="s">
        <v>487</v>
      </c>
      <c r="K33" s="119" t="s">
        <v>488</v>
      </c>
      <c r="L33" s="124"/>
    </row>
    <row r="34" spans="1:12" x14ac:dyDescent="0.25">
      <c r="A34" s="117"/>
      <c r="B34" s="118"/>
      <c r="C34" s="154"/>
      <c r="D34" s="59">
        <v>2021</v>
      </c>
      <c r="E34" s="8">
        <f t="shared" si="11"/>
        <v>3054.4259999999999</v>
      </c>
      <c r="F34" s="8">
        <f t="shared" ref="F34:I38" si="12">F40+F46</f>
        <v>3054.4259999999999</v>
      </c>
      <c r="G34" s="8">
        <f t="shared" si="12"/>
        <v>0</v>
      </c>
      <c r="H34" s="8">
        <f t="shared" si="12"/>
        <v>0</v>
      </c>
      <c r="I34" s="8">
        <f t="shared" si="12"/>
        <v>0</v>
      </c>
      <c r="J34" s="119"/>
      <c r="K34" s="119"/>
      <c r="L34" s="124"/>
    </row>
    <row r="35" spans="1:12" x14ac:dyDescent="0.25">
      <c r="A35" s="117"/>
      <c r="B35" s="118"/>
      <c r="C35" s="154"/>
      <c r="D35" s="59">
        <v>2022</v>
      </c>
      <c r="E35" s="8">
        <f t="shared" si="11"/>
        <v>0</v>
      </c>
      <c r="F35" s="8">
        <f t="shared" si="12"/>
        <v>0</v>
      </c>
      <c r="G35" s="8">
        <f t="shared" si="12"/>
        <v>0</v>
      </c>
      <c r="H35" s="8">
        <f t="shared" si="12"/>
        <v>0</v>
      </c>
      <c r="I35" s="8">
        <f t="shared" si="12"/>
        <v>0</v>
      </c>
      <c r="J35" s="119"/>
      <c r="K35" s="119"/>
      <c r="L35" s="124"/>
    </row>
    <row r="36" spans="1:12" x14ac:dyDescent="0.25">
      <c r="A36" s="117"/>
      <c r="B36" s="118"/>
      <c r="C36" s="154"/>
      <c r="D36" s="59">
        <v>2023</v>
      </c>
      <c r="E36" s="8">
        <f t="shared" si="11"/>
        <v>0</v>
      </c>
      <c r="F36" s="8">
        <f t="shared" si="12"/>
        <v>0</v>
      </c>
      <c r="G36" s="8">
        <f t="shared" si="12"/>
        <v>0</v>
      </c>
      <c r="H36" s="8">
        <f t="shared" si="12"/>
        <v>0</v>
      </c>
      <c r="I36" s="8">
        <f t="shared" si="12"/>
        <v>0</v>
      </c>
      <c r="J36" s="119"/>
      <c r="K36" s="119"/>
      <c r="L36" s="124"/>
    </row>
    <row r="37" spans="1:12" x14ac:dyDescent="0.25">
      <c r="A37" s="117"/>
      <c r="B37" s="118"/>
      <c r="C37" s="154"/>
      <c r="D37" s="59">
        <v>2024</v>
      </c>
      <c r="E37" s="8">
        <f t="shared" si="11"/>
        <v>2368</v>
      </c>
      <c r="F37" s="8">
        <f>F43+F49+F55</f>
        <v>2368</v>
      </c>
      <c r="G37" s="8">
        <f t="shared" si="12"/>
        <v>0</v>
      </c>
      <c r="H37" s="8">
        <f t="shared" si="12"/>
        <v>0</v>
      </c>
      <c r="I37" s="8">
        <f t="shared" si="12"/>
        <v>0</v>
      </c>
      <c r="J37" s="119"/>
      <c r="K37" s="119"/>
      <c r="L37" s="124"/>
    </row>
    <row r="38" spans="1:12" x14ac:dyDescent="0.25">
      <c r="A38" s="117"/>
      <c r="B38" s="118"/>
      <c r="C38" s="155"/>
      <c r="D38" s="59">
        <v>2025</v>
      </c>
      <c r="E38" s="8">
        <f t="shared" si="11"/>
        <v>0</v>
      </c>
      <c r="F38" s="8">
        <f t="shared" si="12"/>
        <v>0</v>
      </c>
      <c r="G38" s="8">
        <f t="shared" si="12"/>
        <v>0</v>
      </c>
      <c r="H38" s="8">
        <f t="shared" si="12"/>
        <v>0</v>
      </c>
      <c r="I38" s="8">
        <f t="shared" si="12"/>
        <v>0</v>
      </c>
      <c r="J38" s="119"/>
      <c r="K38" s="119"/>
      <c r="L38" s="124"/>
    </row>
    <row r="39" spans="1:12" x14ac:dyDescent="0.25">
      <c r="A39" s="117" t="s">
        <v>27</v>
      </c>
      <c r="B39" s="118" t="s">
        <v>489</v>
      </c>
      <c r="C39" s="119" t="s">
        <v>490</v>
      </c>
      <c r="D39" s="59" t="s">
        <v>8</v>
      </c>
      <c r="E39" s="8">
        <f t="shared" si="11"/>
        <v>0</v>
      </c>
      <c r="F39" s="8">
        <f>SUM(F40:F44)</f>
        <v>0</v>
      </c>
      <c r="G39" s="8">
        <f>SUM(G40:G44)</f>
        <v>0</v>
      </c>
      <c r="H39" s="8">
        <f>SUM(H40:H44)</f>
        <v>0</v>
      </c>
      <c r="I39" s="8">
        <f>SUM(I40:I44)</f>
        <v>0</v>
      </c>
      <c r="J39" s="119" t="s">
        <v>29</v>
      </c>
      <c r="K39" s="119" t="s">
        <v>486</v>
      </c>
    </row>
    <row r="40" spans="1:12" x14ac:dyDescent="0.25">
      <c r="A40" s="117"/>
      <c r="B40" s="118"/>
      <c r="C40" s="119"/>
      <c r="D40" s="59">
        <v>2021</v>
      </c>
      <c r="E40" s="8">
        <f t="shared" si="11"/>
        <v>0</v>
      </c>
      <c r="F40" s="8">
        <v>0</v>
      </c>
      <c r="G40" s="8">
        <v>0</v>
      </c>
      <c r="H40" s="8">
        <v>0</v>
      </c>
      <c r="I40" s="8">
        <v>0</v>
      </c>
      <c r="J40" s="119"/>
      <c r="K40" s="119"/>
    </row>
    <row r="41" spans="1:12" x14ac:dyDescent="0.25">
      <c r="A41" s="117"/>
      <c r="B41" s="118"/>
      <c r="C41" s="119"/>
      <c r="D41" s="59">
        <v>2022</v>
      </c>
      <c r="E41" s="8">
        <f t="shared" si="11"/>
        <v>0</v>
      </c>
      <c r="F41" s="8">
        <v>0</v>
      </c>
      <c r="G41" s="8">
        <v>0</v>
      </c>
      <c r="H41" s="8">
        <v>0</v>
      </c>
      <c r="I41" s="8">
        <v>0</v>
      </c>
      <c r="J41" s="119"/>
      <c r="K41" s="119"/>
    </row>
    <row r="42" spans="1:12" x14ac:dyDescent="0.25">
      <c r="A42" s="117"/>
      <c r="B42" s="118"/>
      <c r="C42" s="119"/>
      <c r="D42" s="59">
        <v>2023</v>
      </c>
      <c r="E42" s="8">
        <f t="shared" si="11"/>
        <v>0</v>
      </c>
      <c r="F42" s="8">
        <v>0</v>
      </c>
      <c r="G42" s="8">
        <v>0</v>
      </c>
      <c r="H42" s="8">
        <v>0</v>
      </c>
      <c r="I42" s="8">
        <v>0</v>
      </c>
      <c r="J42" s="119"/>
      <c r="K42" s="119"/>
    </row>
    <row r="43" spans="1:12" x14ac:dyDescent="0.25">
      <c r="A43" s="117"/>
      <c r="B43" s="118"/>
      <c r="C43" s="119"/>
      <c r="D43" s="59">
        <v>2024</v>
      </c>
      <c r="E43" s="8">
        <f t="shared" si="11"/>
        <v>0</v>
      </c>
      <c r="F43" s="8">
        <v>0</v>
      </c>
      <c r="G43" s="8">
        <v>0</v>
      </c>
      <c r="H43" s="8">
        <v>0</v>
      </c>
      <c r="I43" s="8">
        <v>0</v>
      </c>
      <c r="J43" s="119"/>
      <c r="K43" s="119"/>
    </row>
    <row r="44" spans="1:12" x14ac:dyDescent="0.25">
      <c r="A44" s="117"/>
      <c r="B44" s="118"/>
      <c r="C44" s="119"/>
      <c r="D44" s="59">
        <v>2025</v>
      </c>
      <c r="E44" s="8">
        <f t="shared" si="11"/>
        <v>0</v>
      </c>
      <c r="F44" s="8">
        <v>0</v>
      </c>
      <c r="G44" s="8">
        <v>0</v>
      </c>
      <c r="H44" s="8">
        <v>0</v>
      </c>
      <c r="I44" s="8">
        <v>0</v>
      </c>
      <c r="J44" s="119"/>
      <c r="K44" s="119"/>
    </row>
    <row r="45" spans="1:12" x14ac:dyDescent="0.25">
      <c r="A45" s="117" t="s">
        <v>491</v>
      </c>
      <c r="B45" s="118" t="s">
        <v>492</v>
      </c>
      <c r="C45" s="119" t="s">
        <v>490</v>
      </c>
      <c r="D45" s="59" t="s">
        <v>8</v>
      </c>
      <c r="E45" s="8">
        <f>SUM(E46:E50)</f>
        <v>3054.4259999999999</v>
      </c>
      <c r="F45" s="8">
        <f>SUM(F46:F50)</f>
        <v>3054.4259999999999</v>
      </c>
      <c r="G45" s="8">
        <f>SUM(G46:G50)</f>
        <v>0</v>
      </c>
      <c r="H45" s="8">
        <f>SUM(H46:H50)</f>
        <v>0</v>
      </c>
      <c r="I45" s="8">
        <f>SUM(I46:I50)</f>
        <v>0</v>
      </c>
      <c r="J45" s="119" t="s">
        <v>493</v>
      </c>
      <c r="K45" s="119" t="s">
        <v>494</v>
      </c>
      <c r="L45" s="124"/>
    </row>
    <row r="46" spans="1:12" x14ac:dyDescent="0.25">
      <c r="A46" s="117"/>
      <c r="B46" s="118"/>
      <c r="C46" s="119"/>
      <c r="D46" s="59">
        <v>2021</v>
      </c>
      <c r="E46" s="8">
        <f t="shared" ref="E46:E121" si="13">SUM(F46:I46)</f>
        <v>3054.4259999999999</v>
      </c>
      <c r="F46" s="8">
        <v>3054.4259999999999</v>
      </c>
      <c r="G46" s="8">
        <v>0</v>
      </c>
      <c r="H46" s="8">
        <v>0</v>
      </c>
      <c r="I46" s="8">
        <v>0</v>
      </c>
      <c r="J46" s="119"/>
      <c r="K46" s="119"/>
      <c r="L46" s="124"/>
    </row>
    <row r="47" spans="1:12" x14ac:dyDescent="0.25">
      <c r="A47" s="117"/>
      <c r="B47" s="118"/>
      <c r="C47" s="119"/>
      <c r="D47" s="59">
        <v>2022</v>
      </c>
      <c r="E47" s="8">
        <f t="shared" si="13"/>
        <v>0</v>
      </c>
      <c r="F47" s="8">
        <v>0</v>
      </c>
      <c r="G47" s="8">
        <v>0</v>
      </c>
      <c r="H47" s="8">
        <v>0</v>
      </c>
      <c r="I47" s="8">
        <v>0</v>
      </c>
      <c r="J47" s="119"/>
      <c r="K47" s="119"/>
      <c r="L47" s="124"/>
    </row>
    <row r="48" spans="1:12" x14ac:dyDescent="0.25">
      <c r="A48" s="117"/>
      <c r="B48" s="118"/>
      <c r="C48" s="119"/>
      <c r="D48" s="59">
        <v>2023</v>
      </c>
      <c r="E48" s="8">
        <f t="shared" si="13"/>
        <v>0</v>
      </c>
      <c r="F48" s="8">
        <v>0</v>
      </c>
      <c r="G48" s="8">
        <v>0</v>
      </c>
      <c r="H48" s="8">
        <v>0</v>
      </c>
      <c r="I48" s="8">
        <v>0</v>
      </c>
      <c r="J48" s="119"/>
      <c r="K48" s="119"/>
      <c r="L48" s="124"/>
    </row>
    <row r="49" spans="1:14" x14ac:dyDescent="0.25">
      <c r="A49" s="117"/>
      <c r="B49" s="118"/>
      <c r="C49" s="119"/>
      <c r="D49" s="59">
        <v>2024</v>
      </c>
      <c r="E49" s="8">
        <f t="shared" si="13"/>
        <v>0</v>
      </c>
      <c r="F49" s="8">
        <v>0</v>
      </c>
      <c r="G49" s="8">
        <v>0</v>
      </c>
      <c r="H49" s="8">
        <v>0</v>
      </c>
      <c r="I49" s="8">
        <v>0</v>
      </c>
      <c r="J49" s="119"/>
      <c r="K49" s="119"/>
      <c r="L49" s="124"/>
    </row>
    <row r="50" spans="1:14" x14ac:dyDescent="0.25">
      <c r="A50" s="117"/>
      <c r="B50" s="118"/>
      <c r="C50" s="119"/>
      <c r="D50" s="59">
        <v>2025</v>
      </c>
      <c r="E50" s="8">
        <f t="shared" si="13"/>
        <v>0</v>
      </c>
      <c r="F50" s="8">
        <v>0</v>
      </c>
      <c r="G50" s="8">
        <v>0</v>
      </c>
      <c r="H50" s="8">
        <v>0</v>
      </c>
      <c r="I50" s="8">
        <v>0</v>
      </c>
      <c r="J50" s="119"/>
      <c r="K50" s="119"/>
      <c r="L50" s="124"/>
    </row>
    <row r="51" spans="1:14" x14ac:dyDescent="0.25">
      <c r="A51" s="152" t="s">
        <v>1773</v>
      </c>
      <c r="B51" s="144" t="s">
        <v>1772</v>
      </c>
      <c r="C51" s="119" t="s">
        <v>14</v>
      </c>
      <c r="D51" s="59" t="s">
        <v>8</v>
      </c>
      <c r="E51" s="8">
        <f>SUM(E52:E56)</f>
        <v>2368</v>
      </c>
      <c r="F51" s="12">
        <f>SUM(F52:F56)</f>
        <v>2368</v>
      </c>
      <c r="G51" s="8">
        <f>SUM(G52:G56)</f>
        <v>0</v>
      </c>
      <c r="H51" s="8">
        <f>SUM(H52:H56)</f>
        <v>0</v>
      </c>
      <c r="I51" s="8">
        <f>SUM(I52:I56)</f>
        <v>0</v>
      </c>
      <c r="J51" s="119" t="s">
        <v>1774</v>
      </c>
      <c r="K51" s="119" t="s">
        <v>515</v>
      </c>
      <c r="L51" s="124"/>
    </row>
    <row r="52" spans="1:14" x14ac:dyDescent="0.25">
      <c r="A52" s="152"/>
      <c r="B52" s="144"/>
      <c r="C52" s="119"/>
      <c r="D52" s="59">
        <v>2021</v>
      </c>
      <c r="E52" s="8">
        <f t="shared" ref="E52:E56" si="14">SUM(F52:I52)</f>
        <v>0</v>
      </c>
      <c r="F52" s="8">
        <v>0</v>
      </c>
      <c r="G52" s="8">
        <v>0</v>
      </c>
      <c r="H52" s="8">
        <v>0</v>
      </c>
      <c r="I52" s="8">
        <v>0</v>
      </c>
      <c r="J52" s="119"/>
      <c r="K52" s="119"/>
      <c r="L52" s="124"/>
    </row>
    <row r="53" spans="1:14" x14ac:dyDescent="0.25">
      <c r="A53" s="152"/>
      <c r="B53" s="144"/>
      <c r="C53" s="119"/>
      <c r="D53" s="59">
        <v>2022</v>
      </c>
      <c r="E53" s="8">
        <f t="shared" si="14"/>
        <v>0</v>
      </c>
      <c r="F53" s="8">
        <v>0</v>
      </c>
      <c r="G53" s="8">
        <v>0</v>
      </c>
      <c r="H53" s="8">
        <v>0</v>
      </c>
      <c r="I53" s="8">
        <v>0</v>
      </c>
      <c r="J53" s="119"/>
      <c r="K53" s="119"/>
      <c r="L53" s="124"/>
    </row>
    <row r="54" spans="1:14" x14ac:dyDescent="0.25">
      <c r="A54" s="152"/>
      <c r="B54" s="144"/>
      <c r="C54" s="119"/>
      <c r="D54" s="59">
        <v>2023</v>
      </c>
      <c r="E54" s="8">
        <f t="shared" si="14"/>
        <v>0</v>
      </c>
      <c r="F54" s="8">
        <v>0</v>
      </c>
      <c r="G54" s="8">
        <v>0</v>
      </c>
      <c r="H54" s="8">
        <v>0</v>
      </c>
      <c r="I54" s="8">
        <v>0</v>
      </c>
      <c r="J54" s="119"/>
      <c r="K54" s="119"/>
      <c r="L54" s="124"/>
    </row>
    <row r="55" spans="1:14" x14ac:dyDescent="0.25">
      <c r="A55" s="152"/>
      <c r="B55" s="144"/>
      <c r="C55" s="119"/>
      <c r="D55" s="59">
        <v>2024</v>
      </c>
      <c r="E55" s="8">
        <f t="shared" si="14"/>
        <v>2368</v>
      </c>
      <c r="F55" s="32">
        <v>2368</v>
      </c>
      <c r="G55" s="8">
        <v>0</v>
      </c>
      <c r="H55" s="8">
        <v>0</v>
      </c>
      <c r="I55" s="8">
        <v>0</v>
      </c>
      <c r="J55" s="119"/>
      <c r="K55" s="119"/>
      <c r="L55" s="124"/>
    </row>
    <row r="56" spans="1:14" x14ac:dyDescent="0.25">
      <c r="A56" s="152"/>
      <c r="B56" s="144"/>
      <c r="C56" s="119"/>
      <c r="D56" s="59">
        <v>2025</v>
      </c>
      <c r="E56" s="8">
        <f t="shared" si="14"/>
        <v>0</v>
      </c>
      <c r="F56" s="8">
        <v>0</v>
      </c>
      <c r="G56" s="8">
        <v>0</v>
      </c>
      <c r="H56" s="8">
        <v>0</v>
      </c>
      <c r="I56" s="8">
        <v>0</v>
      </c>
      <c r="J56" s="119"/>
      <c r="K56" s="119"/>
      <c r="L56" s="124"/>
    </row>
    <row r="57" spans="1:14" ht="27.75" customHeight="1" x14ac:dyDescent="0.25">
      <c r="A57" s="108" t="s">
        <v>30</v>
      </c>
      <c r="B57" s="108" t="s">
        <v>608</v>
      </c>
      <c r="C57" s="111" t="s">
        <v>828</v>
      </c>
      <c r="D57" s="59" t="s">
        <v>8</v>
      </c>
      <c r="E57" s="8">
        <f t="shared" si="13"/>
        <v>1358186.4188499998</v>
      </c>
      <c r="F57" s="8">
        <f>SUM(F58:F63)</f>
        <v>1345700.6275099998</v>
      </c>
      <c r="G57" s="8">
        <f t="shared" ref="G57:I57" si="15">SUM(G58:G63)</f>
        <v>0</v>
      </c>
      <c r="H57" s="8">
        <f t="shared" si="15"/>
        <v>12485.79134</v>
      </c>
      <c r="I57" s="8">
        <f t="shared" si="15"/>
        <v>0</v>
      </c>
      <c r="J57" s="108" t="s">
        <v>495</v>
      </c>
      <c r="K57" s="108" t="s">
        <v>486</v>
      </c>
      <c r="N57" s="62" t="s">
        <v>1772</v>
      </c>
    </row>
    <row r="58" spans="1:14" ht="27.75" customHeight="1" x14ac:dyDescent="0.25">
      <c r="A58" s="109"/>
      <c r="B58" s="109"/>
      <c r="C58" s="112"/>
      <c r="D58" s="59">
        <v>2021</v>
      </c>
      <c r="E58" s="8">
        <f t="shared" si="13"/>
        <v>108436.894</v>
      </c>
      <c r="F58" s="8">
        <f>SUM(F65+F72+F78+F85+F92+F99+F106+F118+F125+F131+F151)</f>
        <v>108436.894</v>
      </c>
      <c r="G58" s="8">
        <f t="shared" ref="G58:I59" si="16">SUM(G65+G72+G78+G85+G92+G99+G106+G118+G125+G131)</f>
        <v>0</v>
      </c>
      <c r="H58" s="8">
        <f t="shared" si="16"/>
        <v>0</v>
      </c>
      <c r="I58" s="8">
        <f t="shared" si="16"/>
        <v>0</v>
      </c>
      <c r="J58" s="109"/>
      <c r="K58" s="109"/>
    </row>
    <row r="59" spans="1:14" ht="27.75" customHeight="1" x14ac:dyDescent="0.25">
      <c r="A59" s="109"/>
      <c r="B59" s="109"/>
      <c r="C59" s="112"/>
      <c r="D59" s="59">
        <v>2022</v>
      </c>
      <c r="E59" s="8">
        <f t="shared" si="13"/>
        <v>274226.68966000003</v>
      </c>
      <c r="F59" s="8">
        <f>SUM(F66+F73+F79+F86+F93+F100+F107+F119+F126+F132+F152)</f>
        <v>274226.68966000003</v>
      </c>
      <c r="G59" s="8">
        <f t="shared" si="16"/>
        <v>0</v>
      </c>
      <c r="H59" s="8">
        <f t="shared" si="16"/>
        <v>0</v>
      </c>
      <c r="I59" s="8">
        <f t="shared" si="16"/>
        <v>0</v>
      </c>
      <c r="J59" s="109"/>
      <c r="K59" s="109"/>
    </row>
    <row r="60" spans="1:14" ht="27.75" customHeight="1" x14ac:dyDescent="0.25">
      <c r="A60" s="109"/>
      <c r="B60" s="109"/>
      <c r="C60" s="112"/>
      <c r="D60" s="59">
        <v>2023</v>
      </c>
      <c r="E60" s="8">
        <f t="shared" si="13"/>
        <v>286735.94302999997</v>
      </c>
      <c r="F60" s="8">
        <f>SUM(F67+F74+F80+F87+F94+F101+F108+F120+F127+F133+F153+F139+F146+F160)</f>
        <v>274250.15168999997</v>
      </c>
      <c r="G60" s="8">
        <f>SUM(G67+G74+G80+G87+G94+G101+G108+G120+G127+G133+G153+G139+G146)</f>
        <v>0</v>
      </c>
      <c r="H60" s="8">
        <f>SUM(H67+H74+H80+H87+H94+H101+H108+H120+H127+H133+H153+H139+H146)</f>
        <v>12485.79134</v>
      </c>
      <c r="I60" s="8">
        <f>SUM(I67+I74+I80+I87+I94+I101+I108+I120+I127+I133)</f>
        <v>0</v>
      </c>
      <c r="J60" s="109"/>
      <c r="K60" s="109"/>
    </row>
    <row r="61" spans="1:14" ht="27.75" customHeight="1" x14ac:dyDescent="0.25">
      <c r="A61" s="109"/>
      <c r="B61" s="109"/>
      <c r="C61" s="112"/>
      <c r="D61" s="59">
        <v>2024</v>
      </c>
      <c r="E61" s="8">
        <f t="shared" si="13"/>
        <v>448388.59357999999</v>
      </c>
      <c r="F61" s="8">
        <f>SUM(F68+F75+F81+F88+F95+F102+F109+F121+F128+F134+F154+F140+F147)</f>
        <v>448388.59357999999</v>
      </c>
      <c r="G61" s="8">
        <f>SUM(G68+G75+G81+G88+G95+G102+G109+G121+G128+G134)</f>
        <v>0</v>
      </c>
      <c r="H61" s="8">
        <f>SUM(H68+H75+H81+H88+H95+H102+H109+H121+H128+H134)</f>
        <v>0</v>
      </c>
      <c r="I61" s="8">
        <f>SUM(I68+I75+I81+I88+I95+I102+I109+I121+I128+I134)</f>
        <v>0</v>
      </c>
      <c r="J61" s="109"/>
      <c r="K61" s="109"/>
    </row>
    <row r="62" spans="1:14" ht="27.75" customHeight="1" x14ac:dyDescent="0.25">
      <c r="A62" s="109"/>
      <c r="B62" s="109"/>
      <c r="C62" s="112"/>
      <c r="D62" s="59">
        <v>2025</v>
      </c>
      <c r="E62" s="8">
        <f t="shared" si="13"/>
        <v>240398.29858</v>
      </c>
      <c r="F62" s="8">
        <f>SUM(F69+F76+F82+F89+F96+F103+F110+F122+F129+F135+F155+F141+F148)</f>
        <v>240398.29858</v>
      </c>
      <c r="G62" s="8">
        <f>SUM(G69+G76+G82+G89+G96+G103+G110+G122+G129+G135)</f>
        <v>0</v>
      </c>
      <c r="H62" s="8">
        <f>SUM(H69+H76+H82+H89+H96+H103+H110+H122+H129+H135)</f>
        <v>0</v>
      </c>
      <c r="I62" s="8">
        <f>SUM(I69+I76+I82+I89+I96+I103+I110+I122+I129+I135)</f>
        <v>0</v>
      </c>
      <c r="J62" s="109"/>
      <c r="K62" s="109"/>
    </row>
    <row r="63" spans="1:14" ht="17.25" customHeight="1" x14ac:dyDescent="0.25">
      <c r="A63" s="110"/>
      <c r="B63" s="110"/>
      <c r="C63" s="113"/>
      <c r="D63" s="48">
        <v>2026</v>
      </c>
      <c r="E63" s="49">
        <f>SUM(F63:I63)</f>
        <v>0</v>
      </c>
      <c r="F63" s="49">
        <f>SUM(F70,F83,F90,F97,F104,F123,F142,F149,F156)</f>
        <v>0</v>
      </c>
      <c r="G63" s="49">
        <f t="shared" ref="G63:I63" si="17">SUM(G70,G83,G90,G97,G104,G123,G142,G149,G156)</f>
        <v>0</v>
      </c>
      <c r="H63" s="49">
        <f t="shared" si="17"/>
        <v>0</v>
      </c>
      <c r="I63" s="49">
        <f t="shared" si="17"/>
        <v>0</v>
      </c>
      <c r="J63" s="110"/>
      <c r="K63" s="110"/>
    </row>
    <row r="64" spans="1:14" ht="15" customHeight="1" x14ac:dyDescent="0.25">
      <c r="A64" s="108" t="s">
        <v>33</v>
      </c>
      <c r="B64" s="108" t="s">
        <v>496</v>
      </c>
      <c r="C64" s="111" t="s">
        <v>828</v>
      </c>
      <c r="D64" s="59" t="s">
        <v>8</v>
      </c>
      <c r="E64" s="8">
        <f t="shared" si="13"/>
        <v>244200</v>
      </c>
      <c r="F64" s="8">
        <f>SUM(F65:F69)</f>
        <v>244200</v>
      </c>
      <c r="G64" s="8">
        <f>SUM(G65:G69)</f>
        <v>0</v>
      </c>
      <c r="H64" s="8">
        <f>SUM(H65:H69)</f>
        <v>0</v>
      </c>
      <c r="I64" s="8">
        <f>SUM(I65:I69)</f>
        <v>0</v>
      </c>
      <c r="J64" s="108" t="s">
        <v>819</v>
      </c>
      <c r="K64" s="108" t="s">
        <v>484</v>
      </c>
    </row>
    <row r="65" spans="1:11" x14ac:dyDescent="0.25">
      <c r="A65" s="109"/>
      <c r="B65" s="109"/>
      <c r="C65" s="112"/>
      <c r="D65" s="59">
        <v>2021</v>
      </c>
      <c r="E65" s="8">
        <f t="shared" si="13"/>
        <v>43000</v>
      </c>
      <c r="F65" s="8">
        <v>43000</v>
      </c>
      <c r="G65" s="8">
        <v>0</v>
      </c>
      <c r="H65" s="8">
        <v>0</v>
      </c>
      <c r="I65" s="8">
        <v>0</v>
      </c>
      <c r="J65" s="109"/>
      <c r="K65" s="109"/>
    </row>
    <row r="66" spans="1:11" x14ac:dyDescent="0.25">
      <c r="A66" s="109"/>
      <c r="B66" s="109"/>
      <c r="C66" s="112"/>
      <c r="D66" s="59">
        <v>2022</v>
      </c>
      <c r="E66" s="8">
        <f t="shared" si="13"/>
        <v>45000</v>
      </c>
      <c r="F66" s="8">
        <v>45000</v>
      </c>
      <c r="G66" s="8">
        <v>0</v>
      </c>
      <c r="H66" s="8">
        <v>0</v>
      </c>
      <c r="I66" s="8">
        <v>0</v>
      </c>
      <c r="J66" s="109"/>
      <c r="K66" s="109"/>
    </row>
    <row r="67" spans="1:11" x14ac:dyDescent="0.25">
      <c r="A67" s="109"/>
      <c r="B67" s="109"/>
      <c r="C67" s="112"/>
      <c r="D67" s="59">
        <v>2023</v>
      </c>
      <c r="E67" s="8">
        <f t="shared" si="13"/>
        <v>61200</v>
      </c>
      <c r="F67" s="31">
        <f>30000+10000+9000+12200</f>
        <v>61200</v>
      </c>
      <c r="G67" s="8">
        <v>0</v>
      </c>
      <c r="H67" s="8">
        <v>0</v>
      </c>
      <c r="I67" s="8">
        <v>0</v>
      </c>
      <c r="J67" s="109"/>
      <c r="K67" s="109"/>
    </row>
    <row r="68" spans="1:11" x14ac:dyDescent="0.25">
      <c r="A68" s="109"/>
      <c r="B68" s="109"/>
      <c r="C68" s="112"/>
      <c r="D68" s="59">
        <v>2024</v>
      </c>
      <c r="E68" s="8">
        <f t="shared" si="13"/>
        <v>65000</v>
      </c>
      <c r="F68" s="32">
        <v>65000</v>
      </c>
      <c r="G68" s="8">
        <v>0</v>
      </c>
      <c r="H68" s="8">
        <v>0</v>
      </c>
      <c r="I68" s="8">
        <v>0</v>
      </c>
      <c r="J68" s="109"/>
      <c r="K68" s="109"/>
    </row>
    <row r="69" spans="1:11" x14ac:dyDescent="0.25">
      <c r="A69" s="109"/>
      <c r="B69" s="109"/>
      <c r="C69" s="112"/>
      <c r="D69" s="59">
        <v>2025</v>
      </c>
      <c r="E69" s="8">
        <f t="shared" si="13"/>
        <v>30000</v>
      </c>
      <c r="F69" s="32">
        <v>30000</v>
      </c>
      <c r="G69" s="8">
        <v>0</v>
      </c>
      <c r="H69" s="8">
        <v>0</v>
      </c>
      <c r="I69" s="8">
        <v>0</v>
      </c>
      <c r="J69" s="109"/>
      <c r="K69" s="109"/>
    </row>
    <row r="70" spans="1:11" x14ac:dyDescent="0.25">
      <c r="A70" s="110"/>
      <c r="B70" s="110"/>
      <c r="C70" s="113"/>
      <c r="D70" s="40">
        <v>2026</v>
      </c>
      <c r="E70" s="41">
        <f>SUM(F70:I70)</f>
        <v>0</v>
      </c>
      <c r="F70" s="41"/>
      <c r="G70" s="41"/>
      <c r="H70" s="41"/>
      <c r="I70" s="41"/>
      <c r="J70" s="110"/>
      <c r="K70" s="110"/>
    </row>
    <row r="71" spans="1:11" ht="13.5" customHeight="1" outlineLevel="1" x14ac:dyDescent="0.25">
      <c r="A71" s="117" t="s">
        <v>36</v>
      </c>
      <c r="B71" s="118" t="s">
        <v>498</v>
      </c>
      <c r="C71" s="119">
        <v>2021</v>
      </c>
      <c r="D71" s="59" t="s">
        <v>8</v>
      </c>
      <c r="E71" s="8">
        <f t="shared" si="13"/>
        <v>0</v>
      </c>
      <c r="F71" s="8">
        <f>SUM(F72:F76)</f>
        <v>0</v>
      </c>
      <c r="G71" s="8">
        <f>SUM(G72:G76)</f>
        <v>0</v>
      </c>
      <c r="H71" s="8">
        <f>SUM(H72:H76)</f>
        <v>0</v>
      </c>
      <c r="I71" s="8">
        <f>SUM(I72:I76)</f>
        <v>0</v>
      </c>
      <c r="J71" s="119" t="s">
        <v>499</v>
      </c>
      <c r="K71" s="108" t="s">
        <v>484</v>
      </c>
    </row>
    <row r="72" spans="1:11" ht="13.5" customHeight="1" outlineLevel="1" x14ac:dyDescent="0.25">
      <c r="A72" s="117"/>
      <c r="B72" s="118"/>
      <c r="C72" s="119"/>
      <c r="D72" s="59">
        <v>2021</v>
      </c>
      <c r="E72" s="8">
        <f t="shared" si="13"/>
        <v>0</v>
      </c>
      <c r="F72" s="8">
        <v>0</v>
      </c>
      <c r="G72" s="8">
        <v>0</v>
      </c>
      <c r="H72" s="8">
        <v>0</v>
      </c>
      <c r="I72" s="8">
        <v>0</v>
      </c>
      <c r="J72" s="119"/>
      <c r="K72" s="109"/>
    </row>
    <row r="73" spans="1:11" ht="13.5" customHeight="1" outlineLevel="1" x14ac:dyDescent="0.25">
      <c r="A73" s="117"/>
      <c r="B73" s="118"/>
      <c r="C73" s="119"/>
      <c r="D73" s="59">
        <v>2022</v>
      </c>
      <c r="E73" s="8">
        <f t="shared" si="13"/>
        <v>0</v>
      </c>
      <c r="F73" s="8">
        <v>0</v>
      </c>
      <c r="G73" s="8">
        <v>0</v>
      </c>
      <c r="H73" s="8">
        <v>0</v>
      </c>
      <c r="I73" s="8">
        <v>0</v>
      </c>
      <c r="J73" s="119"/>
      <c r="K73" s="109"/>
    </row>
    <row r="74" spans="1:11" ht="13.5" customHeight="1" outlineLevel="1" x14ac:dyDescent="0.25">
      <c r="A74" s="117"/>
      <c r="B74" s="118"/>
      <c r="C74" s="119"/>
      <c r="D74" s="59">
        <v>2023</v>
      </c>
      <c r="E74" s="8">
        <f t="shared" si="13"/>
        <v>0</v>
      </c>
      <c r="F74" s="8">
        <v>0</v>
      </c>
      <c r="G74" s="8">
        <v>0</v>
      </c>
      <c r="H74" s="8">
        <v>0</v>
      </c>
      <c r="I74" s="8">
        <v>0</v>
      </c>
      <c r="J74" s="119"/>
      <c r="K74" s="109"/>
    </row>
    <row r="75" spans="1:11" ht="13.5" customHeight="1" outlineLevel="1" x14ac:dyDescent="0.25">
      <c r="A75" s="117"/>
      <c r="B75" s="118"/>
      <c r="C75" s="119"/>
      <c r="D75" s="59">
        <v>2024</v>
      </c>
      <c r="E75" s="8">
        <f t="shared" si="13"/>
        <v>0</v>
      </c>
      <c r="F75" s="8">
        <v>0</v>
      </c>
      <c r="G75" s="8">
        <v>0</v>
      </c>
      <c r="H75" s="8">
        <v>0</v>
      </c>
      <c r="I75" s="8">
        <v>0</v>
      </c>
      <c r="J75" s="119"/>
      <c r="K75" s="109"/>
    </row>
    <row r="76" spans="1:11" ht="13.5" customHeight="1" outlineLevel="1" x14ac:dyDescent="0.25">
      <c r="A76" s="117"/>
      <c r="B76" s="118"/>
      <c r="C76" s="119"/>
      <c r="D76" s="59">
        <v>2025</v>
      </c>
      <c r="E76" s="8">
        <f t="shared" si="13"/>
        <v>0</v>
      </c>
      <c r="F76" s="8">
        <v>0</v>
      </c>
      <c r="G76" s="8">
        <v>0</v>
      </c>
      <c r="H76" s="8">
        <v>0</v>
      </c>
      <c r="I76" s="8">
        <v>0</v>
      </c>
      <c r="J76" s="119"/>
      <c r="K76" s="110"/>
    </row>
    <row r="77" spans="1:11" ht="13.5" customHeight="1" outlineLevel="1" x14ac:dyDescent="0.25">
      <c r="A77" s="108" t="s">
        <v>500</v>
      </c>
      <c r="B77" s="108" t="s">
        <v>501</v>
      </c>
      <c r="C77" s="111" t="s">
        <v>828</v>
      </c>
      <c r="D77" s="59" t="s">
        <v>8</v>
      </c>
      <c r="E77" s="8">
        <f t="shared" si="13"/>
        <v>217993.769</v>
      </c>
      <c r="F77" s="8">
        <f>SUM(F78:F82)</f>
        <v>217993.769</v>
      </c>
      <c r="G77" s="8">
        <f>SUM(G78:G82)</f>
        <v>0</v>
      </c>
      <c r="H77" s="8">
        <f>SUM(H78:H82)</f>
        <v>0</v>
      </c>
      <c r="I77" s="8">
        <f>SUM(I78:I82)</f>
        <v>0</v>
      </c>
      <c r="J77" s="108" t="s">
        <v>820</v>
      </c>
      <c r="K77" s="108" t="s">
        <v>484</v>
      </c>
    </row>
    <row r="78" spans="1:11" ht="13.5" customHeight="1" outlineLevel="1" x14ac:dyDescent="0.25">
      <c r="A78" s="109"/>
      <c r="B78" s="109"/>
      <c r="C78" s="112"/>
      <c r="D78" s="59">
        <v>2021</v>
      </c>
      <c r="E78" s="8">
        <f t="shared" si="13"/>
        <v>33993.769</v>
      </c>
      <c r="F78" s="8">
        <v>33993.769</v>
      </c>
      <c r="G78" s="8">
        <v>0</v>
      </c>
      <c r="H78" s="8">
        <v>0</v>
      </c>
      <c r="I78" s="8">
        <v>0</v>
      </c>
      <c r="J78" s="109"/>
      <c r="K78" s="109"/>
    </row>
    <row r="79" spans="1:11" ht="13.5" customHeight="1" outlineLevel="1" x14ac:dyDescent="0.25">
      <c r="A79" s="109"/>
      <c r="B79" s="109"/>
      <c r="C79" s="112"/>
      <c r="D79" s="59">
        <v>2022</v>
      </c>
      <c r="E79" s="8">
        <f t="shared" si="13"/>
        <v>40000</v>
      </c>
      <c r="F79" s="8">
        <v>40000</v>
      </c>
      <c r="G79" s="8">
        <v>0</v>
      </c>
      <c r="H79" s="8">
        <v>0</v>
      </c>
      <c r="I79" s="8">
        <v>0</v>
      </c>
      <c r="J79" s="109"/>
      <c r="K79" s="109"/>
    </row>
    <row r="80" spans="1:11" ht="13.5" customHeight="1" outlineLevel="1" x14ac:dyDescent="0.25">
      <c r="A80" s="109"/>
      <c r="B80" s="109"/>
      <c r="C80" s="112"/>
      <c r="D80" s="59">
        <v>2023</v>
      </c>
      <c r="E80" s="8">
        <f t="shared" si="13"/>
        <v>49000</v>
      </c>
      <c r="F80" s="31">
        <f>40000+9000</f>
        <v>49000</v>
      </c>
      <c r="G80" s="8">
        <v>0</v>
      </c>
      <c r="H80" s="8">
        <v>0</v>
      </c>
      <c r="I80" s="8">
        <v>0</v>
      </c>
      <c r="J80" s="109"/>
      <c r="K80" s="109"/>
    </row>
    <row r="81" spans="1:13" ht="13.5" customHeight="1" outlineLevel="1" x14ac:dyDescent="0.25">
      <c r="A81" s="109"/>
      <c r="B81" s="109"/>
      <c r="C81" s="112"/>
      <c r="D81" s="59">
        <v>2024</v>
      </c>
      <c r="E81" s="8">
        <f t="shared" si="13"/>
        <v>55000</v>
      </c>
      <c r="F81" s="32">
        <v>55000</v>
      </c>
      <c r="G81" s="8">
        <v>0</v>
      </c>
      <c r="H81" s="8">
        <v>0</v>
      </c>
      <c r="I81" s="8">
        <v>0</v>
      </c>
      <c r="J81" s="109"/>
      <c r="K81" s="109"/>
    </row>
    <row r="82" spans="1:13" ht="13.5" customHeight="1" outlineLevel="1" x14ac:dyDescent="0.25">
      <c r="A82" s="109"/>
      <c r="B82" s="109"/>
      <c r="C82" s="112"/>
      <c r="D82" s="59">
        <v>2025</v>
      </c>
      <c r="E82" s="8">
        <f t="shared" si="13"/>
        <v>40000</v>
      </c>
      <c r="F82" s="32">
        <v>40000</v>
      </c>
      <c r="G82" s="8">
        <v>0</v>
      </c>
      <c r="H82" s="8">
        <v>0</v>
      </c>
      <c r="I82" s="8">
        <v>0</v>
      </c>
      <c r="J82" s="109"/>
      <c r="K82" s="109"/>
    </row>
    <row r="83" spans="1:13" ht="13.5" customHeight="1" outlineLevel="1" x14ac:dyDescent="0.25">
      <c r="A83" s="110"/>
      <c r="B83" s="110"/>
      <c r="C83" s="113"/>
      <c r="D83" s="40">
        <v>2026</v>
      </c>
      <c r="E83" s="41"/>
      <c r="F83" s="41"/>
      <c r="G83" s="41"/>
      <c r="H83" s="41"/>
      <c r="I83" s="41"/>
      <c r="J83" s="110"/>
      <c r="K83" s="110"/>
    </row>
    <row r="84" spans="1:13" ht="13.5" customHeight="1" outlineLevel="1" x14ac:dyDescent="0.25">
      <c r="A84" s="108" t="s">
        <v>503</v>
      </c>
      <c r="B84" s="108" t="s">
        <v>1112</v>
      </c>
      <c r="C84" s="111" t="s">
        <v>828</v>
      </c>
      <c r="D84" s="59" t="s">
        <v>8</v>
      </c>
      <c r="E84" s="8">
        <f t="shared" si="13"/>
        <v>18034.921689999999</v>
      </c>
      <c r="F84" s="8">
        <f>SUM(F85:F89)</f>
        <v>18034.921689999999</v>
      </c>
      <c r="G84" s="8">
        <f>SUM(G85:G89)</f>
        <v>0</v>
      </c>
      <c r="H84" s="8">
        <f>SUM(H85:H89)</f>
        <v>0</v>
      </c>
      <c r="I84" s="8">
        <f>SUM(I85:I89)</f>
        <v>0</v>
      </c>
      <c r="J84" s="108" t="s">
        <v>505</v>
      </c>
      <c r="K84" s="108" t="s">
        <v>484</v>
      </c>
    </row>
    <row r="85" spans="1:13" ht="13.5" customHeight="1" outlineLevel="1" x14ac:dyDescent="0.25">
      <c r="A85" s="109"/>
      <c r="B85" s="109"/>
      <c r="C85" s="112"/>
      <c r="D85" s="59">
        <v>2021</v>
      </c>
      <c r="E85" s="8">
        <f t="shared" si="13"/>
        <v>2000</v>
      </c>
      <c r="F85" s="8">
        <v>2000</v>
      </c>
      <c r="G85" s="8">
        <v>0</v>
      </c>
      <c r="H85" s="8">
        <v>0</v>
      </c>
      <c r="I85" s="8">
        <v>0</v>
      </c>
      <c r="J85" s="109"/>
      <c r="K85" s="109"/>
    </row>
    <row r="86" spans="1:13" ht="13.5" customHeight="1" outlineLevel="1" x14ac:dyDescent="0.25">
      <c r="A86" s="109"/>
      <c r="B86" s="109"/>
      <c r="C86" s="112"/>
      <c r="D86" s="59">
        <v>2022</v>
      </c>
      <c r="E86" s="8">
        <f t="shared" si="13"/>
        <v>2900</v>
      </c>
      <c r="F86" s="8">
        <v>2900</v>
      </c>
      <c r="G86" s="8">
        <v>0</v>
      </c>
      <c r="H86" s="8">
        <v>0</v>
      </c>
      <c r="I86" s="8">
        <v>0</v>
      </c>
      <c r="J86" s="109"/>
      <c r="K86" s="109"/>
    </row>
    <row r="87" spans="1:13" ht="13.5" customHeight="1" outlineLevel="1" x14ac:dyDescent="0.25">
      <c r="A87" s="109"/>
      <c r="B87" s="109"/>
      <c r="C87" s="112"/>
      <c r="D87" s="59">
        <v>2023</v>
      </c>
      <c r="E87" s="8">
        <f t="shared" si="13"/>
        <v>1934.9216900000004</v>
      </c>
      <c r="F87" s="8">
        <f>5600-3148.56931-134.432-300-82.077</f>
        <v>1934.9216900000004</v>
      </c>
      <c r="G87" s="8">
        <v>0</v>
      </c>
      <c r="H87" s="8">
        <v>0</v>
      </c>
      <c r="I87" s="8">
        <v>0</v>
      </c>
      <c r="J87" s="109"/>
      <c r="K87" s="109"/>
      <c r="M87" s="58" t="s">
        <v>1743</v>
      </c>
    </row>
    <row r="88" spans="1:13" ht="13.5" customHeight="1" outlineLevel="1" x14ac:dyDescent="0.25">
      <c r="A88" s="109"/>
      <c r="B88" s="109"/>
      <c r="C88" s="112"/>
      <c r="D88" s="59">
        <v>2024</v>
      </c>
      <c r="E88" s="8">
        <f t="shared" si="13"/>
        <v>5600</v>
      </c>
      <c r="F88" s="32">
        <v>5600</v>
      </c>
      <c r="G88" s="8">
        <v>0</v>
      </c>
      <c r="H88" s="8">
        <v>0</v>
      </c>
      <c r="I88" s="8">
        <v>0</v>
      </c>
      <c r="J88" s="109"/>
      <c r="K88" s="109"/>
    </row>
    <row r="89" spans="1:13" ht="13.5" customHeight="1" outlineLevel="1" x14ac:dyDescent="0.25">
      <c r="A89" s="109"/>
      <c r="B89" s="109"/>
      <c r="C89" s="112"/>
      <c r="D89" s="59">
        <v>2025</v>
      </c>
      <c r="E89" s="8">
        <f t="shared" si="13"/>
        <v>5600</v>
      </c>
      <c r="F89" s="32">
        <v>5600</v>
      </c>
      <c r="G89" s="8">
        <v>0</v>
      </c>
      <c r="H89" s="8">
        <v>0</v>
      </c>
      <c r="I89" s="8">
        <v>0</v>
      </c>
      <c r="J89" s="109"/>
      <c r="K89" s="109"/>
    </row>
    <row r="90" spans="1:13" ht="13.5" customHeight="1" outlineLevel="1" x14ac:dyDescent="0.25">
      <c r="A90" s="110"/>
      <c r="B90" s="110"/>
      <c r="C90" s="113"/>
      <c r="D90" s="40">
        <v>2026</v>
      </c>
      <c r="E90" s="41"/>
      <c r="F90" s="41"/>
      <c r="G90" s="41"/>
      <c r="H90" s="41"/>
      <c r="I90" s="41"/>
      <c r="J90" s="110"/>
      <c r="K90" s="110"/>
    </row>
    <row r="91" spans="1:13" ht="13.5" customHeight="1" outlineLevel="1" x14ac:dyDescent="0.25">
      <c r="A91" s="108" t="s">
        <v>506</v>
      </c>
      <c r="B91" s="108" t="s">
        <v>1225</v>
      </c>
      <c r="C91" s="111" t="s">
        <v>828</v>
      </c>
      <c r="D91" s="59" t="s">
        <v>8</v>
      </c>
      <c r="E91" s="8">
        <f t="shared" si="13"/>
        <v>380662.68515999999</v>
      </c>
      <c r="F91" s="8">
        <f>SUM(F92:F96)</f>
        <v>380662.68515999999</v>
      </c>
      <c r="G91" s="8">
        <f>SUM(G92:G96)</f>
        <v>0</v>
      </c>
      <c r="H91" s="8">
        <f>SUM(H92:H96)</f>
        <v>0</v>
      </c>
      <c r="I91" s="8">
        <f>SUM(I92:I96)</f>
        <v>0</v>
      </c>
      <c r="J91" s="108" t="s">
        <v>508</v>
      </c>
      <c r="K91" s="108" t="s">
        <v>486</v>
      </c>
    </row>
    <row r="92" spans="1:13" ht="13.5" customHeight="1" outlineLevel="1" x14ac:dyDescent="0.25">
      <c r="A92" s="109"/>
      <c r="B92" s="109"/>
      <c r="C92" s="112"/>
      <c r="D92" s="59">
        <v>2021</v>
      </c>
      <c r="E92" s="8">
        <f t="shared" si="13"/>
        <v>29443.125</v>
      </c>
      <c r="F92" s="8">
        <f>29443125/1000</f>
        <v>29443.125</v>
      </c>
      <c r="G92" s="8">
        <v>0</v>
      </c>
      <c r="H92" s="8">
        <v>0</v>
      </c>
      <c r="I92" s="8">
        <v>0</v>
      </c>
      <c r="J92" s="109"/>
      <c r="K92" s="109"/>
    </row>
    <row r="93" spans="1:13" ht="13.5" customHeight="1" outlineLevel="1" x14ac:dyDescent="0.25">
      <c r="A93" s="109"/>
      <c r="B93" s="109"/>
      <c r="C93" s="112"/>
      <c r="D93" s="59">
        <v>2022</v>
      </c>
      <c r="E93" s="8">
        <f t="shared" si="13"/>
        <v>99747.438999999998</v>
      </c>
      <c r="F93" s="8">
        <v>99747.438999999998</v>
      </c>
      <c r="G93" s="8">
        <v>0</v>
      </c>
      <c r="H93" s="8">
        <v>0</v>
      </c>
      <c r="I93" s="8">
        <v>0</v>
      </c>
      <c r="J93" s="109"/>
      <c r="K93" s="109"/>
    </row>
    <row r="94" spans="1:13" ht="13.5" customHeight="1" outlineLevel="1" x14ac:dyDescent="0.25">
      <c r="A94" s="109"/>
      <c r="B94" s="109"/>
      <c r="C94" s="112"/>
      <c r="D94" s="59">
        <v>2023</v>
      </c>
      <c r="E94" s="8">
        <f t="shared" si="13"/>
        <v>74885.229000000007</v>
      </c>
      <c r="F94" s="8">
        <f>56948.035+1000+16937.194</f>
        <v>74885.229000000007</v>
      </c>
      <c r="G94" s="8">
        <v>0</v>
      </c>
      <c r="H94" s="8">
        <v>0</v>
      </c>
      <c r="I94" s="8">
        <v>0</v>
      </c>
      <c r="J94" s="109"/>
      <c r="K94" s="109"/>
    </row>
    <row r="95" spans="1:13" ht="13.5" customHeight="1" outlineLevel="1" x14ac:dyDescent="0.25">
      <c r="A95" s="109"/>
      <c r="B95" s="109"/>
      <c r="C95" s="112"/>
      <c r="D95" s="59">
        <v>2024</v>
      </c>
      <c r="E95" s="8">
        <f t="shared" si="13"/>
        <v>115788.59358</v>
      </c>
      <c r="F95" s="32">
        <v>115788.59358</v>
      </c>
      <c r="G95" s="8">
        <v>0</v>
      </c>
      <c r="H95" s="8">
        <v>0</v>
      </c>
      <c r="I95" s="8">
        <v>0</v>
      </c>
      <c r="J95" s="109"/>
      <c r="K95" s="109"/>
    </row>
    <row r="96" spans="1:13" ht="13.5" customHeight="1" outlineLevel="1" x14ac:dyDescent="0.25">
      <c r="A96" s="109"/>
      <c r="B96" s="109"/>
      <c r="C96" s="112"/>
      <c r="D96" s="59">
        <v>2025</v>
      </c>
      <c r="E96" s="8">
        <f t="shared" si="13"/>
        <v>60798.298580000002</v>
      </c>
      <c r="F96" s="32">
        <v>60798.298580000002</v>
      </c>
      <c r="G96" s="8">
        <v>0</v>
      </c>
      <c r="H96" s="8">
        <v>0</v>
      </c>
      <c r="I96" s="8">
        <v>0</v>
      </c>
      <c r="J96" s="109"/>
      <c r="K96" s="109"/>
    </row>
    <row r="97" spans="1:11" ht="13.5" customHeight="1" outlineLevel="1" x14ac:dyDescent="0.25">
      <c r="A97" s="110"/>
      <c r="B97" s="110"/>
      <c r="C97" s="113"/>
      <c r="D97" s="40">
        <v>2026</v>
      </c>
      <c r="E97" s="41"/>
      <c r="F97" s="41"/>
      <c r="G97" s="41"/>
      <c r="H97" s="41"/>
      <c r="I97" s="41"/>
      <c r="J97" s="110"/>
      <c r="K97" s="110"/>
    </row>
    <row r="98" spans="1:11" ht="13.5" customHeight="1" outlineLevel="1" x14ac:dyDescent="0.25">
      <c r="A98" s="108" t="s">
        <v>821</v>
      </c>
      <c r="B98" s="108" t="s">
        <v>822</v>
      </c>
      <c r="C98" s="111" t="s">
        <v>1777</v>
      </c>
      <c r="D98" s="59" t="s">
        <v>8</v>
      </c>
      <c r="E98" s="8">
        <f t="shared" si="13"/>
        <v>80000</v>
      </c>
      <c r="F98" s="8">
        <f>SUM(F99:F103)</f>
        <v>80000</v>
      </c>
      <c r="G98" s="8">
        <f>SUM(G99:G103)</f>
        <v>0</v>
      </c>
      <c r="H98" s="8">
        <f>SUM(H99:H103)</f>
        <v>0</v>
      </c>
      <c r="I98" s="8">
        <f>SUM(I99:I103)</f>
        <v>0</v>
      </c>
      <c r="J98" s="114" t="s">
        <v>823</v>
      </c>
      <c r="K98" s="108" t="s">
        <v>484</v>
      </c>
    </row>
    <row r="99" spans="1:11" ht="13.5" customHeight="1" outlineLevel="1" x14ac:dyDescent="0.25">
      <c r="A99" s="109"/>
      <c r="B99" s="109"/>
      <c r="C99" s="112"/>
      <c r="D99" s="59">
        <v>2021</v>
      </c>
      <c r="E99" s="8">
        <f t="shared" si="13"/>
        <v>0</v>
      </c>
      <c r="F99" s="8">
        <v>0</v>
      </c>
      <c r="G99" s="8">
        <v>0</v>
      </c>
      <c r="H99" s="8">
        <v>0</v>
      </c>
      <c r="I99" s="8">
        <v>0</v>
      </c>
      <c r="J99" s="115"/>
      <c r="K99" s="109"/>
    </row>
    <row r="100" spans="1:11" ht="13.5" customHeight="1" outlineLevel="1" x14ac:dyDescent="0.25">
      <c r="A100" s="109"/>
      <c r="B100" s="109"/>
      <c r="C100" s="112"/>
      <c r="D100" s="59">
        <v>2022</v>
      </c>
      <c r="E100" s="8">
        <f t="shared" si="13"/>
        <v>20000</v>
      </c>
      <c r="F100" s="8">
        <v>20000</v>
      </c>
      <c r="G100" s="8">
        <v>0</v>
      </c>
      <c r="H100" s="8">
        <v>0</v>
      </c>
      <c r="I100" s="8">
        <v>0</v>
      </c>
      <c r="J100" s="115"/>
      <c r="K100" s="109"/>
    </row>
    <row r="101" spans="1:11" ht="13.5" customHeight="1" outlineLevel="1" x14ac:dyDescent="0.25">
      <c r="A101" s="109"/>
      <c r="B101" s="109"/>
      <c r="C101" s="112"/>
      <c r="D101" s="59">
        <v>2023</v>
      </c>
      <c r="E101" s="8">
        <f t="shared" si="13"/>
        <v>20000</v>
      </c>
      <c r="F101" s="8">
        <v>20000</v>
      </c>
      <c r="G101" s="8">
        <v>0</v>
      </c>
      <c r="H101" s="8">
        <v>0</v>
      </c>
      <c r="I101" s="8">
        <v>0</v>
      </c>
      <c r="J101" s="115"/>
      <c r="K101" s="109"/>
    </row>
    <row r="102" spans="1:11" ht="13.5" customHeight="1" outlineLevel="1" x14ac:dyDescent="0.25">
      <c r="A102" s="109"/>
      <c r="B102" s="109"/>
      <c r="C102" s="112"/>
      <c r="D102" s="59">
        <v>2024</v>
      </c>
      <c r="E102" s="8">
        <f t="shared" si="13"/>
        <v>20000</v>
      </c>
      <c r="F102" s="32">
        <v>20000</v>
      </c>
      <c r="G102" s="8">
        <v>0</v>
      </c>
      <c r="H102" s="8">
        <v>0</v>
      </c>
      <c r="I102" s="8">
        <v>0</v>
      </c>
      <c r="J102" s="115"/>
      <c r="K102" s="109"/>
    </row>
    <row r="103" spans="1:11" ht="13.5" customHeight="1" outlineLevel="1" x14ac:dyDescent="0.25">
      <c r="A103" s="109"/>
      <c r="B103" s="109"/>
      <c r="C103" s="112"/>
      <c r="D103" s="59">
        <v>2025</v>
      </c>
      <c r="E103" s="8">
        <f t="shared" si="13"/>
        <v>20000</v>
      </c>
      <c r="F103" s="32">
        <v>20000</v>
      </c>
      <c r="G103" s="8">
        <v>0</v>
      </c>
      <c r="H103" s="8">
        <v>0</v>
      </c>
      <c r="I103" s="8">
        <v>0</v>
      </c>
      <c r="J103" s="115"/>
      <c r="K103" s="109"/>
    </row>
    <row r="104" spans="1:11" ht="13.5" customHeight="1" outlineLevel="1" x14ac:dyDescent="0.25">
      <c r="A104" s="110"/>
      <c r="B104" s="110"/>
      <c r="C104" s="113"/>
      <c r="D104" s="40">
        <v>2026</v>
      </c>
      <c r="E104" s="41"/>
      <c r="F104" s="41"/>
      <c r="G104" s="41"/>
      <c r="H104" s="41"/>
      <c r="I104" s="41"/>
      <c r="J104" s="116"/>
      <c r="K104" s="110"/>
    </row>
    <row r="105" spans="1:11" ht="13.5" customHeight="1" outlineLevel="1" x14ac:dyDescent="0.25">
      <c r="A105" s="117" t="s">
        <v>824</v>
      </c>
      <c r="B105" s="118" t="s">
        <v>1114</v>
      </c>
      <c r="C105" s="119" t="s">
        <v>14</v>
      </c>
      <c r="D105" s="59" t="s">
        <v>8</v>
      </c>
      <c r="E105" s="8">
        <f t="shared" si="13"/>
        <v>3220</v>
      </c>
      <c r="F105" s="8">
        <f>SUM(F106:F110)</f>
        <v>3220</v>
      </c>
      <c r="G105" s="8">
        <f>SUM(G106:G110)</f>
        <v>0</v>
      </c>
      <c r="H105" s="8">
        <f>SUM(H106:H110)</f>
        <v>0</v>
      </c>
      <c r="I105" s="8">
        <f>SUM(I106:I110)</f>
        <v>0</v>
      </c>
      <c r="J105" s="119" t="s">
        <v>1115</v>
      </c>
      <c r="K105" s="119" t="s">
        <v>484</v>
      </c>
    </row>
    <row r="106" spans="1:11" ht="13.5" customHeight="1" outlineLevel="1" x14ac:dyDescent="0.25">
      <c r="A106" s="117"/>
      <c r="B106" s="118"/>
      <c r="C106" s="119"/>
      <c r="D106" s="59">
        <v>2021</v>
      </c>
      <c r="E106" s="8">
        <f t="shared" si="13"/>
        <v>0</v>
      </c>
      <c r="F106" s="8">
        <v>0</v>
      </c>
      <c r="G106" s="8">
        <v>0</v>
      </c>
      <c r="H106" s="8">
        <v>0</v>
      </c>
      <c r="I106" s="8">
        <v>0</v>
      </c>
      <c r="J106" s="119"/>
      <c r="K106" s="119"/>
    </row>
    <row r="107" spans="1:11" ht="13.5" customHeight="1" outlineLevel="1" x14ac:dyDescent="0.25">
      <c r="A107" s="117"/>
      <c r="B107" s="118"/>
      <c r="C107" s="119"/>
      <c r="D107" s="59">
        <v>2022</v>
      </c>
      <c r="E107" s="8">
        <f t="shared" si="13"/>
        <v>3220</v>
      </c>
      <c r="F107" s="8">
        <f>3360-140</f>
        <v>3220</v>
      </c>
      <c r="G107" s="8">
        <v>0</v>
      </c>
      <c r="H107" s="8">
        <v>0</v>
      </c>
      <c r="I107" s="8">
        <v>0</v>
      </c>
      <c r="J107" s="119"/>
      <c r="K107" s="119"/>
    </row>
    <row r="108" spans="1:11" ht="13.5" customHeight="1" outlineLevel="1" x14ac:dyDescent="0.25">
      <c r="A108" s="117"/>
      <c r="B108" s="118"/>
      <c r="C108" s="119"/>
      <c r="D108" s="59">
        <v>2023</v>
      </c>
      <c r="E108" s="8">
        <f t="shared" si="13"/>
        <v>0</v>
      </c>
      <c r="F108" s="8">
        <v>0</v>
      </c>
      <c r="G108" s="8">
        <v>0</v>
      </c>
      <c r="H108" s="8">
        <v>0</v>
      </c>
      <c r="I108" s="8">
        <v>0</v>
      </c>
      <c r="J108" s="119"/>
      <c r="K108" s="119"/>
    </row>
    <row r="109" spans="1:11" ht="13.5" customHeight="1" outlineLevel="1" x14ac:dyDescent="0.25">
      <c r="A109" s="117"/>
      <c r="B109" s="118"/>
      <c r="C109" s="119"/>
      <c r="D109" s="59">
        <v>2024</v>
      </c>
      <c r="E109" s="8">
        <f t="shared" si="13"/>
        <v>0</v>
      </c>
      <c r="F109" s="8">
        <v>0</v>
      </c>
      <c r="G109" s="8">
        <v>0</v>
      </c>
      <c r="H109" s="8">
        <v>0</v>
      </c>
      <c r="I109" s="8">
        <v>0</v>
      </c>
      <c r="J109" s="119"/>
      <c r="K109" s="119"/>
    </row>
    <row r="110" spans="1:11" ht="13.5" customHeight="1" outlineLevel="1" x14ac:dyDescent="0.25">
      <c r="A110" s="117"/>
      <c r="B110" s="118"/>
      <c r="C110" s="119"/>
      <c r="D110" s="59">
        <v>2025</v>
      </c>
      <c r="E110" s="8">
        <f t="shared" si="13"/>
        <v>0</v>
      </c>
      <c r="F110" s="8">
        <v>0</v>
      </c>
      <c r="G110" s="8">
        <v>0</v>
      </c>
      <c r="H110" s="8">
        <v>0</v>
      </c>
      <c r="I110" s="8">
        <v>0</v>
      </c>
      <c r="J110" s="119"/>
      <c r="K110" s="119"/>
    </row>
    <row r="111" spans="1:11" ht="23.25" customHeight="1" outlineLevel="1" x14ac:dyDescent="0.25">
      <c r="A111" s="117" t="s">
        <v>826</v>
      </c>
      <c r="B111" s="118" t="s">
        <v>1116</v>
      </c>
      <c r="C111" s="119" t="s">
        <v>14</v>
      </c>
      <c r="D111" s="59" t="s">
        <v>8</v>
      </c>
      <c r="E111" s="8">
        <f t="shared" si="13"/>
        <v>0</v>
      </c>
      <c r="F111" s="8">
        <f>SUM(F112:F116)</f>
        <v>0</v>
      </c>
      <c r="G111" s="8">
        <f>SUM(G112:G116)</f>
        <v>0</v>
      </c>
      <c r="H111" s="8">
        <f>SUM(H112:H116)</f>
        <v>0</v>
      </c>
      <c r="I111" s="8">
        <f>SUM(I112:I116)</f>
        <v>0</v>
      </c>
      <c r="J111" s="119" t="s">
        <v>829</v>
      </c>
      <c r="K111" s="119" t="s">
        <v>484</v>
      </c>
    </row>
    <row r="112" spans="1:11" ht="13.5" customHeight="1" outlineLevel="1" x14ac:dyDescent="0.25">
      <c r="A112" s="117"/>
      <c r="B112" s="118"/>
      <c r="C112" s="119"/>
      <c r="D112" s="59">
        <v>2021</v>
      </c>
      <c r="E112" s="8">
        <f t="shared" si="13"/>
        <v>0</v>
      </c>
      <c r="F112" s="8">
        <v>0</v>
      </c>
      <c r="G112" s="8">
        <v>0</v>
      </c>
      <c r="H112" s="8">
        <v>0</v>
      </c>
      <c r="I112" s="8">
        <v>0</v>
      </c>
      <c r="J112" s="119"/>
      <c r="K112" s="119"/>
    </row>
    <row r="113" spans="1:11" ht="13.5" customHeight="1" outlineLevel="1" x14ac:dyDescent="0.25">
      <c r="A113" s="117"/>
      <c r="B113" s="118"/>
      <c r="C113" s="119"/>
      <c r="D113" s="59">
        <v>2022</v>
      </c>
      <c r="E113" s="8">
        <f t="shared" si="13"/>
        <v>0</v>
      </c>
      <c r="F113" s="8">
        <v>0</v>
      </c>
      <c r="G113" s="8">
        <v>0</v>
      </c>
      <c r="H113" s="8">
        <v>0</v>
      </c>
      <c r="I113" s="8">
        <v>0</v>
      </c>
      <c r="J113" s="119"/>
      <c r="K113" s="119"/>
    </row>
    <row r="114" spans="1:11" ht="13.5" customHeight="1" outlineLevel="1" x14ac:dyDescent="0.25">
      <c r="A114" s="117"/>
      <c r="B114" s="118"/>
      <c r="C114" s="119"/>
      <c r="D114" s="59">
        <v>2023</v>
      </c>
      <c r="E114" s="8">
        <f t="shared" si="13"/>
        <v>0</v>
      </c>
      <c r="F114" s="8">
        <v>0</v>
      </c>
      <c r="G114" s="8">
        <v>0</v>
      </c>
      <c r="H114" s="8">
        <v>0</v>
      </c>
      <c r="I114" s="8">
        <v>0</v>
      </c>
      <c r="J114" s="119"/>
      <c r="K114" s="119"/>
    </row>
    <row r="115" spans="1:11" ht="13.5" customHeight="1" outlineLevel="1" x14ac:dyDescent="0.25">
      <c r="A115" s="117"/>
      <c r="B115" s="118"/>
      <c r="C115" s="119"/>
      <c r="D115" s="59">
        <v>2024</v>
      </c>
      <c r="E115" s="8">
        <f t="shared" si="13"/>
        <v>0</v>
      </c>
      <c r="F115" s="8">
        <v>0</v>
      </c>
      <c r="G115" s="8">
        <v>0</v>
      </c>
      <c r="H115" s="8">
        <v>0</v>
      </c>
      <c r="I115" s="8">
        <v>0</v>
      </c>
      <c r="J115" s="119"/>
      <c r="K115" s="119"/>
    </row>
    <row r="116" spans="1:11" ht="13.5" customHeight="1" outlineLevel="1" x14ac:dyDescent="0.25">
      <c r="A116" s="117"/>
      <c r="B116" s="118"/>
      <c r="C116" s="119"/>
      <c r="D116" s="59">
        <v>2025</v>
      </c>
      <c r="E116" s="8">
        <v>0</v>
      </c>
      <c r="F116" s="8">
        <v>0</v>
      </c>
      <c r="G116" s="8">
        <v>0</v>
      </c>
      <c r="H116" s="8">
        <v>0</v>
      </c>
      <c r="I116" s="8">
        <v>0</v>
      </c>
      <c r="J116" s="119"/>
      <c r="K116" s="119"/>
    </row>
    <row r="117" spans="1:11" ht="13.5" customHeight="1" outlineLevel="1" x14ac:dyDescent="0.25">
      <c r="A117" s="108" t="s">
        <v>830</v>
      </c>
      <c r="B117" s="132" t="s">
        <v>1117</v>
      </c>
      <c r="C117" s="111" t="s">
        <v>1777</v>
      </c>
      <c r="D117" s="59" t="s">
        <v>8</v>
      </c>
      <c r="E117" s="8">
        <f t="shared" si="13"/>
        <v>95500</v>
      </c>
      <c r="F117" s="8">
        <f>SUM(F118:F122)</f>
        <v>95500</v>
      </c>
      <c r="G117" s="8">
        <f>SUM(G118:G122)</f>
        <v>0</v>
      </c>
      <c r="H117" s="8">
        <f>SUM(H118:H122)</f>
        <v>0</v>
      </c>
      <c r="I117" s="8">
        <f>SUM(I118:I122)</f>
        <v>0</v>
      </c>
      <c r="J117" s="149" t="s">
        <v>1118</v>
      </c>
      <c r="K117" s="132" t="s">
        <v>515</v>
      </c>
    </row>
    <row r="118" spans="1:11" ht="13.5" customHeight="1" outlineLevel="1" x14ac:dyDescent="0.25">
      <c r="A118" s="109"/>
      <c r="B118" s="133"/>
      <c r="C118" s="112"/>
      <c r="D118" s="59">
        <v>2021</v>
      </c>
      <c r="E118" s="8">
        <f t="shared" si="13"/>
        <v>0</v>
      </c>
      <c r="F118" s="8">
        <v>0</v>
      </c>
      <c r="G118" s="8">
        <v>0</v>
      </c>
      <c r="H118" s="8">
        <v>0</v>
      </c>
      <c r="I118" s="8">
        <v>0</v>
      </c>
      <c r="J118" s="150"/>
      <c r="K118" s="133"/>
    </row>
    <row r="119" spans="1:11" ht="13.5" customHeight="1" outlineLevel="1" x14ac:dyDescent="0.25">
      <c r="A119" s="109"/>
      <c r="B119" s="133"/>
      <c r="C119" s="112"/>
      <c r="D119" s="59">
        <v>2022</v>
      </c>
      <c r="E119" s="8">
        <f t="shared" si="13"/>
        <v>21000</v>
      </c>
      <c r="F119" s="8">
        <v>21000</v>
      </c>
      <c r="G119" s="8">
        <v>0</v>
      </c>
      <c r="H119" s="8">
        <v>0</v>
      </c>
      <c r="I119" s="8">
        <v>0</v>
      </c>
      <c r="J119" s="150"/>
      <c r="K119" s="133"/>
    </row>
    <row r="120" spans="1:11" ht="13.5" customHeight="1" outlineLevel="1" x14ac:dyDescent="0.25">
      <c r="A120" s="109"/>
      <c r="B120" s="133"/>
      <c r="C120" s="112"/>
      <c r="D120" s="59">
        <v>2023</v>
      </c>
      <c r="E120" s="8">
        <f t="shared" si="13"/>
        <v>22500</v>
      </c>
      <c r="F120" s="8">
        <f>26000-3500</f>
        <v>22500</v>
      </c>
      <c r="G120" s="8">
        <v>0</v>
      </c>
      <c r="H120" s="8">
        <v>0</v>
      </c>
      <c r="I120" s="8">
        <v>0</v>
      </c>
      <c r="J120" s="150"/>
      <c r="K120" s="133"/>
    </row>
    <row r="121" spans="1:11" ht="13.5" customHeight="1" outlineLevel="1" x14ac:dyDescent="0.25">
      <c r="A121" s="109"/>
      <c r="B121" s="133"/>
      <c r="C121" s="112"/>
      <c r="D121" s="59">
        <v>2024</v>
      </c>
      <c r="E121" s="8">
        <f t="shared" si="13"/>
        <v>26000</v>
      </c>
      <c r="F121" s="32">
        <v>26000</v>
      </c>
      <c r="G121" s="8">
        <v>0</v>
      </c>
      <c r="H121" s="8">
        <v>0</v>
      </c>
      <c r="I121" s="8">
        <v>0</v>
      </c>
      <c r="J121" s="150"/>
      <c r="K121" s="133"/>
    </row>
    <row r="122" spans="1:11" ht="13.5" customHeight="1" outlineLevel="1" x14ac:dyDescent="0.25">
      <c r="A122" s="109"/>
      <c r="B122" s="133"/>
      <c r="C122" s="112"/>
      <c r="D122" s="59">
        <v>2025</v>
      </c>
      <c r="E122" s="8">
        <f t="shared" ref="E122:H137" si="18">SUM(F122:I122)</f>
        <v>26000</v>
      </c>
      <c r="F122" s="32">
        <v>26000</v>
      </c>
      <c r="G122" s="8">
        <v>0</v>
      </c>
      <c r="H122" s="8">
        <v>0</v>
      </c>
      <c r="I122" s="8">
        <v>0</v>
      </c>
      <c r="J122" s="150"/>
      <c r="K122" s="133"/>
    </row>
    <row r="123" spans="1:11" ht="13.5" customHeight="1" outlineLevel="1" x14ac:dyDescent="0.25">
      <c r="A123" s="110"/>
      <c r="B123" s="134"/>
      <c r="C123" s="113"/>
      <c r="D123" s="40"/>
      <c r="E123" s="41"/>
      <c r="F123" s="41"/>
      <c r="G123" s="41"/>
      <c r="H123" s="41"/>
      <c r="I123" s="41"/>
      <c r="J123" s="151"/>
      <c r="K123" s="134"/>
    </row>
    <row r="124" spans="1:11" ht="18" customHeight="1" outlineLevel="1" x14ac:dyDescent="0.25">
      <c r="A124" s="117" t="s">
        <v>832</v>
      </c>
      <c r="B124" s="118" t="s">
        <v>1119</v>
      </c>
      <c r="C124" s="108" t="s">
        <v>124</v>
      </c>
      <c r="D124" s="59" t="s">
        <v>8</v>
      </c>
      <c r="E124" s="8">
        <f t="shared" si="18"/>
        <v>9000</v>
      </c>
      <c r="F124" s="8">
        <f>SUM(F125:F129)</f>
        <v>9000</v>
      </c>
      <c r="G124" s="8">
        <f>SUM(G125:G129)</f>
        <v>0</v>
      </c>
      <c r="H124" s="8">
        <f>SUM(H125:H129)</f>
        <v>0</v>
      </c>
      <c r="I124" s="8">
        <f>SUM(I125:I129)</f>
        <v>0</v>
      </c>
      <c r="J124" s="119" t="s">
        <v>1120</v>
      </c>
      <c r="K124" s="119" t="s">
        <v>515</v>
      </c>
    </row>
    <row r="125" spans="1:11" ht="22.5" customHeight="1" outlineLevel="1" x14ac:dyDescent="0.25">
      <c r="A125" s="117"/>
      <c r="B125" s="118"/>
      <c r="C125" s="109"/>
      <c r="D125" s="59">
        <v>2021</v>
      </c>
      <c r="E125" s="8">
        <f t="shared" si="18"/>
        <v>0</v>
      </c>
      <c r="F125" s="8">
        <v>0</v>
      </c>
      <c r="G125" s="8">
        <v>0</v>
      </c>
      <c r="H125" s="8">
        <v>0</v>
      </c>
      <c r="I125" s="8">
        <v>0</v>
      </c>
      <c r="J125" s="119"/>
      <c r="K125" s="119"/>
    </row>
    <row r="126" spans="1:11" ht="26.25" customHeight="1" outlineLevel="1" x14ac:dyDescent="0.25">
      <c r="A126" s="117"/>
      <c r="B126" s="118"/>
      <c r="C126" s="109"/>
      <c r="D126" s="59">
        <v>2022</v>
      </c>
      <c r="E126" s="8">
        <f t="shared" si="18"/>
        <v>9000</v>
      </c>
      <c r="F126" s="8">
        <v>9000</v>
      </c>
      <c r="G126" s="8">
        <v>0</v>
      </c>
      <c r="H126" s="8">
        <v>0</v>
      </c>
      <c r="I126" s="8">
        <v>0</v>
      </c>
      <c r="J126" s="119"/>
      <c r="K126" s="119"/>
    </row>
    <row r="127" spans="1:11" ht="32.25" customHeight="1" outlineLevel="1" x14ac:dyDescent="0.25">
      <c r="A127" s="117"/>
      <c r="B127" s="118"/>
      <c r="C127" s="109"/>
      <c r="D127" s="59">
        <v>2023</v>
      </c>
      <c r="E127" s="8">
        <f t="shared" si="18"/>
        <v>0</v>
      </c>
      <c r="F127" s="8">
        <v>0</v>
      </c>
      <c r="G127" s="8">
        <v>0</v>
      </c>
      <c r="H127" s="8">
        <v>0</v>
      </c>
      <c r="I127" s="8">
        <v>0</v>
      </c>
      <c r="J127" s="119"/>
      <c r="K127" s="119"/>
    </row>
    <row r="128" spans="1:11" ht="22.5" customHeight="1" outlineLevel="1" x14ac:dyDescent="0.25">
      <c r="A128" s="117"/>
      <c r="B128" s="118"/>
      <c r="C128" s="109"/>
      <c r="D128" s="59">
        <v>2024</v>
      </c>
      <c r="E128" s="8">
        <f t="shared" si="18"/>
        <v>0</v>
      </c>
      <c r="F128" s="8">
        <v>0</v>
      </c>
      <c r="G128" s="8">
        <v>0</v>
      </c>
      <c r="H128" s="8">
        <v>0</v>
      </c>
      <c r="I128" s="8">
        <v>0</v>
      </c>
      <c r="J128" s="119"/>
      <c r="K128" s="119"/>
    </row>
    <row r="129" spans="1:11" ht="21" customHeight="1" outlineLevel="1" x14ac:dyDescent="0.25">
      <c r="A129" s="117"/>
      <c r="B129" s="118"/>
      <c r="C129" s="110"/>
      <c r="D129" s="59">
        <v>2025</v>
      </c>
      <c r="E129" s="8">
        <f t="shared" si="18"/>
        <v>0</v>
      </c>
      <c r="F129" s="8">
        <v>0</v>
      </c>
      <c r="G129" s="8">
        <v>0</v>
      </c>
      <c r="H129" s="8">
        <v>0</v>
      </c>
      <c r="I129" s="8">
        <v>0</v>
      </c>
      <c r="J129" s="119"/>
      <c r="K129" s="119"/>
    </row>
    <row r="130" spans="1:11" ht="15.75" customHeight="1" outlineLevel="1" x14ac:dyDescent="0.25">
      <c r="A130" s="117" t="s">
        <v>1121</v>
      </c>
      <c r="B130" s="118" t="s">
        <v>1122</v>
      </c>
      <c r="C130" s="108">
        <v>2022</v>
      </c>
      <c r="D130" s="59" t="s">
        <v>8</v>
      </c>
      <c r="E130" s="8">
        <f>SUM(F130:I130)</f>
        <v>33359.250659999998</v>
      </c>
      <c r="F130" s="8">
        <f>SUM(F131:F135)</f>
        <v>33359.250659999998</v>
      </c>
      <c r="G130" s="8">
        <f>SUM(G131:G135)</f>
        <v>0</v>
      </c>
      <c r="H130" s="8">
        <f>SUM(H131:H135)</f>
        <v>0</v>
      </c>
      <c r="I130" s="8">
        <f>SUM(I131:I135)</f>
        <v>0</v>
      </c>
      <c r="J130" s="119" t="s">
        <v>1120</v>
      </c>
      <c r="K130" s="119" t="s">
        <v>515</v>
      </c>
    </row>
    <row r="131" spans="1:11" ht="15.75" customHeight="1" outlineLevel="1" x14ac:dyDescent="0.25">
      <c r="A131" s="117"/>
      <c r="B131" s="118"/>
      <c r="C131" s="109"/>
      <c r="D131" s="59">
        <v>2021</v>
      </c>
      <c r="E131" s="8">
        <f t="shared" si="18"/>
        <v>0</v>
      </c>
      <c r="F131" s="8">
        <v>0</v>
      </c>
      <c r="G131" s="8">
        <v>0</v>
      </c>
      <c r="H131" s="8">
        <v>0</v>
      </c>
      <c r="I131" s="8">
        <v>0</v>
      </c>
      <c r="J131" s="119"/>
      <c r="K131" s="119"/>
    </row>
    <row r="132" spans="1:11" ht="15.75" customHeight="1" outlineLevel="1" x14ac:dyDescent="0.25">
      <c r="A132" s="117"/>
      <c r="B132" s="118"/>
      <c r="C132" s="109"/>
      <c r="D132" s="59">
        <v>2022</v>
      </c>
      <c r="E132" s="8">
        <f t="shared" si="18"/>
        <v>33359.250659999998</v>
      </c>
      <c r="F132" s="8">
        <f>33194.388+164.86266</f>
        <v>33359.250659999998</v>
      </c>
      <c r="G132" s="8">
        <v>0</v>
      </c>
      <c r="H132" s="8">
        <v>0</v>
      </c>
      <c r="I132" s="8">
        <v>0</v>
      </c>
      <c r="J132" s="119"/>
      <c r="K132" s="119"/>
    </row>
    <row r="133" spans="1:11" ht="15.75" customHeight="1" outlineLevel="1" x14ac:dyDescent="0.25">
      <c r="A133" s="117"/>
      <c r="B133" s="118"/>
      <c r="C133" s="109"/>
      <c r="D133" s="59">
        <v>2023</v>
      </c>
      <c r="E133" s="8">
        <f t="shared" si="18"/>
        <v>0</v>
      </c>
      <c r="F133" s="8">
        <f t="shared" si="18"/>
        <v>0</v>
      </c>
      <c r="G133" s="8">
        <f t="shared" si="18"/>
        <v>0</v>
      </c>
      <c r="H133" s="8">
        <f t="shared" si="18"/>
        <v>0</v>
      </c>
      <c r="I133" s="8">
        <v>0</v>
      </c>
      <c r="J133" s="119"/>
      <c r="K133" s="119"/>
    </row>
    <row r="134" spans="1:11" ht="15.75" customHeight="1" outlineLevel="1" x14ac:dyDescent="0.25">
      <c r="A134" s="117"/>
      <c r="B134" s="118"/>
      <c r="C134" s="109"/>
      <c r="D134" s="59">
        <v>2024</v>
      </c>
      <c r="E134" s="8">
        <f t="shared" si="18"/>
        <v>0</v>
      </c>
      <c r="F134" s="8">
        <f t="shared" si="18"/>
        <v>0</v>
      </c>
      <c r="G134" s="8">
        <f t="shared" si="18"/>
        <v>0</v>
      </c>
      <c r="H134" s="8">
        <f t="shared" si="18"/>
        <v>0</v>
      </c>
      <c r="I134" s="8">
        <v>0</v>
      </c>
      <c r="J134" s="119"/>
      <c r="K134" s="119"/>
    </row>
    <row r="135" spans="1:11" ht="15.75" customHeight="1" outlineLevel="1" x14ac:dyDescent="0.25">
      <c r="A135" s="117"/>
      <c r="B135" s="118"/>
      <c r="C135" s="110"/>
      <c r="D135" s="59">
        <v>2025</v>
      </c>
      <c r="E135" s="8">
        <f t="shared" si="18"/>
        <v>0</v>
      </c>
      <c r="F135" s="8">
        <f t="shared" si="18"/>
        <v>0</v>
      </c>
      <c r="G135" s="8">
        <f t="shared" si="18"/>
        <v>0</v>
      </c>
      <c r="H135" s="8">
        <f t="shared" si="18"/>
        <v>0</v>
      </c>
      <c r="I135" s="8">
        <v>0</v>
      </c>
      <c r="J135" s="119"/>
      <c r="K135" s="119"/>
    </row>
    <row r="136" spans="1:11" ht="15.75" customHeight="1" outlineLevel="1" x14ac:dyDescent="0.25">
      <c r="A136" s="108" t="s">
        <v>1123</v>
      </c>
      <c r="B136" s="108" t="s">
        <v>1124</v>
      </c>
      <c r="C136" s="111" t="s">
        <v>1778</v>
      </c>
      <c r="D136" s="59" t="s">
        <v>8</v>
      </c>
      <c r="E136" s="8">
        <f t="shared" si="18"/>
        <v>32210.526320000001</v>
      </c>
      <c r="F136" s="8">
        <f>SUM(F137:F141)</f>
        <v>27000</v>
      </c>
      <c r="G136" s="8">
        <f>SUM(G137:G141)</f>
        <v>0</v>
      </c>
      <c r="H136" s="8">
        <f>SUM(H137:H141)</f>
        <v>5210.5263199999999</v>
      </c>
      <c r="I136" s="8">
        <f>SUM(I137:I141)</f>
        <v>0</v>
      </c>
      <c r="J136" s="135" t="s">
        <v>1764</v>
      </c>
      <c r="K136" s="108" t="s">
        <v>515</v>
      </c>
    </row>
    <row r="137" spans="1:11" ht="15.75" customHeight="1" outlineLevel="1" x14ac:dyDescent="0.25">
      <c r="A137" s="109"/>
      <c r="B137" s="109"/>
      <c r="C137" s="112"/>
      <c r="D137" s="59">
        <v>2021</v>
      </c>
      <c r="E137" s="8">
        <f t="shared" si="18"/>
        <v>0</v>
      </c>
      <c r="F137" s="8">
        <v>0</v>
      </c>
      <c r="G137" s="8">
        <v>0</v>
      </c>
      <c r="H137" s="8">
        <v>0</v>
      </c>
      <c r="I137" s="8">
        <v>0</v>
      </c>
      <c r="J137" s="136"/>
      <c r="K137" s="109"/>
    </row>
    <row r="138" spans="1:11" ht="15.75" customHeight="1" outlineLevel="1" x14ac:dyDescent="0.25">
      <c r="A138" s="109"/>
      <c r="B138" s="109"/>
      <c r="C138" s="112"/>
      <c r="D138" s="59">
        <v>2022</v>
      </c>
      <c r="E138" s="8">
        <f t="shared" ref="E138:E215" si="19">SUM(F138:I138)</f>
        <v>0</v>
      </c>
      <c r="F138" s="8">
        <v>0</v>
      </c>
      <c r="G138" s="8">
        <v>0</v>
      </c>
      <c r="H138" s="8">
        <v>0</v>
      </c>
      <c r="I138" s="8">
        <v>0</v>
      </c>
      <c r="J138" s="136"/>
      <c r="K138" s="109"/>
    </row>
    <row r="139" spans="1:11" ht="15.75" customHeight="1" outlineLevel="1" x14ac:dyDescent="0.25">
      <c r="A139" s="109"/>
      <c r="B139" s="109"/>
      <c r="C139" s="112"/>
      <c r="D139" s="59">
        <v>2023</v>
      </c>
      <c r="E139" s="8">
        <f t="shared" si="19"/>
        <v>14210.526320000001</v>
      </c>
      <c r="F139" s="8">
        <v>9000</v>
      </c>
      <c r="G139" s="8">
        <v>0</v>
      </c>
      <c r="H139" s="8">
        <v>5210.5263199999999</v>
      </c>
      <c r="I139" s="8">
        <v>0</v>
      </c>
      <c r="J139" s="136"/>
      <c r="K139" s="109"/>
    </row>
    <row r="140" spans="1:11" ht="15.75" customHeight="1" outlineLevel="1" x14ac:dyDescent="0.25">
      <c r="A140" s="109"/>
      <c r="B140" s="109"/>
      <c r="C140" s="112"/>
      <c r="D140" s="59">
        <v>2024</v>
      </c>
      <c r="E140" s="8">
        <f t="shared" si="19"/>
        <v>9000</v>
      </c>
      <c r="F140" s="32">
        <v>9000</v>
      </c>
      <c r="G140" s="8">
        <v>0</v>
      </c>
      <c r="H140" s="8">
        <v>0</v>
      </c>
      <c r="I140" s="8">
        <v>0</v>
      </c>
      <c r="J140" s="136"/>
      <c r="K140" s="109"/>
    </row>
    <row r="141" spans="1:11" ht="15.75" customHeight="1" outlineLevel="1" x14ac:dyDescent="0.25">
      <c r="A141" s="109"/>
      <c r="B141" s="109"/>
      <c r="C141" s="112"/>
      <c r="D141" s="59">
        <v>2025</v>
      </c>
      <c r="E141" s="8">
        <f t="shared" si="19"/>
        <v>9000</v>
      </c>
      <c r="F141" s="32">
        <v>9000</v>
      </c>
      <c r="G141" s="8">
        <v>0</v>
      </c>
      <c r="H141" s="8">
        <v>0</v>
      </c>
      <c r="I141" s="8">
        <v>0</v>
      </c>
      <c r="J141" s="136"/>
      <c r="K141" s="109"/>
    </row>
    <row r="142" spans="1:11" ht="15.75" customHeight="1" outlineLevel="1" x14ac:dyDescent="0.25">
      <c r="A142" s="110"/>
      <c r="B142" s="110"/>
      <c r="C142" s="113"/>
      <c r="D142" s="40">
        <v>2026</v>
      </c>
      <c r="E142" s="41"/>
      <c r="F142" s="41"/>
      <c r="G142" s="41"/>
      <c r="H142" s="41"/>
      <c r="I142" s="41"/>
      <c r="J142" s="137"/>
      <c r="K142" s="110"/>
    </row>
    <row r="143" spans="1:11" ht="15.75" customHeight="1" outlineLevel="1" x14ac:dyDescent="0.25">
      <c r="A143" s="108" t="s">
        <v>1126</v>
      </c>
      <c r="B143" s="108" t="s">
        <v>1127</v>
      </c>
      <c r="C143" s="111" t="s">
        <v>1778</v>
      </c>
      <c r="D143" s="59" t="s">
        <v>8</v>
      </c>
      <c r="E143" s="8">
        <f t="shared" si="19"/>
        <v>215275.26501999999</v>
      </c>
      <c r="F143" s="8">
        <f>SUM(F144:F148)</f>
        <v>208000</v>
      </c>
      <c r="G143" s="8">
        <f>SUM(G144:G148)</f>
        <v>0</v>
      </c>
      <c r="H143" s="8">
        <f>SUM(H144:H148)</f>
        <v>7275.2650199999998</v>
      </c>
      <c r="I143" s="8">
        <f>SUM(I144:I148)</f>
        <v>0</v>
      </c>
      <c r="J143" s="135" t="s">
        <v>1765</v>
      </c>
      <c r="K143" s="108" t="s">
        <v>515</v>
      </c>
    </row>
    <row r="144" spans="1:11" ht="15.75" customHeight="1" outlineLevel="1" x14ac:dyDescent="0.25">
      <c r="A144" s="109"/>
      <c r="B144" s="109"/>
      <c r="C144" s="112"/>
      <c r="D144" s="59">
        <v>2021</v>
      </c>
      <c r="E144" s="8">
        <f t="shared" si="19"/>
        <v>0</v>
      </c>
      <c r="F144" s="8">
        <v>0</v>
      </c>
      <c r="G144" s="8">
        <f t="shared" ref="G144:H148" si="20">SUM(H144:K144)</f>
        <v>0</v>
      </c>
      <c r="H144" s="8">
        <f t="shared" si="20"/>
        <v>0</v>
      </c>
      <c r="I144" s="8">
        <v>0</v>
      </c>
      <c r="J144" s="136"/>
      <c r="K144" s="109"/>
    </row>
    <row r="145" spans="1:11" ht="15.75" customHeight="1" outlineLevel="1" x14ac:dyDescent="0.25">
      <c r="A145" s="109"/>
      <c r="B145" s="109"/>
      <c r="C145" s="112"/>
      <c r="D145" s="59">
        <v>2022</v>
      </c>
      <c r="E145" s="8">
        <f t="shared" si="19"/>
        <v>0</v>
      </c>
      <c r="F145" s="8">
        <v>0</v>
      </c>
      <c r="G145" s="8">
        <f t="shared" si="20"/>
        <v>0</v>
      </c>
      <c r="H145" s="8">
        <f t="shared" si="20"/>
        <v>0</v>
      </c>
      <c r="I145" s="8">
        <v>0</v>
      </c>
      <c r="J145" s="136"/>
      <c r="K145" s="109"/>
    </row>
    <row r="146" spans="1:11" ht="15.75" customHeight="1" outlineLevel="1" x14ac:dyDescent="0.25">
      <c r="A146" s="109"/>
      <c r="B146" s="109"/>
      <c r="C146" s="112"/>
      <c r="D146" s="59">
        <v>2023</v>
      </c>
      <c r="E146" s="8">
        <f t="shared" si="19"/>
        <v>42275.265019999999</v>
      </c>
      <c r="F146" s="8">
        <v>35000</v>
      </c>
      <c r="G146" s="8"/>
      <c r="H146" s="8">
        <v>7275.2650199999998</v>
      </c>
      <c r="I146" s="8">
        <v>0</v>
      </c>
      <c r="J146" s="136"/>
      <c r="K146" s="109"/>
    </row>
    <row r="147" spans="1:11" ht="15.75" customHeight="1" outlineLevel="1" x14ac:dyDescent="0.25">
      <c r="A147" s="109"/>
      <c r="B147" s="109"/>
      <c r="C147" s="112"/>
      <c r="D147" s="59">
        <v>2024</v>
      </c>
      <c r="E147" s="8">
        <f t="shared" si="19"/>
        <v>138000</v>
      </c>
      <c r="F147" s="32">
        <v>138000</v>
      </c>
      <c r="G147" s="8">
        <f t="shared" si="20"/>
        <v>0</v>
      </c>
      <c r="H147" s="8">
        <f t="shared" si="20"/>
        <v>0</v>
      </c>
      <c r="I147" s="8">
        <v>0</v>
      </c>
      <c r="J147" s="136"/>
      <c r="K147" s="109"/>
    </row>
    <row r="148" spans="1:11" ht="15.75" customHeight="1" outlineLevel="1" x14ac:dyDescent="0.25">
      <c r="A148" s="109"/>
      <c r="B148" s="109"/>
      <c r="C148" s="112"/>
      <c r="D148" s="59">
        <v>2025</v>
      </c>
      <c r="E148" s="8">
        <f t="shared" si="19"/>
        <v>35000</v>
      </c>
      <c r="F148" s="32">
        <v>35000</v>
      </c>
      <c r="G148" s="8">
        <f t="shared" si="20"/>
        <v>0</v>
      </c>
      <c r="H148" s="8">
        <f t="shared" si="20"/>
        <v>0</v>
      </c>
      <c r="I148" s="8">
        <v>0</v>
      </c>
      <c r="J148" s="136"/>
      <c r="K148" s="109"/>
    </row>
    <row r="149" spans="1:11" ht="15.75" customHeight="1" outlineLevel="1" x14ac:dyDescent="0.25">
      <c r="A149" s="110"/>
      <c r="B149" s="110"/>
      <c r="C149" s="113"/>
      <c r="D149" s="40"/>
      <c r="E149" s="41"/>
      <c r="F149" s="41"/>
      <c r="G149" s="41"/>
      <c r="H149" s="41"/>
      <c r="I149" s="41"/>
      <c r="J149" s="137"/>
      <c r="K149" s="110"/>
    </row>
    <row r="150" spans="1:11" ht="15.75" customHeight="1" outlineLevel="1" x14ac:dyDescent="0.25">
      <c r="A150" s="108" t="s">
        <v>1128</v>
      </c>
      <c r="B150" s="108" t="s">
        <v>1129</v>
      </c>
      <c r="C150" s="111" t="s">
        <v>1778</v>
      </c>
      <c r="D150" s="59" t="s">
        <v>8</v>
      </c>
      <c r="E150" s="8">
        <f t="shared" si="19"/>
        <v>28730.001</v>
      </c>
      <c r="F150" s="8">
        <f>SUM(F151:F155)</f>
        <v>28730.001</v>
      </c>
      <c r="G150" s="8">
        <f t="shared" ref="G150:H163" si="21">SUM(G151:G155)</f>
        <v>0</v>
      </c>
      <c r="H150" s="8">
        <f t="shared" si="21"/>
        <v>0</v>
      </c>
      <c r="I150" s="8">
        <f>SUM(I151:I155)</f>
        <v>0</v>
      </c>
      <c r="J150" s="108" t="s">
        <v>1130</v>
      </c>
      <c r="K150" s="108" t="s">
        <v>484</v>
      </c>
    </row>
    <row r="151" spans="1:11" ht="15.75" customHeight="1" outlineLevel="1" x14ac:dyDescent="0.25">
      <c r="A151" s="109"/>
      <c r="B151" s="109"/>
      <c r="C151" s="112"/>
      <c r="D151" s="59">
        <v>2021</v>
      </c>
      <c r="E151" s="8">
        <f t="shared" si="19"/>
        <v>0</v>
      </c>
      <c r="F151" s="8">
        <v>0</v>
      </c>
      <c r="G151" s="8">
        <v>0</v>
      </c>
      <c r="H151" s="8">
        <v>0</v>
      </c>
      <c r="I151" s="8">
        <v>0</v>
      </c>
      <c r="J151" s="109"/>
      <c r="K151" s="109"/>
    </row>
    <row r="152" spans="1:11" ht="15.75" customHeight="1" outlineLevel="1" x14ac:dyDescent="0.25">
      <c r="A152" s="109"/>
      <c r="B152" s="109"/>
      <c r="C152" s="112"/>
      <c r="D152" s="59">
        <v>2022</v>
      </c>
      <c r="E152" s="8">
        <f t="shared" si="19"/>
        <v>0</v>
      </c>
      <c r="F152" s="8">
        <v>0</v>
      </c>
      <c r="G152" s="8">
        <v>0</v>
      </c>
      <c r="H152" s="8">
        <v>0</v>
      </c>
      <c r="I152" s="8">
        <v>0</v>
      </c>
      <c r="J152" s="109"/>
      <c r="K152" s="109"/>
    </row>
    <row r="153" spans="1:11" ht="15.75" customHeight="1" outlineLevel="1" x14ac:dyDescent="0.25">
      <c r="A153" s="109"/>
      <c r="B153" s="109"/>
      <c r="C153" s="112"/>
      <c r="D153" s="59">
        <v>2023</v>
      </c>
      <c r="E153" s="8">
        <f t="shared" si="19"/>
        <v>730.00100000000009</v>
      </c>
      <c r="F153" s="8">
        <f>14000-5000-8105.321-164.678</f>
        <v>730.00100000000009</v>
      </c>
      <c r="G153" s="8">
        <v>0</v>
      </c>
      <c r="H153" s="8">
        <v>0</v>
      </c>
      <c r="I153" s="8">
        <v>0</v>
      </c>
      <c r="J153" s="109"/>
      <c r="K153" s="109"/>
    </row>
    <row r="154" spans="1:11" ht="15.75" customHeight="1" outlineLevel="1" x14ac:dyDescent="0.25">
      <c r="A154" s="109"/>
      <c r="B154" s="109"/>
      <c r="C154" s="112"/>
      <c r="D154" s="59">
        <v>2024</v>
      </c>
      <c r="E154" s="8">
        <f t="shared" si="19"/>
        <v>14000</v>
      </c>
      <c r="F154" s="32">
        <v>14000</v>
      </c>
      <c r="G154" s="8">
        <v>0</v>
      </c>
      <c r="H154" s="8">
        <v>0</v>
      </c>
      <c r="I154" s="8">
        <v>0</v>
      </c>
      <c r="J154" s="109"/>
      <c r="K154" s="109"/>
    </row>
    <row r="155" spans="1:11" ht="15.75" customHeight="1" outlineLevel="1" x14ac:dyDescent="0.25">
      <c r="A155" s="109"/>
      <c r="B155" s="109"/>
      <c r="C155" s="112"/>
      <c r="D155" s="59">
        <v>2025</v>
      </c>
      <c r="E155" s="8">
        <f t="shared" si="19"/>
        <v>14000</v>
      </c>
      <c r="F155" s="32">
        <v>14000</v>
      </c>
      <c r="G155" s="8">
        <v>0</v>
      </c>
      <c r="H155" s="8">
        <v>0</v>
      </c>
      <c r="I155" s="8">
        <v>0</v>
      </c>
      <c r="J155" s="109"/>
      <c r="K155" s="109"/>
    </row>
    <row r="156" spans="1:11" ht="15.75" customHeight="1" outlineLevel="1" x14ac:dyDescent="0.25">
      <c r="A156" s="110"/>
      <c r="B156" s="110"/>
      <c r="C156" s="113"/>
      <c r="D156" s="40">
        <v>2026</v>
      </c>
      <c r="E156" s="41"/>
      <c r="F156" s="41"/>
      <c r="G156" s="41"/>
      <c r="H156" s="41"/>
      <c r="I156" s="41"/>
      <c r="J156" s="110"/>
      <c r="K156" s="110"/>
    </row>
    <row r="157" spans="1:11" ht="15.75" customHeight="1" outlineLevel="1" x14ac:dyDescent="0.25">
      <c r="A157" s="117" t="s">
        <v>1738</v>
      </c>
      <c r="B157" s="118" t="s">
        <v>1744</v>
      </c>
      <c r="C157" s="119" t="s">
        <v>1125</v>
      </c>
      <c r="D157" s="59" t="s">
        <v>8</v>
      </c>
      <c r="E157" s="8">
        <f>SUM(E158:E162)</f>
        <v>0</v>
      </c>
      <c r="F157" s="8">
        <v>0</v>
      </c>
      <c r="G157" s="8">
        <v>0</v>
      </c>
      <c r="H157" s="8">
        <v>0</v>
      </c>
      <c r="I157" s="8">
        <v>0</v>
      </c>
      <c r="J157" s="119" t="s">
        <v>1739</v>
      </c>
      <c r="K157" s="119" t="s">
        <v>484</v>
      </c>
    </row>
    <row r="158" spans="1:11" ht="15.75" customHeight="1" outlineLevel="1" x14ac:dyDescent="0.25">
      <c r="A158" s="117"/>
      <c r="B158" s="118"/>
      <c r="C158" s="119"/>
      <c r="D158" s="59">
        <v>2021</v>
      </c>
      <c r="E158" s="8">
        <f>SUM(F158:I158)</f>
        <v>0</v>
      </c>
      <c r="F158" s="8">
        <v>0</v>
      </c>
      <c r="G158" s="8">
        <v>0</v>
      </c>
      <c r="H158" s="8">
        <v>0</v>
      </c>
      <c r="I158" s="8">
        <v>0</v>
      </c>
      <c r="J158" s="119"/>
      <c r="K158" s="119"/>
    </row>
    <row r="159" spans="1:11" ht="15.75" customHeight="1" outlineLevel="1" x14ac:dyDescent="0.25">
      <c r="A159" s="117"/>
      <c r="B159" s="118"/>
      <c r="C159" s="119"/>
      <c r="D159" s="59">
        <v>2022</v>
      </c>
      <c r="E159" s="8">
        <f>SUM(F159:I159)</f>
        <v>0</v>
      </c>
      <c r="F159" s="8">
        <v>0</v>
      </c>
      <c r="G159" s="8">
        <v>0</v>
      </c>
      <c r="H159" s="8">
        <v>0</v>
      </c>
      <c r="I159" s="8">
        <v>0</v>
      </c>
      <c r="J159" s="119"/>
      <c r="K159" s="119"/>
    </row>
    <row r="160" spans="1:11" ht="15.75" customHeight="1" outlineLevel="1" x14ac:dyDescent="0.25">
      <c r="A160" s="117"/>
      <c r="B160" s="118"/>
      <c r="C160" s="119"/>
      <c r="D160" s="59">
        <v>2023</v>
      </c>
      <c r="E160" s="8">
        <f>SUM(F160:I160)</f>
        <v>0</v>
      </c>
      <c r="F160" s="8">
        <v>0</v>
      </c>
      <c r="G160" s="8">
        <v>0</v>
      </c>
      <c r="H160" s="8"/>
      <c r="I160" s="8">
        <v>0</v>
      </c>
      <c r="J160" s="119"/>
      <c r="K160" s="119"/>
    </row>
    <row r="161" spans="1:12" ht="15.75" customHeight="1" outlineLevel="1" x14ac:dyDescent="0.25">
      <c r="A161" s="117"/>
      <c r="B161" s="118"/>
      <c r="C161" s="119"/>
      <c r="D161" s="59">
        <v>2024</v>
      </c>
      <c r="E161" s="8">
        <f>SUM(F161:I161)</f>
        <v>0</v>
      </c>
      <c r="F161" s="8">
        <v>0</v>
      </c>
      <c r="G161" s="8">
        <v>0</v>
      </c>
      <c r="H161" s="8">
        <v>0</v>
      </c>
      <c r="I161" s="8">
        <v>0</v>
      </c>
      <c r="J161" s="119"/>
      <c r="K161" s="119"/>
    </row>
    <row r="162" spans="1:12" ht="15.75" customHeight="1" outlineLevel="1" x14ac:dyDescent="0.25">
      <c r="A162" s="117"/>
      <c r="B162" s="118"/>
      <c r="C162" s="119"/>
      <c r="D162" s="59">
        <v>2025</v>
      </c>
      <c r="E162" s="8">
        <f>SUM(F162:I162)</f>
        <v>0</v>
      </c>
      <c r="F162" s="8">
        <v>0</v>
      </c>
      <c r="G162" s="8">
        <v>0</v>
      </c>
      <c r="H162" s="8">
        <v>0</v>
      </c>
      <c r="I162" s="8">
        <v>0</v>
      </c>
      <c r="J162" s="119"/>
      <c r="K162" s="119"/>
    </row>
    <row r="163" spans="1:12" ht="15" customHeight="1" outlineLevel="1" x14ac:dyDescent="0.25">
      <c r="A163" s="108" t="s">
        <v>39</v>
      </c>
      <c r="B163" s="108" t="s">
        <v>40</v>
      </c>
      <c r="C163" s="111" t="s">
        <v>828</v>
      </c>
      <c r="D163" s="59" t="s">
        <v>8</v>
      </c>
      <c r="E163" s="8">
        <f t="shared" si="19"/>
        <v>70395.184749999986</v>
      </c>
      <c r="F163" s="8">
        <f>SUM(F164:F168)</f>
        <v>46711.877269999997</v>
      </c>
      <c r="G163" s="8">
        <f t="shared" si="21"/>
        <v>23683.307479999996</v>
      </c>
      <c r="H163" s="8">
        <f>SUM(H164:H168)</f>
        <v>0</v>
      </c>
      <c r="I163" s="8">
        <f>SUM(I164:I168)</f>
        <v>0</v>
      </c>
      <c r="J163" s="114" t="s">
        <v>509</v>
      </c>
      <c r="K163" s="114" t="s">
        <v>510</v>
      </c>
    </row>
    <row r="164" spans="1:12" outlineLevel="1" x14ac:dyDescent="0.25">
      <c r="A164" s="109"/>
      <c r="B164" s="109"/>
      <c r="C164" s="112"/>
      <c r="D164" s="59">
        <v>2021</v>
      </c>
      <c r="E164" s="8">
        <f t="shared" si="19"/>
        <v>27116.562749999997</v>
      </c>
      <c r="F164" s="8">
        <f t="shared" ref="F164:I168" si="22">F177+F191+F171+F184</f>
        <v>6916.3637500000004</v>
      </c>
      <c r="G164" s="8">
        <f t="shared" si="22"/>
        <v>20200.198999999997</v>
      </c>
      <c r="H164" s="8">
        <f t="shared" si="22"/>
        <v>0</v>
      </c>
      <c r="I164" s="8">
        <f t="shared" si="22"/>
        <v>0</v>
      </c>
      <c r="J164" s="115"/>
      <c r="K164" s="115"/>
    </row>
    <row r="165" spans="1:12" outlineLevel="1" x14ac:dyDescent="0.25">
      <c r="A165" s="109"/>
      <c r="B165" s="109"/>
      <c r="C165" s="112"/>
      <c r="D165" s="59">
        <v>2022</v>
      </c>
      <c r="E165" s="8">
        <f t="shared" si="19"/>
        <v>9977.7219999999998</v>
      </c>
      <c r="F165" s="8">
        <f t="shared" si="22"/>
        <v>7610.2449999999999</v>
      </c>
      <c r="G165" s="8">
        <f t="shared" si="22"/>
        <v>2367.4769999999999</v>
      </c>
      <c r="H165" s="8">
        <f t="shared" si="22"/>
        <v>0</v>
      </c>
      <c r="I165" s="8">
        <f t="shared" si="22"/>
        <v>0</v>
      </c>
      <c r="J165" s="115"/>
      <c r="K165" s="115"/>
    </row>
    <row r="166" spans="1:12" outlineLevel="1" x14ac:dyDescent="0.25">
      <c r="A166" s="109"/>
      <c r="B166" s="109"/>
      <c r="C166" s="112"/>
      <c r="D166" s="59">
        <v>2023</v>
      </c>
      <c r="E166" s="8">
        <f t="shared" si="19"/>
        <v>10141.799999999999</v>
      </c>
      <c r="F166" s="8">
        <f t="shared" si="22"/>
        <v>9026.1685199999993</v>
      </c>
      <c r="G166" s="8">
        <f t="shared" si="22"/>
        <v>1115.63148</v>
      </c>
      <c r="H166" s="8">
        <f t="shared" si="22"/>
        <v>0</v>
      </c>
      <c r="I166" s="8">
        <f t="shared" si="22"/>
        <v>0</v>
      </c>
      <c r="J166" s="115"/>
      <c r="K166" s="115"/>
    </row>
    <row r="167" spans="1:12" outlineLevel="1" x14ac:dyDescent="0.25">
      <c r="A167" s="109"/>
      <c r="B167" s="109"/>
      <c r="C167" s="112"/>
      <c r="D167" s="59">
        <v>2024</v>
      </c>
      <c r="E167" s="8">
        <f t="shared" si="19"/>
        <v>16000</v>
      </c>
      <c r="F167" s="8">
        <f t="shared" si="22"/>
        <v>16000</v>
      </c>
      <c r="G167" s="8">
        <f t="shared" si="22"/>
        <v>0</v>
      </c>
      <c r="H167" s="8">
        <f t="shared" si="22"/>
        <v>0</v>
      </c>
      <c r="I167" s="8">
        <f t="shared" si="22"/>
        <v>0</v>
      </c>
      <c r="J167" s="115"/>
      <c r="K167" s="115"/>
    </row>
    <row r="168" spans="1:12" outlineLevel="1" x14ac:dyDescent="0.25">
      <c r="A168" s="109"/>
      <c r="B168" s="109"/>
      <c r="C168" s="112"/>
      <c r="D168" s="59">
        <v>2025</v>
      </c>
      <c r="E168" s="8">
        <f t="shared" si="19"/>
        <v>7159.1</v>
      </c>
      <c r="F168" s="8">
        <f t="shared" si="22"/>
        <v>7159.1</v>
      </c>
      <c r="G168" s="8">
        <f t="shared" si="22"/>
        <v>0</v>
      </c>
      <c r="H168" s="8">
        <f t="shared" si="22"/>
        <v>0</v>
      </c>
      <c r="I168" s="8">
        <f t="shared" si="22"/>
        <v>0</v>
      </c>
      <c r="J168" s="115"/>
      <c r="K168" s="115"/>
    </row>
    <row r="169" spans="1:12" outlineLevel="1" x14ac:dyDescent="0.25">
      <c r="A169" s="110"/>
      <c r="B169" s="110"/>
      <c r="C169" s="113"/>
      <c r="D169" s="48">
        <v>2026</v>
      </c>
      <c r="E169" s="49">
        <f>SUM(F169:I169)</f>
        <v>0</v>
      </c>
      <c r="F169" s="49">
        <f>SUM(F182,F189)</f>
        <v>0</v>
      </c>
      <c r="G169" s="49">
        <f t="shared" ref="G169:I169" si="23">SUM(G182,G189)</f>
        <v>0</v>
      </c>
      <c r="H169" s="49">
        <f t="shared" si="23"/>
        <v>0</v>
      </c>
      <c r="I169" s="49">
        <f t="shared" si="23"/>
        <v>0</v>
      </c>
      <c r="J169" s="116"/>
      <c r="K169" s="116"/>
    </row>
    <row r="170" spans="1:12" outlineLevel="1" x14ac:dyDescent="0.25">
      <c r="A170" s="117" t="s">
        <v>44</v>
      </c>
      <c r="B170" s="118" t="s">
        <v>45</v>
      </c>
      <c r="C170" s="119" t="s">
        <v>41</v>
      </c>
      <c r="D170" s="59" t="s">
        <v>8</v>
      </c>
      <c r="E170" s="8">
        <f t="shared" si="19"/>
        <v>5045.5297499999997</v>
      </c>
      <c r="F170" s="8">
        <f>SUM(F171:F175)</f>
        <v>302.73126999999999</v>
      </c>
      <c r="G170" s="8">
        <f>SUM(G171:G175)</f>
        <v>4742.7984799999995</v>
      </c>
      <c r="H170" s="8">
        <f>SUM(H171:H175)</f>
        <v>0</v>
      </c>
      <c r="I170" s="8">
        <f>SUM(I171:I175)</f>
        <v>0</v>
      </c>
      <c r="J170" s="119" t="s">
        <v>1740</v>
      </c>
      <c r="K170" s="119" t="s">
        <v>512</v>
      </c>
    </row>
    <row r="171" spans="1:12" outlineLevel="1" x14ac:dyDescent="0.25">
      <c r="A171" s="117"/>
      <c r="B171" s="118"/>
      <c r="C171" s="119"/>
      <c r="D171" s="59">
        <v>2021</v>
      </c>
      <c r="E171" s="8">
        <f t="shared" si="19"/>
        <v>1340.09575</v>
      </c>
      <c r="F171" s="8">
        <v>80.405749999999998</v>
      </c>
      <c r="G171" s="8">
        <v>1259.69</v>
      </c>
      <c r="H171" s="8">
        <v>0</v>
      </c>
      <c r="I171" s="8">
        <v>0</v>
      </c>
      <c r="J171" s="119"/>
      <c r="K171" s="119"/>
    </row>
    <row r="172" spans="1:12" outlineLevel="1" x14ac:dyDescent="0.25">
      <c r="A172" s="117"/>
      <c r="B172" s="118"/>
      <c r="C172" s="119"/>
      <c r="D172" s="59">
        <v>2022</v>
      </c>
      <c r="E172" s="8">
        <f t="shared" si="19"/>
        <v>2518.5919999999996</v>
      </c>
      <c r="F172" s="8">
        <v>151.11500000000001</v>
      </c>
      <c r="G172" s="8">
        <v>2367.4769999999999</v>
      </c>
      <c r="H172" s="8">
        <v>0</v>
      </c>
      <c r="I172" s="8">
        <v>0</v>
      </c>
      <c r="J172" s="119"/>
      <c r="K172" s="119"/>
    </row>
    <row r="173" spans="1:12" outlineLevel="1" x14ac:dyDescent="0.25">
      <c r="A173" s="117"/>
      <c r="B173" s="118"/>
      <c r="C173" s="119"/>
      <c r="D173" s="59">
        <v>2023</v>
      </c>
      <c r="E173" s="8">
        <f t="shared" si="19"/>
        <v>1186.8420000000001</v>
      </c>
      <c r="F173" s="8">
        <v>71.210520000000002</v>
      </c>
      <c r="G173" s="8">
        <v>1115.63148</v>
      </c>
      <c r="H173" s="8">
        <v>0</v>
      </c>
      <c r="I173" s="8">
        <v>0</v>
      </c>
      <c r="J173" s="119"/>
      <c r="K173" s="119"/>
    </row>
    <row r="174" spans="1:12" outlineLevel="1" x14ac:dyDescent="0.25">
      <c r="A174" s="117"/>
      <c r="B174" s="118"/>
      <c r="C174" s="119"/>
      <c r="D174" s="59">
        <v>2024</v>
      </c>
      <c r="E174" s="8">
        <f t="shared" si="19"/>
        <v>0</v>
      </c>
      <c r="F174" s="8">
        <v>0</v>
      </c>
      <c r="G174" s="8">
        <v>0</v>
      </c>
      <c r="H174" s="8">
        <v>0</v>
      </c>
      <c r="I174" s="8">
        <v>0</v>
      </c>
      <c r="J174" s="119"/>
      <c r="K174" s="119"/>
    </row>
    <row r="175" spans="1:12" outlineLevel="1" x14ac:dyDescent="0.25">
      <c r="A175" s="117"/>
      <c r="B175" s="118"/>
      <c r="C175" s="119"/>
      <c r="D175" s="59">
        <v>2025</v>
      </c>
      <c r="E175" s="8">
        <f t="shared" si="19"/>
        <v>0</v>
      </c>
      <c r="F175" s="8">
        <v>0</v>
      </c>
      <c r="G175" s="8">
        <v>0</v>
      </c>
      <c r="H175" s="8">
        <v>0</v>
      </c>
      <c r="I175" s="8">
        <v>0</v>
      </c>
      <c r="J175" s="119"/>
      <c r="K175" s="119"/>
    </row>
    <row r="176" spans="1:12" ht="15" customHeight="1" outlineLevel="1" x14ac:dyDescent="0.25">
      <c r="A176" s="108" t="s">
        <v>48</v>
      </c>
      <c r="B176" s="108" t="s">
        <v>1131</v>
      </c>
      <c r="C176" s="111" t="s">
        <v>828</v>
      </c>
      <c r="D176" s="59" t="s">
        <v>8</v>
      </c>
      <c r="E176" s="8">
        <f t="shared" si="19"/>
        <v>19403.868999999999</v>
      </c>
      <c r="F176" s="8">
        <f>SUM(F177:F181)</f>
        <v>19403.868999999999</v>
      </c>
      <c r="G176" s="8">
        <f>SUM(G177:G181)</f>
        <v>0</v>
      </c>
      <c r="H176" s="8">
        <f>SUM(H177:H181)</f>
        <v>0</v>
      </c>
      <c r="I176" s="8">
        <f>SUM(I177:I181)</f>
        <v>0</v>
      </c>
      <c r="J176" s="108" t="s">
        <v>50</v>
      </c>
      <c r="K176" s="108" t="s">
        <v>484</v>
      </c>
      <c r="L176" s="124"/>
    </row>
    <row r="177" spans="1:12" outlineLevel="1" x14ac:dyDescent="0.25">
      <c r="A177" s="109"/>
      <c r="B177" s="109"/>
      <c r="C177" s="112"/>
      <c r="D177" s="59">
        <v>2021</v>
      </c>
      <c r="E177" s="8">
        <f t="shared" si="19"/>
        <v>1631.52</v>
      </c>
      <c r="F177" s="8">
        <v>1631.52</v>
      </c>
      <c r="G177" s="8">
        <v>0</v>
      </c>
      <c r="H177" s="8">
        <v>0</v>
      </c>
      <c r="I177" s="8">
        <v>0</v>
      </c>
      <c r="J177" s="109"/>
      <c r="K177" s="109"/>
      <c r="L177" s="124"/>
    </row>
    <row r="178" spans="1:12" outlineLevel="1" x14ac:dyDescent="0.25">
      <c r="A178" s="109"/>
      <c r="B178" s="109"/>
      <c r="C178" s="112"/>
      <c r="D178" s="59">
        <v>2022</v>
      </c>
      <c r="E178" s="8">
        <f t="shared" si="19"/>
        <v>3459.13</v>
      </c>
      <c r="F178" s="8">
        <v>3459.13</v>
      </c>
      <c r="G178" s="8">
        <v>0</v>
      </c>
      <c r="H178" s="8">
        <v>0</v>
      </c>
      <c r="I178" s="8">
        <v>0</v>
      </c>
      <c r="J178" s="109"/>
      <c r="K178" s="109"/>
      <c r="L178" s="124"/>
    </row>
    <row r="179" spans="1:12" outlineLevel="1" x14ac:dyDescent="0.25">
      <c r="A179" s="109"/>
      <c r="B179" s="109"/>
      <c r="C179" s="112"/>
      <c r="D179" s="59">
        <v>2023</v>
      </c>
      <c r="E179" s="8">
        <f t="shared" si="19"/>
        <v>3154.1189999999997</v>
      </c>
      <c r="F179" s="39">
        <f>3159.1-4.981</f>
        <v>3154.1189999999997</v>
      </c>
      <c r="G179" s="8">
        <v>0</v>
      </c>
      <c r="H179" s="8">
        <v>0</v>
      </c>
      <c r="I179" s="8">
        <v>0</v>
      </c>
      <c r="J179" s="109"/>
      <c r="K179" s="109"/>
      <c r="L179" s="124"/>
    </row>
    <row r="180" spans="1:12" outlineLevel="1" x14ac:dyDescent="0.25">
      <c r="A180" s="109"/>
      <c r="B180" s="109"/>
      <c r="C180" s="112"/>
      <c r="D180" s="59">
        <v>2024</v>
      </c>
      <c r="E180" s="8">
        <f t="shared" si="19"/>
        <v>8000</v>
      </c>
      <c r="F180" s="32">
        <v>8000</v>
      </c>
      <c r="G180" s="8">
        <v>0</v>
      </c>
      <c r="H180" s="8">
        <v>0</v>
      </c>
      <c r="I180" s="8">
        <v>0</v>
      </c>
      <c r="J180" s="109"/>
      <c r="K180" s="109"/>
      <c r="L180" s="124"/>
    </row>
    <row r="181" spans="1:12" outlineLevel="1" x14ac:dyDescent="0.25">
      <c r="A181" s="109"/>
      <c r="B181" s="109"/>
      <c r="C181" s="112"/>
      <c r="D181" s="59">
        <v>2025</v>
      </c>
      <c r="E181" s="8">
        <f t="shared" si="19"/>
        <v>3159.1</v>
      </c>
      <c r="F181" s="32">
        <v>3159.1</v>
      </c>
      <c r="G181" s="8">
        <v>0</v>
      </c>
      <c r="H181" s="8">
        <v>0</v>
      </c>
      <c r="I181" s="8">
        <v>0</v>
      </c>
      <c r="J181" s="109"/>
      <c r="K181" s="109"/>
      <c r="L181" s="124"/>
    </row>
    <row r="182" spans="1:12" outlineLevel="1" x14ac:dyDescent="0.25">
      <c r="A182" s="110"/>
      <c r="B182" s="110"/>
      <c r="C182" s="113"/>
      <c r="D182" s="40">
        <v>2026</v>
      </c>
      <c r="E182" s="41"/>
      <c r="F182" s="41"/>
      <c r="G182" s="41"/>
      <c r="H182" s="41"/>
      <c r="I182" s="41"/>
      <c r="J182" s="110"/>
      <c r="K182" s="110"/>
    </row>
    <row r="183" spans="1:12" ht="18" customHeight="1" outlineLevel="1" x14ac:dyDescent="0.25">
      <c r="A183" s="108" t="s">
        <v>51</v>
      </c>
      <c r="B183" s="108" t="s">
        <v>52</v>
      </c>
      <c r="C183" s="111" t="s">
        <v>828</v>
      </c>
      <c r="D183" s="59" t="s">
        <v>8</v>
      </c>
      <c r="E183" s="8">
        <f t="shared" si="19"/>
        <v>25796.309000000001</v>
      </c>
      <c r="F183" s="8">
        <f>SUM(F184:F188)</f>
        <v>25796.309000000001</v>
      </c>
      <c r="G183" s="8">
        <f>SUM(G184:G188)</f>
        <v>0</v>
      </c>
      <c r="H183" s="8">
        <f>SUM(H184:H188)</f>
        <v>0</v>
      </c>
      <c r="I183" s="8">
        <f>SUM(I184:I188)</f>
        <v>0</v>
      </c>
      <c r="J183" s="108" t="s">
        <v>514</v>
      </c>
      <c r="K183" s="108" t="s">
        <v>515</v>
      </c>
    </row>
    <row r="184" spans="1:12" ht="18" customHeight="1" outlineLevel="1" x14ac:dyDescent="0.25">
      <c r="A184" s="109"/>
      <c r="B184" s="109"/>
      <c r="C184" s="112"/>
      <c r="D184" s="59">
        <v>2021</v>
      </c>
      <c r="E184" s="8">
        <f t="shared" si="19"/>
        <v>3995.47</v>
      </c>
      <c r="F184" s="8">
        <v>3995.47</v>
      </c>
      <c r="G184" s="8">
        <v>0</v>
      </c>
      <c r="H184" s="8">
        <v>0</v>
      </c>
      <c r="I184" s="8">
        <v>0</v>
      </c>
      <c r="J184" s="109"/>
      <c r="K184" s="109"/>
    </row>
    <row r="185" spans="1:12" ht="18" customHeight="1" outlineLevel="1" x14ac:dyDescent="0.25">
      <c r="A185" s="109"/>
      <c r="B185" s="109"/>
      <c r="C185" s="112"/>
      <c r="D185" s="59">
        <v>2022</v>
      </c>
      <c r="E185" s="8">
        <f t="shared" si="19"/>
        <v>4000</v>
      </c>
      <c r="F185" s="8">
        <v>4000</v>
      </c>
      <c r="G185" s="8">
        <v>0</v>
      </c>
      <c r="H185" s="8">
        <v>0</v>
      </c>
      <c r="I185" s="8">
        <v>0</v>
      </c>
      <c r="J185" s="109"/>
      <c r="K185" s="109"/>
    </row>
    <row r="186" spans="1:12" ht="18" customHeight="1" outlineLevel="1" x14ac:dyDescent="0.25">
      <c r="A186" s="109"/>
      <c r="B186" s="109"/>
      <c r="C186" s="112"/>
      <c r="D186" s="59">
        <v>2023</v>
      </c>
      <c r="E186" s="8">
        <f t="shared" si="19"/>
        <v>5800.8389999999999</v>
      </c>
      <c r="F186" s="8">
        <f>4000+164.678+1500+136.161</f>
        <v>5800.8389999999999</v>
      </c>
      <c r="G186" s="8">
        <v>0</v>
      </c>
      <c r="H186" s="8">
        <v>0</v>
      </c>
      <c r="I186" s="8">
        <v>0</v>
      </c>
      <c r="J186" s="109"/>
      <c r="K186" s="109"/>
    </row>
    <row r="187" spans="1:12" ht="18" customHeight="1" outlineLevel="1" x14ac:dyDescent="0.25">
      <c r="A187" s="109"/>
      <c r="B187" s="109"/>
      <c r="C187" s="112"/>
      <c r="D187" s="59">
        <v>2024</v>
      </c>
      <c r="E187" s="8">
        <f t="shared" si="19"/>
        <v>8000</v>
      </c>
      <c r="F187" s="32">
        <v>8000</v>
      </c>
      <c r="G187" s="8">
        <v>0</v>
      </c>
      <c r="H187" s="8">
        <v>0</v>
      </c>
      <c r="I187" s="8">
        <v>0</v>
      </c>
      <c r="J187" s="109"/>
      <c r="K187" s="109"/>
    </row>
    <row r="188" spans="1:12" ht="18" customHeight="1" outlineLevel="1" x14ac:dyDescent="0.25">
      <c r="A188" s="109"/>
      <c r="B188" s="109"/>
      <c r="C188" s="112"/>
      <c r="D188" s="59">
        <v>2025</v>
      </c>
      <c r="E188" s="8">
        <f t="shared" si="19"/>
        <v>4000</v>
      </c>
      <c r="F188" s="32">
        <v>4000</v>
      </c>
      <c r="G188" s="8">
        <v>0</v>
      </c>
      <c r="H188" s="8">
        <v>0</v>
      </c>
      <c r="I188" s="8">
        <v>0</v>
      </c>
      <c r="J188" s="109"/>
      <c r="K188" s="109"/>
    </row>
    <row r="189" spans="1:12" ht="18" customHeight="1" outlineLevel="1" x14ac:dyDescent="0.25">
      <c r="A189" s="110"/>
      <c r="B189" s="110"/>
      <c r="C189" s="113"/>
      <c r="D189" s="40">
        <v>2026</v>
      </c>
      <c r="E189" s="41"/>
      <c r="F189" s="41"/>
      <c r="G189" s="41"/>
      <c r="H189" s="41"/>
      <c r="I189" s="41"/>
      <c r="J189" s="110"/>
      <c r="K189" s="110"/>
    </row>
    <row r="190" spans="1:12" ht="13.5" customHeight="1" outlineLevel="1" x14ac:dyDescent="0.25">
      <c r="A190" s="117" t="s">
        <v>516</v>
      </c>
      <c r="B190" s="118" t="s">
        <v>45</v>
      </c>
      <c r="C190" s="119" t="s">
        <v>41</v>
      </c>
      <c r="D190" s="59" t="s">
        <v>8</v>
      </c>
      <c r="E190" s="8">
        <f t="shared" si="19"/>
        <v>20149.476999999999</v>
      </c>
      <c r="F190" s="8">
        <f>SUM(F191:F195)</f>
        <v>1208.9680000000001</v>
      </c>
      <c r="G190" s="8">
        <f>SUM(G191:G195)</f>
        <v>18940.508999999998</v>
      </c>
      <c r="H190" s="8">
        <f>SUM(H191:H195)</f>
        <v>0</v>
      </c>
      <c r="I190" s="8">
        <f>SUM(I191:I195)</f>
        <v>0</v>
      </c>
      <c r="J190" s="119" t="s">
        <v>517</v>
      </c>
      <c r="K190" s="119" t="s">
        <v>515</v>
      </c>
    </row>
    <row r="191" spans="1:12" ht="13.5" customHeight="1" outlineLevel="1" x14ac:dyDescent="0.25">
      <c r="A191" s="117"/>
      <c r="B191" s="118"/>
      <c r="C191" s="119"/>
      <c r="D191" s="59">
        <v>2021</v>
      </c>
      <c r="E191" s="8">
        <f t="shared" si="19"/>
        <v>20149.476999999999</v>
      </c>
      <c r="F191" s="8">
        <v>1208.9680000000001</v>
      </c>
      <c r="G191" s="8">
        <v>18940.508999999998</v>
      </c>
      <c r="H191" s="8">
        <v>0</v>
      </c>
      <c r="I191" s="8">
        <v>0</v>
      </c>
      <c r="J191" s="119"/>
      <c r="K191" s="119"/>
    </row>
    <row r="192" spans="1:12" ht="13.5" customHeight="1" outlineLevel="1" x14ac:dyDescent="0.25">
      <c r="A192" s="117"/>
      <c r="B192" s="118"/>
      <c r="C192" s="119"/>
      <c r="D192" s="59">
        <v>2022</v>
      </c>
      <c r="E192" s="8">
        <f t="shared" si="19"/>
        <v>0</v>
      </c>
      <c r="F192" s="8">
        <v>0</v>
      </c>
      <c r="G192" s="8">
        <v>0</v>
      </c>
      <c r="H192" s="8">
        <v>0</v>
      </c>
      <c r="I192" s="8">
        <v>0</v>
      </c>
      <c r="J192" s="119"/>
      <c r="K192" s="119"/>
    </row>
    <row r="193" spans="1:12" ht="13.5" customHeight="1" outlineLevel="1" x14ac:dyDescent="0.25">
      <c r="A193" s="117"/>
      <c r="B193" s="118"/>
      <c r="C193" s="119"/>
      <c r="D193" s="59">
        <v>2023</v>
      </c>
      <c r="E193" s="8">
        <f t="shared" si="19"/>
        <v>0</v>
      </c>
      <c r="F193" s="8">
        <v>0</v>
      </c>
      <c r="G193" s="8">
        <v>0</v>
      </c>
      <c r="H193" s="8">
        <v>0</v>
      </c>
      <c r="I193" s="8">
        <v>0</v>
      </c>
      <c r="J193" s="119"/>
      <c r="K193" s="119"/>
    </row>
    <row r="194" spans="1:12" ht="13.5" customHeight="1" outlineLevel="1" x14ac:dyDescent="0.25">
      <c r="A194" s="117"/>
      <c r="B194" s="118"/>
      <c r="C194" s="119"/>
      <c r="D194" s="59">
        <v>2024</v>
      </c>
      <c r="E194" s="8">
        <f t="shared" si="19"/>
        <v>0</v>
      </c>
      <c r="F194" s="8">
        <v>0</v>
      </c>
      <c r="G194" s="8">
        <v>0</v>
      </c>
      <c r="H194" s="8">
        <v>0</v>
      </c>
      <c r="I194" s="8">
        <v>0</v>
      </c>
      <c r="J194" s="119"/>
      <c r="K194" s="119"/>
    </row>
    <row r="195" spans="1:12" ht="13.5" customHeight="1" outlineLevel="1" x14ac:dyDescent="0.25">
      <c r="A195" s="117"/>
      <c r="B195" s="118"/>
      <c r="C195" s="119"/>
      <c r="D195" s="59">
        <v>2025</v>
      </c>
      <c r="E195" s="8">
        <f t="shared" si="19"/>
        <v>0</v>
      </c>
      <c r="F195" s="8">
        <v>0</v>
      </c>
      <c r="G195" s="8">
        <v>0</v>
      </c>
      <c r="H195" s="8">
        <v>0</v>
      </c>
      <c r="I195" s="8">
        <v>0</v>
      </c>
      <c r="J195" s="119"/>
      <c r="K195" s="119"/>
    </row>
    <row r="196" spans="1:12" ht="15" customHeight="1" x14ac:dyDescent="0.25">
      <c r="A196" s="108" t="s">
        <v>54</v>
      </c>
      <c r="B196" s="111" t="s">
        <v>55</v>
      </c>
      <c r="C196" s="111" t="s">
        <v>828</v>
      </c>
      <c r="D196" s="59" t="s">
        <v>8</v>
      </c>
      <c r="E196" s="8">
        <f t="shared" si="19"/>
        <v>5808630.0169200003</v>
      </c>
      <c r="F196" s="8">
        <f>SUM(F197:F201)</f>
        <v>5658769.4100099998</v>
      </c>
      <c r="G196" s="8">
        <f>SUM(G197:G201)</f>
        <v>59542.783369999997</v>
      </c>
      <c r="H196" s="8">
        <f>SUM(H197:H201)</f>
        <v>90317.823539999998</v>
      </c>
      <c r="I196" s="8">
        <f>SUM(I197:I201)</f>
        <v>0</v>
      </c>
      <c r="J196" s="114"/>
      <c r="K196" s="108" t="s">
        <v>510</v>
      </c>
      <c r="L196" s="58" t="s">
        <v>1132</v>
      </c>
    </row>
    <row r="197" spans="1:12" x14ac:dyDescent="0.25">
      <c r="A197" s="109"/>
      <c r="B197" s="112"/>
      <c r="C197" s="112"/>
      <c r="D197" s="59">
        <v>2021</v>
      </c>
      <c r="E197" s="8">
        <f t="shared" si="19"/>
        <v>891879.98959000001</v>
      </c>
      <c r="F197" s="8">
        <f t="shared" ref="F197:I201" si="24">F204+F350+F371</f>
        <v>854371.18938</v>
      </c>
      <c r="G197" s="8">
        <f t="shared" si="24"/>
        <v>24191.1</v>
      </c>
      <c r="H197" s="8">
        <f t="shared" si="24"/>
        <v>13317.700210000001</v>
      </c>
      <c r="I197" s="8">
        <f t="shared" si="24"/>
        <v>0</v>
      </c>
      <c r="J197" s="115"/>
      <c r="K197" s="109"/>
    </row>
    <row r="198" spans="1:12" x14ac:dyDescent="0.25">
      <c r="A198" s="109"/>
      <c r="B198" s="112"/>
      <c r="C198" s="112"/>
      <c r="D198" s="59">
        <v>2022</v>
      </c>
      <c r="E198" s="8">
        <f t="shared" si="19"/>
        <v>1227311.4540000001</v>
      </c>
      <c r="F198" s="8">
        <f t="shared" si="24"/>
        <v>1191344.9740000002</v>
      </c>
      <c r="G198" s="8">
        <f t="shared" si="24"/>
        <v>16189.3</v>
      </c>
      <c r="H198" s="8">
        <f t="shared" si="24"/>
        <v>19777.18</v>
      </c>
      <c r="I198" s="8">
        <f t="shared" si="24"/>
        <v>0</v>
      </c>
      <c r="J198" s="115"/>
      <c r="K198" s="109"/>
    </row>
    <row r="199" spans="1:12" x14ac:dyDescent="0.25">
      <c r="A199" s="109"/>
      <c r="B199" s="112"/>
      <c r="C199" s="112"/>
      <c r="D199" s="59">
        <v>2023</v>
      </c>
      <c r="E199" s="8">
        <f t="shared" si="19"/>
        <v>1113485.8361899999</v>
      </c>
      <c r="F199" s="8">
        <f t="shared" si="24"/>
        <v>1082614.0228200001</v>
      </c>
      <c r="G199" s="8">
        <f t="shared" si="24"/>
        <v>11094.58337</v>
      </c>
      <c r="H199" s="8">
        <f t="shared" si="24"/>
        <v>19777.23</v>
      </c>
      <c r="I199" s="8">
        <f t="shared" si="24"/>
        <v>0</v>
      </c>
      <c r="J199" s="115"/>
      <c r="K199" s="109"/>
    </row>
    <row r="200" spans="1:12" x14ac:dyDescent="0.25">
      <c r="A200" s="109"/>
      <c r="B200" s="112"/>
      <c r="C200" s="112"/>
      <c r="D200" s="59">
        <v>2024</v>
      </c>
      <c r="E200" s="8">
        <f t="shared" si="19"/>
        <v>1429592.2854599999</v>
      </c>
      <c r="F200" s="8">
        <f t="shared" si="24"/>
        <v>1400668.2954599999</v>
      </c>
      <c r="G200" s="8">
        <f t="shared" si="24"/>
        <v>8067.8</v>
      </c>
      <c r="H200" s="8">
        <f t="shared" si="24"/>
        <v>20856.189999999999</v>
      </c>
      <c r="I200" s="8">
        <f t="shared" si="24"/>
        <v>0</v>
      </c>
      <c r="J200" s="115"/>
      <c r="K200" s="109"/>
    </row>
    <row r="201" spans="1:12" x14ac:dyDescent="0.25">
      <c r="A201" s="109"/>
      <c r="B201" s="112"/>
      <c r="C201" s="112"/>
      <c r="D201" s="59">
        <v>2025</v>
      </c>
      <c r="E201" s="8">
        <f t="shared" si="19"/>
        <v>1146360.4516799999</v>
      </c>
      <c r="F201" s="8">
        <f t="shared" si="24"/>
        <v>1129770.9283499999</v>
      </c>
      <c r="G201" s="8">
        <f t="shared" si="24"/>
        <v>0</v>
      </c>
      <c r="H201" s="8">
        <f t="shared" si="24"/>
        <v>16589.52333</v>
      </c>
      <c r="I201" s="8">
        <f t="shared" si="24"/>
        <v>0</v>
      </c>
      <c r="J201" s="115"/>
      <c r="K201" s="109"/>
    </row>
    <row r="202" spans="1:12" x14ac:dyDescent="0.25">
      <c r="A202" s="110"/>
      <c r="B202" s="113"/>
      <c r="C202" s="113"/>
      <c r="D202" s="40">
        <v>2026</v>
      </c>
      <c r="E202" s="41">
        <f>SUM(F202:I202)</f>
        <v>0</v>
      </c>
      <c r="F202" s="41">
        <f>SUM(F209,F355)</f>
        <v>0</v>
      </c>
      <c r="G202" s="41">
        <f t="shared" ref="G202:I202" si="25">SUM(G209,G355)</f>
        <v>0</v>
      </c>
      <c r="H202" s="41">
        <f t="shared" si="25"/>
        <v>0</v>
      </c>
      <c r="I202" s="41">
        <f t="shared" si="25"/>
        <v>0</v>
      </c>
      <c r="J202" s="116"/>
      <c r="K202" s="110"/>
    </row>
    <row r="203" spans="1:12" ht="13.5" customHeight="1" outlineLevel="1" x14ac:dyDescent="0.25">
      <c r="A203" s="108" t="s">
        <v>56</v>
      </c>
      <c r="B203" s="108" t="s">
        <v>518</v>
      </c>
      <c r="C203" s="111" t="s">
        <v>14</v>
      </c>
      <c r="D203" s="59" t="s">
        <v>8</v>
      </c>
      <c r="E203" s="8">
        <f t="shared" si="19"/>
        <v>5425529.5894899992</v>
      </c>
      <c r="F203" s="8">
        <f>SUM(F204:F208)</f>
        <v>5425529.5894899992</v>
      </c>
      <c r="G203" s="8">
        <f>SUM(G204:G208)</f>
        <v>0</v>
      </c>
      <c r="H203" s="8">
        <f>SUM(H204:H208)</f>
        <v>0</v>
      </c>
      <c r="I203" s="8">
        <f>SUM(I204:I208)</f>
        <v>0</v>
      </c>
      <c r="J203" s="108" t="s">
        <v>519</v>
      </c>
      <c r="K203" s="108" t="s">
        <v>486</v>
      </c>
      <c r="L203" s="124"/>
    </row>
    <row r="204" spans="1:12" ht="13.5" customHeight="1" outlineLevel="1" x14ac:dyDescent="0.25">
      <c r="A204" s="109"/>
      <c r="B204" s="109"/>
      <c r="C204" s="112"/>
      <c r="D204" s="59">
        <v>2021</v>
      </c>
      <c r="E204" s="8">
        <f t="shared" si="19"/>
        <v>809865.57669999998</v>
      </c>
      <c r="F204" s="8">
        <f>F211+F218+F225+F232+F239+F246++F252+F258+F264+F270+F276+F282+F288+F294+F300+F307+F313+F319+F331+F325</f>
        <v>809865.57669999998</v>
      </c>
      <c r="G204" s="8">
        <f t="shared" ref="G204:I208" si="26">G211+G218+G225+G232+G239+G246++G252+G258+G264+G270+G276+G282+G288+G294+G300+G307+G313+G319+G331</f>
        <v>0</v>
      </c>
      <c r="H204" s="8">
        <f t="shared" si="26"/>
        <v>0</v>
      </c>
      <c r="I204" s="8">
        <f t="shared" si="26"/>
        <v>0</v>
      </c>
      <c r="J204" s="109"/>
      <c r="K204" s="109"/>
      <c r="L204" s="124"/>
    </row>
    <row r="205" spans="1:12" ht="13.5" customHeight="1" outlineLevel="1" x14ac:dyDescent="0.25">
      <c r="A205" s="109"/>
      <c r="B205" s="109"/>
      <c r="C205" s="112"/>
      <c r="D205" s="59">
        <v>2022</v>
      </c>
      <c r="E205" s="8">
        <f t="shared" si="19"/>
        <v>1140833.8970000001</v>
      </c>
      <c r="F205" s="8">
        <f>F212+F219+F226+F233+F240+F247++F253+F259+F265+F271+F277+F283+F289+F295+F301+F308+F314+F320+F332</f>
        <v>1140833.8970000001</v>
      </c>
      <c r="G205" s="8">
        <f t="shared" si="26"/>
        <v>0</v>
      </c>
      <c r="H205" s="8">
        <f t="shared" si="26"/>
        <v>0</v>
      </c>
      <c r="I205" s="8">
        <f t="shared" si="26"/>
        <v>0</v>
      </c>
      <c r="J205" s="109"/>
      <c r="K205" s="109"/>
      <c r="L205" s="124"/>
    </row>
    <row r="206" spans="1:12" ht="13.5" customHeight="1" outlineLevel="1" x14ac:dyDescent="0.25">
      <c r="A206" s="109"/>
      <c r="B206" s="109"/>
      <c r="C206" s="112"/>
      <c r="D206" s="59">
        <v>2023</v>
      </c>
      <c r="E206" s="8">
        <f t="shared" si="19"/>
        <v>1034105.8579300002</v>
      </c>
      <c r="F206" s="8">
        <f>F213+F220+F227+F234+F241+F248++F254+F260+F266+F272+F278+F284+F290+F296+F302+F309+F315+F321+F333+F339</f>
        <v>1034105.8579300002</v>
      </c>
      <c r="G206" s="8">
        <f t="shared" si="26"/>
        <v>0</v>
      </c>
      <c r="H206" s="8">
        <f t="shared" si="26"/>
        <v>0</v>
      </c>
      <c r="I206" s="8">
        <f t="shared" si="26"/>
        <v>0</v>
      </c>
      <c r="J206" s="109"/>
      <c r="K206" s="109"/>
      <c r="L206" s="124"/>
    </row>
    <row r="207" spans="1:12" ht="13.5" customHeight="1" outlineLevel="1" x14ac:dyDescent="0.25">
      <c r="A207" s="109"/>
      <c r="B207" s="109"/>
      <c r="C207" s="112"/>
      <c r="D207" s="59">
        <v>2024</v>
      </c>
      <c r="E207" s="8">
        <f t="shared" si="19"/>
        <v>1352353.3295099998</v>
      </c>
      <c r="F207" s="8">
        <f>F214+F221+F228+F235+F242+F249++F255+F261+F267+F273+F279+F285+F291+F297+F303+F310+F316+F322+F334+F340+F347</f>
        <v>1352353.3295099998</v>
      </c>
      <c r="G207" s="8">
        <f t="shared" si="26"/>
        <v>0</v>
      </c>
      <c r="H207" s="8">
        <f t="shared" si="26"/>
        <v>0</v>
      </c>
      <c r="I207" s="8">
        <f t="shared" si="26"/>
        <v>0</v>
      </c>
      <c r="J207" s="109"/>
      <c r="K207" s="109"/>
      <c r="L207" s="124"/>
    </row>
    <row r="208" spans="1:12" ht="28.5" customHeight="1" outlineLevel="1" x14ac:dyDescent="0.25">
      <c r="A208" s="109"/>
      <c r="B208" s="109"/>
      <c r="C208" s="112"/>
      <c r="D208" s="59">
        <v>2025</v>
      </c>
      <c r="E208" s="8">
        <f t="shared" si="19"/>
        <v>1088370.9283499999</v>
      </c>
      <c r="F208" s="8">
        <f t="shared" ref="F208" si="27">F215+F222+F229+F236+F243+F250++F256+F262+F268+F274+F280+F286+F292+F298+F304+F311+F317+F323+F335</f>
        <v>1088370.9283499999</v>
      </c>
      <c r="G208" s="8">
        <f t="shared" si="26"/>
        <v>0</v>
      </c>
      <c r="H208" s="8">
        <f t="shared" si="26"/>
        <v>0</v>
      </c>
      <c r="I208" s="8">
        <f t="shared" si="26"/>
        <v>0</v>
      </c>
      <c r="J208" s="109"/>
      <c r="K208" s="109"/>
      <c r="L208" s="124"/>
    </row>
    <row r="209" spans="1:13" ht="28.5" customHeight="1" outlineLevel="1" x14ac:dyDescent="0.25">
      <c r="A209" s="110"/>
      <c r="B209" s="110"/>
      <c r="C209" s="113"/>
      <c r="D209" s="48">
        <v>2026</v>
      </c>
      <c r="E209" s="49">
        <f>SUM(F209:I209)</f>
        <v>0</v>
      </c>
      <c r="F209" s="49">
        <f>SUM(F216,F223,F230,F244,F305,F342)</f>
        <v>0</v>
      </c>
      <c r="G209" s="49">
        <f t="shared" ref="G209:I209" si="28">SUM(G216,G223,G230,G244,G305,G342)</f>
        <v>0</v>
      </c>
      <c r="H209" s="49">
        <f t="shared" si="28"/>
        <v>0</v>
      </c>
      <c r="I209" s="49">
        <f t="shared" si="28"/>
        <v>0</v>
      </c>
      <c r="J209" s="110"/>
      <c r="K209" s="110"/>
    </row>
    <row r="210" spans="1:13" ht="13.5" customHeight="1" outlineLevel="1" x14ac:dyDescent="0.25">
      <c r="A210" s="108" t="s">
        <v>60</v>
      </c>
      <c r="B210" s="108" t="s">
        <v>835</v>
      </c>
      <c r="C210" s="111" t="s">
        <v>828</v>
      </c>
      <c r="D210" s="59" t="s">
        <v>8</v>
      </c>
      <c r="E210" s="8">
        <f t="shared" si="19"/>
        <v>12900.548070000001</v>
      </c>
      <c r="F210" s="8">
        <f>SUM(F211:F215)</f>
        <v>12900.548070000001</v>
      </c>
      <c r="G210" s="8">
        <f>SUM(G211:G215)</f>
        <v>0</v>
      </c>
      <c r="H210" s="8">
        <f>SUM(H211:H215)</f>
        <v>0</v>
      </c>
      <c r="I210" s="8">
        <f>SUM(I211:I215)</f>
        <v>0</v>
      </c>
      <c r="J210" s="108" t="s">
        <v>62</v>
      </c>
      <c r="K210" s="108" t="s">
        <v>484</v>
      </c>
      <c r="L210" s="124"/>
    </row>
    <row r="211" spans="1:13" ht="13.5" customHeight="1" outlineLevel="1" x14ac:dyDescent="0.25">
      <c r="A211" s="109"/>
      <c r="B211" s="109"/>
      <c r="C211" s="112"/>
      <c r="D211" s="59">
        <v>2021</v>
      </c>
      <c r="E211" s="8">
        <f t="shared" si="19"/>
        <v>2106.6577000000002</v>
      </c>
      <c r="F211" s="8">
        <f>2106.6577</f>
        <v>2106.6577000000002</v>
      </c>
      <c r="G211" s="8">
        <v>0</v>
      </c>
      <c r="H211" s="8">
        <v>0</v>
      </c>
      <c r="I211" s="8">
        <v>0</v>
      </c>
      <c r="J211" s="109"/>
      <c r="K211" s="109"/>
      <c r="L211" s="124"/>
    </row>
    <row r="212" spans="1:13" ht="13.5" customHeight="1" outlineLevel="1" x14ac:dyDescent="0.25">
      <c r="A212" s="109"/>
      <c r="B212" s="109"/>
      <c r="C212" s="112"/>
      <c r="D212" s="59">
        <v>2022</v>
      </c>
      <c r="E212" s="8">
        <f t="shared" si="19"/>
        <v>5343.0770000000002</v>
      </c>
      <c r="F212" s="8">
        <f>5912.957-569.88</f>
        <v>5343.0770000000002</v>
      </c>
      <c r="G212" s="8">
        <v>0</v>
      </c>
      <c r="H212" s="8">
        <v>0</v>
      </c>
      <c r="I212" s="8">
        <v>0</v>
      </c>
      <c r="J212" s="109"/>
      <c r="K212" s="109"/>
      <c r="L212" s="124"/>
    </row>
    <row r="213" spans="1:13" ht="13.5" customHeight="1" outlineLevel="1" x14ac:dyDescent="0.25">
      <c r="A213" s="109"/>
      <c r="B213" s="109"/>
      <c r="C213" s="112"/>
      <c r="D213" s="59">
        <v>2023</v>
      </c>
      <c r="E213" s="8">
        <f t="shared" si="19"/>
        <v>1237.58797</v>
      </c>
      <c r="F213" s="8">
        <f>2106.657+(30930.97/1000)-900</f>
        <v>1237.58797</v>
      </c>
      <c r="G213" s="8">
        <v>0</v>
      </c>
      <c r="H213" s="8">
        <v>0</v>
      </c>
      <c r="I213" s="8">
        <v>0</v>
      </c>
      <c r="J213" s="109"/>
      <c r="K213" s="109"/>
      <c r="L213" s="124"/>
      <c r="M213" s="58" t="s">
        <v>1741</v>
      </c>
    </row>
    <row r="214" spans="1:13" ht="13.5" customHeight="1" outlineLevel="1" x14ac:dyDescent="0.25">
      <c r="A214" s="109"/>
      <c r="B214" s="109"/>
      <c r="C214" s="112"/>
      <c r="D214" s="59">
        <v>2024</v>
      </c>
      <c r="E214" s="8">
        <f t="shared" si="19"/>
        <v>2106.6577000000002</v>
      </c>
      <c r="F214" s="32">
        <v>2106.6577000000002</v>
      </c>
      <c r="G214" s="8">
        <v>0</v>
      </c>
      <c r="H214" s="8">
        <v>0</v>
      </c>
      <c r="I214" s="8">
        <v>0</v>
      </c>
      <c r="J214" s="109"/>
      <c r="K214" s="109"/>
      <c r="L214" s="124"/>
    </row>
    <row r="215" spans="1:13" ht="13.5" customHeight="1" outlineLevel="1" x14ac:dyDescent="0.25">
      <c r="A215" s="109"/>
      <c r="B215" s="109"/>
      <c r="C215" s="112"/>
      <c r="D215" s="59">
        <v>2025</v>
      </c>
      <c r="E215" s="8">
        <f t="shared" si="19"/>
        <v>2106.5677000000001</v>
      </c>
      <c r="F215" s="32">
        <v>2106.5677000000001</v>
      </c>
      <c r="G215" s="8">
        <f>+G222+G229+G236+G262</f>
        <v>0</v>
      </c>
      <c r="H215" s="8">
        <v>0</v>
      </c>
      <c r="I215" s="8">
        <v>0</v>
      </c>
      <c r="J215" s="109"/>
      <c r="K215" s="109"/>
      <c r="L215" s="124"/>
    </row>
    <row r="216" spans="1:13" ht="13.5" customHeight="1" outlineLevel="1" x14ac:dyDescent="0.25">
      <c r="A216" s="110"/>
      <c r="B216" s="110"/>
      <c r="C216" s="113"/>
      <c r="D216" s="40">
        <v>2026</v>
      </c>
      <c r="E216" s="41"/>
      <c r="F216" s="41"/>
      <c r="G216" s="41"/>
      <c r="H216" s="41"/>
      <c r="I216" s="41"/>
      <c r="J216" s="110"/>
      <c r="K216" s="110"/>
    </row>
    <row r="217" spans="1:13" ht="26.25" customHeight="1" outlineLevel="1" x14ac:dyDescent="0.25">
      <c r="A217" s="108" t="s">
        <v>63</v>
      </c>
      <c r="B217" s="108" t="s">
        <v>1133</v>
      </c>
      <c r="C217" s="111" t="s">
        <v>828</v>
      </c>
      <c r="D217" s="59" t="s">
        <v>8</v>
      </c>
      <c r="E217" s="8">
        <f t="shared" ref="E217:E284" si="29">SUM(F217:I217)</f>
        <v>224763.99966</v>
      </c>
      <c r="F217" s="8">
        <f>SUM(F218:F222)</f>
        <v>224763.99966</v>
      </c>
      <c r="G217" s="8">
        <f>SUM(G218:G222)</f>
        <v>0</v>
      </c>
      <c r="H217" s="8">
        <f>SUM(H218:H222)</f>
        <v>0</v>
      </c>
      <c r="I217" s="8">
        <f>SUM(I218:I222)</f>
        <v>0</v>
      </c>
      <c r="J217" s="108" t="s">
        <v>521</v>
      </c>
      <c r="K217" s="108" t="s">
        <v>484</v>
      </c>
    </row>
    <row r="218" spans="1:13" ht="22.5" customHeight="1" outlineLevel="1" x14ac:dyDescent="0.25">
      <c r="A218" s="109"/>
      <c r="B218" s="109"/>
      <c r="C218" s="112"/>
      <c r="D218" s="59">
        <v>2021</v>
      </c>
      <c r="E218" s="8">
        <f t="shared" si="29"/>
        <v>456</v>
      </c>
      <c r="F218" s="8">
        <v>456</v>
      </c>
      <c r="G218" s="8">
        <v>0</v>
      </c>
      <c r="H218" s="8">
        <v>0</v>
      </c>
      <c r="I218" s="8">
        <v>0</v>
      </c>
      <c r="J218" s="109"/>
      <c r="K218" s="109"/>
    </row>
    <row r="219" spans="1:13" ht="21.75" customHeight="1" outlineLevel="1" x14ac:dyDescent="0.25">
      <c r="A219" s="109"/>
      <c r="B219" s="109"/>
      <c r="C219" s="112"/>
      <c r="D219" s="59">
        <v>2022</v>
      </c>
      <c r="E219" s="8">
        <f t="shared" si="29"/>
        <v>52700</v>
      </c>
      <c r="F219" s="8">
        <v>52700</v>
      </c>
      <c r="G219" s="8">
        <v>0</v>
      </c>
      <c r="H219" s="8">
        <v>0</v>
      </c>
      <c r="I219" s="8">
        <v>0</v>
      </c>
      <c r="J219" s="109"/>
      <c r="K219" s="109"/>
    </row>
    <row r="220" spans="1:13" ht="24" customHeight="1" outlineLevel="1" x14ac:dyDescent="0.25">
      <c r="A220" s="109"/>
      <c r="B220" s="109"/>
      <c r="C220" s="112"/>
      <c r="D220" s="59">
        <v>2023</v>
      </c>
      <c r="E220" s="8">
        <f t="shared" si="29"/>
        <v>67599.999660000001</v>
      </c>
      <c r="F220" s="8">
        <f>52004+7490.67866+8105.321</f>
        <v>67599.999660000001</v>
      </c>
      <c r="G220" s="8">
        <v>0</v>
      </c>
      <c r="H220" s="8">
        <v>0</v>
      </c>
      <c r="I220" s="8">
        <v>0</v>
      </c>
      <c r="J220" s="109"/>
      <c r="K220" s="109"/>
    </row>
    <row r="221" spans="1:13" ht="24.75" customHeight="1" outlineLevel="1" x14ac:dyDescent="0.25">
      <c r="A221" s="109"/>
      <c r="B221" s="109"/>
      <c r="C221" s="112"/>
      <c r="D221" s="59">
        <v>2024</v>
      </c>
      <c r="E221" s="8">
        <f t="shared" si="29"/>
        <v>52004</v>
      </c>
      <c r="F221" s="32">
        <v>52004</v>
      </c>
      <c r="G221" s="8">
        <v>0</v>
      </c>
      <c r="H221" s="8">
        <v>0</v>
      </c>
      <c r="I221" s="8">
        <v>0</v>
      </c>
      <c r="J221" s="109"/>
      <c r="K221" s="109"/>
    </row>
    <row r="222" spans="1:13" ht="24" customHeight="1" outlineLevel="1" x14ac:dyDescent="0.25">
      <c r="A222" s="109"/>
      <c r="B222" s="109"/>
      <c r="C222" s="112"/>
      <c r="D222" s="59">
        <v>2025</v>
      </c>
      <c r="E222" s="8">
        <f t="shared" si="29"/>
        <v>52004</v>
      </c>
      <c r="F222" s="32">
        <v>52004</v>
      </c>
      <c r="G222" s="8">
        <v>0</v>
      </c>
      <c r="H222" s="8">
        <v>0</v>
      </c>
      <c r="I222" s="8">
        <v>0</v>
      </c>
      <c r="J222" s="109"/>
      <c r="K222" s="109"/>
    </row>
    <row r="223" spans="1:13" ht="24" customHeight="1" outlineLevel="1" x14ac:dyDescent="0.25">
      <c r="A223" s="110"/>
      <c r="B223" s="110"/>
      <c r="C223" s="113"/>
      <c r="D223" s="40">
        <v>2026</v>
      </c>
      <c r="E223" s="41"/>
      <c r="F223" s="41"/>
      <c r="G223" s="41"/>
      <c r="H223" s="41"/>
      <c r="I223" s="41"/>
      <c r="J223" s="110"/>
      <c r="K223" s="110"/>
    </row>
    <row r="224" spans="1:13" ht="15.75" customHeight="1" outlineLevel="1" x14ac:dyDescent="0.25">
      <c r="A224" s="108" t="s">
        <v>66</v>
      </c>
      <c r="B224" s="108" t="s">
        <v>67</v>
      </c>
      <c r="C224" s="111" t="s">
        <v>828</v>
      </c>
      <c r="D224" s="59" t="s">
        <v>8</v>
      </c>
      <c r="E224" s="8">
        <f t="shared" si="29"/>
        <v>136.72999999999999</v>
      </c>
      <c r="F224" s="8">
        <f>SUM(F225:F229)</f>
        <v>136.72999999999999</v>
      </c>
      <c r="G224" s="8">
        <f>SUM(G225:G229)</f>
        <v>0</v>
      </c>
      <c r="H224" s="8">
        <f>SUM(H225:H229)</f>
        <v>0</v>
      </c>
      <c r="I224" s="8">
        <f>SUM(I225:I229)</f>
        <v>0</v>
      </c>
      <c r="J224" s="108" t="s">
        <v>522</v>
      </c>
      <c r="K224" s="108" t="s">
        <v>484</v>
      </c>
    </row>
    <row r="225" spans="1:11" ht="15.75" customHeight="1" outlineLevel="1" x14ac:dyDescent="0.25">
      <c r="A225" s="109"/>
      <c r="B225" s="109"/>
      <c r="C225" s="112"/>
      <c r="D225" s="59">
        <v>2021</v>
      </c>
      <c r="E225" s="8">
        <f t="shared" si="29"/>
        <v>27.77</v>
      </c>
      <c r="F225" s="8">
        <f>27770/1000</f>
        <v>27.77</v>
      </c>
      <c r="G225" s="8">
        <v>0</v>
      </c>
      <c r="H225" s="8">
        <v>0</v>
      </c>
      <c r="I225" s="8">
        <v>0</v>
      </c>
      <c r="J225" s="109"/>
      <c r="K225" s="109"/>
    </row>
    <row r="226" spans="1:11" ht="15.75" customHeight="1" outlineLevel="1" x14ac:dyDescent="0.25">
      <c r="A226" s="109"/>
      <c r="B226" s="109"/>
      <c r="C226" s="112"/>
      <c r="D226" s="59">
        <v>2022</v>
      </c>
      <c r="E226" s="8">
        <f t="shared" si="29"/>
        <v>0</v>
      </c>
      <c r="F226" s="8">
        <v>0</v>
      </c>
      <c r="G226" s="8">
        <v>0</v>
      </c>
      <c r="H226" s="8">
        <v>0</v>
      </c>
      <c r="I226" s="8">
        <v>0</v>
      </c>
      <c r="J226" s="109"/>
      <c r="K226" s="109"/>
    </row>
    <row r="227" spans="1:11" ht="15.75" customHeight="1" outlineLevel="1" x14ac:dyDescent="0.25">
      <c r="A227" s="109"/>
      <c r="B227" s="109"/>
      <c r="C227" s="112"/>
      <c r="D227" s="59">
        <v>2023</v>
      </c>
      <c r="E227" s="8">
        <f t="shared" si="29"/>
        <v>32.07</v>
      </c>
      <c r="F227" s="8">
        <v>32.07</v>
      </c>
      <c r="G227" s="8">
        <v>0</v>
      </c>
      <c r="H227" s="8">
        <v>0</v>
      </c>
      <c r="I227" s="8">
        <v>0</v>
      </c>
      <c r="J227" s="109"/>
      <c r="K227" s="109"/>
    </row>
    <row r="228" spans="1:11" ht="15.75" customHeight="1" outlineLevel="1" x14ac:dyDescent="0.25">
      <c r="A228" s="109"/>
      <c r="B228" s="109"/>
      <c r="C228" s="112"/>
      <c r="D228" s="59">
        <v>2024</v>
      </c>
      <c r="E228" s="8">
        <f t="shared" si="29"/>
        <v>44.82</v>
      </c>
      <c r="F228" s="32">
        <v>44.82</v>
      </c>
      <c r="G228" s="8">
        <v>0</v>
      </c>
      <c r="H228" s="8">
        <v>0</v>
      </c>
      <c r="I228" s="8">
        <v>0</v>
      </c>
      <c r="J228" s="109"/>
      <c r="K228" s="109"/>
    </row>
    <row r="229" spans="1:11" ht="15.75" customHeight="1" outlineLevel="1" x14ac:dyDescent="0.25">
      <c r="A229" s="109"/>
      <c r="B229" s="109"/>
      <c r="C229" s="112"/>
      <c r="D229" s="59">
        <v>2025</v>
      </c>
      <c r="E229" s="8">
        <f t="shared" si="29"/>
        <v>32.07</v>
      </c>
      <c r="F229" s="32">
        <v>32.07</v>
      </c>
      <c r="G229" s="8">
        <v>0</v>
      </c>
      <c r="H229" s="8">
        <v>0</v>
      </c>
      <c r="I229" s="8">
        <v>0</v>
      </c>
      <c r="J229" s="109"/>
      <c r="K229" s="109"/>
    </row>
    <row r="230" spans="1:11" ht="15.75" customHeight="1" outlineLevel="1" x14ac:dyDescent="0.25">
      <c r="A230" s="110"/>
      <c r="B230" s="110"/>
      <c r="C230" s="113"/>
      <c r="D230" s="40">
        <v>2026</v>
      </c>
      <c r="E230" s="41"/>
      <c r="F230" s="41"/>
      <c r="G230" s="41"/>
      <c r="H230" s="41"/>
      <c r="I230" s="41"/>
      <c r="J230" s="110"/>
      <c r="K230" s="110"/>
    </row>
    <row r="231" spans="1:11" ht="13.5" customHeight="1" outlineLevel="1" x14ac:dyDescent="0.25">
      <c r="A231" s="108" t="s">
        <v>70</v>
      </c>
      <c r="B231" s="108" t="s">
        <v>71</v>
      </c>
      <c r="C231" s="111" t="s">
        <v>828</v>
      </c>
      <c r="D231" s="59" t="s">
        <v>8</v>
      </c>
      <c r="E231" s="8">
        <f t="shared" si="29"/>
        <v>4751215.6735999994</v>
      </c>
      <c r="F231" s="8">
        <f>SUM(F232:F236)</f>
        <v>4751215.6735999994</v>
      </c>
      <c r="G231" s="8">
        <f>SUM(G232:G236)</f>
        <v>0</v>
      </c>
      <c r="H231" s="8">
        <f>SUM(H232:H236)</f>
        <v>0</v>
      </c>
      <c r="I231" s="8">
        <f>SUM(I232:I236)</f>
        <v>0</v>
      </c>
      <c r="J231" s="108" t="s">
        <v>72</v>
      </c>
      <c r="K231" s="114" t="s">
        <v>836</v>
      </c>
    </row>
    <row r="232" spans="1:11" ht="13.5" customHeight="1" outlineLevel="1" x14ac:dyDescent="0.25">
      <c r="A232" s="109"/>
      <c r="B232" s="109"/>
      <c r="C232" s="112"/>
      <c r="D232" s="59">
        <v>2021</v>
      </c>
      <c r="E232" s="8">
        <f t="shared" si="29"/>
        <v>766375.9</v>
      </c>
      <c r="F232" s="8">
        <v>766375.9</v>
      </c>
      <c r="G232" s="8">
        <v>0</v>
      </c>
      <c r="H232" s="8">
        <v>0</v>
      </c>
      <c r="I232" s="8">
        <v>0</v>
      </c>
      <c r="J232" s="109"/>
      <c r="K232" s="115"/>
    </row>
    <row r="233" spans="1:11" ht="13.5" customHeight="1" outlineLevel="1" x14ac:dyDescent="0.25">
      <c r="A233" s="109"/>
      <c r="B233" s="109"/>
      <c r="C233" s="112"/>
      <c r="D233" s="59">
        <v>2022</v>
      </c>
      <c r="E233" s="8">
        <f t="shared" si="29"/>
        <v>914197.98699999996</v>
      </c>
      <c r="F233" s="8">
        <f>879682.2+21426+13089.787</f>
        <v>914197.98699999996</v>
      </c>
      <c r="G233" s="8">
        <v>0</v>
      </c>
      <c r="H233" s="8">
        <v>0</v>
      </c>
      <c r="I233" s="8">
        <v>0</v>
      </c>
      <c r="J233" s="109"/>
      <c r="K233" s="115"/>
    </row>
    <row r="234" spans="1:11" ht="13.5" customHeight="1" outlineLevel="1" x14ac:dyDescent="0.25">
      <c r="A234" s="109"/>
      <c r="B234" s="109"/>
      <c r="C234" s="112"/>
      <c r="D234" s="59">
        <v>2023</v>
      </c>
      <c r="E234" s="8">
        <f t="shared" si="29"/>
        <v>905061.93929999997</v>
      </c>
      <c r="F234" s="8">
        <f>850537.551+27982.345+11890.5953+14651.448</f>
        <v>905061.93929999997</v>
      </c>
      <c r="G234" s="8">
        <v>0</v>
      </c>
      <c r="H234" s="8">
        <v>0</v>
      </c>
      <c r="I234" s="8">
        <v>0</v>
      </c>
      <c r="J234" s="109"/>
      <c r="K234" s="115"/>
    </row>
    <row r="235" spans="1:11" ht="13.5" customHeight="1" outlineLevel="1" x14ac:dyDescent="0.25">
      <c r="A235" s="109"/>
      <c r="B235" s="109"/>
      <c r="C235" s="112"/>
      <c r="D235" s="59">
        <v>2024</v>
      </c>
      <c r="E235" s="8">
        <f t="shared" si="29"/>
        <v>1165558.7260199999</v>
      </c>
      <c r="F235" s="32">
        <v>1165558.7260199999</v>
      </c>
      <c r="G235" s="8">
        <v>0</v>
      </c>
      <c r="H235" s="8">
        <v>0</v>
      </c>
      <c r="I235" s="8">
        <v>0</v>
      </c>
      <c r="J235" s="109"/>
      <c r="K235" s="115"/>
    </row>
    <row r="236" spans="1:11" ht="13.5" customHeight="1" outlineLevel="1" x14ac:dyDescent="0.25">
      <c r="A236" s="109"/>
      <c r="B236" s="109"/>
      <c r="C236" s="112"/>
      <c r="D236" s="59">
        <v>2025</v>
      </c>
      <c r="E236" s="8">
        <f t="shared" si="29"/>
        <v>1000021.12128</v>
      </c>
      <c r="F236" s="32">
        <v>1000021.12128</v>
      </c>
      <c r="G236" s="8">
        <v>0</v>
      </c>
      <c r="H236" s="8">
        <v>0</v>
      </c>
      <c r="I236" s="8">
        <v>0</v>
      </c>
      <c r="J236" s="109"/>
      <c r="K236" s="115"/>
    </row>
    <row r="237" spans="1:11" ht="13.5" customHeight="1" outlineLevel="1" x14ac:dyDescent="0.25">
      <c r="A237" s="110"/>
      <c r="B237" s="110"/>
      <c r="C237" s="113"/>
      <c r="D237" s="40">
        <v>2026</v>
      </c>
      <c r="E237" s="41"/>
      <c r="F237" s="41"/>
      <c r="G237" s="41"/>
      <c r="H237" s="41"/>
      <c r="I237" s="41"/>
      <c r="J237" s="110"/>
      <c r="K237" s="116"/>
    </row>
    <row r="238" spans="1:11" ht="18.75" customHeight="1" outlineLevel="1" x14ac:dyDescent="0.25">
      <c r="A238" s="108" t="s">
        <v>74</v>
      </c>
      <c r="B238" s="108" t="s">
        <v>75</v>
      </c>
      <c r="C238" s="111" t="s">
        <v>828</v>
      </c>
      <c r="D238" s="59" t="s">
        <v>8</v>
      </c>
      <c r="E238" s="8">
        <f t="shared" si="29"/>
        <v>24254.741000000002</v>
      </c>
      <c r="F238" s="8">
        <f>SUM(F239:F243)</f>
        <v>24254.741000000002</v>
      </c>
      <c r="G238" s="8">
        <f>SUM(G239:G243)</f>
        <v>0</v>
      </c>
      <c r="H238" s="8">
        <f>SUM(H239:H243)</f>
        <v>0</v>
      </c>
      <c r="I238" s="8">
        <f>SUM(I239:I243)</f>
        <v>0</v>
      </c>
      <c r="J238" s="108" t="s">
        <v>1135</v>
      </c>
      <c r="K238" s="108" t="s">
        <v>836</v>
      </c>
    </row>
    <row r="239" spans="1:11" ht="18.75" customHeight="1" outlineLevel="1" x14ac:dyDescent="0.25">
      <c r="A239" s="109"/>
      <c r="B239" s="109"/>
      <c r="C239" s="112"/>
      <c r="D239" s="59">
        <v>2021</v>
      </c>
      <c r="E239" s="8">
        <f t="shared" si="29"/>
        <v>3811.2820000000002</v>
      </c>
      <c r="F239" s="8">
        <v>3811.2820000000002</v>
      </c>
      <c r="G239" s="8">
        <v>0</v>
      </c>
      <c r="H239" s="8">
        <v>0</v>
      </c>
      <c r="I239" s="8">
        <v>0</v>
      </c>
      <c r="J239" s="109"/>
      <c r="K239" s="109"/>
    </row>
    <row r="240" spans="1:11" ht="18.75" customHeight="1" outlineLevel="1" x14ac:dyDescent="0.25">
      <c r="A240" s="109"/>
      <c r="B240" s="109"/>
      <c r="C240" s="112"/>
      <c r="D240" s="59">
        <v>2022</v>
      </c>
      <c r="E240" s="8">
        <f t="shared" si="29"/>
        <v>3588.2230000000004</v>
      </c>
      <c r="F240" s="8">
        <f>3561.3+109.88-82.957</f>
        <v>3588.2230000000004</v>
      </c>
      <c r="G240" s="8">
        <v>0</v>
      </c>
      <c r="H240" s="8">
        <v>0</v>
      </c>
      <c r="I240" s="8">
        <v>0</v>
      </c>
      <c r="J240" s="109"/>
      <c r="K240" s="109"/>
    </row>
    <row r="241" spans="1:11" ht="18.75" customHeight="1" outlineLevel="1" x14ac:dyDescent="0.25">
      <c r="A241" s="109"/>
      <c r="B241" s="109"/>
      <c r="C241" s="112"/>
      <c r="D241" s="59">
        <v>2023</v>
      </c>
      <c r="E241" s="8">
        <f t="shared" si="29"/>
        <v>6067.2359999999999</v>
      </c>
      <c r="F241" s="8">
        <f>3561.3+2000+118.878+82.077+300+4.981</f>
        <v>6067.2359999999999</v>
      </c>
      <c r="G241" s="8">
        <v>0</v>
      </c>
      <c r="H241" s="8">
        <v>0</v>
      </c>
      <c r="I241" s="8">
        <v>0</v>
      </c>
      <c r="J241" s="109"/>
      <c r="K241" s="109"/>
    </row>
    <row r="242" spans="1:11" ht="18.75" customHeight="1" outlineLevel="1" x14ac:dyDescent="0.25">
      <c r="A242" s="109"/>
      <c r="B242" s="109"/>
      <c r="C242" s="112"/>
      <c r="D242" s="59">
        <v>2024</v>
      </c>
      <c r="E242" s="8">
        <f t="shared" si="29"/>
        <v>5394</v>
      </c>
      <c r="F242" s="32">
        <v>5394</v>
      </c>
      <c r="G242" s="8">
        <v>0</v>
      </c>
      <c r="H242" s="8">
        <v>0</v>
      </c>
      <c r="I242" s="8">
        <v>0</v>
      </c>
      <c r="J242" s="109"/>
      <c r="K242" s="109"/>
    </row>
    <row r="243" spans="1:11" ht="18.75" customHeight="1" outlineLevel="1" x14ac:dyDescent="0.25">
      <c r="A243" s="109"/>
      <c r="B243" s="109"/>
      <c r="C243" s="112"/>
      <c r="D243" s="59">
        <v>2025</v>
      </c>
      <c r="E243" s="8">
        <f t="shared" si="29"/>
        <v>5394</v>
      </c>
      <c r="F243" s="32">
        <v>5394</v>
      </c>
      <c r="G243" s="8">
        <v>0</v>
      </c>
      <c r="H243" s="8">
        <v>0</v>
      </c>
      <c r="I243" s="8">
        <v>0</v>
      </c>
      <c r="J243" s="109"/>
      <c r="K243" s="109"/>
    </row>
    <row r="244" spans="1:11" ht="18.75" customHeight="1" outlineLevel="1" x14ac:dyDescent="0.25">
      <c r="A244" s="110"/>
      <c r="B244" s="110"/>
      <c r="C244" s="113"/>
      <c r="D244" s="40">
        <v>2026</v>
      </c>
      <c r="E244" s="41"/>
      <c r="F244" s="41"/>
      <c r="G244" s="41"/>
      <c r="H244" s="41"/>
      <c r="I244" s="41"/>
      <c r="J244" s="110"/>
      <c r="K244" s="110"/>
    </row>
    <row r="245" spans="1:11" ht="14.25" customHeight="1" outlineLevel="1" x14ac:dyDescent="0.25">
      <c r="A245" s="117" t="s">
        <v>524</v>
      </c>
      <c r="B245" s="118" t="s">
        <v>525</v>
      </c>
      <c r="C245" s="119" t="s">
        <v>14</v>
      </c>
      <c r="D245" s="59" t="s">
        <v>8</v>
      </c>
      <c r="E245" s="8">
        <f t="shared" si="29"/>
        <v>26988.080000000002</v>
      </c>
      <c r="F245" s="8">
        <f>SUM(F246:F250)</f>
        <v>26988.080000000002</v>
      </c>
      <c r="G245" s="8">
        <f>SUM(G246:G250)</f>
        <v>0</v>
      </c>
      <c r="H245" s="8">
        <f>SUM(H246:H250)</f>
        <v>0</v>
      </c>
      <c r="I245" s="8">
        <f>SUM(I246:I250)</f>
        <v>0</v>
      </c>
      <c r="J245" s="119" t="s">
        <v>526</v>
      </c>
      <c r="K245" s="119" t="s">
        <v>837</v>
      </c>
    </row>
    <row r="246" spans="1:11" ht="13.5" customHeight="1" outlineLevel="1" x14ac:dyDescent="0.25">
      <c r="A246" s="117"/>
      <c r="B246" s="118"/>
      <c r="C246" s="119"/>
      <c r="D246" s="59">
        <v>2021</v>
      </c>
      <c r="E246" s="8">
        <f t="shared" si="29"/>
        <v>26988.080000000002</v>
      </c>
      <c r="F246" s="8">
        <v>26988.080000000002</v>
      </c>
      <c r="G246" s="8">
        <v>0</v>
      </c>
      <c r="H246" s="8">
        <v>0</v>
      </c>
      <c r="I246" s="8">
        <v>0</v>
      </c>
      <c r="J246" s="119"/>
      <c r="K246" s="119"/>
    </row>
    <row r="247" spans="1:11" ht="13.5" customHeight="1" outlineLevel="1" x14ac:dyDescent="0.25">
      <c r="A247" s="117"/>
      <c r="B247" s="118"/>
      <c r="C247" s="119"/>
      <c r="D247" s="59">
        <v>2022</v>
      </c>
      <c r="E247" s="8">
        <f t="shared" si="29"/>
        <v>0</v>
      </c>
      <c r="F247" s="8">
        <v>0</v>
      </c>
      <c r="G247" s="8">
        <v>0</v>
      </c>
      <c r="H247" s="8">
        <v>0</v>
      </c>
      <c r="I247" s="8">
        <v>0</v>
      </c>
      <c r="J247" s="119"/>
      <c r="K247" s="119"/>
    </row>
    <row r="248" spans="1:11" ht="13.5" customHeight="1" outlineLevel="1" x14ac:dyDescent="0.25">
      <c r="A248" s="117"/>
      <c r="B248" s="118"/>
      <c r="C248" s="119"/>
      <c r="D248" s="59">
        <v>2023</v>
      </c>
      <c r="E248" s="8">
        <f t="shared" si="29"/>
        <v>0</v>
      </c>
      <c r="F248" s="8">
        <v>0</v>
      </c>
      <c r="G248" s="8">
        <v>0</v>
      </c>
      <c r="H248" s="8">
        <v>0</v>
      </c>
      <c r="I248" s="8">
        <v>0</v>
      </c>
      <c r="J248" s="119"/>
      <c r="K248" s="119"/>
    </row>
    <row r="249" spans="1:11" ht="13.5" customHeight="1" outlineLevel="1" x14ac:dyDescent="0.25">
      <c r="A249" s="117"/>
      <c r="B249" s="118"/>
      <c r="C249" s="119"/>
      <c r="D249" s="59">
        <v>2024</v>
      </c>
      <c r="E249" s="8">
        <f t="shared" si="29"/>
        <v>0</v>
      </c>
      <c r="F249" s="8">
        <v>0</v>
      </c>
      <c r="G249" s="8">
        <v>0</v>
      </c>
      <c r="H249" s="8">
        <v>0</v>
      </c>
      <c r="I249" s="8">
        <v>0</v>
      </c>
      <c r="J249" s="119"/>
      <c r="K249" s="119"/>
    </row>
    <row r="250" spans="1:11" ht="19.5" customHeight="1" outlineLevel="1" x14ac:dyDescent="0.25">
      <c r="A250" s="117"/>
      <c r="B250" s="118"/>
      <c r="C250" s="119"/>
      <c r="D250" s="59">
        <v>2025</v>
      </c>
      <c r="E250" s="8">
        <f t="shared" si="29"/>
        <v>0</v>
      </c>
      <c r="F250" s="8">
        <v>0</v>
      </c>
      <c r="G250" s="8">
        <v>0</v>
      </c>
      <c r="H250" s="8">
        <v>0</v>
      </c>
      <c r="I250" s="8">
        <v>0</v>
      </c>
      <c r="J250" s="119"/>
      <c r="K250" s="119"/>
    </row>
    <row r="251" spans="1:11" ht="14.25" customHeight="1" outlineLevel="1" x14ac:dyDescent="0.25">
      <c r="A251" s="117" t="s">
        <v>528</v>
      </c>
      <c r="B251" s="118" t="s">
        <v>1136</v>
      </c>
      <c r="C251" s="119" t="s">
        <v>14</v>
      </c>
      <c r="D251" s="59" t="s">
        <v>8</v>
      </c>
      <c r="E251" s="8">
        <f t="shared" si="29"/>
        <v>0</v>
      </c>
      <c r="F251" s="8">
        <f>SUM(F252:F256)</f>
        <v>0</v>
      </c>
      <c r="G251" s="8">
        <f>SUM(G252:G256)</f>
        <v>0</v>
      </c>
      <c r="H251" s="8">
        <f>SUM(H252:H256)</f>
        <v>0</v>
      </c>
      <c r="I251" s="8">
        <f>SUM(I252:I256)</f>
        <v>0</v>
      </c>
      <c r="J251" s="119" t="s">
        <v>530</v>
      </c>
      <c r="K251" s="119" t="s">
        <v>531</v>
      </c>
    </row>
    <row r="252" spans="1:11" ht="13.5" customHeight="1" outlineLevel="1" x14ac:dyDescent="0.25">
      <c r="A252" s="117"/>
      <c r="B252" s="118"/>
      <c r="C252" s="119"/>
      <c r="D252" s="59">
        <v>2021</v>
      </c>
      <c r="E252" s="8">
        <f t="shared" si="29"/>
        <v>0</v>
      </c>
      <c r="F252" s="8">
        <v>0</v>
      </c>
      <c r="G252" s="8">
        <v>0</v>
      </c>
      <c r="H252" s="8">
        <v>0</v>
      </c>
      <c r="I252" s="8">
        <v>0</v>
      </c>
      <c r="J252" s="119"/>
      <c r="K252" s="119"/>
    </row>
    <row r="253" spans="1:11" ht="13.5" customHeight="1" outlineLevel="1" x14ac:dyDescent="0.25">
      <c r="A253" s="117"/>
      <c r="B253" s="118"/>
      <c r="C253" s="119"/>
      <c r="D253" s="59">
        <v>2022</v>
      </c>
      <c r="E253" s="8">
        <f t="shared" si="29"/>
        <v>0</v>
      </c>
      <c r="F253" s="8">
        <v>0</v>
      </c>
      <c r="G253" s="8">
        <v>0</v>
      </c>
      <c r="H253" s="8">
        <v>0</v>
      </c>
      <c r="I253" s="8">
        <v>0</v>
      </c>
      <c r="J253" s="119"/>
      <c r="K253" s="119"/>
    </row>
    <row r="254" spans="1:11" ht="13.5" customHeight="1" outlineLevel="1" x14ac:dyDescent="0.25">
      <c r="A254" s="117"/>
      <c r="B254" s="118"/>
      <c r="C254" s="119"/>
      <c r="D254" s="59">
        <v>2023</v>
      </c>
      <c r="E254" s="8">
        <f t="shared" si="29"/>
        <v>0</v>
      </c>
      <c r="F254" s="8">
        <v>0</v>
      </c>
      <c r="G254" s="8">
        <v>0</v>
      </c>
      <c r="H254" s="8">
        <v>0</v>
      </c>
      <c r="I254" s="8">
        <v>0</v>
      </c>
      <c r="J254" s="119"/>
      <c r="K254" s="119"/>
    </row>
    <row r="255" spans="1:11" ht="13.5" customHeight="1" outlineLevel="1" x14ac:dyDescent="0.25">
      <c r="A255" s="117"/>
      <c r="B255" s="118"/>
      <c r="C255" s="119"/>
      <c r="D255" s="59">
        <v>2024</v>
      </c>
      <c r="E255" s="8">
        <f t="shared" si="29"/>
        <v>0</v>
      </c>
      <c r="F255" s="8">
        <v>0</v>
      </c>
      <c r="G255" s="8">
        <v>0</v>
      </c>
      <c r="H255" s="8">
        <v>0</v>
      </c>
      <c r="I255" s="8">
        <v>0</v>
      </c>
      <c r="J255" s="119"/>
      <c r="K255" s="119"/>
    </row>
    <row r="256" spans="1:11" ht="19.5" customHeight="1" outlineLevel="1" x14ac:dyDescent="0.25">
      <c r="A256" s="117"/>
      <c r="B256" s="118"/>
      <c r="C256" s="119"/>
      <c r="D256" s="59">
        <v>2025</v>
      </c>
      <c r="E256" s="8">
        <f t="shared" si="29"/>
        <v>0</v>
      </c>
      <c r="F256" s="8">
        <v>0</v>
      </c>
      <c r="G256" s="8">
        <v>0</v>
      </c>
      <c r="H256" s="8">
        <v>0</v>
      </c>
      <c r="I256" s="8">
        <v>0</v>
      </c>
      <c r="J256" s="119"/>
      <c r="K256" s="119"/>
    </row>
    <row r="257" spans="1:13" ht="14.25" customHeight="1" outlineLevel="1" x14ac:dyDescent="0.25">
      <c r="A257" s="117" t="s">
        <v>532</v>
      </c>
      <c r="B257" s="118" t="s">
        <v>533</v>
      </c>
      <c r="C257" s="119" t="s">
        <v>14</v>
      </c>
      <c r="D257" s="59" t="s">
        <v>8</v>
      </c>
      <c r="E257" s="8">
        <f t="shared" si="29"/>
        <v>368.27599999999995</v>
      </c>
      <c r="F257" s="8">
        <f>SUM(F258:F262)</f>
        <v>368.27599999999995</v>
      </c>
      <c r="G257" s="8">
        <f>SUM(G258:G262)</f>
        <v>0</v>
      </c>
      <c r="H257" s="8">
        <f>SUM(H258:H262)</f>
        <v>0</v>
      </c>
      <c r="I257" s="8">
        <f>SUM(I258:I262)</f>
        <v>0</v>
      </c>
      <c r="J257" s="119" t="s">
        <v>534</v>
      </c>
      <c r="K257" s="119" t="s">
        <v>92</v>
      </c>
    </row>
    <row r="258" spans="1:13" ht="13.5" customHeight="1" outlineLevel="1" x14ac:dyDescent="0.25">
      <c r="A258" s="117"/>
      <c r="B258" s="118"/>
      <c r="C258" s="119"/>
      <c r="D258" s="59">
        <v>2021</v>
      </c>
      <c r="E258" s="8">
        <f t="shared" si="29"/>
        <v>150.887</v>
      </c>
      <c r="F258" s="8">
        <v>150.887</v>
      </c>
      <c r="G258" s="8">
        <v>0</v>
      </c>
      <c r="H258" s="8">
        <v>0</v>
      </c>
      <c r="I258" s="8">
        <v>0</v>
      </c>
      <c r="J258" s="119"/>
      <c r="K258" s="119"/>
    </row>
    <row r="259" spans="1:13" ht="13.5" customHeight="1" outlineLevel="1" x14ac:dyDescent="0.25">
      <c r="A259" s="117"/>
      <c r="B259" s="118"/>
      <c r="C259" s="119"/>
      <c r="D259" s="59">
        <v>2022</v>
      </c>
      <c r="E259" s="8">
        <f t="shared" si="29"/>
        <v>82.956999999999994</v>
      </c>
      <c r="F259" s="8">
        <v>82.956999999999994</v>
      </c>
      <c r="G259" s="8">
        <v>0</v>
      </c>
      <c r="H259" s="8">
        <v>0</v>
      </c>
      <c r="I259" s="8">
        <v>0</v>
      </c>
      <c r="J259" s="119"/>
      <c r="K259" s="119"/>
    </row>
    <row r="260" spans="1:13" ht="13.5" customHeight="1" outlineLevel="1" x14ac:dyDescent="0.25">
      <c r="A260" s="117"/>
      <c r="B260" s="118"/>
      <c r="C260" s="119"/>
      <c r="D260" s="59">
        <v>2023</v>
      </c>
      <c r="E260" s="8">
        <f t="shared" si="29"/>
        <v>134.43199999999999</v>
      </c>
      <c r="F260" s="8">
        <v>134.43199999999999</v>
      </c>
      <c r="G260" s="8">
        <v>0</v>
      </c>
      <c r="H260" s="8">
        <v>0</v>
      </c>
      <c r="I260" s="8">
        <v>0</v>
      </c>
      <c r="J260" s="119"/>
      <c r="K260" s="119"/>
      <c r="M260" s="58" t="s">
        <v>1742</v>
      </c>
    </row>
    <row r="261" spans="1:13" ht="13.5" customHeight="1" outlineLevel="1" x14ac:dyDescent="0.25">
      <c r="A261" s="117"/>
      <c r="B261" s="118"/>
      <c r="C261" s="119"/>
      <c r="D261" s="59">
        <v>2024</v>
      </c>
      <c r="E261" s="8">
        <f t="shared" si="29"/>
        <v>0</v>
      </c>
      <c r="F261" s="8">
        <v>0</v>
      </c>
      <c r="G261" s="8">
        <v>0</v>
      </c>
      <c r="H261" s="8">
        <v>0</v>
      </c>
      <c r="I261" s="8">
        <v>0</v>
      </c>
      <c r="J261" s="119"/>
      <c r="K261" s="119"/>
    </row>
    <row r="262" spans="1:13" ht="19.5" customHeight="1" outlineLevel="1" x14ac:dyDescent="0.25">
      <c r="A262" s="117"/>
      <c r="B262" s="118"/>
      <c r="C262" s="119"/>
      <c r="D262" s="59">
        <v>2025</v>
      </c>
      <c r="E262" s="8">
        <f t="shared" si="29"/>
        <v>0</v>
      </c>
      <c r="F262" s="8">
        <v>0</v>
      </c>
      <c r="G262" s="8">
        <v>0</v>
      </c>
      <c r="H262" s="8">
        <v>0</v>
      </c>
      <c r="I262" s="8">
        <v>0</v>
      </c>
      <c r="J262" s="119"/>
      <c r="K262" s="119"/>
    </row>
    <row r="263" spans="1:13" ht="16.5" customHeight="1" outlineLevel="1" x14ac:dyDescent="0.25">
      <c r="A263" s="117" t="s">
        <v>535</v>
      </c>
      <c r="B263" s="118" t="s">
        <v>536</v>
      </c>
      <c r="C263" s="119" t="s">
        <v>14</v>
      </c>
      <c r="D263" s="59" t="s">
        <v>8</v>
      </c>
      <c r="E263" s="8">
        <f t="shared" si="29"/>
        <v>595</v>
      </c>
      <c r="F263" s="8">
        <f>SUM(F264:F268)</f>
        <v>595</v>
      </c>
      <c r="G263" s="8">
        <f>SUM(G264:G268)</f>
        <v>0</v>
      </c>
      <c r="H263" s="8">
        <f>SUM(H264:H268)</f>
        <v>0</v>
      </c>
      <c r="I263" s="8">
        <f>SUM(I264:I268)</f>
        <v>0</v>
      </c>
      <c r="J263" s="119" t="s">
        <v>838</v>
      </c>
      <c r="K263" s="119" t="s">
        <v>531</v>
      </c>
    </row>
    <row r="264" spans="1:13" ht="16.5" customHeight="1" outlineLevel="1" x14ac:dyDescent="0.25">
      <c r="A264" s="117"/>
      <c r="B264" s="118"/>
      <c r="C264" s="119"/>
      <c r="D264" s="59">
        <v>2021</v>
      </c>
      <c r="E264" s="8">
        <f t="shared" si="29"/>
        <v>595</v>
      </c>
      <c r="F264" s="8">
        <v>595</v>
      </c>
      <c r="G264" s="8">
        <v>0</v>
      </c>
      <c r="H264" s="8">
        <v>0</v>
      </c>
      <c r="I264" s="8">
        <v>0</v>
      </c>
      <c r="J264" s="119"/>
      <c r="K264" s="119"/>
    </row>
    <row r="265" spans="1:13" ht="16.5" customHeight="1" outlineLevel="1" x14ac:dyDescent="0.25">
      <c r="A265" s="117"/>
      <c r="B265" s="118"/>
      <c r="C265" s="119"/>
      <c r="D265" s="59">
        <v>2022</v>
      </c>
      <c r="E265" s="8">
        <f t="shared" si="29"/>
        <v>0</v>
      </c>
      <c r="F265" s="8">
        <v>0</v>
      </c>
      <c r="G265" s="8">
        <v>0</v>
      </c>
      <c r="H265" s="8">
        <v>0</v>
      </c>
      <c r="I265" s="8">
        <v>0</v>
      </c>
      <c r="J265" s="119"/>
      <c r="K265" s="119"/>
    </row>
    <row r="266" spans="1:13" ht="16.5" customHeight="1" outlineLevel="1" x14ac:dyDescent="0.25">
      <c r="A266" s="117"/>
      <c r="B266" s="118"/>
      <c r="C266" s="119"/>
      <c r="D266" s="59">
        <v>2023</v>
      </c>
      <c r="E266" s="8">
        <f t="shared" si="29"/>
        <v>0</v>
      </c>
      <c r="F266" s="8">
        <v>0</v>
      </c>
      <c r="G266" s="8">
        <v>0</v>
      </c>
      <c r="H266" s="8">
        <v>0</v>
      </c>
      <c r="I266" s="8">
        <v>0</v>
      </c>
      <c r="J266" s="119"/>
      <c r="K266" s="119"/>
    </row>
    <row r="267" spans="1:13" ht="16.5" customHeight="1" outlineLevel="1" x14ac:dyDescent="0.25">
      <c r="A267" s="117"/>
      <c r="B267" s="118"/>
      <c r="C267" s="119"/>
      <c r="D267" s="59">
        <v>2024</v>
      </c>
      <c r="E267" s="8">
        <f t="shared" si="29"/>
        <v>0</v>
      </c>
      <c r="F267" s="8">
        <v>0</v>
      </c>
      <c r="G267" s="8">
        <v>0</v>
      </c>
      <c r="H267" s="8">
        <v>0</v>
      </c>
      <c r="I267" s="8">
        <v>0</v>
      </c>
      <c r="J267" s="119"/>
      <c r="K267" s="119"/>
    </row>
    <row r="268" spans="1:13" ht="16.5" customHeight="1" outlineLevel="1" x14ac:dyDescent="0.25">
      <c r="A268" s="117"/>
      <c r="B268" s="118"/>
      <c r="C268" s="119"/>
      <c r="D268" s="59">
        <v>2025</v>
      </c>
      <c r="E268" s="8">
        <f t="shared" si="29"/>
        <v>0</v>
      </c>
      <c r="F268" s="8">
        <v>0</v>
      </c>
      <c r="G268" s="8">
        <v>0</v>
      </c>
      <c r="H268" s="8">
        <v>0</v>
      </c>
      <c r="I268" s="8">
        <v>0</v>
      </c>
      <c r="J268" s="119"/>
      <c r="K268" s="119"/>
    </row>
    <row r="269" spans="1:13" ht="16.5" customHeight="1" outlineLevel="1" x14ac:dyDescent="0.25">
      <c r="A269" s="117" t="s">
        <v>609</v>
      </c>
      <c r="B269" s="118" t="s">
        <v>610</v>
      </c>
      <c r="C269" s="119" t="s">
        <v>14</v>
      </c>
      <c r="D269" s="59" t="s">
        <v>8</v>
      </c>
      <c r="E269" s="8">
        <f t="shared" si="29"/>
        <v>8626</v>
      </c>
      <c r="F269" s="8">
        <f>SUM(F270:F274)</f>
        <v>8626</v>
      </c>
      <c r="G269" s="8">
        <f>SUM(G270:G274)</f>
        <v>0</v>
      </c>
      <c r="H269" s="8">
        <f>SUM(H270:H274)</f>
        <v>0</v>
      </c>
      <c r="I269" s="8">
        <f>SUM(I270:I274)</f>
        <v>0</v>
      </c>
      <c r="J269" s="119" t="s">
        <v>611</v>
      </c>
      <c r="K269" s="119" t="s">
        <v>563</v>
      </c>
    </row>
    <row r="270" spans="1:13" ht="16.5" customHeight="1" outlineLevel="1" x14ac:dyDescent="0.25">
      <c r="A270" s="117"/>
      <c r="B270" s="118"/>
      <c r="C270" s="119"/>
      <c r="D270" s="59">
        <v>2021</v>
      </c>
      <c r="E270" s="8">
        <f t="shared" si="29"/>
        <v>8626</v>
      </c>
      <c r="F270" s="8">
        <v>8626</v>
      </c>
      <c r="G270" s="8">
        <v>0</v>
      </c>
      <c r="H270" s="8">
        <v>0</v>
      </c>
      <c r="I270" s="8">
        <v>0</v>
      </c>
      <c r="J270" s="119"/>
      <c r="K270" s="119"/>
    </row>
    <row r="271" spans="1:13" ht="16.5" customHeight="1" outlineLevel="1" x14ac:dyDescent="0.25">
      <c r="A271" s="117"/>
      <c r="B271" s="118"/>
      <c r="C271" s="119"/>
      <c r="D271" s="59">
        <v>2022</v>
      </c>
      <c r="E271" s="8">
        <f t="shared" si="29"/>
        <v>0</v>
      </c>
      <c r="F271" s="8">
        <v>0</v>
      </c>
      <c r="G271" s="8">
        <v>0</v>
      </c>
      <c r="H271" s="8">
        <v>0</v>
      </c>
      <c r="I271" s="8">
        <v>0</v>
      </c>
      <c r="J271" s="119"/>
      <c r="K271" s="119"/>
    </row>
    <row r="272" spans="1:13" ht="16.5" customHeight="1" outlineLevel="1" x14ac:dyDescent="0.25">
      <c r="A272" s="117"/>
      <c r="B272" s="118"/>
      <c r="C272" s="119"/>
      <c r="D272" s="59">
        <v>2023</v>
      </c>
      <c r="E272" s="8">
        <f t="shared" si="29"/>
        <v>0</v>
      </c>
      <c r="F272" s="8">
        <v>0</v>
      </c>
      <c r="G272" s="8">
        <v>0</v>
      </c>
      <c r="H272" s="8">
        <v>0</v>
      </c>
      <c r="I272" s="8">
        <v>0</v>
      </c>
      <c r="J272" s="119"/>
      <c r="K272" s="119"/>
    </row>
    <row r="273" spans="1:11" ht="16.5" customHeight="1" outlineLevel="1" x14ac:dyDescent="0.25">
      <c r="A273" s="117"/>
      <c r="B273" s="118"/>
      <c r="C273" s="119"/>
      <c r="D273" s="59">
        <v>2024</v>
      </c>
      <c r="E273" s="8">
        <f t="shared" si="29"/>
        <v>0</v>
      </c>
      <c r="F273" s="8">
        <v>0</v>
      </c>
      <c r="G273" s="8">
        <v>0</v>
      </c>
      <c r="H273" s="8">
        <v>0</v>
      </c>
      <c r="I273" s="8">
        <v>0</v>
      </c>
      <c r="J273" s="119"/>
      <c r="K273" s="119"/>
    </row>
    <row r="274" spans="1:11" ht="16.5" customHeight="1" outlineLevel="1" x14ac:dyDescent="0.25">
      <c r="A274" s="117"/>
      <c r="B274" s="118"/>
      <c r="C274" s="119"/>
      <c r="D274" s="59">
        <v>2025</v>
      </c>
      <c r="E274" s="8">
        <f t="shared" si="29"/>
        <v>0</v>
      </c>
      <c r="F274" s="8">
        <v>0</v>
      </c>
      <c r="G274" s="8">
        <v>0</v>
      </c>
      <c r="H274" s="8">
        <v>0</v>
      </c>
      <c r="I274" s="8">
        <v>0</v>
      </c>
      <c r="J274" s="119"/>
      <c r="K274" s="119"/>
    </row>
    <row r="275" spans="1:11" ht="16.5" customHeight="1" outlineLevel="1" x14ac:dyDescent="0.25">
      <c r="A275" s="117" t="s">
        <v>839</v>
      </c>
      <c r="B275" s="118" t="s">
        <v>1137</v>
      </c>
      <c r="C275" s="119" t="s">
        <v>14</v>
      </c>
      <c r="D275" s="59" t="s">
        <v>8</v>
      </c>
      <c r="E275" s="8">
        <f t="shared" si="29"/>
        <v>35337.443999999996</v>
      </c>
      <c r="F275" s="8">
        <f>SUM(F276:F280)</f>
        <v>35337.443999999996</v>
      </c>
      <c r="G275" s="8">
        <f>SUM(G276:G280)</f>
        <v>0</v>
      </c>
      <c r="H275" s="8">
        <f>SUM(H276:H280)</f>
        <v>0</v>
      </c>
      <c r="I275" s="8">
        <f>SUM(I276:I280)</f>
        <v>0</v>
      </c>
      <c r="J275" s="119" t="s">
        <v>1138</v>
      </c>
      <c r="K275" s="119" t="s">
        <v>1139</v>
      </c>
    </row>
    <row r="276" spans="1:11" ht="16.5" customHeight="1" outlineLevel="1" x14ac:dyDescent="0.25">
      <c r="A276" s="117"/>
      <c r="B276" s="118"/>
      <c r="C276" s="119"/>
      <c r="D276" s="59">
        <v>2021</v>
      </c>
      <c r="E276" s="8">
        <f t="shared" si="29"/>
        <v>0</v>
      </c>
      <c r="F276" s="8">
        <v>0</v>
      </c>
      <c r="G276" s="8">
        <v>0</v>
      </c>
      <c r="H276" s="8">
        <v>0</v>
      </c>
      <c r="I276" s="8">
        <v>0</v>
      </c>
      <c r="J276" s="119"/>
      <c r="K276" s="119"/>
    </row>
    <row r="277" spans="1:11" ht="16.5" customHeight="1" outlineLevel="1" x14ac:dyDescent="0.25">
      <c r="A277" s="117"/>
      <c r="B277" s="118"/>
      <c r="C277" s="119"/>
      <c r="D277" s="59">
        <v>2022</v>
      </c>
      <c r="E277" s="8">
        <f t="shared" si="29"/>
        <v>35337.442999999999</v>
      </c>
      <c r="F277" s="8">
        <f>22000+1017.443+12000+13089.787+320-13089.787</f>
        <v>35337.442999999999</v>
      </c>
      <c r="G277" s="8">
        <v>0</v>
      </c>
      <c r="H277" s="8">
        <v>0</v>
      </c>
      <c r="I277" s="8">
        <v>0</v>
      </c>
      <c r="J277" s="119"/>
      <c r="K277" s="119"/>
    </row>
    <row r="278" spans="1:11" ht="16.5" customHeight="1" outlineLevel="1" x14ac:dyDescent="0.25">
      <c r="A278" s="117"/>
      <c r="B278" s="118"/>
      <c r="C278" s="119"/>
      <c r="D278" s="59">
        <v>2023</v>
      </c>
      <c r="E278" s="8">
        <f t="shared" si="29"/>
        <v>9.9999999991950972E-4</v>
      </c>
      <c r="F278" s="8">
        <f>5000-4863.17-136.829</f>
        <v>9.9999999991950972E-4</v>
      </c>
      <c r="G278" s="8">
        <v>0</v>
      </c>
      <c r="H278" s="8">
        <v>0</v>
      </c>
      <c r="I278" s="8">
        <v>0</v>
      </c>
      <c r="J278" s="119"/>
      <c r="K278" s="119"/>
    </row>
    <row r="279" spans="1:11" ht="16.5" customHeight="1" outlineLevel="1" x14ac:dyDescent="0.25">
      <c r="A279" s="117"/>
      <c r="B279" s="118"/>
      <c r="C279" s="119"/>
      <c r="D279" s="59">
        <v>2024</v>
      </c>
      <c r="E279" s="8">
        <f t="shared" si="29"/>
        <v>0</v>
      </c>
      <c r="F279" s="8">
        <v>0</v>
      </c>
      <c r="G279" s="8">
        <v>0</v>
      </c>
      <c r="H279" s="8">
        <v>0</v>
      </c>
      <c r="I279" s="8">
        <v>0</v>
      </c>
      <c r="J279" s="119"/>
      <c r="K279" s="119"/>
    </row>
    <row r="280" spans="1:11" ht="16.5" customHeight="1" outlineLevel="1" x14ac:dyDescent="0.25">
      <c r="A280" s="117"/>
      <c r="B280" s="118"/>
      <c r="C280" s="119"/>
      <c r="D280" s="59">
        <v>2025</v>
      </c>
      <c r="E280" s="8">
        <f t="shared" si="29"/>
        <v>0</v>
      </c>
      <c r="F280" s="8">
        <v>0</v>
      </c>
      <c r="G280" s="8">
        <v>0</v>
      </c>
      <c r="H280" s="8">
        <v>0</v>
      </c>
      <c r="I280" s="8">
        <v>0</v>
      </c>
      <c r="J280" s="119"/>
      <c r="K280" s="119"/>
    </row>
    <row r="281" spans="1:11" ht="16.5" customHeight="1" outlineLevel="1" x14ac:dyDescent="0.25">
      <c r="A281" s="117" t="s">
        <v>843</v>
      </c>
      <c r="B281" s="118" t="s">
        <v>844</v>
      </c>
      <c r="C281" s="119" t="s">
        <v>14</v>
      </c>
      <c r="D281" s="59" t="s">
        <v>8</v>
      </c>
      <c r="E281" s="8">
        <f t="shared" si="29"/>
        <v>534</v>
      </c>
      <c r="F281" s="8">
        <f>SUM(F282:F286)</f>
        <v>534</v>
      </c>
      <c r="G281" s="8">
        <f>SUM(G282:G286)</f>
        <v>0</v>
      </c>
      <c r="H281" s="8">
        <f>SUM(H282:H286)</f>
        <v>0</v>
      </c>
      <c r="I281" s="8">
        <f>SUM(I282:I286)</f>
        <v>0</v>
      </c>
      <c r="J281" s="119" t="s">
        <v>845</v>
      </c>
      <c r="K281" s="119" t="s">
        <v>1140</v>
      </c>
    </row>
    <row r="282" spans="1:11" ht="16.5" customHeight="1" outlineLevel="1" x14ac:dyDescent="0.25">
      <c r="A282" s="117"/>
      <c r="B282" s="118"/>
      <c r="C282" s="119"/>
      <c r="D282" s="59">
        <v>2021</v>
      </c>
      <c r="E282" s="8">
        <f t="shared" si="29"/>
        <v>534</v>
      </c>
      <c r="F282" s="8">
        <v>534</v>
      </c>
      <c r="G282" s="8">
        <v>0</v>
      </c>
      <c r="H282" s="8">
        <v>0</v>
      </c>
      <c r="I282" s="8">
        <v>0</v>
      </c>
      <c r="J282" s="119"/>
      <c r="K282" s="119"/>
    </row>
    <row r="283" spans="1:11" ht="16.5" customHeight="1" outlineLevel="1" x14ac:dyDescent="0.25">
      <c r="A283" s="117"/>
      <c r="B283" s="118"/>
      <c r="C283" s="119"/>
      <c r="D283" s="59">
        <v>2022</v>
      </c>
      <c r="E283" s="8">
        <f t="shared" si="29"/>
        <v>0</v>
      </c>
      <c r="F283" s="8">
        <v>0</v>
      </c>
      <c r="G283" s="8">
        <v>0</v>
      </c>
      <c r="H283" s="8">
        <v>0</v>
      </c>
      <c r="I283" s="8">
        <v>0</v>
      </c>
      <c r="J283" s="119"/>
      <c r="K283" s="119"/>
    </row>
    <row r="284" spans="1:11" ht="16.5" customHeight="1" outlineLevel="1" x14ac:dyDescent="0.25">
      <c r="A284" s="117"/>
      <c r="B284" s="118"/>
      <c r="C284" s="119"/>
      <c r="D284" s="59">
        <v>2023</v>
      </c>
      <c r="E284" s="8">
        <f t="shared" si="29"/>
        <v>0</v>
      </c>
      <c r="F284" s="8">
        <v>0</v>
      </c>
      <c r="G284" s="8">
        <v>0</v>
      </c>
      <c r="H284" s="8">
        <v>0</v>
      </c>
      <c r="I284" s="8">
        <v>0</v>
      </c>
      <c r="J284" s="119"/>
      <c r="K284" s="119"/>
    </row>
    <row r="285" spans="1:11" ht="16.5" customHeight="1" outlineLevel="1" x14ac:dyDescent="0.25">
      <c r="A285" s="117"/>
      <c r="B285" s="118"/>
      <c r="C285" s="119"/>
      <c r="D285" s="59">
        <v>2024</v>
      </c>
      <c r="E285" s="8">
        <f t="shared" ref="E285:E354" si="30">SUM(F285:I285)</f>
        <v>0</v>
      </c>
      <c r="F285" s="8">
        <v>0</v>
      </c>
      <c r="G285" s="8">
        <v>0</v>
      </c>
      <c r="H285" s="8">
        <v>0</v>
      </c>
      <c r="I285" s="8">
        <v>0</v>
      </c>
      <c r="J285" s="119"/>
      <c r="K285" s="119"/>
    </row>
    <row r="286" spans="1:11" ht="16.5" customHeight="1" outlineLevel="1" x14ac:dyDescent="0.25">
      <c r="A286" s="117"/>
      <c r="B286" s="118"/>
      <c r="C286" s="119"/>
      <c r="D286" s="59">
        <v>2025</v>
      </c>
      <c r="E286" s="8">
        <f t="shared" si="30"/>
        <v>0</v>
      </c>
      <c r="F286" s="8">
        <v>0</v>
      </c>
      <c r="G286" s="8">
        <v>0</v>
      </c>
      <c r="H286" s="8">
        <v>0</v>
      </c>
      <c r="I286" s="8">
        <v>0</v>
      </c>
      <c r="J286" s="119"/>
      <c r="K286" s="119"/>
    </row>
    <row r="287" spans="1:11" ht="16.5" customHeight="1" outlineLevel="1" x14ac:dyDescent="0.25">
      <c r="A287" s="117" t="s">
        <v>846</v>
      </c>
      <c r="B287" s="118" t="s">
        <v>847</v>
      </c>
      <c r="C287" s="119" t="s">
        <v>14</v>
      </c>
      <c r="D287" s="59" t="s">
        <v>8</v>
      </c>
      <c r="E287" s="8">
        <f t="shared" si="30"/>
        <v>194</v>
      </c>
      <c r="F287" s="8">
        <f>SUM(F288:F292)</f>
        <v>194</v>
      </c>
      <c r="G287" s="8">
        <f>SUM(G288:G292)</f>
        <v>0</v>
      </c>
      <c r="H287" s="8">
        <f>SUM(H288:H292)</f>
        <v>0</v>
      </c>
      <c r="I287" s="8">
        <f>SUM(I288:I292)</f>
        <v>0</v>
      </c>
      <c r="J287" s="119" t="s">
        <v>848</v>
      </c>
      <c r="K287" s="119" t="s">
        <v>484</v>
      </c>
    </row>
    <row r="288" spans="1:11" ht="16.5" customHeight="1" outlineLevel="1" x14ac:dyDescent="0.25">
      <c r="A288" s="117"/>
      <c r="B288" s="118"/>
      <c r="C288" s="119"/>
      <c r="D288" s="59">
        <v>2021</v>
      </c>
      <c r="E288" s="8">
        <f t="shared" si="30"/>
        <v>194</v>
      </c>
      <c r="F288" s="8">
        <v>194</v>
      </c>
      <c r="G288" s="8">
        <v>0</v>
      </c>
      <c r="H288" s="8">
        <v>0</v>
      </c>
      <c r="I288" s="8">
        <v>0</v>
      </c>
      <c r="J288" s="119"/>
      <c r="K288" s="119"/>
    </row>
    <row r="289" spans="1:11" ht="16.5" customHeight="1" outlineLevel="1" x14ac:dyDescent="0.25">
      <c r="A289" s="117"/>
      <c r="B289" s="118"/>
      <c r="C289" s="119"/>
      <c r="D289" s="59">
        <v>2022</v>
      </c>
      <c r="E289" s="8">
        <f t="shared" si="30"/>
        <v>0</v>
      </c>
      <c r="F289" s="8">
        <v>0</v>
      </c>
      <c r="G289" s="8">
        <v>0</v>
      </c>
      <c r="H289" s="8">
        <v>0</v>
      </c>
      <c r="I289" s="8">
        <v>0</v>
      </c>
      <c r="J289" s="119"/>
      <c r="K289" s="119"/>
    </row>
    <row r="290" spans="1:11" ht="16.5" customHeight="1" outlineLevel="1" x14ac:dyDescent="0.25">
      <c r="A290" s="117"/>
      <c r="B290" s="118"/>
      <c r="C290" s="119"/>
      <c r="D290" s="59">
        <v>2023</v>
      </c>
      <c r="E290" s="8">
        <f t="shared" si="30"/>
        <v>0</v>
      </c>
      <c r="F290" s="8">
        <v>0</v>
      </c>
      <c r="G290" s="8">
        <v>0</v>
      </c>
      <c r="H290" s="8">
        <v>0</v>
      </c>
      <c r="I290" s="8">
        <v>0</v>
      </c>
      <c r="J290" s="119"/>
      <c r="K290" s="119"/>
    </row>
    <row r="291" spans="1:11" ht="16.5" customHeight="1" outlineLevel="1" x14ac:dyDescent="0.25">
      <c r="A291" s="117"/>
      <c r="B291" s="118"/>
      <c r="C291" s="119"/>
      <c r="D291" s="59">
        <v>2024</v>
      </c>
      <c r="E291" s="8">
        <f t="shared" si="30"/>
        <v>0</v>
      </c>
      <c r="F291" s="8">
        <v>0</v>
      </c>
      <c r="G291" s="8">
        <v>0</v>
      </c>
      <c r="H291" s="8">
        <v>0</v>
      </c>
      <c r="I291" s="8">
        <v>0</v>
      </c>
      <c r="J291" s="119"/>
      <c r="K291" s="119"/>
    </row>
    <row r="292" spans="1:11" ht="16.5" customHeight="1" outlineLevel="1" x14ac:dyDescent="0.25">
      <c r="A292" s="117"/>
      <c r="B292" s="118"/>
      <c r="C292" s="119"/>
      <c r="D292" s="59">
        <v>2025</v>
      </c>
      <c r="E292" s="8">
        <f t="shared" si="30"/>
        <v>0</v>
      </c>
      <c r="F292" s="8">
        <v>0</v>
      </c>
      <c r="G292" s="8">
        <v>0</v>
      </c>
      <c r="H292" s="8">
        <v>0</v>
      </c>
      <c r="I292" s="8">
        <v>0</v>
      </c>
      <c r="J292" s="119"/>
      <c r="K292" s="119"/>
    </row>
    <row r="293" spans="1:11" ht="16.5" customHeight="1" outlineLevel="1" x14ac:dyDescent="0.25">
      <c r="A293" s="117" t="s">
        <v>849</v>
      </c>
      <c r="B293" s="118" t="s">
        <v>850</v>
      </c>
      <c r="C293" s="119" t="s">
        <v>1113</v>
      </c>
      <c r="D293" s="59" t="s">
        <v>8</v>
      </c>
      <c r="E293" s="8">
        <f t="shared" si="30"/>
        <v>1800</v>
      </c>
      <c r="F293" s="8">
        <f>SUM(F294:F298)</f>
        <v>1800</v>
      </c>
      <c r="G293" s="8">
        <f>SUM(G294:G298)</f>
        <v>0</v>
      </c>
      <c r="H293" s="8">
        <f>SUM(H294:H298)</f>
        <v>0</v>
      </c>
      <c r="I293" s="8">
        <f>SUM(I294:I298)</f>
        <v>0</v>
      </c>
      <c r="J293" s="119" t="s">
        <v>1141</v>
      </c>
      <c r="K293" s="119" t="s">
        <v>484</v>
      </c>
    </row>
    <row r="294" spans="1:11" ht="16.5" customHeight="1" outlineLevel="1" x14ac:dyDescent="0.25">
      <c r="A294" s="117"/>
      <c r="B294" s="118"/>
      <c r="C294" s="119"/>
      <c r="D294" s="59">
        <v>2021</v>
      </c>
      <c r="E294" s="8">
        <f t="shared" si="30"/>
        <v>0</v>
      </c>
      <c r="F294" s="8">
        <v>0</v>
      </c>
      <c r="G294" s="8">
        <v>0</v>
      </c>
      <c r="H294" s="8">
        <v>0</v>
      </c>
      <c r="I294" s="8">
        <v>0</v>
      </c>
      <c r="J294" s="119"/>
      <c r="K294" s="119"/>
    </row>
    <row r="295" spans="1:11" ht="16.5" customHeight="1" outlineLevel="1" x14ac:dyDescent="0.25">
      <c r="A295" s="117"/>
      <c r="B295" s="118"/>
      <c r="C295" s="119"/>
      <c r="D295" s="59">
        <v>2022</v>
      </c>
      <c r="E295" s="8">
        <v>900</v>
      </c>
      <c r="F295" s="8">
        <v>900</v>
      </c>
      <c r="G295" s="8">
        <v>0</v>
      </c>
      <c r="H295" s="8">
        <v>0</v>
      </c>
      <c r="I295" s="8">
        <v>0</v>
      </c>
      <c r="J295" s="119"/>
      <c r="K295" s="119"/>
    </row>
    <row r="296" spans="1:11" ht="16.5" customHeight="1" outlineLevel="1" x14ac:dyDescent="0.25">
      <c r="A296" s="117"/>
      <c r="B296" s="118"/>
      <c r="C296" s="119"/>
      <c r="D296" s="59">
        <v>2023</v>
      </c>
      <c r="E296" s="8">
        <f t="shared" si="30"/>
        <v>900</v>
      </c>
      <c r="F296" s="8">
        <v>900</v>
      </c>
      <c r="G296" s="8">
        <v>0</v>
      </c>
      <c r="H296" s="8">
        <v>0</v>
      </c>
      <c r="I296" s="8">
        <v>0</v>
      </c>
      <c r="J296" s="119"/>
      <c r="K296" s="119"/>
    </row>
    <row r="297" spans="1:11" ht="16.5" customHeight="1" outlineLevel="1" x14ac:dyDescent="0.25">
      <c r="A297" s="117"/>
      <c r="B297" s="118"/>
      <c r="C297" s="119"/>
      <c r="D297" s="59">
        <v>2024</v>
      </c>
      <c r="E297" s="8">
        <f t="shared" si="30"/>
        <v>0</v>
      </c>
      <c r="F297" s="8">
        <v>0</v>
      </c>
      <c r="G297" s="8">
        <v>0</v>
      </c>
      <c r="H297" s="8">
        <v>0</v>
      </c>
      <c r="I297" s="8">
        <v>0</v>
      </c>
      <c r="J297" s="119"/>
      <c r="K297" s="119"/>
    </row>
    <row r="298" spans="1:11" ht="16.5" customHeight="1" outlineLevel="1" x14ac:dyDescent="0.25">
      <c r="A298" s="117"/>
      <c r="B298" s="118"/>
      <c r="C298" s="119"/>
      <c r="D298" s="59">
        <v>2025</v>
      </c>
      <c r="E298" s="8">
        <f t="shared" si="30"/>
        <v>0</v>
      </c>
      <c r="F298" s="8">
        <v>0</v>
      </c>
      <c r="G298" s="8">
        <v>0</v>
      </c>
      <c r="H298" s="8">
        <v>0</v>
      </c>
      <c r="I298" s="8">
        <v>0</v>
      </c>
      <c r="J298" s="119"/>
      <c r="K298" s="119"/>
    </row>
    <row r="299" spans="1:11" ht="16.5" customHeight="1" outlineLevel="1" x14ac:dyDescent="0.25">
      <c r="A299" s="108" t="s">
        <v>852</v>
      </c>
      <c r="B299" s="108" t="s">
        <v>1142</v>
      </c>
      <c r="C299" s="111" t="s">
        <v>1777</v>
      </c>
      <c r="D299" s="59" t="s">
        <v>8</v>
      </c>
      <c r="E299" s="8">
        <f t="shared" si="30"/>
        <v>127938.14416000001</v>
      </c>
      <c r="F299" s="8">
        <f>SUM(F300:F304)</f>
        <v>127938.14416000001</v>
      </c>
      <c r="G299" s="8">
        <f>SUM(G300:G304)</f>
        <v>0</v>
      </c>
      <c r="H299" s="8">
        <f>SUM(H300:H304)</f>
        <v>0</v>
      </c>
      <c r="I299" s="8">
        <f>SUM(I300:I304)</f>
        <v>0</v>
      </c>
      <c r="J299" s="108" t="s">
        <v>1142</v>
      </c>
      <c r="K299" s="108" t="s">
        <v>597</v>
      </c>
    </row>
    <row r="300" spans="1:11" ht="16.5" customHeight="1" outlineLevel="1" x14ac:dyDescent="0.25">
      <c r="A300" s="109"/>
      <c r="B300" s="109"/>
      <c r="C300" s="112"/>
      <c r="D300" s="59">
        <v>2021</v>
      </c>
      <c r="E300" s="8">
        <f t="shared" si="30"/>
        <v>0</v>
      </c>
      <c r="F300" s="8">
        <v>0</v>
      </c>
      <c r="G300" s="8">
        <v>0</v>
      </c>
      <c r="H300" s="8">
        <v>0</v>
      </c>
      <c r="I300" s="8">
        <v>0</v>
      </c>
      <c r="J300" s="109"/>
      <c r="K300" s="109"/>
    </row>
    <row r="301" spans="1:11" ht="16.5" customHeight="1" outlineLevel="1" x14ac:dyDescent="0.25">
      <c r="A301" s="109"/>
      <c r="B301" s="109"/>
      <c r="C301" s="112"/>
      <c r="D301" s="59">
        <v>2022</v>
      </c>
      <c r="E301" s="8">
        <f t="shared" si="30"/>
        <v>24779.228999999999</v>
      </c>
      <c r="F301" s="8">
        <v>24779.228999999999</v>
      </c>
      <c r="G301" s="8">
        <v>0</v>
      </c>
      <c r="H301" s="8">
        <v>0</v>
      </c>
      <c r="I301" s="8">
        <v>0</v>
      </c>
      <c r="J301" s="109"/>
      <c r="K301" s="109"/>
    </row>
    <row r="302" spans="1:11" ht="16.5" customHeight="1" outlineLevel="1" x14ac:dyDescent="0.25">
      <c r="A302" s="109"/>
      <c r="B302" s="109"/>
      <c r="C302" s="112"/>
      <c r="D302" s="59">
        <v>2023</v>
      </c>
      <c r="E302" s="8">
        <f t="shared" si="30"/>
        <v>35051.025000000001</v>
      </c>
      <c r="F302" s="8">
        <f>25184.8+5003.055+4863.17</f>
        <v>35051.025000000001</v>
      </c>
      <c r="G302" s="8">
        <v>0</v>
      </c>
      <c r="H302" s="8">
        <v>0</v>
      </c>
      <c r="I302" s="8">
        <v>0</v>
      </c>
      <c r="J302" s="109"/>
      <c r="K302" s="109"/>
    </row>
    <row r="303" spans="1:11" ht="16.5" customHeight="1" outlineLevel="1" x14ac:dyDescent="0.25">
      <c r="A303" s="109"/>
      <c r="B303" s="109"/>
      <c r="C303" s="112"/>
      <c r="D303" s="59">
        <v>2024</v>
      </c>
      <c r="E303" s="8">
        <f t="shared" si="30"/>
        <v>39294.720789999999</v>
      </c>
      <c r="F303" s="32">
        <v>39294.720789999999</v>
      </c>
      <c r="G303" s="8">
        <v>0</v>
      </c>
      <c r="H303" s="8">
        <v>0</v>
      </c>
      <c r="I303" s="8">
        <v>0</v>
      </c>
      <c r="J303" s="109"/>
      <c r="K303" s="109"/>
    </row>
    <row r="304" spans="1:11" ht="16.5" customHeight="1" outlineLevel="1" x14ac:dyDescent="0.25">
      <c r="A304" s="109"/>
      <c r="B304" s="109"/>
      <c r="C304" s="112"/>
      <c r="D304" s="59">
        <v>2025</v>
      </c>
      <c r="E304" s="8">
        <f t="shared" si="30"/>
        <v>28813.16937</v>
      </c>
      <c r="F304" s="32">
        <v>28813.16937</v>
      </c>
      <c r="G304" s="8">
        <v>0</v>
      </c>
      <c r="H304" s="8">
        <v>0</v>
      </c>
      <c r="I304" s="8">
        <v>0</v>
      </c>
      <c r="J304" s="109"/>
      <c r="K304" s="109"/>
    </row>
    <row r="305" spans="1:11" ht="16.5" customHeight="1" outlineLevel="1" x14ac:dyDescent="0.25">
      <c r="A305" s="110"/>
      <c r="B305" s="110"/>
      <c r="C305" s="113"/>
      <c r="D305" s="40">
        <v>2026</v>
      </c>
      <c r="E305" s="41"/>
      <c r="F305" s="41"/>
      <c r="G305" s="41"/>
      <c r="H305" s="41"/>
      <c r="I305" s="41"/>
      <c r="J305" s="110"/>
      <c r="K305" s="110"/>
    </row>
    <row r="306" spans="1:11" ht="16.5" customHeight="1" outlineLevel="1" x14ac:dyDescent="0.25">
      <c r="A306" s="117" t="s">
        <v>1143</v>
      </c>
      <c r="B306" s="118" t="s">
        <v>1144</v>
      </c>
      <c r="C306" s="119">
        <v>2022</v>
      </c>
      <c r="D306" s="59" t="s">
        <v>8</v>
      </c>
      <c r="E306" s="8">
        <f t="shared" si="30"/>
        <v>0</v>
      </c>
      <c r="F306" s="8">
        <f>SUM(F307:F311)</f>
        <v>0</v>
      </c>
      <c r="G306" s="8">
        <f>SUM(G307:G311)</f>
        <v>0</v>
      </c>
      <c r="H306" s="8">
        <f>SUM(H307:H311)</f>
        <v>0</v>
      </c>
      <c r="I306" s="8">
        <f>SUM(I307:I311)</f>
        <v>0</v>
      </c>
      <c r="J306" s="119" t="s">
        <v>1145</v>
      </c>
      <c r="K306" s="119" t="s">
        <v>1146</v>
      </c>
    </row>
    <row r="307" spans="1:11" ht="16.5" customHeight="1" outlineLevel="1" x14ac:dyDescent="0.25">
      <c r="A307" s="117"/>
      <c r="B307" s="118"/>
      <c r="C307" s="119"/>
      <c r="D307" s="59">
        <v>2021</v>
      </c>
      <c r="E307" s="8">
        <f t="shared" si="30"/>
        <v>0</v>
      </c>
      <c r="F307" s="8">
        <v>0</v>
      </c>
      <c r="G307" s="8">
        <v>0</v>
      </c>
      <c r="H307" s="8">
        <v>0</v>
      </c>
      <c r="I307" s="8">
        <v>0</v>
      </c>
      <c r="J307" s="119"/>
      <c r="K307" s="119"/>
    </row>
    <row r="308" spans="1:11" ht="16.5" customHeight="1" outlineLevel="1" x14ac:dyDescent="0.25">
      <c r="A308" s="117"/>
      <c r="B308" s="118"/>
      <c r="C308" s="119"/>
      <c r="D308" s="59">
        <v>2022</v>
      </c>
      <c r="E308" s="8">
        <f t="shared" si="30"/>
        <v>0</v>
      </c>
      <c r="F308" s="8">
        <v>0</v>
      </c>
      <c r="G308" s="8">
        <v>0</v>
      </c>
      <c r="H308" s="8">
        <v>0</v>
      </c>
      <c r="I308" s="8">
        <v>0</v>
      </c>
      <c r="J308" s="119"/>
      <c r="K308" s="119"/>
    </row>
    <row r="309" spans="1:11" ht="16.5" customHeight="1" outlineLevel="1" x14ac:dyDescent="0.25">
      <c r="A309" s="117"/>
      <c r="B309" s="118"/>
      <c r="C309" s="119"/>
      <c r="D309" s="59">
        <v>2023</v>
      </c>
      <c r="E309" s="8">
        <f t="shared" si="30"/>
        <v>0</v>
      </c>
      <c r="F309" s="8">
        <v>0</v>
      </c>
      <c r="G309" s="8">
        <v>0</v>
      </c>
      <c r="H309" s="8">
        <v>0</v>
      </c>
      <c r="I309" s="8">
        <v>0</v>
      </c>
      <c r="J309" s="119"/>
      <c r="K309" s="119"/>
    </row>
    <row r="310" spans="1:11" ht="16.5" customHeight="1" outlineLevel="1" x14ac:dyDescent="0.25">
      <c r="A310" s="117"/>
      <c r="B310" s="118"/>
      <c r="C310" s="119"/>
      <c r="D310" s="59">
        <v>2024</v>
      </c>
      <c r="E310" s="8">
        <f t="shared" si="30"/>
        <v>0</v>
      </c>
      <c r="F310" s="8">
        <v>0</v>
      </c>
      <c r="G310" s="8">
        <v>0</v>
      </c>
      <c r="H310" s="8">
        <v>0</v>
      </c>
      <c r="I310" s="8">
        <v>0</v>
      </c>
      <c r="J310" s="119"/>
      <c r="K310" s="119"/>
    </row>
    <row r="311" spans="1:11" ht="16.5" customHeight="1" outlineLevel="1" x14ac:dyDescent="0.25">
      <c r="A311" s="117"/>
      <c r="B311" s="118"/>
      <c r="C311" s="119"/>
      <c r="D311" s="59">
        <v>2025</v>
      </c>
      <c r="E311" s="8">
        <f t="shared" si="30"/>
        <v>0</v>
      </c>
      <c r="F311" s="8">
        <v>0</v>
      </c>
      <c r="G311" s="8">
        <v>0</v>
      </c>
      <c r="H311" s="8">
        <v>0</v>
      </c>
      <c r="I311" s="8">
        <v>0</v>
      </c>
      <c r="J311" s="119"/>
      <c r="K311" s="119"/>
    </row>
    <row r="312" spans="1:11" ht="15.75" customHeight="1" outlineLevel="1" x14ac:dyDescent="0.25">
      <c r="A312" s="117" t="s">
        <v>1147</v>
      </c>
      <c r="B312" s="118" t="s">
        <v>1148</v>
      </c>
      <c r="C312" s="119">
        <v>2022</v>
      </c>
      <c r="D312" s="59" t="s">
        <v>8</v>
      </c>
      <c r="E312" s="8">
        <f t="shared" si="30"/>
        <v>17927.877</v>
      </c>
      <c r="F312" s="8">
        <f>SUM(F313:F317)</f>
        <v>17927.877</v>
      </c>
      <c r="G312" s="8">
        <f>SUM(G313:G317)</f>
        <v>0</v>
      </c>
      <c r="H312" s="8">
        <f>SUM(H313:H317)</f>
        <v>0</v>
      </c>
      <c r="I312" s="8">
        <f>SUM(I313:I317)</f>
        <v>0</v>
      </c>
      <c r="J312" s="119" t="s">
        <v>1149</v>
      </c>
      <c r="K312" s="119" t="s">
        <v>1150</v>
      </c>
    </row>
    <row r="313" spans="1:11" outlineLevel="1" x14ac:dyDescent="0.25">
      <c r="A313" s="117"/>
      <c r="B313" s="118"/>
      <c r="C313" s="119"/>
      <c r="D313" s="59">
        <v>2021</v>
      </c>
      <c r="E313" s="8">
        <f t="shared" si="30"/>
        <v>0</v>
      </c>
      <c r="F313" s="8">
        <v>0</v>
      </c>
      <c r="G313" s="8">
        <v>0</v>
      </c>
      <c r="H313" s="8">
        <v>0</v>
      </c>
      <c r="I313" s="8">
        <v>0</v>
      </c>
      <c r="J313" s="119"/>
      <c r="K313" s="119"/>
    </row>
    <row r="314" spans="1:11" outlineLevel="1" x14ac:dyDescent="0.25">
      <c r="A314" s="117"/>
      <c r="B314" s="118"/>
      <c r="C314" s="119"/>
      <c r="D314" s="59">
        <v>2022</v>
      </c>
      <c r="E314" s="8">
        <f t="shared" si="30"/>
        <v>17927.877</v>
      </c>
      <c r="F314" s="8">
        <v>17927.877</v>
      </c>
      <c r="G314" s="8">
        <v>0</v>
      </c>
      <c r="H314" s="8">
        <v>0</v>
      </c>
      <c r="I314" s="8">
        <v>0</v>
      </c>
      <c r="J314" s="119"/>
      <c r="K314" s="119"/>
    </row>
    <row r="315" spans="1:11" outlineLevel="1" x14ac:dyDescent="0.25">
      <c r="A315" s="117"/>
      <c r="B315" s="118"/>
      <c r="C315" s="119"/>
      <c r="D315" s="59">
        <v>2023</v>
      </c>
      <c r="E315" s="8">
        <f t="shared" si="30"/>
        <v>0</v>
      </c>
      <c r="F315" s="8">
        <v>0</v>
      </c>
      <c r="G315" s="8">
        <v>0</v>
      </c>
      <c r="H315" s="8">
        <v>0</v>
      </c>
      <c r="I315" s="8">
        <v>0</v>
      </c>
      <c r="J315" s="119"/>
      <c r="K315" s="119"/>
    </row>
    <row r="316" spans="1:11" outlineLevel="1" x14ac:dyDescent="0.25">
      <c r="A316" s="117"/>
      <c r="B316" s="118"/>
      <c r="C316" s="119"/>
      <c r="D316" s="59">
        <v>2024</v>
      </c>
      <c r="E316" s="8">
        <f t="shared" si="30"/>
        <v>0</v>
      </c>
      <c r="F316" s="8">
        <v>0</v>
      </c>
      <c r="G316" s="8">
        <v>0</v>
      </c>
      <c r="H316" s="8">
        <v>0</v>
      </c>
      <c r="I316" s="8">
        <v>0</v>
      </c>
      <c r="J316" s="119"/>
      <c r="K316" s="119"/>
    </row>
    <row r="317" spans="1:11" outlineLevel="1" x14ac:dyDescent="0.25">
      <c r="A317" s="117"/>
      <c r="B317" s="118"/>
      <c r="C317" s="119"/>
      <c r="D317" s="59">
        <v>2025</v>
      </c>
      <c r="E317" s="8">
        <f t="shared" si="30"/>
        <v>0</v>
      </c>
      <c r="F317" s="8">
        <v>0</v>
      </c>
      <c r="G317" s="8">
        <v>0</v>
      </c>
      <c r="H317" s="8">
        <v>0</v>
      </c>
      <c r="I317" s="8">
        <v>0</v>
      </c>
      <c r="J317" s="119"/>
      <c r="K317" s="119"/>
    </row>
    <row r="318" spans="1:11" ht="15.75" customHeight="1" outlineLevel="1" x14ac:dyDescent="0.25">
      <c r="A318" s="117" t="s">
        <v>1151</v>
      </c>
      <c r="B318" s="118" t="s">
        <v>1152</v>
      </c>
      <c r="C318" s="119">
        <v>2022</v>
      </c>
      <c r="D318" s="59" t="s">
        <v>8</v>
      </c>
      <c r="E318" s="8">
        <f t="shared" si="30"/>
        <v>82491</v>
      </c>
      <c r="F318" s="8">
        <f>SUM(F319:F323)</f>
        <v>82491</v>
      </c>
      <c r="G318" s="8">
        <f>SUM(G319:G323)</f>
        <v>0</v>
      </c>
      <c r="H318" s="8">
        <f>SUM(H319:H323)</f>
        <v>0</v>
      </c>
      <c r="I318" s="8">
        <f>SUM(I319:I323)</f>
        <v>0</v>
      </c>
      <c r="J318" s="119" t="s">
        <v>1153</v>
      </c>
      <c r="K318" s="119" t="s">
        <v>597</v>
      </c>
    </row>
    <row r="319" spans="1:11" ht="15" customHeight="1" outlineLevel="1" x14ac:dyDescent="0.25">
      <c r="A319" s="117"/>
      <c r="B319" s="118"/>
      <c r="C319" s="119"/>
      <c r="D319" s="59">
        <v>2021</v>
      </c>
      <c r="E319" s="8">
        <f t="shared" si="30"/>
        <v>0</v>
      </c>
      <c r="F319" s="8">
        <v>0</v>
      </c>
      <c r="G319" s="8">
        <v>0</v>
      </c>
      <c r="H319" s="8">
        <v>0</v>
      </c>
      <c r="I319" s="8">
        <v>0</v>
      </c>
      <c r="J319" s="119"/>
      <c r="K319" s="119"/>
    </row>
    <row r="320" spans="1:11" ht="15" customHeight="1" outlineLevel="1" x14ac:dyDescent="0.25">
      <c r="A320" s="117"/>
      <c r="B320" s="118"/>
      <c r="C320" s="119"/>
      <c r="D320" s="59">
        <v>2022</v>
      </c>
      <c r="E320" s="8">
        <f t="shared" si="30"/>
        <v>82491</v>
      </c>
      <c r="F320" s="8">
        <f>56859.756+25631.244</f>
        <v>82491</v>
      </c>
      <c r="G320" s="8">
        <v>0</v>
      </c>
      <c r="H320" s="8">
        <v>0</v>
      </c>
      <c r="I320" s="8">
        <v>0</v>
      </c>
      <c r="J320" s="119"/>
      <c r="K320" s="119"/>
    </row>
    <row r="321" spans="1:11" ht="15" customHeight="1" outlineLevel="1" x14ac:dyDescent="0.25">
      <c r="A321" s="117"/>
      <c r="B321" s="118"/>
      <c r="C321" s="119"/>
      <c r="D321" s="59">
        <v>2023</v>
      </c>
      <c r="E321" s="8">
        <f t="shared" si="30"/>
        <v>0</v>
      </c>
      <c r="F321" s="8">
        <v>0</v>
      </c>
      <c r="G321" s="8">
        <v>0</v>
      </c>
      <c r="H321" s="8">
        <v>0</v>
      </c>
      <c r="I321" s="8">
        <v>0</v>
      </c>
      <c r="J321" s="119"/>
      <c r="K321" s="119"/>
    </row>
    <row r="322" spans="1:11" ht="15" customHeight="1" outlineLevel="1" x14ac:dyDescent="0.25">
      <c r="A322" s="117"/>
      <c r="B322" s="118"/>
      <c r="C322" s="119"/>
      <c r="D322" s="59">
        <v>2024</v>
      </c>
      <c r="E322" s="8">
        <f t="shared" si="30"/>
        <v>0</v>
      </c>
      <c r="F322" s="8">
        <v>0</v>
      </c>
      <c r="G322" s="8">
        <v>0</v>
      </c>
      <c r="H322" s="8">
        <v>0</v>
      </c>
      <c r="I322" s="8">
        <v>0</v>
      </c>
      <c r="J322" s="119"/>
      <c r="K322" s="119"/>
    </row>
    <row r="323" spans="1:11" ht="15" customHeight="1" outlineLevel="1" x14ac:dyDescent="0.25">
      <c r="A323" s="117"/>
      <c r="B323" s="118"/>
      <c r="C323" s="119"/>
      <c r="D323" s="59">
        <v>2025</v>
      </c>
      <c r="E323" s="8">
        <f t="shared" si="30"/>
        <v>0</v>
      </c>
      <c r="F323" s="8">
        <v>0</v>
      </c>
      <c r="G323" s="8">
        <v>0</v>
      </c>
      <c r="H323" s="8">
        <v>0</v>
      </c>
      <c r="I323" s="8">
        <v>0</v>
      </c>
      <c r="J323" s="119"/>
      <c r="K323" s="119"/>
    </row>
    <row r="324" spans="1:11" outlineLevel="1" x14ac:dyDescent="0.25">
      <c r="A324" s="117" t="s">
        <v>1154</v>
      </c>
      <c r="B324" s="118" t="s">
        <v>1155</v>
      </c>
      <c r="C324" s="119">
        <v>2022</v>
      </c>
      <c r="D324" s="59" t="s">
        <v>8</v>
      </c>
      <c r="E324" s="8">
        <f t="shared" si="30"/>
        <v>0</v>
      </c>
      <c r="F324" s="8">
        <f>SUM(F325:F329)</f>
        <v>0</v>
      </c>
      <c r="G324" s="8">
        <f>SUM(G325:G329)</f>
        <v>0</v>
      </c>
      <c r="H324" s="8">
        <f>SUM(H325:H329)</f>
        <v>0</v>
      </c>
      <c r="I324" s="8">
        <f>SUM(I325:I329)</f>
        <v>0</v>
      </c>
      <c r="J324" s="119" t="s">
        <v>1156</v>
      </c>
      <c r="K324" s="119" t="s">
        <v>597</v>
      </c>
    </row>
    <row r="325" spans="1:11" outlineLevel="1" x14ac:dyDescent="0.25">
      <c r="A325" s="117"/>
      <c r="B325" s="118"/>
      <c r="C325" s="119"/>
      <c r="D325" s="59">
        <v>2021</v>
      </c>
      <c r="E325" s="8">
        <f t="shared" si="30"/>
        <v>0</v>
      </c>
      <c r="F325" s="8">
        <v>0</v>
      </c>
      <c r="G325" s="8">
        <v>0</v>
      </c>
      <c r="H325" s="8">
        <v>0</v>
      </c>
      <c r="I325" s="8">
        <v>0</v>
      </c>
      <c r="J325" s="119"/>
      <c r="K325" s="119"/>
    </row>
    <row r="326" spans="1:11" outlineLevel="1" x14ac:dyDescent="0.25">
      <c r="A326" s="117"/>
      <c r="B326" s="118"/>
      <c r="C326" s="119"/>
      <c r="D326" s="59">
        <v>2022</v>
      </c>
      <c r="E326" s="8">
        <f t="shared" si="30"/>
        <v>0</v>
      </c>
      <c r="F326" s="8">
        <v>0</v>
      </c>
      <c r="G326" s="8">
        <v>0</v>
      </c>
      <c r="H326" s="8">
        <v>0</v>
      </c>
      <c r="I326" s="8">
        <v>0</v>
      </c>
      <c r="J326" s="119"/>
      <c r="K326" s="119"/>
    </row>
    <row r="327" spans="1:11" outlineLevel="1" x14ac:dyDescent="0.25">
      <c r="A327" s="117"/>
      <c r="B327" s="118"/>
      <c r="C327" s="119"/>
      <c r="D327" s="59">
        <v>2023</v>
      </c>
      <c r="E327" s="8">
        <f t="shared" si="30"/>
        <v>0</v>
      </c>
      <c r="F327" s="8">
        <v>0</v>
      </c>
      <c r="G327" s="8">
        <v>0</v>
      </c>
      <c r="H327" s="8">
        <v>0</v>
      </c>
      <c r="I327" s="8">
        <v>0</v>
      </c>
      <c r="J327" s="119"/>
      <c r="K327" s="119"/>
    </row>
    <row r="328" spans="1:11" outlineLevel="1" x14ac:dyDescent="0.25">
      <c r="A328" s="117"/>
      <c r="B328" s="118"/>
      <c r="C328" s="119"/>
      <c r="D328" s="59">
        <v>2024</v>
      </c>
      <c r="E328" s="8">
        <f t="shared" si="30"/>
        <v>0</v>
      </c>
      <c r="F328" s="8">
        <v>0</v>
      </c>
      <c r="G328" s="8">
        <v>0</v>
      </c>
      <c r="H328" s="8">
        <v>0</v>
      </c>
      <c r="I328" s="8">
        <v>0</v>
      </c>
      <c r="J328" s="119"/>
      <c r="K328" s="119"/>
    </row>
    <row r="329" spans="1:11" outlineLevel="1" x14ac:dyDescent="0.25">
      <c r="A329" s="117"/>
      <c r="B329" s="118"/>
      <c r="C329" s="119"/>
      <c r="D329" s="59">
        <v>2025</v>
      </c>
      <c r="E329" s="8">
        <f t="shared" si="30"/>
        <v>0</v>
      </c>
      <c r="F329" s="8">
        <v>0</v>
      </c>
      <c r="G329" s="8">
        <v>0</v>
      </c>
      <c r="H329" s="8">
        <v>0</v>
      </c>
      <c r="I329" s="8">
        <v>0</v>
      </c>
      <c r="J329" s="119"/>
      <c r="K329" s="119"/>
    </row>
    <row r="330" spans="1:11" outlineLevel="1" x14ac:dyDescent="0.25">
      <c r="A330" s="117" t="s">
        <v>1157</v>
      </c>
      <c r="B330" s="118" t="s">
        <v>1158</v>
      </c>
      <c r="C330" s="119">
        <v>2022</v>
      </c>
      <c r="D330" s="59" t="s">
        <v>8</v>
      </c>
      <c r="E330" s="8">
        <f t="shared" si="30"/>
        <v>8470.5329999999994</v>
      </c>
      <c r="F330" s="8">
        <f>SUM(F331:F335)</f>
        <v>8470.5329999999994</v>
      </c>
      <c r="G330" s="8">
        <f>SUM(G331:G335)</f>
        <v>0</v>
      </c>
      <c r="H330" s="8">
        <f>SUM(H331:H335)</f>
        <v>0</v>
      </c>
      <c r="I330" s="8">
        <f>SUM(I331:I335)</f>
        <v>0</v>
      </c>
      <c r="J330" s="119" t="s">
        <v>1159</v>
      </c>
      <c r="K330" s="119" t="s">
        <v>597</v>
      </c>
    </row>
    <row r="331" spans="1:11" outlineLevel="1" x14ac:dyDescent="0.25">
      <c r="A331" s="117"/>
      <c r="B331" s="118"/>
      <c r="C331" s="119"/>
      <c r="D331" s="59">
        <v>2021</v>
      </c>
      <c r="E331" s="8">
        <f t="shared" si="30"/>
        <v>0</v>
      </c>
      <c r="F331" s="8">
        <v>0</v>
      </c>
      <c r="G331" s="8">
        <v>0</v>
      </c>
      <c r="H331" s="8">
        <v>0</v>
      </c>
      <c r="I331" s="8">
        <v>0</v>
      </c>
      <c r="J331" s="119"/>
      <c r="K331" s="119"/>
    </row>
    <row r="332" spans="1:11" outlineLevel="1" x14ac:dyDescent="0.25">
      <c r="A332" s="117"/>
      <c r="B332" s="118"/>
      <c r="C332" s="119"/>
      <c r="D332" s="59">
        <v>2022</v>
      </c>
      <c r="E332" s="8">
        <f t="shared" si="30"/>
        <v>3486.1039999999998</v>
      </c>
      <c r="F332" s="8">
        <f>1682.37+32.07+1771.664</f>
        <v>3486.1039999999998</v>
      </c>
      <c r="G332" s="8">
        <v>0</v>
      </c>
      <c r="H332" s="8">
        <v>0</v>
      </c>
      <c r="I332" s="8">
        <v>0</v>
      </c>
      <c r="J332" s="119"/>
      <c r="K332" s="119"/>
    </row>
    <row r="333" spans="1:11" outlineLevel="1" x14ac:dyDescent="0.25">
      <c r="A333" s="117"/>
      <c r="B333" s="118"/>
      <c r="C333" s="119"/>
      <c r="D333" s="59">
        <v>2023</v>
      </c>
      <c r="E333" s="8">
        <f t="shared" si="30"/>
        <v>4984.4290000000001</v>
      </c>
      <c r="F333" s="8">
        <f>3628.395+1356.034</f>
        <v>4984.4290000000001</v>
      </c>
      <c r="G333" s="8">
        <v>0</v>
      </c>
      <c r="H333" s="8">
        <v>0</v>
      </c>
      <c r="I333" s="8">
        <v>0</v>
      </c>
      <c r="J333" s="119"/>
      <c r="K333" s="119"/>
    </row>
    <row r="334" spans="1:11" outlineLevel="1" x14ac:dyDescent="0.25">
      <c r="A334" s="117"/>
      <c r="B334" s="118"/>
      <c r="C334" s="119"/>
      <c r="D334" s="59">
        <v>2024</v>
      </c>
      <c r="E334" s="8">
        <f t="shared" si="30"/>
        <v>0</v>
      </c>
      <c r="F334" s="8">
        <v>0</v>
      </c>
      <c r="G334" s="8">
        <v>0</v>
      </c>
      <c r="H334" s="8">
        <v>0</v>
      </c>
      <c r="I334" s="8">
        <v>0</v>
      </c>
      <c r="J334" s="119"/>
      <c r="K334" s="119"/>
    </row>
    <row r="335" spans="1:11" outlineLevel="1" x14ac:dyDescent="0.25">
      <c r="A335" s="117"/>
      <c r="B335" s="118"/>
      <c r="C335" s="119"/>
      <c r="D335" s="59">
        <v>2025</v>
      </c>
      <c r="E335" s="8">
        <f t="shared" si="30"/>
        <v>0</v>
      </c>
      <c r="F335" s="8">
        <v>0</v>
      </c>
      <c r="G335" s="8">
        <v>0</v>
      </c>
      <c r="H335" s="8">
        <v>0</v>
      </c>
      <c r="I335" s="8">
        <v>0</v>
      </c>
      <c r="J335" s="119"/>
      <c r="K335" s="119"/>
    </row>
    <row r="336" spans="1:11" ht="20.100000000000001" customHeight="1" outlineLevel="1" x14ac:dyDescent="0.25">
      <c r="A336" s="146" t="s">
        <v>1160</v>
      </c>
      <c r="B336" s="108" t="s">
        <v>1737</v>
      </c>
      <c r="C336" s="111" t="s">
        <v>828</v>
      </c>
      <c r="D336" s="59" t="s">
        <v>8</v>
      </c>
      <c r="E336" s="8">
        <f>SUM(E337:E341)</f>
        <v>20987.542999999998</v>
      </c>
      <c r="F336" s="8">
        <f>SUM(F337:F341)</f>
        <v>20987.542999999998</v>
      </c>
      <c r="G336" s="8">
        <f>SUM(G337:G341)</f>
        <v>0</v>
      </c>
      <c r="H336" s="8">
        <f>SUM(H337:H341)</f>
        <v>0</v>
      </c>
      <c r="I336" s="8">
        <f>SUM(I337:I341)</f>
        <v>0</v>
      </c>
      <c r="J336" s="108" t="s">
        <v>1161</v>
      </c>
      <c r="K336" s="108" t="s">
        <v>1162</v>
      </c>
    </row>
    <row r="337" spans="1:11" ht="20.100000000000001" customHeight="1" outlineLevel="1" x14ac:dyDescent="0.25">
      <c r="A337" s="147"/>
      <c r="B337" s="109"/>
      <c r="C337" s="112"/>
      <c r="D337" s="59">
        <v>2021</v>
      </c>
      <c r="E337" s="8">
        <f t="shared" ref="E337:E341" si="31">SUM(F337:I337)</f>
        <v>0</v>
      </c>
      <c r="F337" s="8">
        <v>0</v>
      </c>
      <c r="G337" s="8">
        <v>0</v>
      </c>
      <c r="H337" s="8">
        <v>0</v>
      </c>
      <c r="I337" s="8">
        <v>0</v>
      </c>
      <c r="J337" s="109"/>
      <c r="K337" s="109"/>
    </row>
    <row r="338" spans="1:11" ht="20.100000000000001" customHeight="1" outlineLevel="1" x14ac:dyDescent="0.25">
      <c r="A338" s="147"/>
      <c r="B338" s="109"/>
      <c r="C338" s="112"/>
      <c r="D338" s="59">
        <v>2022</v>
      </c>
      <c r="E338" s="8">
        <f t="shared" si="31"/>
        <v>0</v>
      </c>
      <c r="F338" s="8">
        <v>0</v>
      </c>
      <c r="G338" s="8">
        <v>0</v>
      </c>
      <c r="H338" s="8">
        <v>0</v>
      </c>
      <c r="I338" s="8">
        <v>0</v>
      </c>
      <c r="J338" s="109"/>
      <c r="K338" s="109"/>
    </row>
    <row r="339" spans="1:11" ht="20.100000000000001" customHeight="1" outlineLevel="1" x14ac:dyDescent="0.25">
      <c r="A339" s="147"/>
      <c r="B339" s="109"/>
      <c r="C339" s="112"/>
      <c r="D339" s="59">
        <v>2023</v>
      </c>
      <c r="E339" s="8">
        <f t="shared" si="31"/>
        <v>13037.137999999999</v>
      </c>
      <c r="F339" s="8">
        <f>16200.622-1807.45-1356.034</f>
        <v>13037.137999999999</v>
      </c>
      <c r="G339" s="8">
        <v>0</v>
      </c>
      <c r="H339" s="8">
        <v>0</v>
      </c>
      <c r="I339" s="8">
        <v>0</v>
      </c>
      <c r="J339" s="109"/>
      <c r="K339" s="109"/>
    </row>
    <row r="340" spans="1:11" ht="20.100000000000001" customHeight="1" outlineLevel="1" x14ac:dyDescent="0.25">
      <c r="A340" s="147"/>
      <c r="B340" s="109"/>
      <c r="C340" s="112"/>
      <c r="D340" s="59">
        <v>2024</v>
      </c>
      <c r="E340" s="8">
        <f t="shared" si="31"/>
        <v>7950.4049999999997</v>
      </c>
      <c r="F340" s="32">
        <v>7950.4049999999997</v>
      </c>
      <c r="G340" s="8">
        <v>0</v>
      </c>
      <c r="H340" s="8">
        <v>0</v>
      </c>
      <c r="I340" s="8">
        <v>0</v>
      </c>
      <c r="J340" s="109"/>
      <c r="K340" s="109"/>
    </row>
    <row r="341" spans="1:11" ht="20.100000000000001" customHeight="1" outlineLevel="1" x14ac:dyDescent="0.25">
      <c r="A341" s="147"/>
      <c r="B341" s="109"/>
      <c r="C341" s="112"/>
      <c r="D341" s="59">
        <v>2025</v>
      </c>
      <c r="E341" s="8">
        <f t="shared" si="31"/>
        <v>0</v>
      </c>
      <c r="F341" s="8">
        <v>0</v>
      </c>
      <c r="G341" s="8">
        <v>0</v>
      </c>
      <c r="H341" s="8">
        <v>0</v>
      </c>
      <c r="I341" s="8">
        <v>0</v>
      </c>
      <c r="J341" s="109"/>
      <c r="K341" s="109"/>
    </row>
    <row r="342" spans="1:11" ht="20.100000000000001" customHeight="1" outlineLevel="1" x14ac:dyDescent="0.25">
      <c r="A342" s="148"/>
      <c r="B342" s="110"/>
      <c r="C342" s="113"/>
      <c r="D342" s="40">
        <v>2026</v>
      </c>
      <c r="E342" s="41"/>
      <c r="F342" s="41"/>
      <c r="G342" s="41"/>
      <c r="H342" s="41"/>
      <c r="I342" s="41"/>
      <c r="J342" s="110"/>
      <c r="K342" s="110"/>
    </row>
    <row r="343" spans="1:11" ht="20.100000000000001" customHeight="1" outlineLevel="1" x14ac:dyDescent="0.25">
      <c r="A343" s="145" t="s">
        <v>1769</v>
      </c>
      <c r="B343" s="144" t="s">
        <v>1770</v>
      </c>
      <c r="C343" s="119" t="s">
        <v>14</v>
      </c>
      <c r="D343" s="59" t="s">
        <v>8</v>
      </c>
      <c r="E343" s="8">
        <f>SUM(E344:E348)</f>
        <v>80000</v>
      </c>
      <c r="F343" s="8">
        <f>SUM(F344:F348)</f>
        <v>80000</v>
      </c>
      <c r="G343" s="8">
        <f>SUM(G344:G348)</f>
        <v>0</v>
      </c>
      <c r="H343" s="8">
        <f>SUM(H344:H348)</f>
        <v>0</v>
      </c>
      <c r="I343" s="8">
        <f>SUM(I344:I348)</f>
        <v>0</v>
      </c>
      <c r="J343" s="119" t="s">
        <v>1771</v>
      </c>
      <c r="K343" s="119" t="s">
        <v>1162</v>
      </c>
    </row>
    <row r="344" spans="1:11" ht="20.100000000000001" customHeight="1" outlineLevel="1" x14ac:dyDescent="0.25">
      <c r="A344" s="145"/>
      <c r="B344" s="144"/>
      <c r="C344" s="119"/>
      <c r="D344" s="59">
        <v>2021</v>
      </c>
      <c r="E344" s="8">
        <f t="shared" ref="E344:E348" si="32">SUM(F344:I344)</f>
        <v>0</v>
      </c>
      <c r="F344" s="8">
        <v>0</v>
      </c>
      <c r="G344" s="8">
        <v>0</v>
      </c>
      <c r="H344" s="8">
        <v>0</v>
      </c>
      <c r="I344" s="8">
        <v>0</v>
      </c>
      <c r="J344" s="119"/>
      <c r="K344" s="119"/>
    </row>
    <row r="345" spans="1:11" ht="20.100000000000001" customHeight="1" outlineLevel="1" x14ac:dyDescent="0.25">
      <c r="A345" s="145"/>
      <c r="B345" s="144"/>
      <c r="C345" s="119"/>
      <c r="D345" s="59">
        <v>2022</v>
      </c>
      <c r="E345" s="8">
        <f t="shared" si="32"/>
        <v>0</v>
      </c>
      <c r="F345" s="8">
        <v>0</v>
      </c>
      <c r="G345" s="8">
        <v>0</v>
      </c>
      <c r="H345" s="8">
        <v>0</v>
      </c>
      <c r="I345" s="8">
        <v>0</v>
      </c>
      <c r="J345" s="119"/>
      <c r="K345" s="119"/>
    </row>
    <row r="346" spans="1:11" ht="20.100000000000001" customHeight="1" outlineLevel="1" x14ac:dyDescent="0.25">
      <c r="A346" s="145"/>
      <c r="B346" s="144"/>
      <c r="C346" s="119"/>
      <c r="D346" s="59">
        <v>2023</v>
      </c>
      <c r="E346" s="8">
        <f t="shared" si="32"/>
        <v>0</v>
      </c>
      <c r="F346" s="12">
        <v>0</v>
      </c>
      <c r="G346" s="8">
        <v>0</v>
      </c>
      <c r="H346" s="8">
        <v>0</v>
      </c>
      <c r="I346" s="8">
        <v>0</v>
      </c>
      <c r="J346" s="119"/>
      <c r="K346" s="119"/>
    </row>
    <row r="347" spans="1:11" ht="20.100000000000001" customHeight="1" outlineLevel="1" x14ac:dyDescent="0.25">
      <c r="A347" s="145"/>
      <c r="B347" s="144"/>
      <c r="C347" s="119"/>
      <c r="D347" s="59">
        <v>2024</v>
      </c>
      <c r="E347" s="8">
        <f t="shared" si="32"/>
        <v>80000</v>
      </c>
      <c r="F347" s="32">
        <v>80000</v>
      </c>
      <c r="G347" s="8">
        <v>0</v>
      </c>
      <c r="H347" s="8">
        <v>0</v>
      </c>
      <c r="I347" s="8">
        <v>0</v>
      </c>
      <c r="J347" s="119"/>
      <c r="K347" s="119"/>
    </row>
    <row r="348" spans="1:11" ht="20.100000000000001" customHeight="1" outlineLevel="1" x14ac:dyDescent="0.25">
      <c r="A348" s="145"/>
      <c r="B348" s="144"/>
      <c r="C348" s="119"/>
      <c r="D348" s="59">
        <v>2025</v>
      </c>
      <c r="E348" s="8">
        <f t="shared" si="32"/>
        <v>0</v>
      </c>
      <c r="F348" s="8">
        <v>0</v>
      </c>
      <c r="G348" s="8">
        <v>0</v>
      </c>
      <c r="H348" s="8">
        <v>0</v>
      </c>
      <c r="I348" s="8">
        <v>0</v>
      </c>
      <c r="J348" s="119"/>
      <c r="K348" s="119"/>
    </row>
    <row r="349" spans="1:11" ht="36.75" customHeight="1" outlineLevel="1" x14ac:dyDescent="0.25">
      <c r="A349" s="108" t="s">
        <v>78</v>
      </c>
      <c r="B349" s="108" t="s">
        <v>538</v>
      </c>
      <c r="C349" s="111" t="s">
        <v>828</v>
      </c>
      <c r="D349" s="59" t="s">
        <v>8</v>
      </c>
      <c r="E349" s="8">
        <f t="shared" si="30"/>
        <v>316517.82354000001</v>
      </c>
      <c r="F349" s="8">
        <f>SUM(F350:F354)</f>
        <v>226200</v>
      </c>
      <c r="G349" s="8">
        <f>SUM(G350:G354)</f>
        <v>0</v>
      </c>
      <c r="H349" s="8">
        <f>SUM(H350:H354)</f>
        <v>90317.823539999998</v>
      </c>
      <c r="I349" s="8">
        <f>SUM(I350:I354)</f>
        <v>0</v>
      </c>
      <c r="J349" s="114" t="s">
        <v>539</v>
      </c>
      <c r="K349" s="108" t="s">
        <v>515</v>
      </c>
    </row>
    <row r="350" spans="1:11" ht="30.75" customHeight="1" outlineLevel="1" x14ac:dyDescent="0.25">
      <c r="A350" s="109"/>
      <c r="B350" s="109"/>
      <c r="C350" s="112"/>
      <c r="D350" s="59">
        <v>2021</v>
      </c>
      <c r="E350" s="8">
        <f t="shared" si="30"/>
        <v>54717.700210000003</v>
      </c>
      <c r="F350" s="8">
        <f t="shared" ref="F350:I354" si="33">F364+F357</f>
        <v>41400</v>
      </c>
      <c r="G350" s="8">
        <f t="shared" si="33"/>
        <v>0</v>
      </c>
      <c r="H350" s="8">
        <f t="shared" si="33"/>
        <v>13317.700210000001</v>
      </c>
      <c r="I350" s="8">
        <f t="shared" si="33"/>
        <v>0</v>
      </c>
      <c r="J350" s="115"/>
      <c r="K350" s="109"/>
    </row>
    <row r="351" spans="1:11" ht="40.5" customHeight="1" outlineLevel="1" x14ac:dyDescent="0.25">
      <c r="A351" s="109"/>
      <c r="B351" s="109"/>
      <c r="C351" s="112"/>
      <c r="D351" s="59">
        <v>2022</v>
      </c>
      <c r="E351" s="8">
        <f t="shared" si="30"/>
        <v>67577.179999999993</v>
      </c>
      <c r="F351" s="8">
        <f t="shared" si="33"/>
        <v>47800</v>
      </c>
      <c r="G351" s="8">
        <f t="shared" si="33"/>
        <v>0</v>
      </c>
      <c r="H351" s="8">
        <f t="shared" si="33"/>
        <v>19777.18</v>
      </c>
      <c r="I351" s="8">
        <f t="shared" si="33"/>
        <v>0</v>
      </c>
      <c r="J351" s="115"/>
      <c r="K351" s="109"/>
    </row>
    <row r="352" spans="1:11" ht="35.25" customHeight="1" outlineLevel="1" x14ac:dyDescent="0.25">
      <c r="A352" s="109"/>
      <c r="B352" s="109"/>
      <c r="C352" s="112"/>
      <c r="D352" s="59">
        <v>2023</v>
      </c>
      <c r="E352" s="8">
        <f t="shared" si="30"/>
        <v>67577.23</v>
      </c>
      <c r="F352" s="8">
        <f t="shared" si="33"/>
        <v>47800</v>
      </c>
      <c r="G352" s="8">
        <f t="shared" si="33"/>
        <v>0</v>
      </c>
      <c r="H352" s="8">
        <f t="shared" si="33"/>
        <v>19777.23</v>
      </c>
      <c r="I352" s="8">
        <f t="shared" si="33"/>
        <v>0</v>
      </c>
      <c r="J352" s="115"/>
      <c r="K352" s="109"/>
    </row>
    <row r="353" spans="1:11" ht="30" customHeight="1" outlineLevel="1" x14ac:dyDescent="0.25">
      <c r="A353" s="109"/>
      <c r="B353" s="109"/>
      <c r="C353" s="112"/>
      <c r="D353" s="59">
        <v>2024</v>
      </c>
      <c r="E353" s="8">
        <f t="shared" si="30"/>
        <v>68656.19</v>
      </c>
      <c r="F353" s="8">
        <f t="shared" si="33"/>
        <v>47800</v>
      </c>
      <c r="G353" s="8">
        <f t="shared" si="33"/>
        <v>0</v>
      </c>
      <c r="H353" s="8">
        <f t="shared" si="33"/>
        <v>20856.189999999999</v>
      </c>
      <c r="I353" s="8">
        <f t="shared" si="33"/>
        <v>0</v>
      </c>
      <c r="J353" s="115"/>
      <c r="K353" s="109"/>
    </row>
    <row r="354" spans="1:11" ht="33.75" customHeight="1" outlineLevel="1" x14ac:dyDescent="0.25">
      <c r="A354" s="109"/>
      <c r="B354" s="109"/>
      <c r="C354" s="112"/>
      <c r="D354" s="59">
        <v>2025</v>
      </c>
      <c r="E354" s="8">
        <f t="shared" si="30"/>
        <v>57989.523329999996</v>
      </c>
      <c r="F354" s="8">
        <f t="shared" si="33"/>
        <v>41400</v>
      </c>
      <c r="G354" s="8">
        <f t="shared" si="33"/>
        <v>0</v>
      </c>
      <c r="H354" s="8">
        <f t="shared" si="33"/>
        <v>16589.52333</v>
      </c>
      <c r="I354" s="8">
        <f t="shared" si="33"/>
        <v>0</v>
      </c>
      <c r="J354" s="115"/>
      <c r="K354" s="109"/>
    </row>
    <row r="355" spans="1:11" ht="21" customHeight="1" outlineLevel="1" x14ac:dyDescent="0.25">
      <c r="A355" s="110"/>
      <c r="B355" s="110"/>
      <c r="C355" s="113"/>
      <c r="D355" s="48">
        <v>2026</v>
      </c>
      <c r="E355" s="49">
        <f>SUM(F355:I355)</f>
        <v>0</v>
      </c>
      <c r="F355" s="49">
        <f>SUM(F369,F362)</f>
        <v>0</v>
      </c>
      <c r="G355" s="49">
        <f t="shared" ref="G355:I355" si="34">SUM(G369,G362)</f>
        <v>0</v>
      </c>
      <c r="H355" s="49">
        <f t="shared" si="34"/>
        <v>0</v>
      </c>
      <c r="I355" s="49">
        <f t="shared" si="34"/>
        <v>0</v>
      </c>
      <c r="J355" s="116"/>
      <c r="K355" s="110"/>
    </row>
    <row r="356" spans="1:11" ht="17.100000000000001" customHeight="1" outlineLevel="1" x14ac:dyDescent="0.25">
      <c r="A356" s="108" t="s">
        <v>81</v>
      </c>
      <c r="B356" s="108" t="s">
        <v>82</v>
      </c>
      <c r="C356" s="111" t="s">
        <v>828</v>
      </c>
      <c r="D356" s="59" t="s">
        <v>8</v>
      </c>
      <c r="E356" s="8">
        <f>SUM(E357:E361)</f>
        <v>40159.935509999996</v>
      </c>
      <c r="F356" s="8">
        <f>SUM(F357:F361)</f>
        <v>25600</v>
      </c>
      <c r="G356" s="8">
        <f>SUM(G357:G361)</f>
        <v>0</v>
      </c>
      <c r="H356" s="8">
        <f>SUM(H357:H361)</f>
        <v>14559.935509999999</v>
      </c>
      <c r="I356" s="8">
        <f>SUM(I357:I361)</f>
        <v>0</v>
      </c>
      <c r="J356" s="108" t="s">
        <v>83</v>
      </c>
      <c r="K356" s="108" t="s">
        <v>515</v>
      </c>
    </row>
    <row r="357" spans="1:11" ht="27" customHeight="1" outlineLevel="1" x14ac:dyDescent="0.25">
      <c r="A357" s="109"/>
      <c r="B357" s="109"/>
      <c r="C357" s="112"/>
      <c r="D357" s="59">
        <v>2021</v>
      </c>
      <c r="E357" s="8">
        <f t="shared" ref="E357:E361" si="35">SUM(F357:I357)</f>
        <v>9800.9188400000003</v>
      </c>
      <c r="F357" s="8">
        <v>6400</v>
      </c>
      <c r="G357" s="8">
        <v>0</v>
      </c>
      <c r="H357" s="8">
        <v>3400.9188399999998</v>
      </c>
      <c r="I357" s="8">
        <v>0</v>
      </c>
      <c r="J357" s="109"/>
      <c r="K357" s="109"/>
    </row>
    <row r="358" spans="1:11" ht="23.25" customHeight="1" outlineLevel="1" x14ac:dyDescent="0.25">
      <c r="A358" s="109"/>
      <c r="B358" s="109"/>
      <c r="C358" s="112"/>
      <c r="D358" s="59">
        <v>2022</v>
      </c>
      <c r="E358" s="8">
        <f t="shared" si="35"/>
        <v>9846.15</v>
      </c>
      <c r="F358" s="8">
        <v>6400</v>
      </c>
      <c r="G358" s="8">
        <v>0</v>
      </c>
      <c r="H358" s="8">
        <v>3446.15</v>
      </c>
      <c r="I358" s="8">
        <v>0</v>
      </c>
      <c r="J358" s="109"/>
      <c r="K358" s="109"/>
    </row>
    <row r="359" spans="1:11" ht="25.5" customHeight="1" outlineLevel="1" x14ac:dyDescent="0.25">
      <c r="A359" s="109"/>
      <c r="B359" s="109"/>
      <c r="C359" s="112"/>
      <c r="D359" s="59">
        <v>2023</v>
      </c>
      <c r="E359" s="8">
        <f t="shared" si="35"/>
        <v>9846.2000000000007</v>
      </c>
      <c r="F359" s="8">
        <v>6400</v>
      </c>
      <c r="G359" s="8">
        <v>0</v>
      </c>
      <c r="H359" s="8">
        <v>3446.2</v>
      </c>
      <c r="I359" s="8">
        <v>0</v>
      </c>
      <c r="J359" s="109"/>
      <c r="K359" s="109"/>
    </row>
    <row r="360" spans="1:11" ht="25.5" customHeight="1" outlineLevel="1" x14ac:dyDescent="0.25">
      <c r="A360" s="109"/>
      <c r="B360" s="109"/>
      <c r="C360" s="112"/>
      <c r="D360" s="59">
        <v>2024</v>
      </c>
      <c r="E360" s="8">
        <f t="shared" si="35"/>
        <v>10666.666669999999</v>
      </c>
      <c r="F360" s="32">
        <v>6400</v>
      </c>
      <c r="G360" s="8">
        <v>0</v>
      </c>
      <c r="H360" s="8">
        <v>4266.6666699999996</v>
      </c>
      <c r="I360" s="8">
        <v>0</v>
      </c>
      <c r="J360" s="109"/>
      <c r="K360" s="109"/>
    </row>
    <row r="361" spans="1:11" ht="21.75" customHeight="1" outlineLevel="1" x14ac:dyDescent="0.25">
      <c r="A361" s="109"/>
      <c r="B361" s="109"/>
      <c r="C361" s="112"/>
      <c r="D361" s="59">
        <v>2025</v>
      </c>
      <c r="E361" s="8">
        <f t="shared" si="35"/>
        <v>0</v>
      </c>
      <c r="F361" s="8">
        <v>0</v>
      </c>
      <c r="G361" s="8">
        <v>0</v>
      </c>
      <c r="H361" s="8">
        <v>0</v>
      </c>
      <c r="I361" s="8">
        <v>0</v>
      </c>
      <c r="J361" s="109"/>
      <c r="K361" s="109"/>
    </row>
    <row r="362" spans="1:11" ht="21.75" customHeight="1" outlineLevel="1" x14ac:dyDescent="0.25">
      <c r="A362" s="110"/>
      <c r="B362" s="110"/>
      <c r="C362" s="113"/>
      <c r="D362" s="40">
        <v>2026</v>
      </c>
      <c r="E362" s="41"/>
      <c r="F362" s="41"/>
      <c r="G362" s="41"/>
      <c r="H362" s="41"/>
      <c r="I362" s="41"/>
      <c r="J362" s="110"/>
      <c r="K362" s="110"/>
    </row>
    <row r="363" spans="1:11" ht="20.100000000000001" customHeight="1" outlineLevel="1" x14ac:dyDescent="0.25">
      <c r="A363" s="108" t="s">
        <v>540</v>
      </c>
      <c r="B363" s="108" t="s">
        <v>541</v>
      </c>
      <c r="C363" s="111" t="s">
        <v>828</v>
      </c>
      <c r="D363" s="59" t="s">
        <v>8</v>
      </c>
      <c r="E363" s="8">
        <f>SUM(E364:E368)</f>
        <v>276357.88802999997</v>
      </c>
      <c r="F363" s="8">
        <f>SUM(F364:F368)</f>
        <v>200600</v>
      </c>
      <c r="G363" s="8">
        <f>SUM(G364:G368)</f>
        <v>0</v>
      </c>
      <c r="H363" s="8">
        <f>SUM(H364:H368)</f>
        <v>75757.888030000002</v>
      </c>
      <c r="I363" s="8">
        <f>SUM(I364:I368)</f>
        <v>0</v>
      </c>
      <c r="J363" s="108" t="s">
        <v>542</v>
      </c>
      <c r="K363" s="108" t="s">
        <v>515</v>
      </c>
    </row>
    <row r="364" spans="1:11" ht="20.100000000000001" customHeight="1" outlineLevel="1" x14ac:dyDescent="0.25">
      <c r="A364" s="109"/>
      <c r="B364" s="109"/>
      <c r="C364" s="112"/>
      <c r="D364" s="59">
        <v>2021</v>
      </c>
      <c r="E364" s="8">
        <f t="shared" ref="E364:E400" si="36">SUM(F364:I364)</f>
        <v>44916.781369999997</v>
      </c>
      <c r="F364" s="8">
        <v>35000</v>
      </c>
      <c r="G364" s="8">
        <v>0</v>
      </c>
      <c r="H364" s="8">
        <v>9916.7813700000006</v>
      </c>
      <c r="I364" s="8">
        <v>0</v>
      </c>
      <c r="J364" s="109"/>
      <c r="K364" s="109"/>
    </row>
    <row r="365" spans="1:11" ht="20.100000000000001" customHeight="1" outlineLevel="1" x14ac:dyDescent="0.25">
      <c r="A365" s="109"/>
      <c r="B365" s="109"/>
      <c r="C365" s="112"/>
      <c r="D365" s="59">
        <v>2022</v>
      </c>
      <c r="E365" s="8">
        <f t="shared" si="36"/>
        <v>57731.03</v>
      </c>
      <c r="F365" s="8">
        <v>41400</v>
      </c>
      <c r="G365" s="8">
        <v>0</v>
      </c>
      <c r="H365" s="8">
        <v>16331.03</v>
      </c>
      <c r="I365" s="8">
        <v>0</v>
      </c>
      <c r="J365" s="109"/>
      <c r="K365" s="109"/>
    </row>
    <row r="366" spans="1:11" ht="20.100000000000001" customHeight="1" outlineLevel="1" x14ac:dyDescent="0.25">
      <c r="A366" s="109"/>
      <c r="B366" s="109"/>
      <c r="C366" s="112"/>
      <c r="D366" s="59">
        <v>2023</v>
      </c>
      <c r="E366" s="8">
        <f t="shared" si="36"/>
        <v>57731.03</v>
      </c>
      <c r="F366" s="8">
        <v>41400</v>
      </c>
      <c r="G366" s="8">
        <v>0</v>
      </c>
      <c r="H366" s="8">
        <v>16331.03</v>
      </c>
      <c r="I366" s="8">
        <v>0</v>
      </c>
      <c r="J366" s="109"/>
      <c r="K366" s="109"/>
    </row>
    <row r="367" spans="1:11" ht="20.100000000000001" customHeight="1" outlineLevel="1" x14ac:dyDescent="0.25">
      <c r="A367" s="109"/>
      <c r="B367" s="109"/>
      <c r="C367" s="112"/>
      <c r="D367" s="59">
        <v>2024</v>
      </c>
      <c r="E367" s="8">
        <f t="shared" si="36"/>
        <v>57989.523329999996</v>
      </c>
      <c r="F367" s="32">
        <v>41400</v>
      </c>
      <c r="G367" s="32">
        <v>0</v>
      </c>
      <c r="H367" s="32">
        <v>16589.52333</v>
      </c>
      <c r="I367" s="8">
        <v>0</v>
      </c>
      <c r="J367" s="109"/>
      <c r="K367" s="109"/>
    </row>
    <row r="368" spans="1:11" ht="20.100000000000001" customHeight="1" outlineLevel="1" x14ac:dyDescent="0.25">
      <c r="A368" s="109"/>
      <c r="B368" s="109"/>
      <c r="C368" s="112"/>
      <c r="D368" s="59">
        <v>2025</v>
      </c>
      <c r="E368" s="8">
        <f t="shared" si="36"/>
        <v>57989.523329999996</v>
      </c>
      <c r="F368" s="32">
        <v>41400</v>
      </c>
      <c r="G368" s="32">
        <v>0</v>
      </c>
      <c r="H368" s="32">
        <v>16589.52333</v>
      </c>
      <c r="I368" s="8">
        <v>0</v>
      </c>
      <c r="J368" s="109"/>
      <c r="K368" s="109"/>
    </row>
    <row r="369" spans="1:11" ht="20.100000000000001" customHeight="1" outlineLevel="1" x14ac:dyDescent="0.25">
      <c r="A369" s="110"/>
      <c r="B369" s="110"/>
      <c r="C369" s="113"/>
      <c r="D369" s="40">
        <v>2026</v>
      </c>
      <c r="E369" s="41"/>
      <c r="F369" s="41"/>
      <c r="G369" s="41"/>
      <c r="H369" s="41"/>
      <c r="I369" s="41"/>
      <c r="J369" s="110"/>
      <c r="K369" s="110"/>
    </row>
    <row r="370" spans="1:11" ht="15.75" customHeight="1" outlineLevel="1" x14ac:dyDescent="0.25">
      <c r="A370" s="117" t="s">
        <v>84</v>
      </c>
      <c r="B370" s="118" t="s">
        <v>40</v>
      </c>
      <c r="C370" s="119" t="s">
        <v>41</v>
      </c>
      <c r="D370" s="59" t="s">
        <v>8</v>
      </c>
      <c r="E370" s="8">
        <f t="shared" si="36"/>
        <v>66582.603889999999</v>
      </c>
      <c r="F370" s="8">
        <f>SUM(F371:F375)</f>
        <v>7039.8205200000002</v>
      </c>
      <c r="G370" s="8">
        <f>SUM(G371:G375)</f>
        <v>59542.783369999997</v>
      </c>
      <c r="H370" s="8">
        <f>SUM(H371:H375)</f>
        <v>0</v>
      </c>
      <c r="I370" s="8">
        <f>SUM(I371:I375)</f>
        <v>0</v>
      </c>
      <c r="J370" s="119" t="s">
        <v>85</v>
      </c>
      <c r="K370" s="119" t="s">
        <v>486</v>
      </c>
    </row>
    <row r="371" spans="1:11" outlineLevel="1" x14ac:dyDescent="0.25">
      <c r="A371" s="117"/>
      <c r="B371" s="118"/>
      <c r="C371" s="119"/>
      <c r="D371" s="59">
        <v>2021</v>
      </c>
      <c r="E371" s="8">
        <f t="shared" si="36"/>
        <v>27296.712679999997</v>
      </c>
      <c r="F371" s="8">
        <f t="shared" ref="F371:I375" si="37">F377+F383</f>
        <v>3105.6126800000002</v>
      </c>
      <c r="G371" s="8">
        <f t="shared" si="37"/>
        <v>24191.1</v>
      </c>
      <c r="H371" s="8">
        <f t="shared" si="37"/>
        <v>0</v>
      </c>
      <c r="I371" s="8">
        <f t="shared" si="37"/>
        <v>0</v>
      </c>
      <c r="J371" s="119"/>
      <c r="K371" s="119"/>
    </row>
    <row r="372" spans="1:11" outlineLevel="1" x14ac:dyDescent="0.25">
      <c r="A372" s="117"/>
      <c r="B372" s="118"/>
      <c r="C372" s="119"/>
      <c r="D372" s="59">
        <v>2022</v>
      </c>
      <c r="E372" s="8">
        <f t="shared" si="36"/>
        <v>18900.377</v>
      </c>
      <c r="F372" s="8">
        <f t="shared" si="37"/>
        <v>2711.0770000000002</v>
      </c>
      <c r="G372" s="8">
        <f t="shared" si="37"/>
        <v>16189.3</v>
      </c>
      <c r="H372" s="8">
        <f t="shared" si="37"/>
        <v>0</v>
      </c>
      <c r="I372" s="8">
        <f t="shared" si="37"/>
        <v>0</v>
      </c>
      <c r="J372" s="119"/>
      <c r="K372" s="119"/>
    </row>
    <row r="373" spans="1:11" outlineLevel="1" x14ac:dyDescent="0.25">
      <c r="A373" s="117"/>
      <c r="B373" s="118"/>
      <c r="C373" s="119"/>
      <c r="D373" s="59">
        <v>2023</v>
      </c>
      <c r="E373" s="8">
        <f t="shared" si="36"/>
        <v>11802.74826</v>
      </c>
      <c r="F373" s="8">
        <f t="shared" si="37"/>
        <v>708.16489000000001</v>
      </c>
      <c r="G373" s="8">
        <f t="shared" si="37"/>
        <v>11094.58337</v>
      </c>
      <c r="H373" s="8">
        <f t="shared" si="37"/>
        <v>0</v>
      </c>
      <c r="I373" s="8">
        <f t="shared" si="37"/>
        <v>0</v>
      </c>
      <c r="J373" s="119"/>
      <c r="K373" s="119"/>
    </row>
    <row r="374" spans="1:11" outlineLevel="1" x14ac:dyDescent="0.25">
      <c r="A374" s="117"/>
      <c r="B374" s="118"/>
      <c r="C374" s="119"/>
      <c r="D374" s="59">
        <v>2024</v>
      </c>
      <c r="E374" s="41">
        <f t="shared" si="36"/>
        <v>8582.7659500000009</v>
      </c>
      <c r="F374" s="41">
        <f t="shared" si="37"/>
        <v>514.96595000000002</v>
      </c>
      <c r="G374" s="41">
        <f t="shared" si="37"/>
        <v>8067.8</v>
      </c>
      <c r="H374" s="41">
        <f t="shared" si="37"/>
        <v>0</v>
      </c>
      <c r="I374" s="41">
        <f t="shared" si="37"/>
        <v>0</v>
      </c>
      <c r="J374" s="119"/>
      <c r="K374" s="119"/>
    </row>
    <row r="375" spans="1:11" outlineLevel="1" x14ac:dyDescent="0.25">
      <c r="A375" s="117"/>
      <c r="B375" s="118"/>
      <c r="C375" s="119"/>
      <c r="D375" s="59">
        <v>2025</v>
      </c>
      <c r="E375" s="8">
        <f t="shared" si="36"/>
        <v>0</v>
      </c>
      <c r="F375" s="8">
        <f t="shared" si="37"/>
        <v>0</v>
      </c>
      <c r="G375" s="8">
        <f t="shared" si="37"/>
        <v>0</v>
      </c>
      <c r="H375" s="8">
        <f t="shared" si="37"/>
        <v>0</v>
      </c>
      <c r="I375" s="8">
        <f t="shared" si="37"/>
        <v>0</v>
      </c>
      <c r="J375" s="119"/>
      <c r="K375" s="119"/>
    </row>
    <row r="376" spans="1:11" ht="19.5" customHeight="1" outlineLevel="1" x14ac:dyDescent="0.25">
      <c r="A376" s="117" t="s">
        <v>86</v>
      </c>
      <c r="B376" s="144" t="s">
        <v>87</v>
      </c>
      <c r="C376" s="119" t="s">
        <v>41</v>
      </c>
      <c r="D376" s="59" t="s">
        <v>8</v>
      </c>
      <c r="E376" s="8">
        <f t="shared" si="36"/>
        <v>45585.326959999999</v>
      </c>
      <c r="F376" s="8">
        <f>SUM(F377:F381)</f>
        <v>2735.0435899999998</v>
      </c>
      <c r="G376" s="8">
        <f>SUM(G377:G381)</f>
        <v>42850.283369999997</v>
      </c>
      <c r="H376" s="8">
        <f>SUM(H377:H381)</f>
        <v>0</v>
      </c>
      <c r="I376" s="8">
        <f>SUM(I377:I381)</f>
        <v>0</v>
      </c>
      <c r="J376" s="119" t="s">
        <v>1746</v>
      </c>
      <c r="K376" s="119" t="s">
        <v>515</v>
      </c>
    </row>
    <row r="377" spans="1:11" ht="15" customHeight="1" outlineLevel="1" x14ac:dyDescent="0.25">
      <c r="A377" s="117"/>
      <c r="B377" s="144"/>
      <c r="C377" s="119"/>
      <c r="D377" s="59">
        <v>2021</v>
      </c>
      <c r="E377" s="8">
        <f t="shared" si="36"/>
        <v>20914.599999999999</v>
      </c>
      <c r="F377" s="8">
        <v>1254.8</v>
      </c>
      <c r="G377" s="8">
        <v>19659.8</v>
      </c>
      <c r="H377" s="8">
        <v>0</v>
      </c>
      <c r="I377" s="8">
        <v>0</v>
      </c>
      <c r="J377" s="119"/>
      <c r="K377" s="119"/>
    </row>
    <row r="378" spans="1:11" ht="16.5" customHeight="1" outlineLevel="1" x14ac:dyDescent="0.25">
      <c r="A378" s="117"/>
      <c r="B378" s="144"/>
      <c r="C378" s="119"/>
      <c r="D378" s="59">
        <v>2022</v>
      </c>
      <c r="E378" s="8">
        <f t="shared" si="36"/>
        <v>12043.617</v>
      </c>
      <c r="F378" s="8">
        <v>722.61699999999996</v>
      </c>
      <c r="G378" s="8">
        <v>11321</v>
      </c>
      <c r="H378" s="8">
        <v>0</v>
      </c>
      <c r="I378" s="8">
        <v>0</v>
      </c>
      <c r="J378" s="119"/>
      <c r="K378" s="119"/>
    </row>
    <row r="379" spans="1:11" ht="14.25" customHeight="1" outlineLevel="1" x14ac:dyDescent="0.25">
      <c r="A379" s="117"/>
      <c r="B379" s="144"/>
      <c r="C379" s="119"/>
      <c r="D379" s="59">
        <v>2023</v>
      </c>
      <c r="E379" s="8">
        <f t="shared" si="36"/>
        <v>7674.45039</v>
      </c>
      <c r="F379" s="8">
        <v>460.46701999999999</v>
      </c>
      <c r="G379" s="8">
        <v>7213.9833699999999</v>
      </c>
      <c r="H379" s="8">
        <v>0</v>
      </c>
      <c r="I379" s="8">
        <v>0</v>
      </c>
      <c r="J379" s="119"/>
      <c r="K379" s="119"/>
    </row>
    <row r="380" spans="1:11" ht="12.75" customHeight="1" outlineLevel="1" x14ac:dyDescent="0.25">
      <c r="A380" s="117"/>
      <c r="B380" s="144"/>
      <c r="C380" s="119"/>
      <c r="D380" s="59">
        <v>2024</v>
      </c>
      <c r="E380" s="8">
        <f t="shared" si="36"/>
        <v>4952.6595699999998</v>
      </c>
      <c r="F380" s="32">
        <v>297.15956999999997</v>
      </c>
      <c r="G380" s="32">
        <v>4655.5</v>
      </c>
      <c r="H380" s="8">
        <v>0</v>
      </c>
      <c r="I380" s="8">
        <v>0</v>
      </c>
      <c r="J380" s="119"/>
      <c r="K380" s="119"/>
    </row>
    <row r="381" spans="1:11" ht="14.25" customHeight="1" outlineLevel="1" x14ac:dyDescent="0.25">
      <c r="A381" s="117"/>
      <c r="B381" s="144"/>
      <c r="C381" s="119"/>
      <c r="D381" s="59">
        <v>2025</v>
      </c>
      <c r="E381" s="8">
        <f t="shared" si="36"/>
        <v>0</v>
      </c>
      <c r="F381" s="32">
        <v>0</v>
      </c>
      <c r="G381" s="32">
        <v>0</v>
      </c>
      <c r="H381" s="8">
        <v>0</v>
      </c>
      <c r="I381" s="8">
        <v>0</v>
      </c>
      <c r="J381" s="119"/>
      <c r="K381" s="119"/>
    </row>
    <row r="382" spans="1:11" ht="15.95" customHeight="1" x14ac:dyDescent="0.25">
      <c r="A382" s="117" t="s">
        <v>855</v>
      </c>
      <c r="B382" s="144" t="s">
        <v>90</v>
      </c>
      <c r="C382" s="119" t="s">
        <v>41</v>
      </c>
      <c r="D382" s="59" t="s">
        <v>8</v>
      </c>
      <c r="E382" s="8">
        <f t="shared" si="36"/>
        <v>20997.27693</v>
      </c>
      <c r="F382" s="8">
        <f>SUM(F383:F387)</f>
        <v>4304.77693</v>
      </c>
      <c r="G382" s="8">
        <f>SUM(G383:G387)</f>
        <v>16692.5</v>
      </c>
      <c r="H382" s="8">
        <f>SUM(H383:H387)</f>
        <v>0</v>
      </c>
      <c r="I382" s="8">
        <f>SUM(I383:I387)</f>
        <v>0</v>
      </c>
      <c r="J382" s="119" t="s">
        <v>544</v>
      </c>
      <c r="K382" s="119" t="s">
        <v>486</v>
      </c>
    </row>
    <row r="383" spans="1:11" ht="15.95" customHeight="1" x14ac:dyDescent="0.25">
      <c r="A383" s="117"/>
      <c r="B383" s="144"/>
      <c r="C383" s="119"/>
      <c r="D383" s="59">
        <v>2021</v>
      </c>
      <c r="E383" s="8">
        <f t="shared" si="36"/>
        <v>6382.1126800000002</v>
      </c>
      <c r="F383" s="8">
        <v>1850.81268</v>
      </c>
      <c r="G383" s="8">
        <v>4531.3</v>
      </c>
      <c r="H383" s="8">
        <v>0</v>
      </c>
      <c r="I383" s="8">
        <v>0</v>
      </c>
      <c r="J383" s="119"/>
      <c r="K383" s="119"/>
    </row>
    <row r="384" spans="1:11" ht="15.95" customHeight="1" x14ac:dyDescent="0.25">
      <c r="A384" s="117"/>
      <c r="B384" s="144"/>
      <c r="C384" s="119"/>
      <c r="D384" s="59">
        <v>2022</v>
      </c>
      <c r="E384" s="8">
        <f t="shared" si="36"/>
        <v>6856.76</v>
      </c>
      <c r="F384" s="8">
        <v>1988.46</v>
      </c>
      <c r="G384" s="8">
        <v>4868.3</v>
      </c>
      <c r="H384" s="8">
        <v>0</v>
      </c>
      <c r="I384" s="8">
        <v>0</v>
      </c>
      <c r="J384" s="119"/>
      <c r="K384" s="119"/>
    </row>
    <row r="385" spans="1:12" ht="15.95" customHeight="1" x14ac:dyDescent="0.25">
      <c r="A385" s="117"/>
      <c r="B385" s="144"/>
      <c r="C385" s="119"/>
      <c r="D385" s="59">
        <v>2023</v>
      </c>
      <c r="E385" s="8">
        <f t="shared" si="36"/>
        <v>4128.2978700000003</v>
      </c>
      <c r="F385" s="8">
        <f>1812.41254-1564.71467</f>
        <v>247.69786999999997</v>
      </c>
      <c r="G385" s="8">
        <v>3880.6</v>
      </c>
      <c r="H385" s="8">
        <v>0</v>
      </c>
      <c r="I385" s="8">
        <v>0</v>
      </c>
      <c r="J385" s="119"/>
      <c r="K385" s="119"/>
    </row>
    <row r="386" spans="1:12" ht="15.95" customHeight="1" x14ac:dyDescent="0.25">
      <c r="A386" s="117"/>
      <c r="B386" s="144"/>
      <c r="C386" s="119"/>
      <c r="D386" s="59">
        <v>2024</v>
      </c>
      <c r="E386" s="8">
        <f t="shared" si="36"/>
        <v>3630.1063800000002</v>
      </c>
      <c r="F386" s="32">
        <v>217.80637999999999</v>
      </c>
      <c r="G386" s="32">
        <v>3412.3</v>
      </c>
      <c r="H386" s="8">
        <v>0</v>
      </c>
      <c r="I386" s="8">
        <v>0</v>
      </c>
      <c r="J386" s="119"/>
      <c r="K386" s="119"/>
    </row>
    <row r="387" spans="1:12" ht="15.95" customHeight="1" x14ac:dyDescent="0.25">
      <c r="A387" s="117"/>
      <c r="B387" s="144"/>
      <c r="C387" s="119"/>
      <c r="D387" s="59">
        <v>2025</v>
      </c>
      <c r="E387" s="8">
        <f t="shared" si="36"/>
        <v>0</v>
      </c>
      <c r="F387" s="32">
        <v>0</v>
      </c>
      <c r="G387" s="32">
        <v>0</v>
      </c>
      <c r="H387" s="8">
        <v>0</v>
      </c>
      <c r="I387" s="8">
        <v>0</v>
      </c>
      <c r="J387" s="119"/>
      <c r="K387" s="119"/>
    </row>
    <row r="388" spans="1:12" ht="15" customHeight="1" outlineLevel="1" x14ac:dyDescent="0.25">
      <c r="A388" s="108" t="s">
        <v>93</v>
      </c>
      <c r="B388" s="108" t="s">
        <v>94</v>
      </c>
      <c r="C388" s="111" t="s">
        <v>828</v>
      </c>
      <c r="D388" s="59" t="s">
        <v>8</v>
      </c>
      <c r="E388" s="8">
        <f>SUM(F388:I388)</f>
        <v>4848384.1119147502</v>
      </c>
      <c r="F388" s="8">
        <f>SUM(F389:F393)</f>
        <v>3278705.6685899999</v>
      </c>
      <c r="G388" s="8">
        <f>SUM(G389:G393)</f>
        <v>1457797.0320000001</v>
      </c>
      <c r="H388" s="8">
        <f>SUM(H389:H393)</f>
        <v>111881.41132475088</v>
      </c>
      <c r="I388" s="8">
        <v>0</v>
      </c>
      <c r="J388" s="114"/>
      <c r="K388" s="108" t="s">
        <v>1735</v>
      </c>
    </row>
    <row r="389" spans="1:12" outlineLevel="1" x14ac:dyDescent="0.25">
      <c r="A389" s="109"/>
      <c r="B389" s="109"/>
      <c r="C389" s="112"/>
      <c r="D389" s="59">
        <v>2021</v>
      </c>
      <c r="E389" s="8">
        <f t="shared" si="36"/>
        <v>542284.02945165033</v>
      </c>
      <c r="F389" s="8">
        <f t="shared" ref="F389:H393" si="38">F396+F528+F804+F748+F762+F786</f>
        <v>254674.71701999998</v>
      </c>
      <c r="G389" s="8">
        <f t="shared" si="38"/>
        <v>257488.69899999999</v>
      </c>
      <c r="H389" s="8">
        <f t="shared" si="38"/>
        <v>30120.613431650385</v>
      </c>
      <c r="I389" s="8">
        <f>I396+I528+I804+I748+I762</f>
        <v>0</v>
      </c>
      <c r="J389" s="115"/>
      <c r="K389" s="109"/>
    </row>
    <row r="390" spans="1:12" outlineLevel="1" x14ac:dyDescent="0.25">
      <c r="A390" s="109"/>
      <c r="B390" s="109"/>
      <c r="C390" s="112"/>
      <c r="D390" s="59">
        <v>2022</v>
      </c>
      <c r="E390" s="8">
        <f t="shared" si="36"/>
        <v>1314874.5929131003</v>
      </c>
      <c r="F390" s="8">
        <f t="shared" si="38"/>
        <v>1029095.5077599998</v>
      </c>
      <c r="G390" s="8">
        <f t="shared" si="38"/>
        <v>225488.99299999999</v>
      </c>
      <c r="H390" s="8">
        <f t="shared" si="38"/>
        <v>60290.092153100515</v>
      </c>
      <c r="I390" s="8">
        <f>I397+I529+I805+I749+I763</f>
        <v>0</v>
      </c>
      <c r="J390" s="115"/>
      <c r="K390" s="109"/>
    </row>
    <row r="391" spans="1:12" outlineLevel="1" x14ac:dyDescent="0.25">
      <c r="A391" s="109"/>
      <c r="B391" s="109"/>
      <c r="C391" s="112"/>
      <c r="D391" s="59">
        <v>2023</v>
      </c>
      <c r="E391" s="8">
        <f t="shared" si="36"/>
        <v>689220.44319999998</v>
      </c>
      <c r="F391" s="8">
        <f t="shared" si="38"/>
        <v>255347.42546</v>
      </c>
      <c r="G391" s="8">
        <f t="shared" si="38"/>
        <v>424710.74</v>
      </c>
      <c r="H391" s="8">
        <f t="shared" si="38"/>
        <v>9162.2777399999759</v>
      </c>
      <c r="I391" s="8">
        <f>I398+I530+I806+I750+I764</f>
        <v>0</v>
      </c>
      <c r="J391" s="115"/>
      <c r="K391" s="109"/>
    </row>
    <row r="392" spans="1:12" outlineLevel="1" x14ac:dyDescent="0.25">
      <c r="A392" s="109"/>
      <c r="B392" s="109"/>
      <c r="C392" s="112"/>
      <c r="D392" s="59">
        <v>2024</v>
      </c>
      <c r="E392" s="8">
        <f t="shared" si="36"/>
        <v>1593502.4637399998</v>
      </c>
      <c r="F392" s="8">
        <f t="shared" si="38"/>
        <v>1121877.91374</v>
      </c>
      <c r="G392" s="8">
        <f t="shared" si="38"/>
        <v>460108.6</v>
      </c>
      <c r="H392" s="8">
        <f t="shared" si="38"/>
        <v>11515.949999999999</v>
      </c>
      <c r="I392" s="8">
        <f>I399+I531+I807+I751+I765</f>
        <v>0</v>
      </c>
      <c r="J392" s="115"/>
      <c r="K392" s="109"/>
    </row>
    <row r="393" spans="1:12" outlineLevel="1" x14ac:dyDescent="0.25">
      <c r="A393" s="109"/>
      <c r="B393" s="109"/>
      <c r="C393" s="112"/>
      <c r="D393" s="59">
        <v>2025</v>
      </c>
      <c r="E393" s="8">
        <f t="shared" si="36"/>
        <v>708502.58261000004</v>
      </c>
      <c r="F393" s="8">
        <f t="shared" si="38"/>
        <v>617710.10461000004</v>
      </c>
      <c r="G393" s="8">
        <f t="shared" si="38"/>
        <v>90000</v>
      </c>
      <c r="H393" s="8">
        <f t="shared" si="38"/>
        <v>792.47800000000007</v>
      </c>
      <c r="I393" s="8">
        <f>I400+I532+I808+I752+I766</f>
        <v>0</v>
      </c>
      <c r="J393" s="115"/>
      <c r="K393" s="109"/>
    </row>
    <row r="394" spans="1:12" outlineLevel="1" x14ac:dyDescent="0.25">
      <c r="A394" s="110"/>
      <c r="B394" s="110"/>
      <c r="C394" s="113"/>
      <c r="D394" s="48">
        <v>2026</v>
      </c>
      <c r="E394" s="49">
        <f>SUM(F394:I394)</f>
        <v>0</v>
      </c>
      <c r="F394" s="49">
        <f>SUM(F533,F753,F809)</f>
        <v>0</v>
      </c>
      <c r="G394" s="49">
        <f t="shared" ref="G394:I394" si="39">SUM(G533,G753,G809)</f>
        <v>0</v>
      </c>
      <c r="H394" s="49">
        <f t="shared" si="39"/>
        <v>0</v>
      </c>
      <c r="I394" s="49">
        <f t="shared" si="39"/>
        <v>0</v>
      </c>
      <c r="J394" s="116"/>
      <c r="K394" s="110"/>
    </row>
    <row r="395" spans="1:12" ht="14.25" customHeight="1" outlineLevel="1" x14ac:dyDescent="0.25">
      <c r="A395" s="117" t="s">
        <v>96</v>
      </c>
      <c r="B395" s="118" t="s">
        <v>97</v>
      </c>
      <c r="C395" s="119" t="s">
        <v>14</v>
      </c>
      <c r="D395" s="59" t="s">
        <v>8</v>
      </c>
      <c r="E395" s="8">
        <f t="shared" si="36"/>
        <v>329591.54251292464</v>
      </c>
      <c r="F395" s="8">
        <f>SUM(F396:F400)</f>
        <v>285151.59191000002</v>
      </c>
      <c r="G395" s="8">
        <f>SUM(G396:G400)</f>
        <v>0</v>
      </c>
      <c r="H395" s="8">
        <f>SUM(H396:H400)</f>
        <v>44439.950602924626</v>
      </c>
      <c r="I395" s="8">
        <v>0</v>
      </c>
      <c r="J395" s="119" t="s">
        <v>98</v>
      </c>
      <c r="K395" s="119" t="s">
        <v>546</v>
      </c>
    </row>
    <row r="396" spans="1:12" ht="14.25" customHeight="1" outlineLevel="1" x14ac:dyDescent="0.25">
      <c r="A396" s="117"/>
      <c r="B396" s="118"/>
      <c r="C396" s="119"/>
      <c r="D396" s="59">
        <v>2021</v>
      </c>
      <c r="E396" s="8">
        <f t="shared" si="36"/>
        <v>69576.494685752899</v>
      </c>
      <c r="F396" s="8">
        <f>F402+F408+F414+F420+F426+F432+F438+F444+F450+F456+F462+F468+F474+F480+F486+F492+F498+F522+F516</f>
        <v>55989.257299999997</v>
      </c>
      <c r="G396" s="8">
        <f t="shared" ref="G396:I396" si="40">G402+G408+G414+G420+G426+G432+G438+G444+G450+G456+G462+G468+G474+G480+G486+G492+G498+G522</f>
        <v>0</v>
      </c>
      <c r="H396" s="8">
        <f t="shared" si="40"/>
        <v>13587.237385752907</v>
      </c>
      <c r="I396" s="8">
        <f t="shared" si="40"/>
        <v>0</v>
      </c>
      <c r="J396" s="119"/>
      <c r="K396" s="119"/>
    </row>
    <row r="397" spans="1:12" ht="14.25" customHeight="1" outlineLevel="1" x14ac:dyDescent="0.25">
      <c r="A397" s="117"/>
      <c r="B397" s="118"/>
      <c r="C397" s="119"/>
      <c r="D397" s="59">
        <v>2022</v>
      </c>
      <c r="E397" s="8">
        <f t="shared" si="36"/>
        <v>193711.12071717173</v>
      </c>
      <c r="F397" s="8">
        <f t="shared" ref="F397:I400" si="41">F403+F409+F415+F421+F427+F433+F439+F445+F451+F457+F463+F469+F475+F481+F487+F493+F499+F523+F517</f>
        <v>165858.4075</v>
      </c>
      <c r="G397" s="8">
        <f t="shared" si="41"/>
        <v>0</v>
      </c>
      <c r="H397" s="8">
        <f t="shared" si="41"/>
        <v>27852.71321717172</v>
      </c>
      <c r="I397" s="8">
        <f t="shared" si="41"/>
        <v>0</v>
      </c>
      <c r="J397" s="119"/>
      <c r="K397" s="119"/>
      <c r="L397" s="58" t="s">
        <v>858</v>
      </c>
    </row>
    <row r="398" spans="1:12" ht="14.25" customHeight="1" outlineLevel="1" x14ac:dyDescent="0.25">
      <c r="A398" s="117"/>
      <c r="B398" s="118"/>
      <c r="C398" s="119"/>
      <c r="D398" s="59">
        <v>2023</v>
      </c>
      <c r="E398" s="8">
        <f t="shared" si="36"/>
        <v>12000</v>
      </c>
      <c r="F398" s="8">
        <f t="shared" si="41"/>
        <v>9000</v>
      </c>
      <c r="G398" s="8">
        <f t="shared" si="41"/>
        <v>0</v>
      </c>
      <c r="H398" s="8">
        <f t="shared" si="41"/>
        <v>3000</v>
      </c>
      <c r="I398" s="8">
        <f t="shared" si="41"/>
        <v>0</v>
      </c>
      <c r="J398" s="119"/>
      <c r="K398" s="119"/>
    </row>
    <row r="399" spans="1:12" ht="14.25" customHeight="1" outlineLevel="1" x14ac:dyDescent="0.25">
      <c r="A399" s="117"/>
      <c r="B399" s="118"/>
      <c r="C399" s="119"/>
      <c r="D399" s="59">
        <v>2024</v>
      </c>
      <c r="E399" s="8">
        <f t="shared" si="36"/>
        <v>54303.927109999997</v>
      </c>
      <c r="F399" s="8">
        <f t="shared" si="41"/>
        <v>54303.927109999997</v>
      </c>
      <c r="G399" s="8">
        <f t="shared" si="41"/>
        <v>0</v>
      </c>
      <c r="H399" s="8">
        <f t="shared" si="41"/>
        <v>0</v>
      </c>
      <c r="I399" s="8">
        <f t="shared" si="41"/>
        <v>0</v>
      </c>
      <c r="J399" s="119"/>
      <c r="K399" s="119"/>
    </row>
    <row r="400" spans="1:12" ht="14.25" customHeight="1" outlineLevel="1" x14ac:dyDescent="0.25">
      <c r="A400" s="117"/>
      <c r="B400" s="118"/>
      <c r="C400" s="119"/>
      <c r="D400" s="59">
        <v>2025</v>
      </c>
      <c r="E400" s="8">
        <f t="shared" si="36"/>
        <v>0</v>
      </c>
      <c r="F400" s="8">
        <f t="shared" si="41"/>
        <v>0</v>
      </c>
      <c r="G400" s="8">
        <f t="shared" si="41"/>
        <v>0</v>
      </c>
      <c r="H400" s="8">
        <f t="shared" si="41"/>
        <v>0</v>
      </c>
      <c r="I400" s="8">
        <f t="shared" si="41"/>
        <v>0</v>
      </c>
      <c r="J400" s="119"/>
      <c r="K400" s="119"/>
    </row>
    <row r="401" spans="1:12" ht="12" customHeight="1" outlineLevel="1" x14ac:dyDescent="0.25">
      <c r="A401" s="117" t="s">
        <v>100</v>
      </c>
      <c r="B401" s="118" t="s">
        <v>101</v>
      </c>
      <c r="C401" s="119" t="s">
        <v>19</v>
      </c>
      <c r="D401" s="59" t="s">
        <v>8</v>
      </c>
      <c r="E401" s="8">
        <f>SUM(E402:E406)</f>
        <v>6584.2777657004835</v>
      </c>
      <c r="F401" s="8">
        <f>SUM(F402:F406)</f>
        <v>5451.7819900000004</v>
      </c>
      <c r="G401" s="8">
        <f>SUM(G402:G406)</f>
        <v>0</v>
      </c>
      <c r="H401" s="8">
        <f>SUM(H402:H406)</f>
        <v>1132.4957757004834</v>
      </c>
      <c r="I401" s="8">
        <f>SUM(I402:I406)</f>
        <v>0</v>
      </c>
      <c r="J401" s="119" t="s">
        <v>102</v>
      </c>
      <c r="K401" s="119" t="s">
        <v>547</v>
      </c>
    </row>
    <row r="402" spans="1:12" ht="12" customHeight="1" outlineLevel="1" x14ac:dyDescent="0.25">
      <c r="A402" s="117"/>
      <c r="B402" s="118"/>
      <c r="C402" s="119"/>
      <c r="D402" s="59">
        <v>2021</v>
      </c>
      <c r="E402" s="8">
        <f t="shared" ref="E402:E406" si="42">SUM(F402:I402)</f>
        <v>6584.2777657004835</v>
      </c>
      <c r="F402" s="8">
        <v>5451.7819900000004</v>
      </c>
      <c r="G402" s="8">
        <v>0</v>
      </c>
      <c r="H402" s="8">
        <f>F402/82.8*17.2</f>
        <v>1132.4957757004834</v>
      </c>
      <c r="I402" s="8">
        <v>0</v>
      </c>
      <c r="J402" s="119"/>
      <c r="K402" s="119"/>
    </row>
    <row r="403" spans="1:12" ht="12" customHeight="1" outlineLevel="1" x14ac:dyDescent="0.25">
      <c r="A403" s="117"/>
      <c r="B403" s="118"/>
      <c r="C403" s="119"/>
      <c r="D403" s="59">
        <v>2022</v>
      </c>
      <c r="E403" s="8">
        <f t="shared" si="42"/>
        <v>0</v>
      </c>
      <c r="F403" s="8">
        <v>0</v>
      </c>
      <c r="G403" s="8">
        <v>0</v>
      </c>
      <c r="H403" s="8">
        <v>0</v>
      </c>
      <c r="I403" s="8">
        <v>0</v>
      </c>
      <c r="J403" s="119"/>
      <c r="K403" s="119"/>
      <c r="L403" s="58" t="s">
        <v>858</v>
      </c>
    </row>
    <row r="404" spans="1:12" ht="12" customHeight="1" outlineLevel="1" x14ac:dyDescent="0.25">
      <c r="A404" s="117"/>
      <c r="B404" s="118"/>
      <c r="C404" s="119"/>
      <c r="D404" s="59">
        <v>2023</v>
      </c>
      <c r="E404" s="8">
        <f t="shared" si="42"/>
        <v>0</v>
      </c>
      <c r="F404" s="8">
        <v>0</v>
      </c>
      <c r="G404" s="8">
        <v>0</v>
      </c>
      <c r="H404" s="8">
        <v>0</v>
      </c>
      <c r="I404" s="8">
        <v>0</v>
      </c>
      <c r="J404" s="119"/>
      <c r="K404" s="119"/>
    </row>
    <row r="405" spans="1:12" ht="12" customHeight="1" outlineLevel="1" x14ac:dyDescent="0.25">
      <c r="A405" s="117"/>
      <c r="B405" s="118"/>
      <c r="C405" s="119"/>
      <c r="D405" s="59">
        <v>2024</v>
      </c>
      <c r="E405" s="12">
        <f t="shared" si="42"/>
        <v>0</v>
      </c>
      <c r="F405" s="12">
        <v>0</v>
      </c>
      <c r="G405" s="12">
        <v>0</v>
      </c>
      <c r="H405" s="12">
        <v>0</v>
      </c>
      <c r="I405" s="8">
        <v>0</v>
      </c>
      <c r="J405" s="119"/>
      <c r="K405" s="119"/>
    </row>
    <row r="406" spans="1:12" ht="12" customHeight="1" outlineLevel="1" x14ac:dyDescent="0.25">
      <c r="A406" s="117"/>
      <c r="B406" s="118"/>
      <c r="C406" s="119"/>
      <c r="D406" s="59">
        <v>2025</v>
      </c>
      <c r="E406" s="8">
        <f t="shared" si="42"/>
        <v>0</v>
      </c>
      <c r="F406" s="8">
        <v>0</v>
      </c>
      <c r="G406" s="8">
        <v>0</v>
      </c>
      <c r="H406" s="8">
        <v>0</v>
      </c>
      <c r="I406" s="8">
        <v>0</v>
      </c>
      <c r="J406" s="119"/>
      <c r="K406" s="119"/>
    </row>
    <row r="407" spans="1:12" ht="15" customHeight="1" outlineLevel="1" x14ac:dyDescent="0.25">
      <c r="A407" s="117" t="s">
        <v>548</v>
      </c>
      <c r="B407" s="118" t="s">
        <v>442</v>
      </c>
      <c r="C407" s="119">
        <v>2021</v>
      </c>
      <c r="D407" s="59" t="s">
        <v>8</v>
      </c>
      <c r="E407" s="8">
        <f>SUM(E408:E412)</f>
        <v>42104.816920052421</v>
      </c>
      <c r="F407" s="12">
        <f>SUM(F408:F412)</f>
        <v>32125.975309999998</v>
      </c>
      <c r="G407" s="8">
        <f>SUM(G408:G412)</f>
        <v>0</v>
      </c>
      <c r="H407" s="8">
        <f>SUM(H408:H412)</f>
        <v>9978.8416100524246</v>
      </c>
      <c r="I407" s="8">
        <f>SUM(I408:I412)</f>
        <v>0</v>
      </c>
      <c r="J407" s="119" t="s">
        <v>549</v>
      </c>
      <c r="K407" s="119" t="s">
        <v>547</v>
      </c>
    </row>
    <row r="408" spans="1:12" ht="15" customHeight="1" outlineLevel="1" x14ac:dyDescent="0.25">
      <c r="A408" s="117"/>
      <c r="B408" s="118"/>
      <c r="C408" s="119"/>
      <c r="D408" s="59">
        <v>2021</v>
      </c>
      <c r="E408" s="8">
        <f t="shared" ref="E408:E471" si="43">SUM(F408:I408)</f>
        <v>42104.816920052421</v>
      </c>
      <c r="F408" s="8">
        <f>32125975.31/1000</f>
        <v>32125.975309999998</v>
      </c>
      <c r="G408" s="8">
        <v>0</v>
      </c>
      <c r="H408" s="8">
        <f>F408/76.3*23.7</f>
        <v>9978.8416100524246</v>
      </c>
      <c r="I408" s="8">
        <v>0</v>
      </c>
      <c r="J408" s="119"/>
      <c r="K408" s="119"/>
    </row>
    <row r="409" spans="1:12" outlineLevel="1" x14ac:dyDescent="0.25">
      <c r="A409" s="117"/>
      <c r="B409" s="118"/>
      <c r="C409" s="119"/>
      <c r="D409" s="59">
        <v>2022</v>
      </c>
      <c r="E409" s="8">
        <f t="shared" si="43"/>
        <v>0</v>
      </c>
      <c r="F409" s="8">
        <v>0</v>
      </c>
      <c r="G409" s="8">
        <v>0</v>
      </c>
      <c r="H409" s="8">
        <v>0</v>
      </c>
      <c r="I409" s="8">
        <v>0</v>
      </c>
      <c r="J409" s="119"/>
      <c r="K409" s="119"/>
    </row>
    <row r="410" spans="1:12" outlineLevel="1" x14ac:dyDescent="0.25">
      <c r="A410" s="117"/>
      <c r="B410" s="118"/>
      <c r="C410" s="119"/>
      <c r="D410" s="59">
        <v>2023</v>
      </c>
      <c r="E410" s="8">
        <f t="shared" si="43"/>
        <v>0</v>
      </c>
      <c r="F410" s="8">
        <v>0</v>
      </c>
      <c r="G410" s="8">
        <v>0</v>
      </c>
      <c r="H410" s="8">
        <v>0</v>
      </c>
      <c r="I410" s="8">
        <v>0</v>
      </c>
      <c r="J410" s="119"/>
      <c r="K410" s="119"/>
    </row>
    <row r="411" spans="1:12" outlineLevel="1" x14ac:dyDescent="0.25">
      <c r="A411" s="117"/>
      <c r="B411" s="118"/>
      <c r="C411" s="119"/>
      <c r="D411" s="59">
        <v>2024</v>
      </c>
      <c r="E411" s="8">
        <f t="shared" si="43"/>
        <v>0</v>
      </c>
      <c r="F411" s="8">
        <v>0</v>
      </c>
      <c r="G411" s="8">
        <v>0</v>
      </c>
      <c r="H411" s="8">
        <v>0</v>
      </c>
      <c r="I411" s="8">
        <v>0</v>
      </c>
      <c r="J411" s="119"/>
      <c r="K411" s="119"/>
    </row>
    <row r="412" spans="1:12" ht="14.25" customHeight="1" outlineLevel="1" x14ac:dyDescent="0.25">
      <c r="A412" s="117"/>
      <c r="B412" s="118"/>
      <c r="C412" s="119"/>
      <c r="D412" s="59">
        <v>2025</v>
      </c>
      <c r="E412" s="8">
        <f t="shared" si="43"/>
        <v>0</v>
      </c>
      <c r="F412" s="8">
        <v>0</v>
      </c>
      <c r="G412" s="8">
        <v>0</v>
      </c>
      <c r="H412" s="8">
        <v>0</v>
      </c>
      <c r="I412" s="8">
        <v>0</v>
      </c>
      <c r="J412" s="119"/>
      <c r="K412" s="119"/>
    </row>
    <row r="413" spans="1:12" ht="18" customHeight="1" outlineLevel="1" x14ac:dyDescent="0.25">
      <c r="A413" s="117" t="s">
        <v>550</v>
      </c>
      <c r="B413" s="118" t="s">
        <v>766</v>
      </c>
      <c r="C413" s="119">
        <v>2021</v>
      </c>
      <c r="D413" s="59" t="s">
        <v>8</v>
      </c>
      <c r="E413" s="8">
        <f t="shared" si="43"/>
        <v>1505.5</v>
      </c>
      <c r="F413" s="8">
        <f>SUM(F414:F418)</f>
        <v>1505.5</v>
      </c>
      <c r="G413" s="8">
        <f>SUM(G414:G418)</f>
        <v>0</v>
      </c>
      <c r="H413" s="8">
        <f>SUM(H414:H418)</f>
        <v>0</v>
      </c>
      <c r="I413" s="8">
        <f>SUM(I414:I418)</f>
        <v>0</v>
      </c>
      <c r="J413" s="119" t="s">
        <v>552</v>
      </c>
      <c r="K413" s="119" t="s">
        <v>553</v>
      </c>
    </row>
    <row r="414" spans="1:12" ht="16.5" customHeight="1" outlineLevel="1" x14ac:dyDescent="0.25">
      <c r="A414" s="117"/>
      <c r="B414" s="118"/>
      <c r="C414" s="119"/>
      <c r="D414" s="59">
        <v>2021</v>
      </c>
      <c r="E414" s="8">
        <f t="shared" si="43"/>
        <v>1505.5</v>
      </c>
      <c r="F414" s="8">
        <v>1505.5</v>
      </c>
      <c r="G414" s="8">
        <v>0</v>
      </c>
      <c r="H414" s="8">
        <v>0</v>
      </c>
      <c r="I414" s="8">
        <v>0</v>
      </c>
      <c r="J414" s="119"/>
      <c r="K414" s="119"/>
    </row>
    <row r="415" spans="1:12" ht="15.75" customHeight="1" outlineLevel="1" x14ac:dyDescent="0.25">
      <c r="A415" s="117"/>
      <c r="B415" s="118"/>
      <c r="C415" s="119"/>
      <c r="D415" s="59">
        <v>2022</v>
      </c>
      <c r="E415" s="8">
        <f t="shared" si="43"/>
        <v>0</v>
      </c>
      <c r="F415" s="8">
        <v>0</v>
      </c>
      <c r="G415" s="8">
        <v>0</v>
      </c>
      <c r="H415" s="8">
        <v>0</v>
      </c>
      <c r="I415" s="8">
        <v>0</v>
      </c>
      <c r="J415" s="119"/>
      <c r="K415" s="119"/>
    </row>
    <row r="416" spans="1:12" ht="14.25" customHeight="1" outlineLevel="1" x14ac:dyDescent="0.25">
      <c r="A416" s="117"/>
      <c r="B416" s="118"/>
      <c r="C416" s="119"/>
      <c r="D416" s="59">
        <v>2023</v>
      </c>
      <c r="E416" s="8">
        <f t="shared" si="43"/>
        <v>0</v>
      </c>
      <c r="F416" s="8">
        <v>0</v>
      </c>
      <c r="G416" s="8">
        <v>0</v>
      </c>
      <c r="H416" s="8">
        <v>0</v>
      </c>
      <c r="I416" s="8">
        <v>0</v>
      </c>
      <c r="J416" s="119"/>
      <c r="K416" s="119"/>
    </row>
    <row r="417" spans="1:12" ht="15" customHeight="1" outlineLevel="1" x14ac:dyDescent="0.25">
      <c r="A417" s="117"/>
      <c r="B417" s="118"/>
      <c r="C417" s="119"/>
      <c r="D417" s="59">
        <v>2024</v>
      </c>
      <c r="E417" s="8">
        <f t="shared" si="43"/>
        <v>0</v>
      </c>
      <c r="F417" s="8">
        <v>0</v>
      </c>
      <c r="G417" s="8">
        <v>0</v>
      </c>
      <c r="H417" s="8">
        <v>0</v>
      </c>
      <c r="I417" s="8">
        <v>0</v>
      </c>
      <c r="J417" s="119"/>
      <c r="K417" s="119"/>
    </row>
    <row r="418" spans="1:12" ht="15.75" customHeight="1" outlineLevel="1" x14ac:dyDescent="0.25">
      <c r="A418" s="117"/>
      <c r="B418" s="118"/>
      <c r="C418" s="119"/>
      <c r="D418" s="59">
        <v>2025</v>
      </c>
      <c r="E418" s="8">
        <f t="shared" si="43"/>
        <v>0</v>
      </c>
      <c r="F418" s="8">
        <v>0</v>
      </c>
      <c r="G418" s="8">
        <v>0</v>
      </c>
      <c r="H418" s="8">
        <v>0</v>
      </c>
      <c r="I418" s="8">
        <v>0</v>
      </c>
      <c r="J418" s="119"/>
      <c r="K418" s="119"/>
    </row>
    <row r="419" spans="1:12" ht="15" customHeight="1" outlineLevel="1" x14ac:dyDescent="0.25">
      <c r="A419" s="117" t="s">
        <v>554</v>
      </c>
      <c r="B419" s="118" t="s">
        <v>555</v>
      </c>
      <c r="C419" s="119">
        <v>2021</v>
      </c>
      <c r="D419" s="59" t="s">
        <v>8</v>
      </c>
      <c r="E419" s="8">
        <f t="shared" si="43"/>
        <v>0</v>
      </c>
      <c r="F419" s="8">
        <f>SUM(F420:F424)</f>
        <v>0</v>
      </c>
      <c r="G419" s="8">
        <f>SUM(G420:G424)</f>
        <v>0</v>
      </c>
      <c r="H419" s="8">
        <f>SUM(H420:H424)</f>
        <v>0</v>
      </c>
      <c r="I419" s="8">
        <f>SUM(I420:I424)</f>
        <v>0</v>
      </c>
      <c r="J419" s="119" t="s">
        <v>556</v>
      </c>
      <c r="K419" s="119" t="s">
        <v>515</v>
      </c>
      <c r="L419" s="58" t="s">
        <v>860</v>
      </c>
    </row>
    <row r="420" spans="1:12" ht="15" customHeight="1" outlineLevel="1" x14ac:dyDescent="0.25">
      <c r="A420" s="117"/>
      <c r="B420" s="118"/>
      <c r="C420" s="119"/>
      <c r="D420" s="59">
        <v>2021</v>
      </c>
      <c r="E420" s="8">
        <f t="shared" si="43"/>
        <v>0</v>
      </c>
      <c r="F420" s="8">
        <v>0</v>
      </c>
      <c r="G420" s="8">
        <v>0</v>
      </c>
      <c r="H420" s="8">
        <v>0</v>
      </c>
      <c r="I420" s="8">
        <v>0</v>
      </c>
      <c r="J420" s="119"/>
      <c r="K420" s="119"/>
    </row>
    <row r="421" spans="1:12" ht="15" customHeight="1" outlineLevel="1" x14ac:dyDescent="0.25">
      <c r="A421" s="117"/>
      <c r="B421" s="118"/>
      <c r="C421" s="119"/>
      <c r="D421" s="59">
        <v>2022</v>
      </c>
      <c r="E421" s="8">
        <f t="shared" si="43"/>
        <v>0</v>
      </c>
      <c r="F421" s="8">
        <v>0</v>
      </c>
      <c r="G421" s="8">
        <v>0</v>
      </c>
      <c r="H421" s="8">
        <v>0</v>
      </c>
      <c r="I421" s="8">
        <v>0</v>
      </c>
      <c r="J421" s="119"/>
      <c r="K421" s="119"/>
    </row>
    <row r="422" spans="1:12" ht="15" customHeight="1" outlineLevel="1" x14ac:dyDescent="0.25">
      <c r="A422" s="117"/>
      <c r="B422" s="118"/>
      <c r="C422" s="119"/>
      <c r="D422" s="59">
        <v>2023</v>
      </c>
      <c r="E422" s="8">
        <f t="shared" si="43"/>
        <v>0</v>
      </c>
      <c r="F422" s="8">
        <v>0</v>
      </c>
      <c r="G422" s="8">
        <v>0</v>
      </c>
      <c r="H422" s="8">
        <v>0</v>
      </c>
      <c r="I422" s="8">
        <v>0</v>
      </c>
      <c r="J422" s="119"/>
      <c r="K422" s="119"/>
    </row>
    <row r="423" spans="1:12" ht="15" customHeight="1" outlineLevel="1" x14ac:dyDescent="0.25">
      <c r="A423" s="117"/>
      <c r="B423" s="118"/>
      <c r="C423" s="119"/>
      <c r="D423" s="59">
        <v>2024</v>
      </c>
      <c r="E423" s="8">
        <f t="shared" si="43"/>
        <v>0</v>
      </c>
      <c r="F423" s="8">
        <v>0</v>
      </c>
      <c r="G423" s="8">
        <v>0</v>
      </c>
      <c r="H423" s="8">
        <v>0</v>
      </c>
      <c r="I423" s="8">
        <v>0</v>
      </c>
      <c r="J423" s="119"/>
      <c r="K423" s="119"/>
    </row>
    <row r="424" spans="1:12" ht="15" customHeight="1" outlineLevel="1" x14ac:dyDescent="0.25">
      <c r="A424" s="117"/>
      <c r="B424" s="118"/>
      <c r="C424" s="119"/>
      <c r="D424" s="59">
        <v>2025</v>
      </c>
      <c r="E424" s="8">
        <f t="shared" si="43"/>
        <v>0</v>
      </c>
      <c r="F424" s="8">
        <v>0</v>
      </c>
      <c r="G424" s="8">
        <v>0</v>
      </c>
      <c r="H424" s="8">
        <v>0</v>
      </c>
      <c r="I424" s="8">
        <v>0</v>
      </c>
      <c r="J424" s="119"/>
      <c r="K424" s="119"/>
    </row>
    <row r="425" spans="1:12" ht="15" customHeight="1" outlineLevel="1" x14ac:dyDescent="0.25">
      <c r="A425" s="120" t="s">
        <v>557</v>
      </c>
      <c r="B425" s="121" t="s">
        <v>558</v>
      </c>
      <c r="C425" s="122" t="s">
        <v>19</v>
      </c>
      <c r="D425" s="48" t="s">
        <v>8</v>
      </c>
      <c r="E425" s="49">
        <f t="shared" si="43"/>
        <v>131225.81</v>
      </c>
      <c r="F425" s="49">
        <f>SUM(F426:F430)</f>
        <v>98555.157500000001</v>
      </c>
      <c r="G425" s="49">
        <f>SUM(G426:G430)</f>
        <v>0</v>
      </c>
      <c r="H425" s="49">
        <f>SUM(H426:H430)</f>
        <v>32670.652500000004</v>
      </c>
      <c r="I425" s="49">
        <f>SUM(I426:I430)</f>
        <v>0</v>
      </c>
      <c r="J425" s="122" t="s">
        <v>1762</v>
      </c>
      <c r="K425" s="122" t="s">
        <v>547</v>
      </c>
    </row>
    <row r="426" spans="1:12" ht="15" customHeight="1" outlineLevel="1" x14ac:dyDescent="0.25">
      <c r="A426" s="120"/>
      <c r="B426" s="121"/>
      <c r="C426" s="122"/>
      <c r="D426" s="48">
        <v>2021</v>
      </c>
      <c r="E426" s="49">
        <f t="shared" si="43"/>
        <v>10446.799999999999</v>
      </c>
      <c r="F426" s="49">
        <v>7970.9</v>
      </c>
      <c r="G426" s="49">
        <v>0</v>
      </c>
      <c r="H426" s="49">
        <v>2475.9</v>
      </c>
      <c r="I426" s="49">
        <v>0</v>
      </c>
      <c r="J426" s="122"/>
      <c r="K426" s="122"/>
    </row>
    <row r="427" spans="1:12" ht="15" customHeight="1" outlineLevel="1" x14ac:dyDescent="0.25">
      <c r="A427" s="120"/>
      <c r="B427" s="121"/>
      <c r="C427" s="122"/>
      <c r="D427" s="48">
        <v>2022</v>
      </c>
      <c r="E427" s="49">
        <f t="shared" si="43"/>
        <v>108779.01000000001</v>
      </c>
      <c r="F427" s="49">
        <v>81584.257500000007</v>
      </c>
      <c r="G427" s="49">
        <v>0</v>
      </c>
      <c r="H427" s="49">
        <f>F427/75*25</f>
        <v>27194.752500000002</v>
      </c>
      <c r="I427" s="49">
        <v>0</v>
      </c>
      <c r="J427" s="122"/>
      <c r="K427" s="122"/>
    </row>
    <row r="428" spans="1:12" ht="15" customHeight="1" outlineLevel="1" x14ac:dyDescent="0.25">
      <c r="A428" s="120"/>
      <c r="B428" s="121"/>
      <c r="C428" s="122"/>
      <c r="D428" s="48">
        <v>2023</v>
      </c>
      <c r="E428" s="49">
        <f t="shared" si="43"/>
        <v>12000</v>
      </c>
      <c r="F428" s="49">
        <v>9000</v>
      </c>
      <c r="G428" s="49">
        <v>0</v>
      </c>
      <c r="H428" s="49">
        <v>3000</v>
      </c>
      <c r="I428" s="49">
        <v>0</v>
      </c>
      <c r="J428" s="122"/>
      <c r="K428" s="122"/>
    </row>
    <row r="429" spans="1:12" ht="15" customHeight="1" outlineLevel="1" x14ac:dyDescent="0.25">
      <c r="A429" s="120"/>
      <c r="B429" s="121"/>
      <c r="C429" s="122"/>
      <c r="D429" s="48">
        <v>2024</v>
      </c>
      <c r="E429" s="49">
        <f t="shared" si="43"/>
        <v>0</v>
      </c>
      <c r="F429" s="49">
        <v>0</v>
      </c>
      <c r="G429" s="49">
        <v>0</v>
      </c>
      <c r="H429" s="49">
        <v>0</v>
      </c>
      <c r="I429" s="49">
        <v>0</v>
      </c>
      <c r="J429" s="122"/>
      <c r="K429" s="122"/>
    </row>
    <row r="430" spans="1:12" ht="15" customHeight="1" outlineLevel="1" x14ac:dyDescent="0.25">
      <c r="A430" s="120"/>
      <c r="B430" s="121"/>
      <c r="C430" s="122"/>
      <c r="D430" s="48">
        <v>2025</v>
      </c>
      <c r="E430" s="49">
        <f t="shared" si="43"/>
        <v>0</v>
      </c>
      <c r="F430" s="49">
        <v>0</v>
      </c>
      <c r="G430" s="49">
        <v>0</v>
      </c>
      <c r="H430" s="49">
        <v>0</v>
      </c>
      <c r="I430" s="49">
        <v>0</v>
      </c>
      <c r="J430" s="122"/>
      <c r="K430" s="122"/>
    </row>
    <row r="431" spans="1:12" ht="15" customHeight="1" outlineLevel="1" x14ac:dyDescent="0.25">
      <c r="A431" s="117" t="s">
        <v>560</v>
      </c>
      <c r="B431" s="118" t="s">
        <v>561</v>
      </c>
      <c r="C431" s="119">
        <v>2021</v>
      </c>
      <c r="D431" s="59" t="s">
        <v>8</v>
      </c>
      <c r="E431" s="8">
        <f t="shared" si="43"/>
        <v>8935.1</v>
      </c>
      <c r="F431" s="8">
        <f>SUM(F432:F436)</f>
        <v>8935.1</v>
      </c>
      <c r="G431" s="8">
        <f>SUM(G432:G436)</f>
        <v>0</v>
      </c>
      <c r="H431" s="8">
        <f>SUM(H432:H436)</f>
        <v>0</v>
      </c>
      <c r="I431" s="8">
        <f>SUM(I432:I436)</f>
        <v>0</v>
      </c>
      <c r="J431" s="119" t="s">
        <v>562</v>
      </c>
      <c r="K431" s="119" t="s">
        <v>563</v>
      </c>
      <c r="L431" s="124" t="s">
        <v>865</v>
      </c>
    </row>
    <row r="432" spans="1:12" ht="15" customHeight="1" outlineLevel="1" x14ac:dyDescent="0.25">
      <c r="A432" s="117"/>
      <c r="B432" s="118"/>
      <c r="C432" s="119"/>
      <c r="D432" s="59">
        <v>2021</v>
      </c>
      <c r="E432" s="8">
        <f t="shared" si="43"/>
        <v>8935.1</v>
      </c>
      <c r="F432" s="8">
        <v>8935.1</v>
      </c>
      <c r="G432" s="8">
        <v>0</v>
      </c>
      <c r="H432" s="8">
        <v>0</v>
      </c>
      <c r="I432" s="8">
        <v>0</v>
      </c>
      <c r="J432" s="119"/>
      <c r="K432" s="119"/>
      <c r="L432" s="124"/>
    </row>
    <row r="433" spans="1:12" ht="15" customHeight="1" outlineLevel="1" x14ac:dyDescent="0.25">
      <c r="A433" s="117"/>
      <c r="B433" s="118"/>
      <c r="C433" s="119"/>
      <c r="D433" s="59">
        <v>2022</v>
      </c>
      <c r="E433" s="8">
        <f t="shared" si="43"/>
        <v>0</v>
      </c>
      <c r="F433" s="8">
        <v>0</v>
      </c>
      <c r="G433" s="8">
        <v>0</v>
      </c>
      <c r="H433" s="8">
        <v>0</v>
      </c>
      <c r="I433" s="8">
        <v>0</v>
      </c>
      <c r="J433" s="119"/>
      <c r="K433" s="119"/>
      <c r="L433" s="124"/>
    </row>
    <row r="434" spans="1:12" ht="15" customHeight="1" outlineLevel="1" x14ac:dyDescent="0.25">
      <c r="A434" s="117"/>
      <c r="B434" s="118"/>
      <c r="C434" s="119"/>
      <c r="D434" s="59">
        <v>2023</v>
      </c>
      <c r="E434" s="8">
        <f t="shared" si="43"/>
        <v>0</v>
      </c>
      <c r="F434" s="8">
        <v>0</v>
      </c>
      <c r="G434" s="8">
        <v>0</v>
      </c>
      <c r="H434" s="8">
        <v>0</v>
      </c>
      <c r="I434" s="8">
        <v>0</v>
      </c>
      <c r="J434" s="119"/>
      <c r="K434" s="119"/>
      <c r="L434" s="124"/>
    </row>
    <row r="435" spans="1:12" ht="15" customHeight="1" outlineLevel="1" x14ac:dyDescent="0.25">
      <c r="A435" s="117"/>
      <c r="B435" s="118"/>
      <c r="C435" s="119"/>
      <c r="D435" s="59">
        <v>2024</v>
      </c>
      <c r="E435" s="8">
        <f t="shared" si="43"/>
        <v>0</v>
      </c>
      <c r="F435" s="8">
        <v>0</v>
      </c>
      <c r="G435" s="8">
        <v>0</v>
      </c>
      <c r="H435" s="8">
        <v>0</v>
      </c>
      <c r="I435" s="8">
        <v>0</v>
      </c>
      <c r="J435" s="119"/>
      <c r="K435" s="119"/>
      <c r="L435" s="124"/>
    </row>
    <row r="436" spans="1:12" ht="15" customHeight="1" outlineLevel="1" x14ac:dyDescent="0.25">
      <c r="A436" s="117"/>
      <c r="B436" s="118"/>
      <c r="C436" s="119"/>
      <c r="D436" s="59">
        <v>2025</v>
      </c>
      <c r="E436" s="8">
        <f t="shared" si="43"/>
        <v>0</v>
      </c>
      <c r="F436" s="8">
        <v>0</v>
      </c>
      <c r="G436" s="8">
        <v>0</v>
      </c>
      <c r="H436" s="8">
        <v>0</v>
      </c>
      <c r="I436" s="8">
        <v>0</v>
      </c>
      <c r="J436" s="119"/>
      <c r="K436" s="119"/>
      <c r="L436" s="124"/>
    </row>
    <row r="437" spans="1:12" ht="15" customHeight="1" outlineLevel="1" x14ac:dyDescent="0.25">
      <c r="A437" s="117" t="s">
        <v>861</v>
      </c>
      <c r="B437" s="118" t="s">
        <v>862</v>
      </c>
      <c r="C437" s="119">
        <v>2022</v>
      </c>
      <c r="D437" s="59" t="s">
        <v>8</v>
      </c>
      <c r="E437" s="8">
        <f t="shared" si="43"/>
        <v>0</v>
      </c>
      <c r="F437" s="8">
        <f>SUM(F438:F442)</f>
        <v>0</v>
      </c>
      <c r="G437" s="8">
        <f>SUM(G438:G442)</f>
        <v>0</v>
      </c>
      <c r="H437" s="8">
        <f>SUM(H438:H442)</f>
        <v>0</v>
      </c>
      <c r="I437" s="8">
        <f>SUM(I438:I442)</f>
        <v>0</v>
      </c>
      <c r="J437" s="119" t="s">
        <v>863</v>
      </c>
      <c r="K437" s="119" t="s">
        <v>547</v>
      </c>
      <c r="L437" s="124" t="s">
        <v>871</v>
      </c>
    </row>
    <row r="438" spans="1:12" ht="15" customHeight="1" outlineLevel="1" x14ac:dyDescent="0.25">
      <c r="A438" s="117"/>
      <c r="B438" s="118"/>
      <c r="C438" s="119"/>
      <c r="D438" s="59">
        <v>2021</v>
      </c>
      <c r="E438" s="8">
        <f t="shared" si="43"/>
        <v>0</v>
      </c>
      <c r="F438" s="8">
        <v>0</v>
      </c>
      <c r="G438" s="8">
        <v>0</v>
      </c>
      <c r="H438" s="8">
        <v>0</v>
      </c>
      <c r="I438" s="8">
        <v>0</v>
      </c>
      <c r="J438" s="119"/>
      <c r="K438" s="119"/>
      <c r="L438" s="124"/>
    </row>
    <row r="439" spans="1:12" ht="15" customHeight="1" outlineLevel="1" x14ac:dyDescent="0.25">
      <c r="A439" s="117"/>
      <c r="B439" s="118"/>
      <c r="C439" s="119"/>
      <c r="D439" s="59">
        <v>2022</v>
      </c>
      <c r="E439" s="8">
        <f t="shared" si="43"/>
        <v>0</v>
      </c>
      <c r="F439" s="8">
        <v>0</v>
      </c>
      <c r="G439" s="8">
        <v>0</v>
      </c>
      <c r="H439" s="8">
        <v>0</v>
      </c>
      <c r="I439" s="8">
        <v>0</v>
      </c>
      <c r="J439" s="119"/>
      <c r="K439" s="119"/>
      <c r="L439" s="124"/>
    </row>
    <row r="440" spans="1:12" ht="15" customHeight="1" outlineLevel="1" x14ac:dyDescent="0.25">
      <c r="A440" s="117"/>
      <c r="B440" s="118"/>
      <c r="C440" s="119"/>
      <c r="D440" s="59">
        <v>2023</v>
      </c>
      <c r="E440" s="8">
        <f t="shared" si="43"/>
        <v>0</v>
      </c>
      <c r="F440" s="8">
        <v>0</v>
      </c>
      <c r="G440" s="8">
        <v>0</v>
      </c>
      <c r="H440" s="8">
        <v>0</v>
      </c>
      <c r="I440" s="8">
        <v>0</v>
      </c>
      <c r="J440" s="119"/>
      <c r="K440" s="119"/>
      <c r="L440" s="124"/>
    </row>
    <row r="441" spans="1:12" ht="15" customHeight="1" outlineLevel="1" x14ac:dyDescent="0.25">
      <c r="A441" s="117"/>
      <c r="B441" s="118"/>
      <c r="C441" s="119"/>
      <c r="D441" s="59">
        <v>2024</v>
      </c>
      <c r="E441" s="8">
        <f t="shared" si="43"/>
        <v>0</v>
      </c>
      <c r="F441" s="8">
        <v>0</v>
      </c>
      <c r="G441" s="8">
        <v>0</v>
      </c>
      <c r="H441" s="8">
        <v>0</v>
      </c>
      <c r="I441" s="8">
        <v>0</v>
      </c>
      <c r="J441" s="119"/>
      <c r="K441" s="119"/>
      <c r="L441" s="124"/>
    </row>
    <row r="442" spans="1:12" ht="15" customHeight="1" outlineLevel="1" x14ac:dyDescent="0.25">
      <c r="A442" s="117"/>
      <c r="B442" s="118"/>
      <c r="C442" s="119"/>
      <c r="D442" s="59">
        <v>2025</v>
      </c>
      <c r="E442" s="8">
        <f t="shared" si="43"/>
        <v>0</v>
      </c>
      <c r="F442" s="8">
        <v>0</v>
      </c>
      <c r="G442" s="8">
        <v>0</v>
      </c>
      <c r="H442" s="8">
        <v>0</v>
      </c>
      <c r="I442" s="8">
        <v>0</v>
      </c>
      <c r="J442" s="119"/>
      <c r="K442" s="119"/>
      <c r="L442" s="124"/>
    </row>
    <row r="443" spans="1:12" ht="15" customHeight="1" outlineLevel="1" x14ac:dyDescent="0.25">
      <c r="A443" s="117" t="s">
        <v>868</v>
      </c>
      <c r="B443" s="118" t="s">
        <v>1163</v>
      </c>
      <c r="C443" s="119">
        <v>2023</v>
      </c>
      <c r="D443" s="59" t="s">
        <v>8</v>
      </c>
      <c r="E443" s="8">
        <f t="shared" si="43"/>
        <v>0</v>
      </c>
      <c r="F443" s="8">
        <f>SUM(F444:F448)</f>
        <v>0</v>
      </c>
      <c r="G443" s="8">
        <f>SUM(G444:G448)</f>
        <v>0</v>
      </c>
      <c r="H443" s="8">
        <f>SUM(H444:H448)</f>
        <v>0</v>
      </c>
      <c r="I443" s="8">
        <f>SUM(I444:I448)</f>
        <v>0</v>
      </c>
      <c r="J443" s="119" t="s">
        <v>1164</v>
      </c>
      <c r="K443" s="119" t="s">
        <v>907</v>
      </c>
      <c r="L443" s="124" t="s">
        <v>871</v>
      </c>
    </row>
    <row r="444" spans="1:12" ht="15" customHeight="1" outlineLevel="1" x14ac:dyDescent="0.25">
      <c r="A444" s="117"/>
      <c r="B444" s="118"/>
      <c r="C444" s="119"/>
      <c r="D444" s="59">
        <v>2021</v>
      </c>
      <c r="E444" s="8">
        <f t="shared" si="43"/>
        <v>0</v>
      </c>
      <c r="F444" s="8">
        <v>0</v>
      </c>
      <c r="G444" s="8">
        <v>0</v>
      </c>
      <c r="H444" s="8">
        <v>0</v>
      </c>
      <c r="I444" s="8">
        <v>0</v>
      </c>
      <c r="J444" s="119"/>
      <c r="K444" s="119"/>
      <c r="L444" s="124"/>
    </row>
    <row r="445" spans="1:12" ht="15" customHeight="1" outlineLevel="1" x14ac:dyDescent="0.25">
      <c r="A445" s="117"/>
      <c r="B445" s="118"/>
      <c r="C445" s="119"/>
      <c r="D445" s="59">
        <v>2022</v>
      </c>
      <c r="E445" s="8">
        <f t="shared" si="43"/>
        <v>0</v>
      </c>
      <c r="F445" s="8">
        <v>0</v>
      </c>
      <c r="G445" s="8">
        <v>0</v>
      </c>
      <c r="H445" s="8">
        <v>0</v>
      </c>
      <c r="I445" s="8">
        <v>0</v>
      </c>
      <c r="J445" s="119"/>
      <c r="K445" s="119"/>
      <c r="L445" s="124"/>
    </row>
    <row r="446" spans="1:12" ht="15" customHeight="1" outlineLevel="1" x14ac:dyDescent="0.25">
      <c r="A446" s="117"/>
      <c r="B446" s="118"/>
      <c r="C446" s="119"/>
      <c r="D446" s="59">
        <v>2023</v>
      </c>
      <c r="E446" s="8">
        <f t="shared" si="43"/>
        <v>0</v>
      </c>
      <c r="F446" s="8">
        <v>0</v>
      </c>
      <c r="G446" s="8">
        <v>0</v>
      </c>
      <c r="H446" s="8">
        <v>0</v>
      </c>
      <c r="I446" s="8">
        <v>0</v>
      </c>
      <c r="J446" s="119"/>
      <c r="K446" s="119"/>
      <c r="L446" s="124"/>
    </row>
    <row r="447" spans="1:12" ht="15" customHeight="1" outlineLevel="1" x14ac:dyDescent="0.25">
      <c r="A447" s="117"/>
      <c r="B447" s="118"/>
      <c r="C447" s="119"/>
      <c r="D447" s="59">
        <v>2024</v>
      </c>
      <c r="E447" s="8">
        <f t="shared" si="43"/>
        <v>0</v>
      </c>
      <c r="F447" s="8">
        <v>0</v>
      </c>
      <c r="G447" s="8">
        <v>0</v>
      </c>
      <c r="H447" s="8">
        <v>0</v>
      </c>
      <c r="I447" s="8">
        <v>0</v>
      </c>
      <c r="J447" s="119"/>
      <c r="K447" s="119"/>
      <c r="L447" s="124"/>
    </row>
    <row r="448" spans="1:12" ht="15" customHeight="1" outlineLevel="1" x14ac:dyDescent="0.25">
      <c r="A448" s="117"/>
      <c r="B448" s="118"/>
      <c r="C448" s="119"/>
      <c r="D448" s="59">
        <v>2025</v>
      </c>
      <c r="E448" s="8">
        <f t="shared" si="43"/>
        <v>0</v>
      </c>
      <c r="F448" s="8">
        <v>0</v>
      </c>
      <c r="G448" s="8">
        <v>0</v>
      </c>
      <c r="H448" s="8">
        <v>0</v>
      </c>
      <c r="I448" s="8">
        <v>0</v>
      </c>
      <c r="J448" s="119"/>
      <c r="K448" s="119"/>
      <c r="L448" s="124"/>
    </row>
    <row r="449" spans="1:11" ht="15" customHeight="1" outlineLevel="1" x14ac:dyDescent="0.25">
      <c r="A449" s="117" t="s">
        <v>873</v>
      </c>
      <c r="B449" s="118" t="s">
        <v>874</v>
      </c>
      <c r="C449" s="119">
        <v>2022</v>
      </c>
      <c r="D449" s="59" t="s">
        <v>8</v>
      </c>
      <c r="E449" s="8">
        <f t="shared" si="43"/>
        <v>0</v>
      </c>
      <c r="F449" s="8">
        <f>SUM(F450:F454)</f>
        <v>0</v>
      </c>
      <c r="G449" s="8">
        <f>SUM(G450:G454)</f>
        <v>0</v>
      </c>
      <c r="H449" s="8">
        <f>SUM(H450:H454)</f>
        <v>0</v>
      </c>
      <c r="I449" s="8">
        <f>SUM(I450:I454)</f>
        <v>0</v>
      </c>
      <c r="J449" s="119" t="s">
        <v>875</v>
      </c>
      <c r="K449" s="119" t="s">
        <v>955</v>
      </c>
    </row>
    <row r="450" spans="1:11" ht="15" customHeight="1" outlineLevel="1" x14ac:dyDescent="0.25">
      <c r="A450" s="117"/>
      <c r="B450" s="118"/>
      <c r="C450" s="119"/>
      <c r="D450" s="59">
        <v>2021</v>
      </c>
      <c r="E450" s="8">
        <f t="shared" si="43"/>
        <v>0</v>
      </c>
      <c r="F450" s="8">
        <v>0</v>
      </c>
      <c r="G450" s="8">
        <v>0</v>
      </c>
      <c r="H450" s="8">
        <v>0</v>
      </c>
      <c r="I450" s="8">
        <v>0</v>
      </c>
      <c r="J450" s="119"/>
      <c r="K450" s="119"/>
    </row>
    <row r="451" spans="1:11" ht="15" customHeight="1" outlineLevel="1" x14ac:dyDescent="0.25">
      <c r="A451" s="117"/>
      <c r="B451" s="118"/>
      <c r="C451" s="119"/>
      <c r="D451" s="59">
        <v>2022</v>
      </c>
      <c r="E451" s="8">
        <f t="shared" si="43"/>
        <v>0</v>
      </c>
      <c r="F451" s="8">
        <f>6000-6000</f>
        <v>0</v>
      </c>
      <c r="G451" s="8">
        <v>0</v>
      </c>
      <c r="H451" s="8">
        <v>0</v>
      </c>
      <c r="I451" s="8">
        <v>0</v>
      </c>
      <c r="J451" s="119"/>
      <c r="K451" s="119"/>
    </row>
    <row r="452" spans="1:11" ht="15" customHeight="1" outlineLevel="1" x14ac:dyDescent="0.25">
      <c r="A452" s="117"/>
      <c r="B452" s="118"/>
      <c r="C452" s="119"/>
      <c r="D452" s="59">
        <v>2023</v>
      </c>
      <c r="E452" s="8">
        <f t="shared" si="43"/>
        <v>0</v>
      </c>
      <c r="F452" s="8">
        <v>0</v>
      </c>
      <c r="G452" s="8">
        <v>0</v>
      </c>
      <c r="H452" s="8">
        <v>0</v>
      </c>
      <c r="I452" s="8">
        <v>0</v>
      </c>
      <c r="J452" s="119"/>
      <c r="K452" s="119"/>
    </row>
    <row r="453" spans="1:11" ht="15" customHeight="1" outlineLevel="1" x14ac:dyDescent="0.25">
      <c r="A453" s="117"/>
      <c r="B453" s="118"/>
      <c r="C453" s="119"/>
      <c r="D453" s="59">
        <v>2024</v>
      </c>
      <c r="E453" s="8">
        <f t="shared" si="43"/>
        <v>0</v>
      </c>
      <c r="F453" s="8">
        <v>0</v>
      </c>
      <c r="G453" s="8">
        <v>0</v>
      </c>
      <c r="H453" s="8">
        <v>0</v>
      </c>
      <c r="I453" s="8">
        <v>0</v>
      </c>
      <c r="J453" s="119"/>
      <c r="K453" s="119"/>
    </row>
    <row r="454" spans="1:11" ht="15" customHeight="1" outlineLevel="1" x14ac:dyDescent="0.25">
      <c r="A454" s="117"/>
      <c r="B454" s="118"/>
      <c r="C454" s="119"/>
      <c r="D454" s="59">
        <v>2025</v>
      </c>
      <c r="E454" s="8">
        <f t="shared" si="43"/>
        <v>0</v>
      </c>
      <c r="F454" s="8">
        <v>0</v>
      </c>
      <c r="G454" s="8">
        <v>0</v>
      </c>
      <c r="H454" s="8">
        <v>0</v>
      </c>
      <c r="I454" s="8">
        <v>0</v>
      </c>
      <c r="J454" s="119"/>
      <c r="K454" s="119"/>
    </row>
    <row r="455" spans="1:11" ht="15" customHeight="1" outlineLevel="1" x14ac:dyDescent="0.25">
      <c r="A455" s="117" t="s">
        <v>879</v>
      </c>
      <c r="B455" s="118" t="s">
        <v>880</v>
      </c>
      <c r="C455" s="119">
        <v>2022</v>
      </c>
      <c r="D455" s="59" t="s">
        <v>8</v>
      </c>
      <c r="E455" s="8">
        <f t="shared" si="43"/>
        <v>5000</v>
      </c>
      <c r="F455" s="8">
        <f>SUM(F456:F460)</f>
        <v>4750</v>
      </c>
      <c r="G455" s="8">
        <f>SUM(G456:G460)</f>
        <v>0</v>
      </c>
      <c r="H455" s="8">
        <f>SUM(H456:H460)</f>
        <v>250</v>
      </c>
      <c r="I455" s="8">
        <f>SUM(I456:I460)</f>
        <v>0</v>
      </c>
      <c r="J455" s="119" t="s">
        <v>881</v>
      </c>
      <c r="K455" s="119" t="s">
        <v>547</v>
      </c>
    </row>
    <row r="456" spans="1:11" ht="15" customHeight="1" outlineLevel="1" x14ac:dyDescent="0.25">
      <c r="A456" s="117"/>
      <c r="B456" s="118"/>
      <c r="C456" s="119"/>
      <c r="D456" s="59">
        <v>2021</v>
      </c>
      <c r="E456" s="8">
        <f t="shared" si="43"/>
        <v>0</v>
      </c>
      <c r="F456" s="8">
        <v>0</v>
      </c>
      <c r="G456" s="8">
        <v>0</v>
      </c>
      <c r="H456" s="8">
        <v>0</v>
      </c>
      <c r="I456" s="8">
        <v>0</v>
      </c>
      <c r="J456" s="119"/>
      <c r="K456" s="119"/>
    </row>
    <row r="457" spans="1:11" ht="15" customHeight="1" outlineLevel="1" x14ac:dyDescent="0.25">
      <c r="A457" s="117"/>
      <c r="B457" s="118"/>
      <c r="C457" s="119"/>
      <c r="D457" s="59">
        <v>2022</v>
      </c>
      <c r="E457" s="8">
        <f t="shared" si="43"/>
        <v>5000</v>
      </c>
      <c r="F457" s="8">
        <f>4750000/1000</f>
        <v>4750</v>
      </c>
      <c r="G457" s="8">
        <v>0</v>
      </c>
      <c r="H457" s="8">
        <f>F457*5%/95%</f>
        <v>250</v>
      </c>
      <c r="I457" s="8">
        <v>0</v>
      </c>
      <c r="J457" s="119"/>
      <c r="K457" s="119"/>
    </row>
    <row r="458" spans="1:11" ht="15" customHeight="1" outlineLevel="1" x14ac:dyDescent="0.25">
      <c r="A458" s="117"/>
      <c r="B458" s="118"/>
      <c r="C458" s="119"/>
      <c r="D458" s="59">
        <v>2023</v>
      </c>
      <c r="E458" s="8">
        <f t="shared" si="43"/>
        <v>0</v>
      </c>
      <c r="F458" s="8">
        <v>0</v>
      </c>
      <c r="G458" s="8">
        <v>0</v>
      </c>
      <c r="H458" s="8">
        <v>0</v>
      </c>
      <c r="I458" s="8">
        <v>0</v>
      </c>
      <c r="J458" s="119"/>
      <c r="K458" s="119"/>
    </row>
    <row r="459" spans="1:11" ht="15" customHeight="1" outlineLevel="1" x14ac:dyDescent="0.25">
      <c r="A459" s="117"/>
      <c r="B459" s="118"/>
      <c r="C459" s="119"/>
      <c r="D459" s="59">
        <v>2024</v>
      </c>
      <c r="E459" s="8">
        <f t="shared" si="43"/>
        <v>0</v>
      </c>
      <c r="F459" s="8">
        <v>0</v>
      </c>
      <c r="G459" s="8">
        <v>0</v>
      </c>
      <c r="H459" s="8">
        <v>0</v>
      </c>
      <c r="I459" s="8">
        <v>0</v>
      </c>
      <c r="J459" s="119"/>
      <c r="K459" s="119"/>
    </row>
    <row r="460" spans="1:11" ht="15" customHeight="1" outlineLevel="1" x14ac:dyDescent="0.25">
      <c r="A460" s="117"/>
      <c r="B460" s="118"/>
      <c r="C460" s="119"/>
      <c r="D460" s="59">
        <v>2025</v>
      </c>
      <c r="E460" s="8">
        <f t="shared" si="43"/>
        <v>0</v>
      </c>
      <c r="F460" s="8">
        <v>0</v>
      </c>
      <c r="G460" s="8">
        <v>0</v>
      </c>
      <c r="H460" s="8">
        <v>0</v>
      </c>
      <c r="I460" s="8">
        <v>0</v>
      </c>
      <c r="J460" s="119"/>
      <c r="K460" s="119"/>
    </row>
    <row r="461" spans="1:11" ht="15" customHeight="1" outlineLevel="1" x14ac:dyDescent="0.25">
      <c r="A461" s="117" t="s">
        <v>882</v>
      </c>
      <c r="B461" s="118" t="s">
        <v>1165</v>
      </c>
      <c r="C461" s="119">
        <v>2022</v>
      </c>
      <c r="D461" s="59" t="s">
        <v>8</v>
      </c>
      <c r="E461" s="8">
        <f t="shared" si="43"/>
        <v>0</v>
      </c>
      <c r="F461" s="8">
        <f>SUM(F462:F466)</f>
        <v>0</v>
      </c>
      <c r="G461" s="8">
        <f t="shared" ref="G461:G491" si="44">SUM(G462:G466)</f>
        <v>0</v>
      </c>
      <c r="H461" s="8">
        <f>SUM(H462:H466)</f>
        <v>0</v>
      </c>
      <c r="I461" s="8">
        <f t="shared" ref="I461:I509" si="45">SUM(I462:I466)</f>
        <v>0</v>
      </c>
      <c r="J461" s="119" t="s">
        <v>884</v>
      </c>
      <c r="K461" s="119" t="s">
        <v>547</v>
      </c>
    </row>
    <row r="462" spans="1:11" ht="15" customHeight="1" outlineLevel="1" x14ac:dyDescent="0.25">
      <c r="A462" s="117"/>
      <c r="B462" s="118"/>
      <c r="C462" s="119"/>
      <c r="D462" s="59">
        <v>2021</v>
      </c>
      <c r="E462" s="8">
        <f t="shared" si="43"/>
        <v>0</v>
      </c>
      <c r="F462" s="8">
        <v>0</v>
      </c>
      <c r="G462" s="8">
        <f t="shared" si="44"/>
        <v>0</v>
      </c>
      <c r="H462" s="8">
        <v>0</v>
      </c>
      <c r="I462" s="8">
        <f t="shared" si="45"/>
        <v>0</v>
      </c>
      <c r="J462" s="119"/>
      <c r="K462" s="119"/>
    </row>
    <row r="463" spans="1:11" ht="15" customHeight="1" outlineLevel="1" x14ac:dyDescent="0.25">
      <c r="A463" s="117"/>
      <c r="B463" s="118"/>
      <c r="C463" s="119"/>
      <c r="D463" s="59">
        <v>2022</v>
      </c>
      <c r="E463" s="8">
        <f t="shared" si="43"/>
        <v>0</v>
      </c>
      <c r="F463" s="8">
        <v>0</v>
      </c>
      <c r="G463" s="8">
        <f t="shared" si="44"/>
        <v>0</v>
      </c>
      <c r="H463" s="8">
        <v>0</v>
      </c>
      <c r="I463" s="8">
        <f t="shared" si="45"/>
        <v>0</v>
      </c>
      <c r="J463" s="119"/>
      <c r="K463" s="119"/>
    </row>
    <row r="464" spans="1:11" ht="15" customHeight="1" outlineLevel="1" x14ac:dyDescent="0.25">
      <c r="A464" s="117"/>
      <c r="B464" s="118"/>
      <c r="C464" s="119"/>
      <c r="D464" s="59">
        <v>2023</v>
      </c>
      <c r="E464" s="8">
        <f t="shared" si="43"/>
        <v>0</v>
      </c>
      <c r="F464" s="8">
        <v>0</v>
      </c>
      <c r="G464" s="8">
        <f t="shared" si="44"/>
        <v>0</v>
      </c>
      <c r="H464" s="8">
        <v>0</v>
      </c>
      <c r="I464" s="8">
        <f t="shared" si="45"/>
        <v>0</v>
      </c>
      <c r="J464" s="119"/>
      <c r="K464" s="119"/>
    </row>
    <row r="465" spans="1:12" ht="15" customHeight="1" outlineLevel="1" x14ac:dyDescent="0.25">
      <c r="A465" s="117"/>
      <c r="B465" s="118"/>
      <c r="C465" s="119"/>
      <c r="D465" s="59">
        <v>2024</v>
      </c>
      <c r="E465" s="8">
        <f t="shared" si="43"/>
        <v>0</v>
      </c>
      <c r="F465" s="8">
        <v>0</v>
      </c>
      <c r="G465" s="8">
        <f t="shared" si="44"/>
        <v>0</v>
      </c>
      <c r="H465" s="8">
        <v>0</v>
      </c>
      <c r="I465" s="8">
        <f t="shared" si="45"/>
        <v>0</v>
      </c>
      <c r="J465" s="119"/>
      <c r="K465" s="119"/>
    </row>
    <row r="466" spans="1:12" ht="15" customHeight="1" outlineLevel="1" x14ac:dyDescent="0.25">
      <c r="A466" s="117"/>
      <c r="B466" s="118"/>
      <c r="C466" s="119"/>
      <c r="D466" s="59">
        <v>2025</v>
      </c>
      <c r="E466" s="8">
        <f t="shared" si="43"/>
        <v>0</v>
      </c>
      <c r="F466" s="8">
        <v>0</v>
      </c>
      <c r="G466" s="8">
        <f t="shared" si="44"/>
        <v>0</v>
      </c>
      <c r="H466" s="8">
        <v>0</v>
      </c>
      <c r="I466" s="8">
        <f t="shared" si="45"/>
        <v>0</v>
      </c>
      <c r="J466" s="119"/>
      <c r="K466" s="119"/>
    </row>
    <row r="467" spans="1:12" ht="15" customHeight="1" outlineLevel="1" x14ac:dyDescent="0.25">
      <c r="A467" s="117" t="s">
        <v>885</v>
      </c>
      <c r="B467" s="118" t="s">
        <v>1166</v>
      </c>
      <c r="C467" s="119">
        <v>2022</v>
      </c>
      <c r="D467" s="59" t="s">
        <v>8</v>
      </c>
      <c r="E467" s="8">
        <f t="shared" si="43"/>
        <v>6815.7889999999998</v>
      </c>
      <c r="F467" s="8">
        <f>SUM(F468:F472)</f>
        <v>6475</v>
      </c>
      <c r="G467" s="8">
        <f t="shared" si="44"/>
        <v>0</v>
      </c>
      <c r="H467" s="8">
        <f>SUM(H468:H472)</f>
        <v>340.78899999999999</v>
      </c>
      <c r="I467" s="8">
        <f t="shared" si="45"/>
        <v>0</v>
      </c>
      <c r="J467" s="119" t="s">
        <v>1167</v>
      </c>
      <c r="K467" s="119" t="s">
        <v>547</v>
      </c>
    </row>
    <row r="468" spans="1:12" ht="15" customHeight="1" outlineLevel="1" x14ac:dyDescent="0.25">
      <c r="A468" s="117"/>
      <c r="B468" s="118"/>
      <c r="C468" s="119"/>
      <c r="D468" s="59">
        <v>2021</v>
      </c>
      <c r="E468" s="8">
        <f t="shared" si="43"/>
        <v>0</v>
      </c>
      <c r="F468" s="8">
        <v>0</v>
      </c>
      <c r="G468" s="8">
        <v>0</v>
      </c>
      <c r="H468" s="8">
        <v>0</v>
      </c>
      <c r="I468" s="8">
        <f t="shared" si="45"/>
        <v>0</v>
      </c>
      <c r="J468" s="119"/>
      <c r="K468" s="119"/>
    </row>
    <row r="469" spans="1:12" ht="15" customHeight="1" outlineLevel="1" x14ac:dyDescent="0.25">
      <c r="A469" s="117"/>
      <c r="B469" s="118"/>
      <c r="C469" s="119"/>
      <c r="D469" s="59">
        <v>2022</v>
      </c>
      <c r="E469" s="8">
        <f t="shared" si="43"/>
        <v>6815.7889999999998</v>
      </c>
      <c r="F469" s="8">
        <v>6475</v>
      </c>
      <c r="G469" s="8">
        <v>0</v>
      </c>
      <c r="H469" s="8">
        <v>340.78899999999999</v>
      </c>
      <c r="I469" s="8">
        <f t="shared" si="45"/>
        <v>0</v>
      </c>
      <c r="J469" s="119"/>
      <c r="K469" s="119"/>
    </row>
    <row r="470" spans="1:12" ht="15" customHeight="1" outlineLevel="1" x14ac:dyDescent="0.25">
      <c r="A470" s="117"/>
      <c r="B470" s="118"/>
      <c r="C470" s="119"/>
      <c r="D470" s="59">
        <v>2023</v>
      </c>
      <c r="E470" s="8">
        <f t="shared" si="43"/>
        <v>0</v>
      </c>
      <c r="F470" s="8">
        <v>0</v>
      </c>
      <c r="G470" s="8">
        <v>0</v>
      </c>
      <c r="H470" s="8">
        <v>0</v>
      </c>
      <c r="I470" s="8">
        <f t="shared" si="45"/>
        <v>0</v>
      </c>
      <c r="J470" s="119"/>
      <c r="K470" s="119"/>
    </row>
    <row r="471" spans="1:12" ht="15" customHeight="1" outlineLevel="1" x14ac:dyDescent="0.25">
      <c r="A471" s="117"/>
      <c r="B471" s="118"/>
      <c r="C471" s="119"/>
      <c r="D471" s="59">
        <v>2024</v>
      </c>
      <c r="E471" s="8">
        <f t="shared" si="43"/>
        <v>0</v>
      </c>
      <c r="F471" s="8">
        <v>0</v>
      </c>
      <c r="G471" s="8">
        <v>0</v>
      </c>
      <c r="H471" s="8">
        <v>0</v>
      </c>
      <c r="I471" s="8">
        <f t="shared" si="45"/>
        <v>0</v>
      </c>
      <c r="J471" s="119"/>
      <c r="K471" s="119"/>
    </row>
    <row r="472" spans="1:12" ht="15" customHeight="1" outlineLevel="1" x14ac:dyDescent="0.25">
      <c r="A472" s="117"/>
      <c r="B472" s="118"/>
      <c r="C472" s="119"/>
      <c r="D472" s="59">
        <v>2025</v>
      </c>
      <c r="E472" s="8">
        <f t="shared" ref="E472:E549" si="46">SUM(F472:I472)</f>
        <v>0</v>
      </c>
      <c r="F472" s="8">
        <v>0</v>
      </c>
      <c r="G472" s="8">
        <v>0</v>
      </c>
      <c r="H472" s="8">
        <v>0</v>
      </c>
      <c r="I472" s="8">
        <f t="shared" si="45"/>
        <v>0</v>
      </c>
      <c r="J472" s="119"/>
      <c r="K472" s="119"/>
    </row>
    <row r="473" spans="1:12" ht="15" customHeight="1" outlineLevel="1" x14ac:dyDescent="0.25">
      <c r="A473" s="117" t="s">
        <v>888</v>
      </c>
      <c r="B473" s="118" t="s">
        <v>889</v>
      </c>
      <c r="C473" s="119">
        <v>2022</v>
      </c>
      <c r="D473" s="59" t="s">
        <v>8</v>
      </c>
      <c r="E473" s="8">
        <f t="shared" si="46"/>
        <v>6717.1717171717173</v>
      </c>
      <c r="F473" s="8">
        <f>SUM(F474:F478)</f>
        <v>6650</v>
      </c>
      <c r="G473" s="8">
        <v>0</v>
      </c>
      <c r="H473" s="8">
        <f>SUM(H474:H478)</f>
        <v>67.171717171717177</v>
      </c>
      <c r="I473" s="8">
        <f t="shared" si="45"/>
        <v>0</v>
      </c>
      <c r="J473" s="119" t="s">
        <v>890</v>
      </c>
      <c r="K473" s="119" t="s">
        <v>547</v>
      </c>
      <c r="L473" s="124" t="s">
        <v>871</v>
      </c>
    </row>
    <row r="474" spans="1:12" ht="15" customHeight="1" outlineLevel="1" x14ac:dyDescent="0.25">
      <c r="A474" s="117"/>
      <c r="B474" s="118"/>
      <c r="C474" s="119"/>
      <c r="D474" s="59">
        <v>2021</v>
      </c>
      <c r="E474" s="8">
        <f t="shared" si="46"/>
        <v>0</v>
      </c>
      <c r="F474" s="8">
        <v>0</v>
      </c>
      <c r="G474" s="8">
        <v>0</v>
      </c>
      <c r="H474" s="8">
        <v>0</v>
      </c>
      <c r="I474" s="8">
        <f t="shared" si="45"/>
        <v>0</v>
      </c>
      <c r="J474" s="119"/>
      <c r="K474" s="119"/>
      <c r="L474" s="124"/>
    </row>
    <row r="475" spans="1:12" ht="15" customHeight="1" outlineLevel="1" x14ac:dyDescent="0.25">
      <c r="A475" s="117"/>
      <c r="B475" s="118"/>
      <c r="C475" s="119"/>
      <c r="D475" s="59">
        <v>2022</v>
      </c>
      <c r="E475" s="8">
        <f t="shared" si="46"/>
        <v>6717.1717171717173</v>
      </c>
      <c r="F475" s="8">
        <v>6650</v>
      </c>
      <c r="G475" s="8">
        <v>0</v>
      </c>
      <c r="H475" s="8">
        <f>F475/99*1</f>
        <v>67.171717171717177</v>
      </c>
      <c r="I475" s="8">
        <f t="shared" si="45"/>
        <v>0</v>
      </c>
      <c r="J475" s="119"/>
      <c r="K475" s="119"/>
      <c r="L475" s="124"/>
    </row>
    <row r="476" spans="1:12" ht="15" customHeight="1" outlineLevel="1" x14ac:dyDescent="0.25">
      <c r="A476" s="117"/>
      <c r="B476" s="118"/>
      <c r="C476" s="119"/>
      <c r="D476" s="59">
        <v>2023</v>
      </c>
      <c r="E476" s="8">
        <f t="shared" si="46"/>
        <v>0</v>
      </c>
      <c r="F476" s="8">
        <v>0</v>
      </c>
      <c r="G476" s="8">
        <v>0</v>
      </c>
      <c r="H476" s="8">
        <v>0</v>
      </c>
      <c r="I476" s="8">
        <f t="shared" si="45"/>
        <v>0</v>
      </c>
      <c r="J476" s="119"/>
      <c r="K476" s="119"/>
      <c r="L476" s="124"/>
    </row>
    <row r="477" spans="1:12" ht="15" customHeight="1" outlineLevel="1" x14ac:dyDescent="0.25">
      <c r="A477" s="117"/>
      <c r="B477" s="118"/>
      <c r="C477" s="119"/>
      <c r="D477" s="59">
        <v>2024</v>
      </c>
      <c r="E477" s="8">
        <f t="shared" si="46"/>
        <v>0</v>
      </c>
      <c r="F477" s="8">
        <v>0</v>
      </c>
      <c r="G477" s="8">
        <v>0</v>
      </c>
      <c r="H477" s="8">
        <v>0</v>
      </c>
      <c r="I477" s="8">
        <f t="shared" si="45"/>
        <v>0</v>
      </c>
      <c r="J477" s="119"/>
      <c r="K477" s="119"/>
      <c r="L477" s="124"/>
    </row>
    <row r="478" spans="1:12" ht="15" customHeight="1" outlineLevel="1" x14ac:dyDescent="0.25">
      <c r="A478" s="117"/>
      <c r="B478" s="118"/>
      <c r="C478" s="119"/>
      <c r="D478" s="59">
        <v>2025</v>
      </c>
      <c r="E478" s="8">
        <f t="shared" si="46"/>
        <v>0</v>
      </c>
      <c r="F478" s="8">
        <v>0</v>
      </c>
      <c r="G478" s="8">
        <v>0</v>
      </c>
      <c r="H478" s="8">
        <v>0</v>
      </c>
      <c r="I478" s="8">
        <f t="shared" si="45"/>
        <v>0</v>
      </c>
      <c r="J478" s="119"/>
      <c r="K478" s="119"/>
      <c r="L478" s="124"/>
    </row>
    <row r="479" spans="1:12" ht="17.25" customHeight="1" outlineLevel="1" x14ac:dyDescent="0.25">
      <c r="A479" s="117" t="s">
        <v>891</v>
      </c>
      <c r="B479" s="118" t="s">
        <v>892</v>
      </c>
      <c r="C479" s="119">
        <v>2023</v>
      </c>
      <c r="D479" s="59" t="s">
        <v>8</v>
      </c>
      <c r="E479" s="8">
        <f t="shared" si="46"/>
        <v>0</v>
      </c>
      <c r="F479" s="8">
        <f>SUM(F480:F484)</f>
        <v>0</v>
      </c>
      <c r="G479" s="8">
        <v>0</v>
      </c>
      <c r="H479" s="8">
        <f>SUM(H480:H484)</f>
        <v>0</v>
      </c>
      <c r="I479" s="8">
        <f t="shared" si="45"/>
        <v>0</v>
      </c>
      <c r="J479" s="119" t="s">
        <v>1168</v>
      </c>
      <c r="K479" s="119" t="s">
        <v>907</v>
      </c>
    </row>
    <row r="480" spans="1:12" ht="17.25" customHeight="1" outlineLevel="1" x14ac:dyDescent="0.25">
      <c r="A480" s="117"/>
      <c r="B480" s="118"/>
      <c r="C480" s="119"/>
      <c r="D480" s="59">
        <v>2021</v>
      </c>
      <c r="E480" s="8">
        <f t="shared" si="46"/>
        <v>0</v>
      </c>
      <c r="F480" s="8">
        <v>0</v>
      </c>
      <c r="G480" s="8">
        <v>0</v>
      </c>
      <c r="H480" s="8">
        <v>0</v>
      </c>
      <c r="I480" s="8">
        <v>0</v>
      </c>
      <c r="J480" s="119"/>
      <c r="K480" s="119"/>
    </row>
    <row r="481" spans="1:12" ht="17.25" customHeight="1" outlineLevel="1" x14ac:dyDescent="0.25">
      <c r="A481" s="117"/>
      <c r="B481" s="118"/>
      <c r="C481" s="119"/>
      <c r="D481" s="59">
        <v>2022</v>
      </c>
      <c r="E481" s="8">
        <f t="shared" si="46"/>
        <v>0</v>
      </c>
      <c r="F481" s="8">
        <v>0</v>
      </c>
      <c r="G481" s="8">
        <v>0</v>
      </c>
      <c r="H481" s="8">
        <v>0</v>
      </c>
      <c r="I481" s="8">
        <v>0</v>
      </c>
      <c r="J481" s="119"/>
      <c r="K481" s="119"/>
    </row>
    <row r="482" spans="1:12" ht="17.25" customHeight="1" outlineLevel="1" x14ac:dyDescent="0.25">
      <c r="A482" s="117"/>
      <c r="B482" s="118"/>
      <c r="C482" s="119"/>
      <c r="D482" s="59">
        <v>2023</v>
      </c>
      <c r="E482" s="8">
        <f t="shared" si="46"/>
        <v>0</v>
      </c>
      <c r="F482" s="8">
        <v>0</v>
      </c>
      <c r="G482" s="8">
        <v>0</v>
      </c>
      <c r="H482" s="8">
        <v>0</v>
      </c>
      <c r="I482" s="8">
        <v>0</v>
      </c>
      <c r="J482" s="119"/>
      <c r="K482" s="119"/>
    </row>
    <row r="483" spans="1:12" ht="17.25" customHeight="1" outlineLevel="1" x14ac:dyDescent="0.25">
      <c r="A483" s="117"/>
      <c r="B483" s="118"/>
      <c r="C483" s="119"/>
      <c r="D483" s="59">
        <v>2024</v>
      </c>
      <c r="E483" s="8">
        <f t="shared" si="46"/>
        <v>0</v>
      </c>
      <c r="F483" s="8">
        <v>0</v>
      </c>
      <c r="G483" s="8">
        <v>0</v>
      </c>
      <c r="H483" s="8">
        <v>0</v>
      </c>
      <c r="I483" s="8">
        <v>0</v>
      </c>
      <c r="J483" s="119"/>
      <c r="K483" s="119"/>
    </row>
    <row r="484" spans="1:12" ht="17.25" customHeight="1" outlineLevel="1" x14ac:dyDescent="0.25">
      <c r="A484" s="117"/>
      <c r="B484" s="118"/>
      <c r="C484" s="119"/>
      <c r="D484" s="59">
        <v>2025</v>
      </c>
      <c r="E484" s="8">
        <f t="shared" si="46"/>
        <v>0</v>
      </c>
      <c r="F484" s="8">
        <v>0</v>
      </c>
      <c r="G484" s="8">
        <v>0</v>
      </c>
      <c r="H484" s="8">
        <v>0</v>
      </c>
      <c r="I484" s="8">
        <v>0</v>
      </c>
      <c r="J484" s="119"/>
      <c r="K484" s="119"/>
    </row>
    <row r="485" spans="1:12" ht="15" customHeight="1" outlineLevel="1" x14ac:dyDescent="0.25">
      <c r="A485" s="117" t="s">
        <v>894</v>
      </c>
      <c r="B485" s="118" t="s">
        <v>793</v>
      </c>
      <c r="C485" s="119">
        <v>2022</v>
      </c>
      <c r="D485" s="59" t="s">
        <v>8</v>
      </c>
      <c r="E485" s="8">
        <f t="shared" si="46"/>
        <v>0</v>
      </c>
      <c r="F485" s="8">
        <f>SUM(F486:F490)</f>
        <v>0</v>
      </c>
      <c r="G485" s="8">
        <f t="shared" si="44"/>
        <v>0</v>
      </c>
      <c r="H485" s="8">
        <f>SUM(H486:H490)</f>
        <v>0</v>
      </c>
      <c r="I485" s="8">
        <f t="shared" si="45"/>
        <v>0</v>
      </c>
      <c r="J485" s="119" t="s">
        <v>895</v>
      </c>
      <c r="K485" s="119" t="s">
        <v>547</v>
      </c>
      <c r="L485" s="124"/>
    </row>
    <row r="486" spans="1:12" ht="15" customHeight="1" outlineLevel="1" x14ac:dyDescent="0.25">
      <c r="A486" s="117"/>
      <c r="B486" s="118"/>
      <c r="C486" s="119"/>
      <c r="D486" s="59">
        <v>2021</v>
      </c>
      <c r="E486" s="8">
        <f t="shared" si="46"/>
        <v>0</v>
      </c>
      <c r="F486" s="8">
        <v>0</v>
      </c>
      <c r="G486" s="8">
        <v>0</v>
      </c>
      <c r="H486" s="8">
        <v>0</v>
      </c>
      <c r="I486" s="8">
        <v>0</v>
      </c>
      <c r="J486" s="119"/>
      <c r="K486" s="119"/>
      <c r="L486" s="124"/>
    </row>
    <row r="487" spans="1:12" ht="15" customHeight="1" outlineLevel="1" x14ac:dyDescent="0.25">
      <c r="A487" s="117"/>
      <c r="B487" s="118"/>
      <c r="C487" s="119"/>
      <c r="D487" s="59">
        <v>2022</v>
      </c>
      <c r="E487" s="8">
        <f t="shared" si="46"/>
        <v>0</v>
      </c>
      <c r="F487" s="8">
        <v>0</v>
      </c>
      <c r="G487" s="8">
        <v>0</v>
      </c>
      <c r="H487" s="8">
        <v>0</v>
      </c>
      <c r="I487" s="8">
        <v>0</v>
      </c>
      <c r="J487" s="119"/>
      <c r="K487" s="119"/>
      <c r="L487" s="124"/>
    </row>
    <row r="488" spans="1:12" ht="15" customHeight="1" outlineLevel="1" x14ac:dyDescent="0.25">
      <c r="A488" s="117"/>
      <c r="B488" s="118"/>
      <c r="C488" s="119"/>
      <c r="D488" s="59">
        <v>2023</v>
      </c>
      <c r="E488" s="8">
        <f t="shared" si="46"/>
        <v>0</v>
      </c>
      <c r="F488" s="8">
        <v>0</v>
      </c>
      <c r="G488" s="8">
        <v>0</v>
      </c>
      <c r="H488" s="8">
        <v>0</v>
      </c>
      <c r="I488" s="8">
        <v>0</v>
      </c>
      <c r="J488" s="119"/>
      <c r="K488" s="119"/>
      <c r="L488" s="124"/>
    </row>
    <row r="489" spans="1:12" ht="15" customHeight="1" outlineLevel="1" x14ac:dyDescent="0.25">
      <c r="A489" s="117"/>
      <c r="B489" s="118"/>
      <c r="C489" s="119"/>
      <c r="D489" s="59">
        <v>2024</v>
      </c>
      <c r="E489" s="8">
        <f t="shared" si="46"/>
        <v>0</v>
      </c>
      <c r="F489" s="8">
        <v>0</v>
      </c>
      <c r="G489" s="8">
        <v>0</v>
      </c>
      <c r="H489" s="8">
        <v>0</v>
      </c>
      <c r="I489" s="8">
        <v>0</v>
      </c>
      <c r="J489" s="119"/>
      <c r="K489" s="119"/>
      <c r="L489" s="124"/>
    </row>
    <row r="490" spans="1:12" ht="15" customHeight="1" outlineLevel="1" x14ac:dyDescent="0.25">
      <c r="A490" s="117"/>
      <c r="B490" s="118"/>
      <c r="C490" s="119"/>
      <c r="D490" s="59">
        <v>2025</v>
      </c>
      <c r="E490" s="8">
        <f t="shared" si="46"/>
        <v>0</v>
      </c>
      <c r="F490" s="8">
        <v>0</v>
      </c>
      <c r="G490" s="8">
        <v>0</v>
      </c>
      <c r="H490" s="8">
        <v>0</v>
      </c>
      <c r="I490" s="8">
        <v>0</v>
      </c>
      <c r="J490" s="119"/>
      <c r="K490" s="119"/>
      <c r="L490" s="124"/>
    </row>
    <row r="491" spans="1:12" ht="15" customHeight="1" outlineLevel="1" x14ac:dyDescent="0.25">
      <c r="A491" s="117" t="s">
        <v>904</v>
      </c>
      <c r="B491" s="118" t="s">
        <v>905</v>
      </c>
      <c r="C491" s="119" t="s">
        <v>1169</v>
      </c>
      <c r="D491" s="59" t="s">
        <v>8</v>
      </c>
      <c r="E491" s="8">
        <f t="shared" si="46"/>
        <v>66399.149999999994</v>
      </c>
      <c r="F491" s="8">
        <f>SUM(F492:F496)</f>
        <v>66399.149999999994</v>
      </c>
      <c r="G491" s="8">
        <f t="shared" si="44"/>
        <v>0</v>
      </c>
      <c r="H491" s="8">
        <f>SUM(H492:H496)</f>
        <v>0</v>
      </c>
      <c r="I491" s="8">
        <f t="shared" si="45"/>
        <v>0</v>
      </c>
      <c r="J491" s="119" t="s">
        <v>906</v>
      </c>
      <c r="K491" s="119" t="s">
        <v>907</v>
      </c>
    </row>
    <row r="492" spans="1:12" ht="15" customHeight="1" outlineLevel="1" x14ac:dyDescent="0.25">
      <c r="A492" s="117"/>
      <c r="B492" s="118"/>
      <c r="C492" s="119"/>
      <c r="D492" s="59">
        <v>2021</v>
      </c>
      <c r="E492" s="8">
        <f t="shared" si="46"/>
        <v>0</v>
      </c>
      <c r="F492" s="8">
        <v>0</v>
      </c>
      <c r="G492" s="8">
        <v>0</v>
      </c>
      <c r="H492" s="8">
        <v>0</v>
      </c>
      <c r="I492" s="8">
        <v>0</v>
      </c>
      <c r="J492" s="119"/>
      <c r="K492" s="119"/>
    </row>
    <row r="493" spans="1:12" ht="15" customHeight="1" outlineLevel="1" x14ac:dyDescent="0.25">
      <c r="A493" s="117"/>
      <c r="B493" s="118"/>
      <c r="C493" s="119"/>
      <c r="D493" s="59">
        <v>2022</v>
      </c>
      <c r="E493" s="8">
        <f t="shared" si="46"/>
        <v>66399.149999999994</v>
      </c>
      <c r="F493" s="8">
        <f>200000-21582.6-112018.25</f>
        <v>66399.149999999994</v>
      </c>
      <c r="G493" s="8">
        <v>0</v>
      </c>
      <c r="H493" s="8">
        <v>0</v>
      </c>
      <c r="I493" s="8">
        <v>0</v>
      </c>
      <c r="J493" s="119"/>
      <c r="K493" s="119"/>
    </row>
    <row r="494" spans="1:12" ht="15" customHeight="1" outlineLevel="1" x14ac:dyDescent="0.25">
      <c r="A494" s="117"/>
      <c r="B494" s="118"/>
      <c r="C494" s="119"/>
      <c r="D494" s="59">
        <v>2023</v>
      </c>
      <c r="E494" s="8">
        <f t="shared" si="46"/>
        <v>0</v>
      </c>
      <c r="F494" s="8">
        <v>0</v>
      </c>
      <c r="G494" s="8">
        <v>0</v>
      </c>
      <c r="H494" s="8">
        <v>0</v>
      </c>
      <c r="I494" s="8">
        <v>0</v>
      </c>
      <c r="J494" s="119"/>
      <c r="K494" s="119"/>
    </row>
    <row r="495" spans="1:12" ht="15" customHeight="1" outlineLevel="1" x14ac:dyDescent="0.25">
      <c r="A495" s="117"/>
      <c r="B495" s="118"/>
      <c r="C495" s="119"/>
      <c r="D495" s="59">
        <v>2024</v>
      </c>
      <c r="E495" s="8">
        <f t="shared" si="46"/>
        <v>0</v>
      </c>
      <c r="F495" s="8">
        <v>0</v>
      </c>
      <c r="G495" s="8">
        <v>0</v>
      </c>
      <c r="H495" s="8">
        <v>0</v>
      </c>
      <c r="I495" s="8">
        <v>0</v>
      </c>
      <c r="J495" s="119"/>
      <c r="K495" s="119"/>
    </row>
    <row r="496" spans="1:12" ht="15" customHeight="1" outlineLevel="1" x14ac:dyDescent="0.25">
      <c r="A496" s="117"/>
      <c r="B496" s="118"/>
      <c r="C496" s="119"/>
      <c r="D496" s="59">
        <v>2025</v>
      </c>
      <c r="E496" s="8">
        <f t="shared" si="46"/>
        <v>0</v>
      </c>
      <c r="F496" s="8">
        <v>0</v>
      </c>
      <c r="G496" s="8">
        <v>0</v>
      </c>
      <c r="H496" s="8">
        <v>0</v>
      </c>
      <c r="I496" s="8">
        <v>0</v>
      </c>
      <c r="J496" s="119"/>
      <c r="K496" s="119"/>
    </row>
    <row r="497" spans="1:12" ht="15" customHeight="1" outlineLevel="1" x14ac:dyDescent="0.25">
      <c r="A497" s="117" t="s">
        <v>909</v>
      </c>
      <c r="B497" s="118" t="s">
        <v>910</v>
      </c>
      <c r="C497" s="119">
        <v>2022</v>
      </c>
      <c r="D497" s="59" t="s">
        <v>8</v>
      </c>
      <c r="E497" s="8">
        <f t="shared" si="46"/>
        <v>0</v>
      </c>
      <c r="F497" s="8">
        <f t="shared" ref="F497:H509" si="47">SUM(F498:F502)</f>
        <v>0</v>
      </c>
      <c r="G497" s="8">
        <f t="shared" si="47"/>
        <v>0</v>
      </c>
      <c r="H497" s="8">
        <f t="shared" si="47"/>
        <v>0</v>
      </c>
      <c r="I497" s="8">
        <f t="shared" si="45"/>
        <v>0</v>
      </c>
      <c r="J497" s="119" t="s">
        <v>911</v>
      </c>
      <c r="K497" s="119" t="s">
        <v>547</v>
      </c>
    </row>
    <row r="498" spans="1:12" ht="15" customHeight="1" outlineLevel="1" x14ac:dyDescent="0.25">
      <c r="A498" s="117"/>
      <c r="B498" s="118"/>
      <c r="C498" s="119"/>
      <c r="D498" s="59">
        <v>2021</v>
      </c>
      <c r="E498" s="8">
        <f t="shared" si="46"/>
        <v>0</v>
      </c>
      <c r="F498" s="8">
        <v>0</v>
      </c>
      <c r="G498" s="8">
        <v>0</v>
      </c>
      <c r="H498" s="8">
        <v>0</v>
      </c>
      <c r="I498" s="8">
        <v>0</v>
      </c>
      <c r="J498" s="119"/>
      <c r="K498" s="119"/>
    </row>
    <row r="499" spans="1:12" ht="15" customHeight="1" outlineLevel="1" x14ac:dyDescent="0.25">
      <c r="A499" s="117"/>
      <c r="B499" s="118"/>
      <c r="C499" s="119"/>
      <c r="D499" s="59">
        <v>2022</v>
      </c>
      <c r="E499" s="8">
        <f t="shared" si="46"/>
        <v>0</v>
      </c>
      <c r="F499" s="8">
        <v>0</v>
      </c>
      <c r="G499" s="8">
        <v>0</v>
      </c>
      <c r="H499" s="8">
        <v>0</v>
      </c>
      <c r="I499" s="8">
        <v>0</v>
      </c>
      <c r="J499" s="119"/>
      <c r="K499" s="119"/>
    </row>
    <row r="500" spans="1:12" ht="15" customHeight="1" outlineLevel="1" x14ac:dyDescent="0.25">
      <c r="A500" s="117"/>
      <c r="B500" s="118"/>
      <c r="C500" s="119"/>
      <c r="D500" s="59">
        <v>2023</v>
      </c>
      <c r="E500" s="8">
        <f t="shared" si="46"/>
        <v>0</v>
      </c>
      <c r="F500" s="8">
        <v>0</v>
      </c>
      <c r="G500" s="8">
        <v>0</v>
      </c>
      <c r="H500" s="8">
        <v>0</v>
      </c>
      <c r="I500" s="8">
        <v>0</v>
      </c>
      <c r="J500" s="119"/>
      <c r="K500" s="119"/>
    </row>
    <row r="501" spans="1:12" ht="15" customHeight="1" outlineLevel="1" x14ac:dyDescent="0.25">
      <c r="A501" s="117"/>
      <c r="B501" s="118"/>
      <c r="C501" s="119"/>
      <c r="D501" s="59">
        <v>2024</v>
      </c>
      <c r="E501" s="8">
        <f t="shared" si="46"/>
        <v>0</v>
      </c>
      <c r="F501" s="8">
        <v>0</v>
      </c>
      <c r="G501" s="8">
        <v>0</v>
      </c>
      <c r="H501" s="8">
        <v>0</v>
      </c>
      <c r="I501" s="8">
        <v>0</v>
      </c>
      <c r="J501" s="119"/>
      <c r="K501" s="119"/>
    </row>
    <row r="502" spans="1:12" ht="15" customHeight="1" outlineLevel="1" x14ac:dyDescent="0.25">
      <c r="A502" s="117"/>
      <c r="B502" s="118"/>
      <c r="C502" s="119"/>
      <c r="D502" s="59">
        <v>2025</v>
      </c>
      <c r="E502" s="8">
        <f t="shared" si="46"/>
        <v>0</v>
      </c>
      <c r="F502" s="8">
        <v>0</v>
      </c>
      <c r="G502" s="8">
        <v>0</v>
      </c>
      <c r="H502" s="8">
        <v>0</v>
      </c>
      <c r="I502" s="8">
        <v>0</v>
      </c>
      <c r="J502" s="119"/>
      <c r="K502" s="119"/>
    </row>
    <row r="503" spans="1:12" ht="15" customHeight="1" outlineLevel="1" x14ac:dyDescent="0.25">
      <c r="A503" s="117" t="s">
        <v>1170</v>
      </c>
      <c r="B503" s="118" t="s">
        <v>1171</v>
      </c>
      <c r="C503" s="119">
        <v>2022</v>
      </c>
      <c r="D503" s="59" t="s">
        <v>8</v>
      </c>
      <c r="E503" s="8">
        <f t="shared" si="46"/>
        <v>6133.3262999999997</v>
      </c>
      <c r="F503" s="8">
        <f t="shared" si="47"/>
        <v>5826.66</v>
      </c>
      <c r="G503" s="8">
        <v>0</v>
      </c>
      <c r="H503" s="8">
        <f t="shared" si="47"/>
        <v>306.66629999999998</v>
      </c>
      <c r="I503" s="8">
        <f t="shared" si="45"/>
        <v>0</v>
      </c>
      <c r="J503" s="119" t="s">
        <v>1172</v>
      </c>
      <c r="K503" s="119" t="s">
        <v>547</v>
      </c>
      <c r="L503" s="124"/>
    </row>
    <row r="504" spans="1:12" outlineLevel="1" x14ac:dyDescent="0.25">
      <c r="A504" s="117"/>
      <c r="B504" s="118"/>
      <c r="C504" s="119"/>
      <c r="D504" s="59">
        <v>2021</v>
      </c>
      <c r="E504" s="8">
        <f t="shared" si="46"/>
        <v>0</v>
      </c>
      <c r="F504" s="8">
        <v>0</v>
      </c>
      <c r="G504" s="8">
        <v>0</v>
      </c>
      <c r="H504" s="8">
        <v>0</v>
      </c>
      <c r="I504" s="8">
        <v>0</v>
      </c>
      <c r="J504" s="119"/>
      <c r="K504" s="119"/>
      <c r="L504" s="124"/>
    </row>
    <row r="505" spans="1:12" outlineLevel="1" x14ac:dyDescent="0.25">
      <c r="A505" s="117"/>
      <c r="B505" s="118"/>
      <c r="C505" s="119"/>
      <c r="D505" s="59">
        <v>2022</v>
      </c>
      <c r="E505" s="8">
        <f t="shared" si="46"/>
        <v>6133.3262999999997</v>
      </c>
      <c r="F505" s="8">
        <v>5826.66</v>
      </c>
      <c r="G505" s="8">
        <v>0</v>
      </c>
      <c r="H505" s="8">
        <v>306.66629999999998</v>
      </c>
      <c r="I505" s="8">
        <v>0</v>
      </c>
      <c r="J505" s="119"/>
      <c r="K505" s="119"/>
      <c r="L505" s="124"/>
    </row>
    <row r="506" spans="1:12" outlineLevel="1" x14ac:dyDescent="0.25">
      <c r="A506" s="117"/>
      <c r="B506" s="118"/>
      <c r="C506" s="119"/>
      <c r="D506" s="59">
        <v>2023</v>
      </c>
      <c r="E506" s="8">
        <f t="shared" si="46"/>
        <v>0</v>
      </c>
      <c r="F506" s="8">
        <v>0</v>
      </c>
      <c r="G506" s="8">
        <v>0</v>
      </c>
      <c r="H506" s="8">
        <v>0</v>
      </c>
      <c r="I506" s="8">
        <v>0</v>
      </c>
      <c r="J506" s="119"/>
      <c r="K506" s="119"/>
    </row>
    <row r="507" spans="1:12" outlineLevel="1" x14ac:dyDescent="0.25">
      <c r="A507" s="117"/>
      <c r="B507" s="118"/>
      <c r="C507" s="119"/>
      <c r="D507" s="59">
        <v>2024</v>
      </c>
      <c r="E507" s="8">
        <f t="shared" si="46"/>
        <v>0</v>
      </c>
      <c r="F507" s="8">
        <v>0</v>
      </c>
      <c r="G507" s="8">
        <v>0</v>
      </c>
      <c r="H507" s="8">
        <v>0</v>
      </c>
      <c r="I507" s="8">
        <v>0</v>
      </c>
      <c r="J507" s="119"/>
      <c r="K507" s="119"/>
    </row>
    <row r="508" spans="1:12" outlineLevel="1" x14ac:dyDescent="0.25">
      <c r="A508" s="117"/>
      <c r="B508" s="118"/>
      <c r="C508" s="119"/>
      <c r="D508" s="59">
        <v>2025</v>
      </c>
      <c r="E508" s="8">
        <f t="shared" si="46"/>
        <v>0</v>
      </c>
      <c r="F508" s="8">
        <v>0</v>
      </c>
      <c r="G508" s="8">
        <v>0</v>
      </c>
      <c r="H508" s="8">
        <v>0</v>
      </c>
      <c r="I508" s="8">
        <v>0</v>
      </c>
      <c r="J508" s="119"/>
      <c r="K508" s="119"/>
    </row>
    <row r="509" spans="1:12" outlineLevel="1" x14ac:dyDescent="0.25">
      <c r="A509" s="117" t="s">
        <v>1173</v>
      </c>
      <c r="B509" s="118" t="s">
        <v>1174</v>
      </c>
      <c r="C509" s="119">
        <v>2023</v>
      </c>
      <c r="D509" s="59" t="s">
        <v>8</v>
      </c>
      <c r="E509" s="8">
        <f t="shared" si="46"/>
        <v>0</v>
      </c>
      <c r="F509" s="8">
        <f t="shared" si="47"/>
        <v>0</v>
      </c>
      <c r="G509" s="8">
        <f t="shared" si="47"/>
        <v>0</v>
      </c>
      <c r="H509" s="8">
        <f t="shared" si="47"/>
        <v>0</v>
      </c>
      <c r="I509" s="8">
        <f t="shared" si="45"/>
        <v>0</v>
      </c>
      <c r="J509" s="119" t="s">
        <v>1175</v>
      </c>
      <c r="K509" s="119" t="s">
        <v>484</v>
      </c>
    </row>
    <row r="510" spans="1:12" outlineLevel="1" x14ac:dyDescent="0.25">
      <c r="A510" s="117"/>
      <c r="B510" s="118"/>
      <c r="C510" s="119"/>
      <c r="D510" s="59">
        <v>2021</v>
      </c>
      <c r="E510" s="8">
        <f t="shared" si="46"/>
        <v>0</v>
      </c>
      <c r="F510" s="8">
        <v>0</v>
      </c>
      <c r="G510" s="8">
        <v>0</v>
      </c>
      <c r="H510" s="8">
        <v>0</v>
      </c>
      <c r="I510" s="8">
        <v>0</v>
      </c>
      <c r="J510" s="119"/>
      <c r="K510" s="119"/>
    </row>
    <row r="511" spans="1:12" outlineLevel="1" x14ac:dyDescent="0.25">
      <c r="A511" s="117"/>
      <c r="B511" s="118"/>
      <c r="C511" s="119"/>
      <c r="D511" s="59">
        <v>2022</v>
      </c>
      <c r="E511" s="8">
        <f t="shared" si="46"/>
        <v>0</v>
      </c>
      <c r="F511" s="8">
        <v>0</v>
      </c>
      <c r="G511" s="8">
        <v>0</v>
      </c>
      <c r="H511" s="8">
        <v>0</v>
      </c>
      <c r="I511" s="8">
        <v>0</v>
      </c>
      <c r="J511" s="119"/>
      <c r="K511" s="119"/>
    </row>
    <row r="512" spans="1:12" outlineLevel="1" x14ac:dyDescent="0.25">
      <c r="A512" s="117"/>
      <c r="B512" s="118"/>
      <c r="C512" s="119"/>
      <c r="D512" s="59">
        <v>2023</v>
      </c>
      <c r="E512" s="8">
        <f t="shared" si="46"/>
        <v>0</v>
      </c>
      <c r="F512" s="8">
        <v>0</v>
      </c>
      <c r="G512" s="8">
        <v>0</v>
      </c>
      <c r="H512" s="8">
        <v>0</v>
      </c>
      <c r="I512" s="8">
        <v>0</v>
      </c>
      <c r="J512" s="119"/>
      <c r="K512" s="119"/>
    </row>
    <row r="513" spans="1:14" outlineLevel="1" x14ac:dyDescent="0.25">
      <c r="A513" s="117"/>
      <c r="B513" s="118"/>
      <c r="C513" s="119"/>
      <c r="D513" s="59">
        <v>2024</v>
      </c>
      <c r="E513" s="8">
        <f t="shared" si="46"/>
        <v>0</v>
      </c>
      <c r="F513" s="8">
        <v>0</v>
      </c>
      <c r="G513" s="8">
        <v>0</v>
      </c>
      <c r="H513" s="8">
        <v>0</v>
      </c>
      <c r="I513" s="8">
        <v>0</v>
      </c>
      <c r="J513" s="119"/>
      <c r="K513" s="119"/>
    </row>
    <row r="514" spans="1:14" outlineLevel="1" x14ac:dyDescent="0.25">
      <c r="A514" s="117"/>
      <c r="B514" s="118"/>
      <c r="C514" s="119"/>
      <c r="D514" s="59">
        <v>2025</v>
      </c>
      <c r="E514" s="8">
        <f t="shared" si="46"/>
        <v>0</v>
      </c>
      <c r="F514" s="8">
        <v>0</v>
      </c>
      <c r="G514" s="8">
        <v>0</v>
      </c>
      <c r="H514" s="8">
        <v>0</v>
      </c>
      <c r="I514" s="8">
        <v>0</v>
      </c>
      <c r="J514" s="119"/>
      <c r="K514" s="119"/>
    </row>
    <row r="515" spans="1:14" outlineLevel="1" x14ac:dyDescent="0.25">
      <c r="A515" s="138" t="s">
        <v>1783</v>
      </c>
      <c r="B515" s="140" t="s">
        <v>1784</v>
      </c>
      <c r="C515" s="142">
        <v>2024</v>
      </c>
      <c r="D515" s="48" t="s">
        <v>8</v>
      </c>
      <c r="E515" s="49">
        <f>E516+E517+E518+E519+E520</f>
        <v>17927</v>
      </c>
      <c r="F515" s="49">
        <f t="shared" ref="F515:I515" si="48">F516+F517+F518+F519+F520</f>
        <v>17927</v>
      </c>
      <c r="G515" s="49">
        <f t="shared" si="48"/>
        <v>0</v>
      </c>
      <c r="H515" s="49">
        <f t="shared" si="48"/>
        <v>0</v>
      </c>
      <c r="I515" s="49">
        <f t="shared" si="48"/>
        <v>0</v>
      </c>
      <c r="J515" s="142" t="s">
        <v>1785</v>
      </c>
      <c r="K515" s="142" t="s">
        <v>1786</v>
      </c>
    </row>
    <row r="516" spans="1:14" outlineLevel="1" x14ac:dyDescent="0.25">
      <c r="A516" s="139"/>
      <c r="B516" s="141"/>
      <c r="C516" s="143"/>
      <c r="D516" s="48">
        <v>2021</v>
      </c>
      <c r="E516" s="49">
        <f t="shared" ref="E516:E520" si="49">SUM(F516:I516)</f>
        <v>0</v>
      </c>
      <c r="F516" s="49">
        <v>0</v>
      </c>
      <c r="G516" s="49">
        <v>0</v>
      </c>
      <c r="H516" s="49">
        <v>0</v>
      </c>
      <c r="I516" s="49">
        <v>0</v>
      </c>
      <c r="J516" s="143"/>
      <c r="K516" s="143"/>
    </row>
    <row r="517" spans="1:14" outlineLevel="1" x14ac:dyDescent="0.25">
      <c r="A517" s="139"/>
      <c r="B517" s="141"/>
      <c r="C517" s="143"/>
      <c r="D517" s="48">
        <v>2022</v>
      </c>
      <c r="E517" s="49">
        <f t="shared" si="49"/>
        <v>0</v>
      </c>
      <c r="F517" s="49">
        <v>0</v>
      </c>
      <c r="G517" s="49">
        <v>0</v>
      </c>
      <c r="H517" s="49">
        <v>0</v>
      </c>
      <c r="I517" s="49">
        <v>0</v>
      </c>
      <c r="J517" s="143"/>
      <c r="K517" s="143"/>
    </row>
    <row r="518" spans="1:14" outlineLevel="1" x14ac:dyDescent="0.25">
      <c r="A518" s="139"/>
      <c r="B518" s="141"/>
      <c r="C518" s="143"/>
      <c r="D518" s="48">
        <v>2023</v>
      </c>
      <c r="E518" s="49">
        <f t="shared" si="49"/>
        <v>0</v>
      </c>
      <c r="F518" s="49">
        <v>0</v>
      </c>
      <c r="G518" s="49">
        <v>0</v>
      </c>
      <c r="H518" s="49">
        <v>0</v>
      </c>
      <c r="I518" s="49">
        <v>0</v>
      </c>
      <c r="J518" s="143"/>
      <c r="K518" s="143"/>
    </row>
    <row r="519" spans="1:14" outlineLevel="1" x14ac:dyDescent="0.25">
      <c r="A519" s="139"/>
      <c r="B519" s="141"/>
      <c r="C519" s="143"/>
      <c r="D519" s="48">
        <v>2024</v>
      </c>
      <c r="E519" s="49">
        <f t="shared" si="49"/>
        <v>17927</v>
      </c>
      <c r="F519" s="49">
        <v>17927</v>
      </c>
      <c r="G519" s="49">
        <v>0</v>
      </c>
      <c r="H519" s="49">
        <v>0</v>
      </c>
      <c r="I519" s="49">
        <v>0</v>
      </c>
      <c r="J519" s="143"/>
      <c r="K519" s="143"/>
    </row>
    <row r="520" spans="1:14" outlineLevel="1" x14ac:dyDescent="0.25">
      <c r="A520" s="139"/>
      <c r="B520" s="141"/>
      <c r="C520" s="143"/>
      <c r="D520" s="48">
        <v>2025</v>
      </c>
      <c r="E520" s="49">
        <f t="shared" si="49"/>
        <v>0</v>
      </c>
      <c r="F520" s="49">
        <v>0</v>
      </c>
      <c r="G520" s="49">
        <v>0</v>
      </c>
      <c r="H520" s="49">
        <v>0</v>
      </c>
      <c r="I520" s="49">
        <v>0</v>
      </c>
      <c r="J520" s="143"/>
      <c r="K520" s="143"/>
    </row>
    <row r="521" spans="1:14" ht="15" customHeight="1" outlineLevel="1" x14ac:dyDescent="0.25">
      <c r="A521" s="138" t="s">
        <v>1787</v>
      </c>
      <c r="B521" s="140" t="s">
        <v>1788</v>
      </c>
      <c r="C521" s="142">
        <v>2024</v>
      </c>
      <c r="D521" s="48" t="s">
        <v>8</v>
      </c>
      <c r="E521" s="49">
        <f>E522+E523+E524+E525+E526</f>
        <v>36376.927109999997</v>
      </c>
      <c r="F521" s="49">
        <f t="shared" ref="F521:I521" si="50">F522+F523+F524+F525+F526</f>
        <v>36376.927109999997</v>
      </c>
      <c r="G521" s="49">
        <f t="shared" si="50"/>
        <v>0</v>
      </c>
      <c r="H521" s="49">
        <f t="shared" si="50"/>
        <v>0</v>
      </c>
      <c r="I521" s="49">
        <f t="shared" si="50"/>
        <v>0</v>
      </c>
      <c r="J521" s="142" t="s">
        <v>1789</v>
      </c>
      <c r="K521" s="142" t="s">
        <v>1786</v>
      </c>
    </row>
    <row r="522" spans="1:14" outlineLevel="1" x14ac:dyDescent="0.25">
      <c r="A522" s="139"/>
      <c r="B522" s="141"/>
      <c r="C522" s="143"/>
      <c r="D522" s="48">
        <v>2021</v>
      </c>
      <c r="E522" s="49">
        <f t="shared" ref="E522:E526" si="51">SUM(F522:I522)</f>
        <v>0</v>
      </c>
      <c r="F522" s="49">
        <v>0</v>
      </c>
      <c r="G522" s="49">
        <v>0</v>
      </c>
      <c r="H522" s="49">
        <v>0</v>
      </c>
      <c r="I522" s="49">
        <v>0</v>
      </c>
      <c r="J522" s="143"/>
      <c r="K522" s="143"/>
      <c r="N522" s="10">
        <f>SUM(F525,F519)</f>
        <v>54303.927109999997</v>
      </c>
    </row>
    <row r="523" spans="1:14" outlineLevel="1" x14ac:dyDescent="0.25">
      <c r="A523" s="139"/>
      <c r="B523" s="141"/>
      <c r="C523" s="143"/>
      <c r="D523" s="48">
        <v>2022</v>
      </c>
      <c r="E523" s="49">
        <f t="shared" si="51"/>
        <v>0</v>
      </c>
      <c r="F523" s="49">
        <v>0</v>
      </c>
      <c r="G523" s="49">
        <v>0</v>
      </c>
      <c r="H523" s="49">
        <v>0</v>
      </c>
      <c r="I523" s="49">
        <v>0</v>
      </c>
      <c r="J523" s="143"/>
      <c r="K523" s="143"/>
    </row>
    <row r="524" spans="1:14" outlineLevel="1" x14ac:dyDescent="0.25">
      <c r="A524" s="139"/>
      <c r="B524" s="141"/>
      <c r="C524" s="143"/>
      <c r="D524" s="48">
        <v>2023</v>
      </c>
      <c r="E524" s="49">
        <f t="shared" si="51"/>
        <v>0</v>
      </c>
      <c r="F524" s="49">
        <v>0</v>
      </c>
      <c r="G524" s="49">
        <v>0</v>
      </c>
      <c r="H524" s="49">
        <v>0</v>
      </c>
      <c r="I524" s="49">
        <v>0</v>
      </c>
      <c r="J524" s="143"/>
      <c r="K524" s="143"/>
    </row>
    <row r="525" spans="1:14" outlineLevel="1" x14ac:dyDescent="0.25">
      <c r="A525" s="139"/>
      <c r="B525" s="141"/>
      <c r="C525" s="143"/>
      <c r="D525" s="48">
        <v>2024</v>
      </c>
      <c r="E525" s="49">
        <f t="shared" si="51"/>
        <v>36376.927109999997</v>
      </c>
      <c r="F525" s="49">
        <v>36376.927109999997</v>
      </c>
      <c r="G525" s="49">
        <v>0</v>
      </c>
      <c r="H525" s="49">
        <v>0</v>
      </c>
      <c r="I525" s="49">
        <v>0</v>
      </c>
      <c r="J525" s="143"/>
      <c r="K525" s="143"/>
    </row>
    <row r="526" spans="1:14" outlineLevel="1" x14ac:dyDescent="0.25">
      <c r="A526" s="139"/>
      <c r="B526" s="141"/>
      <c r="C526" s="143"/>
      <c r="D526" s="48">
        <v>2025</v>
      </c>
      <c r="E526" s="49">
        <f t="shared" si="51"/>
        <v>0</v>
      </c>
      <c r="F526" s="49">
        <v>0</v>
      </c>
      <c r="G526" s="49">
        <v>0</v>
      </c>
      <c r="H526" s="49">
        <v>0</v>
      </c>
      <c r="I526" s="49">
        <v>0</v>
      </c>
      <c r="J526" s="143"/>
      <c r="K526" s="143"/>
    </row>
    <row r="527" spans="1:14" ht="17.100000000000001" customHeight="1" outlineLevel="1" x14ac:dyDescent="0.25">
      <c r="A527" s="108" t="s">
        <v>104</v>
      </c>
      <c r="B527" s="108" t="s">
        <v>105</v>
      </c>
      <c r="C527" s="111" t="s">
        <v>14</v>
      </c>
      <c r="D527" s="59" t="s">
        <v>8</v>
      </c>
      <c r="E527" s="8">
        <f t="shared" si="46"/>
        <v>712855.56776182621</v>
      </c>
      <c r="F527" s="8">
        <f t="shared" ref="F527" si="52">SUM(F528:F532)</f>
        <v>677870.77304999996</v>
      </c>
      <c r="G527" s="8">
        <f>SUM(G528:G532)</f>
        <v>0</v>
      </c>
      <c r="H527" s="8">
        <f>SUM(H528:H532)</f>
        <v>34984.794711826275</v>
      </c>
      <c r="I527" s="8">
        <f t="shared" ref="I527:I529" si="53">SUM(I535:I539)</f>
        <v>0</v>
      </c>
      <c r="J527" s="108" t="s">
        <v>106</v>
      </c>
      <c r="K527" s="108" t="s">
        <v>1176</v>
      </c>
    </row>
    <row r="528" spans="1:14" ht="17.100000000000001" customHeight="1" outlineLevel="1" x14ac:dyDescent="0.25">
      <c r="A528" s="109"/>
      <c r="B528" s="109"/>
      <c r="C528" s="112"/>
      <c r="D528" s="59">
        <v>2021</v>
      </c>
      <c r="E528" s="8">
        <f t="shared" si="46"/>
        <v>195224.35576589749</v>
      </c>
      <c r="F528" s="8">
        <f>SUM(F535+F541+F548+F554+F560+F566+F572+F578+F584+F590+F596+F602+F608+F614+F620+F626+F632+F638+F644+F650+F656+F662+F668+F674+F680+F686+F692+F698+F704)</f>
        <v>179524.59972</v>
      </c>
      <c r="G528" s="8">
        <f>SUM(G535+G541+G548+G554+G560+G566+G572+G578+G584+G590+G596+G602+G608+G614+G620+G626+G632+G638+G644+G650+G656+G662+G668+G674+G680+G686+G692+G698+G704)</f>
        <v>0</v>
      </c>
      <c r="H528" s="8">
        <f>SUM(H535+H541+H548+H554+H560+H566+H572+H578+H584+H590+H596+H602+H608+H614+H620+H626+H632+H638+H644+H650+H656+H662+H668+H674+H680+H686+H692+H698+H704)</f>
        <v>15699.756045897479</v>
      </c>
      <c r="I528" s="8">
        <f t="shared" si="53"/>
        <v>0</v>
      </c>
      <c r="J528" s="109"/>
      <c r="K528" s="109"/>
    </row>
    <row r="529" spans="1:11" ht="17.100000000000001" customHeight="1" outlineLevel="1" x14ac:dyDescent="0.25">
      <c r="A529" s="109"/>
      <c r="B529" s="109"/>
      <c r="C529" s="112"/>
      <c r="D529" s="59">
        <v>2022</v>
      </c>
      <c r="E529" s="8">
        <f t="shared" si="46"/>
        <v>369218.75899592874</v>
      </c>
      <c r="F529" s="8">
        <f>SUM(F536+F542+F549+F555+F561+F567+F573+F579+F585+F591+F597+F603+F609+F615+F621+F627+F633+F639+F645+F651+F657+F663+F669+F675+F681+F687+F693+F699+F705+F711+F717+F723+F729)</f>
        <v>355399.40232999995</v>
      </c>
      <c r="G529" s="8">
        <f>SUM(G536+G542+G549+G555+G561+G567+G573+G579+G585+G591+G597+G603+G609+G615+G621+G627+G633+G639+G645+G651+G657+G663+G669+G675+G681+G687+G693+G699+G705)</f>
        <v>0</v>
      </c>
      <c r="H529" s="8">
        <f>SUM(H536+H542+H549+H555+H561+H567+H573+H579+H585+H591+H597+H603+H609+H615+H621+H627+H633+H639+H645+H651+H657+H663+H669+H675+H681+H687+H693+H699+H705+H711+H717+H723+H729)</f>
        <v>13819.356665928797</v>
      </c>
      <c r="I529" s="8">
        <f t="shared" si="53"/>
        <v>0</v>
      </c>
      <c r="J529" s="109"/>
      <c r="K529" s="109"/>
    </row>
    <row r="530" spans="1:11" ht="17.100000000000001" customHeight="1" outlineLevel="1" x14ac:dyDescent="0.25">
      <c r="A530" s="109"/>
      <c r="B530" s="109"/>
      <c r="C530" s="112"/>
      <c r="D530" s="59">
        <v>2023</v>
      </c>
      <c r="E530" s="8">
        <f t="shared" si="46"/>
        <v>127612.45300000001</v>
      </c>
      <c r="F530" s="8">
        <f>SUM(F537+F543+F550+F556+F562+F568+F574+F580+F586+F592+F598+F604+F610+F616+F622+F628+F634+F640+F646+F652+F658+F664+F670+F676+F682+F688+F694+F700+F706)</f>
        <v>122146.77100000001</v>
      </c>
      <c r="G530" s="8">
        <f>SUM(G537+G543+G550+G556+G562+G568+G574+G580+G586+G592+G598+G604+G610+G616+G622+G628+G634+G640+G646+G652+G658+G664+G670+G676+G682+G688+G694+G700+G706)</f>
        <v>0</v>
      </c>
      <c r="H530" s="8">
        <f t="shared" ref="H530:I532" si="54">SUM(H537+H543+H550+H556+H562+H568+H574+H580+H586+H592+H598+H604+H610+H616+H622+H628+H634+H640+H646+H652+H658+H664+H670+H676+H682+H688+H694+H700+H706)</f>
        <v>5465.6819999999998</v>
      </c>
      <c r="I530" s="8">
        <f t="shared" si="54"/>
        <v>0</v>
      </c>
      <c r="J530" s="109"/>
      <c r="K530" s="109"/>
    </row>
    <row r="531" spans="1:11" outlineLevel="1" x14ac:dyDescent="0.25">
      <c r="A531" s="109"/>
      <c r="B531" s="109"/>
      <c r="C531" s="112"/>
      <c r="D531" s="59">
        <v>2024</v>
      </c>
      <c r="E531" s="8">
        <f t="shared" si="46"/>
        <v>10400</v>
      </c>
      <c r="F531" s="8">
        <f>SUM(F538+F544+F551+F557+F563+F569+F575+F581+F587+F593+F599+F605+F611+F617+F623+F629+F635+F641+F647+F653+F659+F665+F671+F677+F683+F689+F695+F701+F707+F737+F744)</f>
        <v>10400</v>
      </c>
      <c r="G531" s="8">
        <f>SUM(G538+G544+G551+G557+G563+G569+G575+G581+G587+G593+G599+G605+G611+G617+G623+G629+G635+G641+G647+G653+G659+G665+G671+G677+G683+G689+G695+G701+G707)</f>
        <v>0</v>
      </c>
      <c r="H531" s="8">
        <f t="shared" si="54"/>
        <v>0</v>
      </c>
      <c r="I531" s="8">
        <f t="shared" si="54"/>
        <v>0</v>
      </c>
      <c r="J531" s="109"/>
      <c r="K531" s="109"/>
    </row>
    <row r="532" spans="1:11" outlineLevel="1" x14ac:dyDescent="0.25">
      <c r="A532" s="109"/>
      <c r="B532" s="109"/>
      <c r="C532" s="112"/>
      <c r="D532" s="59">
        <v>2025</v>
      </c>
      <c r="E532" s="8">
        <f t="shared" si="46"/>
        <v>10400</v>
      </c>
      <c r="F532" s="8">
        <f>SUM(F539+F545+F552+F558+F564+F570+F576+F582+F588+F594+F600+F606+F612+F618+F624+F630+F636+F642+F648+F654+F660+F666+F672+F678+F684+F690+F696+F702+F708+F738+F745)</f>
        <v>10400</v>
      </c>
      <c r="G532" s="8">
        <f>SUM(G539+G545+G552+G558+G564+G570+G576+G582+G588+G594+G600+G606+G612+G618+G624+G630+G636+G642+G648+G654+G660+G666+G672+G678+G684+G690+G696+G702+G708)</f>
        <v>0</v>
      </c>
      <c r="H532" s="8">
        <f t="shared" si="54"/>
        <v>0</v>
      </c>
      <c r="I532" s="8">
        <f t="shared" si="54"/>
        <v>0</v>
      </c>
      <c r="J532" s="109"/>
      <c r="K532" s="109"/>
    </row>
    <row r="533" spans="1:11" outlineLevel="1" x14ac:dyDescent="0.25">
      <c r="A533" s="110"/>
      <c r="B533" s="110"/>
      <c r="C533" s="113"/>
      <c r="D533" s="48">
        <v>2026</v>
      </c>
      <c r="E533" s="49">
        <f t="shared" si="46"/>
        <v>0</v>
      </c>
      <c r="F533" s="49">
        <f>SUM(F546,F739,F746)</f>
        <v>0</v>
      </c>
      <c r="G533" s="49">
        <f t="shared" ref="G533:I533" si="55">SUM(G546,G739,G746)</f>
        <v>0</v>
      </c>
      <c r="H533" s="49">
        <f t="shared" si="55"/>
        <v>0</v>
      </c>
      <c r="I533" s="49">
        <f t="shared" si="55"/>
        <v>0</v>
      </c>
      <c r="J533" s="110"/>
      <c r="K533" s="110"/>
    </row>
    <row r="534" spans="1:11" ht="17.100000000000001" customHeight="1" outlineLevel="1" x14ac:dyDescent="0.25">
      <c r="A534" s="117" t="s">
        <v>108</v>
      </c>
      <c r="B534" s="118" t="s">
        <v>109</v>
      </c>
      <c r="C534" s="119" t="s">
        <v>19</v>
      </c>
      <c r="D534" s="59" t="s">
        <v>8</v>
      </c>
      <c r="E534" s="8">
        <f t="shared" si="46"/>
        <v>54408.455999999998</v>
      </c>
      <c r="F534" s="8">
        <f>SUM(F535:F539)</f>
        <v>50810.661</v>
      </c>
      <c r="G534" s="8">
        <f>SUM(G535:G539)</f>
        <v>0</v>
      </c>
      <c r="H534" s="8">
        <f>SUM(H535:H539)</f>
        <v>3597.7950000000001</v>
      </c>
      <c r="I534" s="8">
        <f>SUM(I535:I539)</f>
        <v>0</v>
      </c>
      <c r="J534" s="135" t="s">
        <v>1766</v>
      </c>
      <c r="K534" s="119" t="s">
        <v>566</v>
      </c>
    </row>
    <row r="535" spans="1:11" ht="17.100000000000001" customHeight="1" outlineLevel="1" x14ac:dyDescent="0.25">
      <c r="A535" s="117"/>
      <c r="B535" s="118"/>
      <c r="C535" s="119"/>
      <c r="D535" s="59">
        <v>2021</v>
      </c>
      <c r="E535" s="8">
        <f t="shared" si="46"/>
        <v>27027.03</v>
      </c>
      <c r="F535" s="8">
        <v>25000</v>
      </c>
      <c r="G535" s="8">
        <v>0</v>
      </c>
      <c r="H535" s="8">
        <v>2027.03</v>
      </c>
      <c r="I535" s="8">
        <v>0</v>
      </c>
      <c r="J535" s="136"/>
      <c r="K535" s="119"/>
    </row>
    <row r="536" spans="1:11" ht="17.100000000000001" customHeight="1" outlineLevel="1" x14ac:dyDescent="0.25">
      <c r="A536" s="117"/>
      <c r="B536" s="118"/>
      <c r="C536" s="119"/>
      <c r="D536" s="59">
        <v>2022</v>
      </c>
      <c r="E536" s="8">
        <f t="shared" si="46"/>
        <v>8067.7860000000001</v>
      </c>
      <c r="F536" s="8">
        <v>7462.7030000000004</v>
      </c>
      <c r="G536" s="8">
        <v>0</v>
      </c>
      <c r="H536" s="8">
        <v>605.08299999999997</v>
      </c>
      <c r="I536" s="8">
        <v>0</v>
      </c>
      <c r="J536" s="136"/>
      <c r="K536" s="119"/>
    </row>
    <row r="537" spans="1:11" ht="17.100000000000001" customHeight="1" outlineLevel="1" x14ac:dyDescent="0.25">
      <c r="A537" s="117"/>
      <c r="B537" s="118"/>
      <c r="C537" s="119"/>
      <c r="D537" s="59">
        <v>2023</v>
      </c>
      <c r="E537" s="8">
        <f t="shared" si="46"/>
        <v>19313.64</v>
      </c>
      <c r="F537" s="8">
        <f>24463.944-6115.986</f>
        <v>18347.957999999999</v>
      </c>
      <c r="G537" s="8">
        <v>0</v>
      </c>
      <c r="H537" s="8">
        <v>965.68200000000002</v>
      </c>
      <c r="I537" s="8">
        <v>0</v>
      </c>
      <c r="J537" s="136"/>
      <c r="K537" s="119"/>
    </row>
    <row r="538" spans="1:11" outlineLevel="1" x14ac:dyDescent="0.25">
      <c r="A538" s="117"/>
      <c r="B538" s="118"/>
      <c r="C538" s="119"/>
      <c r="D538" s="59">
        <v>2024</v>
      </c>
      <c r="E538" s="8">
        <f t="shared" si="46"/>
        <v>0</v>
      </c>
      <c r="F538" s="8">
        <v>0</v>
      </c>
      <c r="G538" s="8">
        <v>0</v>
      </c>
      <c r="H538" s="8">
        <v>0</v>
      </c>
      <c r="I538" s="8">
        <f>НОВЫЙ_МИНСТРОЙ!Q106</f>
        <v>0</v>
      </c>
      <c r="J538" s="136"/>
      <c r="K538" s="119"/>
    </row>
    <row r="539" spans="1:11" outlineLevel="1" x14ac:dyDescent="0.25">
      <c r="A539" s="117"/>
      <c r="B539" s="118"/>
      <c r="C539" s="119"/>
      <c r="D539" s="59">
        <v>2025</v>
      </c>
      <c r="E539" s="8">
        <f t="shared" si="46"/>
        <v>0</v>
      </c>
      <c r="F539" s="8">
        <v>0</v>
      </c>
      <c r="G539" s="8">
        <v>0</v>
      </c>
      <c r="H539" s="8">
        <v>0</v>
      </c>
      <c r="I539" s="8">
        <v>0</v>
      </c>
      <c r="J539" s="137"/>
      <c r="K539" s="119"/>
    </row>
    <row r="540" spans="1:11" ht="17.100000000000001" customHeight="1" outlineLevel="1" x14ac:dyDescent="0.25">
      <c r="A540" s="108" t="s">
        <v>112</v>
      </c>
      <c r="B540" s="108" t="s">
        <v>113</v>
      </c>
      <c r="C540" s="111" t="s">
        <v>828</v>
      </c>
      <c r="D540" s="59" t="s">
        <v>8</v>
      </c>
      <c r="E540" s="8">
        <f t="shared" si="46"/>
        <v>72406.856999999989</v>
      </c>
      <c r="F540" s="8">
        <f>SUM(F541:F545)</f>
        <v>72406.856999999989</v>
      </c>
      <c r="G540" s="8">
        <f>SUM(G541:G545)</f>
        <v>0</v>
      </c>
      <c r="H540" s="8">
        <f>SUM(H541:H545)</f>
        <v>0</v>
      </c>
      <c r="I540" s="8">
        <f>SUM(I541:I545)</f>
        <v>0</v>
      </c>
      <c r="J540" s="108" t="s">
        <v>567</v>
      </c>
      <c r="K540" s="108" t="s">
        <v>563</v>
      </c>
    </row>
    <row r="541" spans="1:11" ht="17.100000000000001" customHeight="1" outlineLevel="1" x14ac:dyDescent="0.25">
      <c r="A541" s="109"/>
      <c r="B541" s="109"/>
      <c r="C541" s="112"/>
      <c r="D541" s="59">
        <v>2021</v>
      </c>
      <c r="E541" s="8">
        <f t="shared" si="46"/>
        <v>6000</v>
      </c>
      <c r="F541" s="8">
        <v>6000</v>
      </c>
      <c r="G541" s="8">
        <v>0</v>
      </c>
      <c r="H541" s="8">
        <v>0</v>
      </c>
      <c r="I541" s="8">
        <v>0</v>
      </c>
      <c r="J541" s="109"/>
      <c r="K541" s="109"/>
    </row>
    <row r="542" spans="1:11" ht="17.100000000000001" customHeight="1" outlineLevel="1" x14ac:dyDescent="0.25">
      <c r="A542" s="109"/>
      <c r="B542" s="109"/>
      <c r="C542" s="112"/>
      <c r="D542" s="59">
        <v>2022</v>
      </c>
      <c r="E542" s="8">
        <f t="shared" si="46"/>
        <v>42479.56</v>
      </c>
      <c r="F542" s="8">
        <v>42479.56</v>
      </c>
      <c r="G542" s="8">
        <v>0</v>
      </c>
      <c r="H542" s="8">
        <v>0</v>
      </c>
      <c r="I542" s="8">
        <v>0</v>
      </c>
      <c r="J542" s="109"/>
      <c r="K542" s="109"/>
    </row>
    <row r="543" spans="1:11" ht="17.100000000000001" customHeight="1" outlineLevel="1" x14ac:dyDescent="0.25">
      <c r="A543" s="109"/>
      <c r="B543" s="109"/>
      <c r="C543" s="112"/>
      <c r="D543" s="59">
        <v>2023</v>
      </c>
      <c r="E543" s="8">
        <f t="shared" si="46"/>
        <v>11927.296999999999</v>
      </c>
      <c r="F543" s="8">
        <f>6000+5927.297</f>
        <v>11927.296999999999</v>
      </c>
      <c r="G543" s="8">
        <v>0</v>
      </c>
      <c r="H543" s="8">
        <v>0</v>
      </c>
      <c r="I543" s="8">
        <v>0</v>
      </c>
      <c r="J543" s="109"/>
      <c r="K543" s="109"/>
    </row>
    <row r="544" spans="1:11" outlineLevel="1" x14ac:dyDescent="0.25">
      <c r="A544" s="109"/>
      <c r="B544" s="109"/>
      <c r="C544" s="112"/>
      <c r="D544" s="59">
        <v>2024</v>
      </c>
      <c r="E544" s="8">
        <f t="shared" si="46"/>
        <v>6000</v>
      </c>
      <c r="F544" s="32">
        <f>6000</f>
        <v>6000</v>
      </c>
      <c r="G544" s="8">
        <v>0</v>
      </c>
      <c r="H544" s="8">
        <v>0</v>
      </c>
      <c r="I544" s="8">
        <v>0</v>
      </c>
      <c r="J544" s="109"/>
      <c r="K544" s="109"/>
    </row>
    <row r="545" spans="1:11" outlineLevel="1" x14ac:dyDescent="0.25">
      <c r="A545" s="109"/>
      <c r="B545" s="109"/>
      <c r="C545" s="112"/>
      <c r="D545" s="59">
        <v>2025</v>
      </c>
      <c r="E545" s="8">
        <f t="shared" si="46"/>
        <v>6000</v>
      </c>
      <c r="F545" s="32">
        <v>6000</v>
      </c>
      <c r="G545" s="8">
        <v>0</v>
      </c>
      <c r="H545" s="8">
        <v>0</v>
      </c>
      <c r="I545" s="8">
        <v>0</v>
      </c>
      <c r="J545" s="109"/>
      <c r="K545" s="109"/>
    </row>
    <row r="546" spans="1:11" outlineLevel="1" x14ac:dyDescent="0.25">
      <c r="A546" s="110"/>
      <c r="B546" s="110"/>
      <c r="C546" s="113"/>
      <c r="D546" s="40">
        <v>2026</v>
      </c>
      <c r="E546" s="41"/>
      <c r="F546" s="41"/>
      <c r="G546" s="41"/>
      <c r="H546" s="41"/>
      <c r="I546" s="41"/>
      <c r="J546" s="110"/>
      <c r="K546" s="110"/>
    </row>
    <row r="547" spans="1:11" ht="17.100000000000001" customHeight="1" outlineLevel="1" x14ac:dyDescent="0.25">
      <c r="A547" s="117" t="s">
        <v>568</v>
      </c>
      <c r="B547" s="118" t="s">
        <v>569</v>
      </c>
      <c r="C547" s="119" t="s">
        <v>124</v>
      </c>
      <c r="D547" s="59" t="s">
        <v>8</v>
      </c>
      <c r="E547" s="8">
        <f t="shared" si="46"/>
        <v>31683.69587</v>
      </c>
      <c r="F547" s="8">
        <f>SUM(F548:F552)</f>
        <v>31683.69587</v>
      </c>
      <c r="G547" s="8">
        <f>SUM(G548:G552)</f>
        <v>0</v>
      </c>
      <c r="H547" s="8">
        <f>SUM(H548:H552)</f>
        <v>0</v>
      </c>
      <c r="I547" s="8">
        <f>SUM(I548:I552)</f>
        <v>0</v>
      </c>
      <c r="J547" s="119" t="s">
        <v>570</v>
      </c>
      <c r="K547" s="119" t="s">
        <v>486</v>
      </c>
    </row>
    <row r="548" spans="1:11" ht="17.100000000000001" customHeight="1" outlineLevel="1" x14ac:dyDescent="0.25">
      <c r="A548" s="117"/>
      <c r="B548" s="118"/>
      <c r="C548" s="119"/>
      <c r="D548" s="59">
        <v>2021</v>
      </c>
      <c r="E548" s="8">
        <f t="shared" si="46"/>
        <v>3963.1770000000001</v>
      </c>
      <c r="F548" s="8">
        <f>3963177/1000</f>
        <v>3963.1770000000001</v>
      </c>
      <c r="G548" s="8">
        <v>0</v>
      </c>
      <c r="H548" s="8">
        <v>0</v>
      </c>
      <c r="I548" s="8">
        <v>0</v>
      </c>
      <c r="J548" s="119"/>
      <c r="K548" s="119"/>
    </row>
    <row r="549" spans="1:11" ht="17.100000000000001" customHeight="1" outlineLevel="1" x14ac:dyDescent="0.25">
      <c r="A549" s="117"/>
      <c r="B549" s="118"/>
      <c r="C549" s="119"/>
      <c r="D549" s="59">
        <v>2022</v>
      </c>
      <c r="E549" s="8">
        <f t="shared" si="46"/>
        <v>25913.068869999999</v>
      </c>
      <c r="F549" s="8">
        <f>32144.3+6312.158-13089.787+546.39787</f>
        <v>25913.068869999999</v>
      </c>
      <c r="G549" s="8">
        <v>0</v>
      </c>
      <c r="H549" s="8">
        <v>0</v>
      </c>
      <c r="I549" s="8">
        <v>0</v>
      </c>
      <c r="J549" s="119"/>
      <c r="K549" s="119"/>
    </row>
    <row r="550" spans="1:11" ht="17.100000000000001" customHeight="1" outlineLevel="1" x14ac:dyDescent="0.25">
      <c r="A550" s="117"/>
      <c r="B550" s="118"/>
      <c r="C550" s="119"/>
      <c r="D550" s="59">
        <v>2023</v>
      </c>
      <c r="E550" s="8">
        <f t="shared" ref="E550:E613" si="56">SUM(F550:I550)</f>
        <v>1807.45</v>
      </c>
      <c r="F550" s="8">
        <v>1807.45</v>
      </c>
      <c r="G550" s="8">
        <v>0</v>
      </c>
      <c r="H550" s="8">
        <v>0</v>
      </c>
      <c r="I550" s="8">
        <v>0</v>
      </c>
      <c r="J550" s="119"/>
      <c r="K550" s="119"/>
    </row>
    <row r="551" spans="1:11" outlineLevel="1" x14ac:dyDescent="0.25">
      <c r="A551" s="117"/>
      <c r="B551" s="118"/>
      <c r="C551" s="119"/>
      <c r="D551" s="59">
        <v>2024</v>
      </c>
      <c r="E551" s="8">
        <f t="shared" si="56"/>
        <v>0</v>
      </c>
      <c r="F551" s="8">
        <v>0</v>
      </c>
      <c r="G551" s="8">
        <v>0</v>
      </c>
      <c r="H551" s="8">
        <v>0</v>
      </c>
      <c r="I551" s="8">
        <v>0</v>
      </c>
      <c r="J551" s="119"/>
      <c r="K551" s="119"/>
    </row>
    <row r="552" spans="1:11" outlineLevel="1" x14ac:dyDescent="0.25">
      <c r="A552" s="117"/>
      <c r="B552" s="118"/>
      <c r="C552" s="119"/>
      <c r="D552" s="59">
        <v>2025</v>
      </c>
      <c r="E552" s="8">
        <f t="shared" si="56"/>
        <v>0</v>
      </c>
      <c r="F552" s="8">
        <v>0</v>
      </c>
      <c r="G552" s="8">
        <v>0</v>
      </c>
      <c r="H552" s="8">
        <v>0</v>
      </c>
      <c r="I552" s="8">
        <v>0</v>
      </c>
      <c r="J552" s="119"/>
      <c r="K552" s="119"/>
    </row>
    <row r="553" spans="1:11" ht="17.100000000000001" customHeight="1" outlineLevel="1" x14ac:dyDescent="0.25">
      <c r="A553" s="117" t="s">
        <v>571</v>
      </c>
      <c r="B553" s="118" t="s">
        <v>572</v>
      </c>
      <c r="C553" s="119">
        <v>2021</v>
      </c>
      <c r="D553" s="59" t="s">
        <v>8</v>
      </c>
      <c r="E553" s="8">
        <f t="shared" si="56"/>
        <v>22778.260870000002</v>
      </c>
      <c r="F553" s="8">
        <f>SUM(F554:F558)</f>
        <v>18860.400000000001</v>
      </c>
      <c r="G553" s="8">
        <f>SUM(G554:G558)</f>
        <v>0</v>
      </c>
      <c r="H553" s="8">
        <f>SUM(H554:H558)</f>
        <v>3917.86087</v>
      </c>
      <c r="I553" s="8">
        <f>SUM(I554:I558)</f>
        <v>0</v>
      </c>
      <c r="J553" s="119" t="s">
        <v>573</v>
      </c>
      <c r="K553" s="119" t="s">
        <v>566</v>
      </c>
    </row>
    <row r="554" spans="1:11" ht="17.100000000000001" customHeight="1" outlineLevel="1" x14ac:dyDescent="0.25">
      <c r="A554" s="117"/>
      <c r="B554" s="118"/>
      <c r="C554" s="119"/>
      <c r="D554" s="59">
        <v>2021</v>
      </c>
      <c r="E554" s="8">
        <f t="shared" si="56"/>
        <v>22778.260870000002</v>
      </c>
      <c r="F554" s="8">
        <v>18860.400000000001</v>
      </c>
      <c r="G554" s="8">
        <v>0</v>
      </c>
      <c r="H554" s="8">
        <v>3917.86087</v>
      </c>
      <c r="I554" s="8">
        <v>0</v>
      </c>
      <c r="J554" s="119"/>
      <c r="K554" s="119"/>
    </row>
    <row r="555" spans="1:11" ht="17.100000000000001" customHeight="1" outlineLevel="1" x14ac:dyDescent="0.25">
      <c r="A555" s="117"/>
      <c r="B555" s="118"/>
      <c r="C555" s="119"/>
      <c r="D555" s="59">
        <v>2022</v>
      </c>
      <c r="E555" s="8">
        <v>0</v>
      </c>
      <c r="F555" s="8">
        <v>0</v>
      </c>
      <c r="G555" s="8">
        <v>0</v>
      </c>
      <c r="H555" s="8">
        <v>0</v>
      </c>
      <c r="I555" s="8">
        <v>0</v>
      </c>
      <c r="J555" s="119"/>
      <c r="K555" s="119"/>
    </row>
    <row r="556" spans="1:11" ht="17.100000000000001" customHeight="1" outlineLevel="1" x14ac:dyDescent="0.25">
      <c r="A556" s="117"/>
      <c r="B556" s="118"/>
      <c r="C556" s="119"/>
      <c r="D556" s="59">
        <v>2023</v>
      </c>
      <c r="E556" s="8">
        <v>0</v>
      </c>
      <c r="F556" s="8">
        <v>0</v>
      </c>
      <c r="G556" s="8">
        <v>0</v>
      </c>
      <c r="H556" s="8">
        <v>0</v>
      </c>
      <c r="I556" s="8">
        <v>0</v>
      </c>
      <c r="J556" s="119"/>
      <c r="K556" s="119"/>
    </row>
    <row r="557" spans="1:11" outlineLevel="1" x14ac:dyDescent="0.25">
      <c r="A557" s="117"/>
      <c r="B557" s="118"/>
      <c r="C557" s="119"/>
      <c r="D557" s="59">
        <v>2024</v>
      </c>
      <c r="E557" s="8">
        <v>0</v>
      </c>
      <c r="F557" s="8">
        <v>0</v>
      </c>
      <c r="G557" s="8">
        <v>0</v>
      </c>
      <c r="H557" s="8">
        <v>0</v>
      </c>
      <c r="I557" s="8">
        <v>0</v>
      </c>
      <c r="J557" s="119"/>
      <c r="K557" s="119"/>
    </row>
    <row r="558" spans="1:11" outlineLevel="1" x14ac:dyDescent="0.25">
      <c r="A558" s="117"/>
      <c r="B558" s="118"/>
      <c r="C558" s="119"/>
      <c r="D558" s="59">
        <v>2025</v>
      </c>
      <c r="E558" s="8">
        <v>0</v>
      </c>
      <c r="F558" s="8">
        <v>0</v>
      </c>
      <c r="G558" s="8">
        <v>0</v>
      </c>
      <c r="H558" s="8">
        <v>0</v>
      </c>
      <c r="I558" s="8">
        <v>0</v>
      </c>
      <c r="J558" s="119"/>
      <c r="K558" s="119"/>
    </row>
    <row r="559" spans="1:11" ht="17.100000000000001" customHeight="1" outlineLevel="1" x14ac:dyDescent="0.25">
      <c r="A559" s="117" t="s">
        <v>574</v>
      </c>
      <c r="B559" s="118" t="s">
        <v>575</v>
      </c>
      <c r="C559" s="119">
        <v>2021</v>
      </c>
      <c r="D559" s="59" t="s">
        <v>8</v>
      </c>
      <c r="E559" s="8">
        <f t="shared" si="56"/>
        <v>13210.697336842104</v>
      </c>
      <c r="F559" s="8">
        <f>SUM(F560:F564)</f>
        <v>12550.162469999999</v>
      </c>
      <c r="G559" s="8">
        <f>SUM(G560:G564)</f>
        <v>0</v>
      </c>
      <c r="H559" s="8">
        <f>SUM(H560:H564)</f>
        <v>660.5348668421052</v>
      </c>
      <c r="I559" s="8">
        <f>SUM(I560:I564)</f>
        <v>0</v>
      </c>
      <c r="J559" s="119" t="s">
        <v>576</v>
      </c>
      <c r="K559" s="119" t="s">
        <v>547</v>
      </c>
    </row>
    <row r="560" spans="1:11" ht="17.100000000000001" customHeight="1" outlineLevel="1" x14ac:dyDescent="0.25">
      <c r="A560" s="117"/>
      <c r="B560" s="118"/>
      <c r="C560" s="119"/>
      <c r="D560" s="59">
        <v>2021</v>
      </c>
      <c r="E560" s="8">
        <f t="shared" si="56"/>
        <v>13210.697336842104</v>
      </c>
      <c r="F560" s="8">
        <v>12550.162469999999</v>
      </c>
      <c r="G560" s="8">
        <v>0</v>
      </c>
      <c r="H560" s="8">
        <f>F560/95*5</f>
        <v>660.5348668421052</v>
      </c>
      <c r="I560" s="8">
        <v>0</v>
      </c>
      <c r="J560" s="119"/>
      <c r="K560" s="119"/>
    </row>
    <row r="561" spans="1:11" ht="17.100000000000001" customHeight="1" outlineLevel="1" x14ac:dyDescent="0.25">
      <c r="A561" s="117"/>
      <c r="B561" s="118"/>
      <c r="C561" s="119"/>
      <c r="D561" s="59">
        <v>2022</v>
      </c>
      <c r="E561" s="8">
        <v>0</v>
      </c>
      <c r="F561" s="8">
        <v>0</v>
      </c>
      <c r="G561" s="8">
        <v>0</v>
      </c>
      <c r="H561" s="8">
        <v>0</v>
      </c>
      <c r="I561" s="8">
        <v>0</v>
      </c>
      <c r="J561" s="119"/>
      <c r="K561" s="119"/>
    </row>
    <row r="562" spans="1:11" ht="17.100000000000001" customHeight="1" outlineLevel="1" x14ac:dyDescent="0.25">
      <c r="A562" s="117"/>
      <c r="B562" s="118"/>
      <c r="C562" s="119"/>
      <c r="D562" s="59">
        <v>2023</v>
      </c>
      <c r="E562" s="8">
        <v>0</v>
      </c>
      <c r="F562" s="8">
        <v>0</v>
      </c>
      <c r="G562" s="8">
        <v>0</v>
      </c>
      <c r="H562" s="8">
        <v>0</v>
      </c>
      <c r="I562" s="8">
        <v>0</v>
      </c>
      <c r="J562" s="119"/>
      <c r="K562" s="119"/>
    </row>
    <row r="563" spans="1:11" outlineLevel="1" x14ac:dyDescent="0.25">
      <c r="A563" s="117"/>
      <c r="B563" s="118"/>
      <c r="C563" s="119"/>
      <c r="D563" s="59">
        <v>2024</v>
      </c>
      <c r="E563" s="8">
        <v>0</v>
      </c>
      <c r="F563" s="8">
        <v>0</v>
      </c>
      <c r="G563" s="8">
        <v>0</v>
      </c>
      <c r="H563" s="8">
        <v>0</v>
      </c>
      <c r="I563" s="8">
        <v>0</v>
      </c>
      <c r="J563" s="119"/>
      <c r="K563" s="119"/>
    </row>
    <row r="564" spans="1:11" outlineLevel="1" x14ac:dyDescent="0.25">
      <c r="A564" s="117"/>
      <c r="B564" s="118"/>
      <c r="C564" s="119"/>
      <c r="D564" s="59">
        <v>2025</v>
      </c>
      <c r="E564" s="8">
        <v>0</v>
      </c>
      <c r="F564" s="8">
        <v>0</v>
      </c>
      <c r="G564" s="8">
        <v>0</v>
      </c>
      <c r="H564" s="8">
        <v>0</v>
      </c>
      <c r="I564" s="8">
        <v>0</v>
      </c>
      <c r="J564" s="119"/>
      <c r="K564" s="119"/>
    </row>
    <row r="565" spans="1:11" ht="17.100000000000001" customHeight="1" outlineLevel="1" x14ac:dyDescent="0.25">
      <c r="A565" s="117" t="s">
        <v>577</v>
      </c>
      <c r="B565" s="118" t="s">
        <v>578</v>
      </c>
      <c r="C565" s="119">
        <v>2021</v>
      </c>
      <c r="D565" s="59" t="s">
        <v>8</v>
      </c>
      <c r="E565" s="8">
        <f t="shared" si="56"/>
        <v>7451.59</v>
      </c>
      <c r="F565" s="8">
        <f>SUM(F566:F570)</f>
        <v>7079.0105000000003</v>
      </c>
      <c r="G565" s="8">
        <f>SUM(G566:G570)</f>
        <v>0</v>
      </c>
      <c r="H565" s="8">
        <f>SUM(H566:H570)</f>
        <v>372.5795</v>
      </c>
      <c r="I565" s="8">
        <f>SUM(I566:I570)</f>
        <v>0</v>
      </c>
      <c r="J565" s="119" t="s">
        <v>579</v>
      </c>
      <c r="K565" s="119" t="s">
        <v>547</v>
      </c>
    </row>
    <row r="566" spans="1:11" ht="17.100000000000001" customHeight="1" outlineLevel="1" x14ac:dyDescent="0.25">
      <c r="A566" s="117"/>
      <c r="B566" s="118"/>
      <c r="C566" s="119"/>
      <c r="D566" s="59">
        <v>2021</v>
      </c>
      <c r="E566" s="8">
        <f t="shared" si="56"/>
        <v>7451.59</v>
      </c>
      <c r="F566" s="8">
        <v>7079.0105000000003</v>
      </c>
      <c r="G566" s="8">
        <v>0</v>
      </c>
      <c r="H566" s="8">
        <f>F566/95*5</f>
        <v>372.5795</v>
      </c>
      <c r="I566" s="8">
        <v>0</v>
      </c>
      <c r="J566" s="119"/>
      <c r="K566" s="119"/>
    </row>
    <row r="567" spans="1:11" ht="17.100000000000001" customHeight="1" outlineLevel="1" x14ac:dyDescent="0.25">
      <c r="A567" s="117"/>
      <c r="B567" s="118"/>
      <c r="C567" s="119"/>
      <c r="D567" s="59">
        <v>2022</v>
      </c>
      <c r="E567" s="8">
        <v>0</v>
      </c>
      <c r="F567" s="8">
        <v>0</v>
      </c>
      <c r="G567" s="8">
        <v>0</v>
      </c>
      <c r="H567" s="8">
        <v>0</v>
      </c>
      <c r="I567" s="8">
        <v>0</v>
      </c>
      <c r="J567" s="119"/>
      <c r="K567" s="119"/>
    </row>
    <row r="568" spans="1:11" ht="17.100000000000001" customHeight="1" outlineLevel="1" x14ac:dyDescent="0.25">
      <c r="A568" s="117"/>
      <c r="B568" s="118"/>
      <c r="C568" s="119"/>
      <c r="D568" s="59">
        <v>2023</v>
      </c>
      <c r="E568" s="8">
        <v>0</v>
      </c>
      <c r="F568" s="8">
        <v>0</v>
      </c>
      <c r="G568" s="8">
        <v>0</v>
      </c>
      <c r="H568" s="8">
        <v>0</v>
      </c>
      <c r="I568" s="8">
        <v>0</v>
      </c>
      <c r="J568" s="119"/>
      <c r="K568" s="119"/>
    </row>
    <row r="569" spans="1:11" outlineLevel="1" x14ac:dyDescent="0.25">
      <c r="A569" s="117"/>
      <c r="B569" s="118"/>
      <c r="C569" s="119"/>
      <c r="D569" s="59">
        <v>2024</v>
      </c>
      <c r="E569" s="8">
        <v>0</v>
      </c>
      <c r="F569" s="8">
        <v>0</v>
      </c>
      <c r="G569" s="8">
        <v>0</v>
      </c>
      <c r="H569" s="8">
        <v>0</v>
      </c>
      <c r="I569" s="8">
        <v>0</v>
      </c>
      <c r="J569" s="119"/>
      <c r="K569" s="119"/>
    </row>
    <row r="570" spans="1:11" outlineLevel="1" x14ac:dyDescent="0.25">
      <c r="A570" s="117"/>
      <c r="B570" s="118"/>
      <c r="C570" s="119"/>
      <c r="D570" s="59">
        <v>2025</v>
      </c>
      <c r="E570" s="8">
        <v>0</v>
      </c>
      <c r="F570" s="8">
        <v>0</v>
      </c>
      <c r="G570" s="8">
        <v>0</v>
      </c>
      <c r="H570" s="8">
        <v>0</v>
      </c>
      <c r="I570" s="8">
        <v>0</v>
      </c>
      <c r="J570" s="119"/>
      <c r="K570" s="119"/>
    </row>
    <row r="571" spans="1:11" ht="17.100000000000001" customHeight="1" outlineLevel="1" x14ac:dyDescent="0.25">
      <c r="A571" s="117" t="s">
        <v>580</v>
      </c>
      <c r="B571" s="118" t="s">
        <v>416</v>
      </c>
      <c r="C571" s="119">
        <v>2021</v>
      </c>
      <c r="D571" s="59" t="s">
        <v>8</v>
      </c>
      <c r="E571" s="8">
        <f t="shared" si="56"/>
        <v>50013.516600000003</v>
      </c>
      <c r="F571" s="8">
        <f>SUM(F572:F576)</f>
        <v>47512.840770000003</v>
      </c>
      <c r="G571" s="8">
        <f>SUM(G572:G576)</f>
        <v>0</v>
      </c>
      <c r="H571" s="8">
        <f>SUM(H572:H576)</f>
        <v>2500.6758300000001</v>
      </c>
      <c r="I571" s="8">
        <f>SUM(I572:I576)</f>
        <v>0</v>
      </c>
      <c r="J571" s="119" t="s">
        <v>581</v>
      </c>
      <c r="K571" s="119" t="s">
        <v>547</v>
      </c>
    </row>
    <row r="572" spans="1:11" ht="17.100000000000001" customHeight="1" outlineLevel="1" x14ac:dyDescent="0.25">
      <c r="A572" s="117"/>
      <c r="B572" s="118"/>
      <c r="C572" s="119"/>
      <c r="D572" s="59">
        <v>2021</v>
      </c>
      <c r="E572" s="8">
        <f t="shared" si="56"/>
        <v>50013.516600000003</v>
      </c>
      <c r="F572" s="8">
        <v>47512.840770000003</v>
      </c>
      <c r="G572" s="8">
        <v>0</v>
      </c>
      <c r="H572" s="8">
        <f>F572/95*5</f>
        <v>2500.6758300000001</v>
      </c>
      <c r="I572" s="8">
        <v>0</v>
      </c>
      <c r="J572" s="119"/>
      <c r="K572" s="119"/>
    </row>
    <row r="573" spans="1:11" ht="17.100000000000001" customHeight="1" outlineLevel="1" x14ac:dyDescent="0.25">
      <c r="A573" s="117"/>
      <c r="B573" s="118"/>
      <c r="C573" s="119"/>
      <c r="D573" s="59">
        <v>2022</v>
      </c>
      <c r="E573" s="8">
        <v>0</v>
      </c>
      <c r="F573" s="8">
        <v>0</v>
      </c>
      <c r="G573" s="8">
        <v>0</v>
      </c>
      <c r="H573" s="8">
        <v>0</v>
      </c>
      <c r="I573" s="8">
        <v>0</v>
      </c>
      <c r="J573" s="119"/>
      <c r="K573" s="119"/>
    </row>
    <row r="574" spans="1:11" ht="17.100000000000001" customHeight="1" outlineLevel="1" x14ac:dyDescent="0.25">
      <c r="A574" s="117"/>
      <c r="B574" s="118"/>
      <c r="C574" s="119"/>
      <c r="D574" s="59">
        <v>2023</v>
      </c>
      <c r="E574" s="8">
        <v>0</v>
      </c>
      <c r="F574" s="8">
        <v>0</v>
      </c>
      <c r="G574" s="8">
        <v>0</v>
      </c>
      <c r="H574" s="8">
        <v>0</v>
      </c>
      <c r="I574" s="8">
        <v>0</v>
      </c>
      <c r="J574" s="119"/>
      <c r="K574" s="119"/>
    </row>
    <row r="575" spans="1:11" outlineLevel="1" x14ac:dyDescent="0.25">
      <c r="A575" s="117"/>
      <c r="B575" s="118"/>
      <c r="C575" s="119"/>
      <c r="D575" s="59">
        <v>2024</v>
      </c>
      <c r="E575" s="8">
        <v>0</v>
      </c>
      <c r="F575" s="8">
        <v>0</v>
      </c>
      <c r="G575" s="8">
        <v>0</v>
      </c>
      <c r="H575" s="8">
        <v>0</v>
      </c>
      <c r="I575" s="8">
        <v>0</v>
      </c>
      <c r="J575" s="119"/>
      <c r="K575" s="119"/>
    </row>
    <row r="576" spans="1:11" ht="20.25" customHeight="1" outlineLevel="1" x14ac:dyDescent="0.25">
      <c r="A576" s="117"/>
      <c r="B576" s="118"/>
      <c r="C576" s="119"/>
      <c r="D576" s="59">
        <v>2025</v>
      </c>
      <c r="E576" s="8">
        <v>0</v>
      </c>
      <c r="F576" s="8">
        <v>0</v>
      </c>
      <c r="G576" s="8">
        <v>0</v>
      </c>
      <c r="H576" s="8">
        <v>0</v>
      </c>
      <c r="I576" s="8">
        <v>0</v>
      </c>
      <c r="J576" s="119"/>
      <c r="K576" s="119"/>
    </row>
    <row r="577" spans="1:11" ht="16.5" customHeight="1" outlineLevel="1" x14ac:dyDescent="0.25">
      <c r="A577" s="117" t="s">
        <v>582</v>
      </c>
      <c r="B577" s="118" t="s">
        <v>419</v>
      </c>
      <c r="C577" s="119">
        <v>2021</v>
      </c>
      <c r="D577" s="59" t="s">
        <v>8</v>
      </c>
      <c r="E577" s="8">
        <f t="shared" si="56"/>
        <v>9928.3460643185299</v>
      </c>
      <c r="F577" s="8">
        <f>SUM(F578:F582)</f>
        <v>6483.2099799999996</v>
      </c>
      <c r="G577" s="8">
        <f>SUM(G578:G582)</f>
        <v>0</v>
      </c>
      <c r="H577" s="8">
        <f>SUM(H578:H582)</f>
        <v>3445.1360843185298</v>
      </c>
      <c r="I577" s="8">
        <f>SUM(I578:I582)</f>
        <v>0</v>
      </c>
      <c r="J577" s="119" t="s">
        <v>583</v>
      </c>
      <c r="K577" s="119" t="s">
        <v>547</v>
      </c>
    </row>
    <row r="578" spans="1:11" ht="21.75" customHeight="1" outlineLevel="1" x14ac:dyDescent="0.25">
      <c r="A578" s="117"/>
      <c r="B578" s="118"/>
      <c r="C578" s="119"/>
      <c r="D578" s="59">
        <v>2021</v>
      </c>
      <c r="E578" s="8">
        <f t="shared" si="56"/>
        <v>9928.3460643185299</v>
      </c>
      <c r="F578" s="8">
        <v>6483.2099799999996</v>
      </c>
      <c r="G578" s="8">
        <v>0</v>
      </c>
      <c r="H578" s="8">
        <f>F578/65.3*34.7</f>
        <v>3445.1360843185298</v>
      </c>
      <c r="I578" s="8">
        <v>0</v>
      </c>
      <c r="J578" s="119"/>
      <c r="K578" s="119"/>
    </row>
    <row r="579" spans="1:11" ht="26.25" customHeight="1" outlineLevel="1" x14ac:dyDescent="0.25">
      <c r="A579" s="117"/>
      <c r="B579" s="118"/>
      <c r="C579" s="119"/>
      <c r="D579" s="59">
        <v>2022</v>
      </c>
      <c r="E579" s="8">
        <v>0</v>
      </c>
      <c r="F579" s="8">
        <v>0</v>
      </c>
      <c r="G579" s="8">
        <v>0</v>
      </c>
      <c r="H579" s="8">
        <v>0</v>
      </c>
      <c r="I579" s="8">
        <v>0</v>
      </c>
      <c r="J579" s="119"/>
      <c r="K579" s="119"/>
    </row>
    <row r="580" spans="1:11" ht="20.25" customHeight="1" outlineLevel="1" x14ac:dyDescent="0.25">
      <c r="A580" s="117"/>
      <c r="B580" s="118"/>
      <c r="C580" s="119"/>
      <c r="D580" s="59">
        <v>2023</v>
      </c>
      <c r="E580" s="8">
        <v>0</v>
      </c>
      <c r="F580" s="8">
        <v>0</v>
      </c>
      <c r="G580" s="8">
        <v>0</v>
      </c>
      <c r="H580" s="8">
        <v>0</v>
      </c>
      <c r="I580" s="8">
        <v>0</v>
      </c>
      <c r="J580" s="119"/>
      <c r="K580" s="119"/>
    </row>
    <row r="581" spans="1:11" ht="20.25" customHeight="1" outlineLevel="1" x14ac:dyDescent="0.25">
      <c r="A581" s="117"/>
      <c r="B581" s="118"/>
      <c r="C581" s="119"/>
      <c r="D581" s="59">
        <v>2024</v>
      </c>
      <c r="E581" s="8">
        <v>0</v>
      </c>
      <c r="F581" s="8">
        <v>0</v>
      </c>
      <c r="G581" s="8">
        <v>0</v>
      </c>
      <c r="H581" s="8">
        <v>0</v>
      </c>
      <c r="I581" s="8">
        <v>0</v>
      </c>
      <c r="J581" s="119"/>
      <c r="K581" s="119"/>
    </row>
    <row r="582" spans="1:11" ht="18.75" customHeight="1" outlineLevel="1" x14ac:dyDescent="0.25">
      <c r="A582" s="117"/>
      <c r="B582" s="118"/>
      <c r="C582" s="119"/>
      <c r="D582" s="59">
        <v>2025</v>
      </c>
      <c r="E582" s="8">
        <v>0</v>
      </c>
      <c r="F582" s="8">
        <v>0</v>
      </c>
      <c r="G582" s="8">
        <v>0</v>
      </c>
      <c r="H582" s="8">
        <v>0</v>
      </c>
      <c r="I582" s="8">
        <v>0</v>
      </c>
      <c r="J582" s="119"/>
      <c r="K582" s="119"/>
    </row>
    <row r="583" spans="1:11" ht="15" customHeight="1" outlineLevel="1" x14ac:dyDescent="0.25">
      <c r="A583" s="117" t="s">
        <v>584</v>
      </c>
      <c r="B583" s="118" t="s">
        <v>424</v>
      </c>
      <c r="C583" s="119">
        <v>2021</v>
      </c>
      <c r="D583" s="59" t="s">
        <v>8</v>
      </c>
      <c r="E583" s="8">
        <f t="shared" si="56"/>
        <v>0</v>
      </c>
      <c r="F583" s="8">
        <f>SUM(F584:F588)</f>
        <v>0</v>
      </c>
      <c r="G583" s="8">
        <f>SUM(G584:G588)</f>
        <v>0</v>
      </c>
      <c r="H583" s="8">
        <f>SUM(H584:H588)</f>
        <v>0</v>
      </c>
      <c r="I583" s="8">
        <f>SUM(I584:I588)</f>
        <v>0</v>
      </c>
      <c r="J583" s="119" t="s">
        <v>585</v>
      </c>
      <c r="K583" s="119" t="s">
        <v>547</v>
      </c>
    </row>
    <row r="584" spans="1:11" ht="15" customHeight="1" outlineLevel="1" x14ac:dyDescent="0.25">
      <c r="A584" s="117"/>
      <c r="B584" s="118"/>
      <c r="C584" s="119"/>
      <c r="D584" s="59">
        <v>2021</v>
      </c>
      <c r="E584" s="8">
        <f t="shared" si="56"/>
        <v>0</v>
      </c>
      <c r="F584" s="8">
        <v>0</v>
      </c>
      <c r="G584" s="8">
        <v>0</v>
      </c>
      <c r="H584" s="8">
        <f>F584/95*5</f>
        <v>0</v>
      </c>
      <c r="I584" s="8">
        <v>0</v>
      </c>
      <c r="J584" s="119"/>
      <c r="K584" s="119"/>
    </row>
    <row r="585" spans="1:11" ht="15" customHeight="1" outlineLevel="1" x14ac:dyDescent="0.25">
      <c r="A585" s="117"/>
      <c r="B585" s="118"/>
      <c r="C585" s="119"/>
      <c r="D585" s="59">
        <v>2022</v>
      </c>
      <c r="E585" s="8">
        <v>0</v>
      </c>
      <c r="F585" s="8">
        <v>0</v>
      </c>
      <c r="G585" s="8">
        <v>0</v>
      </c>
      <c r="H585" s="8">
        <v>0</v>
      </c>
      <c r="I585" s="8">
        <v>0</v>
      </c>
      <c r="J585" s="119"/>
      <c r="K585" s="119"/>
    </row>
    <row r="586" spans="1:11" ht="15" customHeight="1" outlineLevel="1" x14ac:dyDescent="0.25">
      <c r="A586" s="117"/>
      <c r="B586" s="118"/>
      <c r="C586" s="119"/>
      <c r="D586" s="59">
        <v>2023</v>
      </c>
      <c r="E586" s="8">
        <v>0</v>
      </c>
      <c r="F586" s="8">
        <v>0</v>
      </c>
      <c r="G586" s="8">
        <v>0</v>
      </c>
      <c r="H586" s="8">
        <v>0</v>
      </c>
      <c r="I586" s="8">
        <v>0</v>
      </c>
      <c r="J586" s="119"/>
      <c r="K586" s="119"/>
    </row>
    <row r="587" spans="1:11" ht="15" customHeight="1" outlineLevel="1" x14ac:dyDescent="0.25">
      <c r="A587" s="117"/>
      <c r="B587" s="118"/>
      <c r="C587" s="119"/>
      <c r="D587" s="59">
        <v>2024</v>
      </c>
      <c r="E587" s="8">
        <v>0</v>
      </c>
      <c r="F587" s="8">
        <v>0</v>
      </c>
      <c r="G587" s="8">
        <v>0</v>
      </c>
      <c r="H587" s="8">
        <v>0</v>
      </c>
      <c r="I587" s="8">
        <v>0</v>
      </c>
      <c r="J587" s="119"/>
      <c r="K587" s="119"/>
    </row>
    <row r="588" spans="1:11" ht="15" customHeight="1" outlineLevel="1" x14ac:dyDescent="0.25">
      <c r="A588" s="117"/>
      <c r="B588" s="118"/>
      <c r="C588" s="119"/>
      <c r="D588" s="59">
        <v>2025</v>
      </c>
      <c r="E588" s="8">
        <v>0</v>
      </c>
      <c r="F588" s="8">
        <v>0</v>
      </c>
      <c r="G588" s="8">
        <v>0</v>
      </c>
      <c r="H588" s="8">
        <v>0</v>
      </c>
      <c r="I588" s="8">
        <v>0</v>
      </c>
      <c r="J588" s="119"/>
      <c r="K588" s="119"/>
    </row>
    <row r="589" spans="1:11" ht="15" customHeight="1" outlineLevel="1" x14ac:dyDescent="0.25">
      <c r="A589" s="117" t="s">
        <v>586</v>
      </c>
      <c r="B589" s="118" t="s">
        <v>587</v>
      </c>
      <c r="C589" s="119">
        <v>2021</v>
      </c>
      <c r="D589" s="59" t="s">
        <v>8</v>
      </c>
      <c r="E589" s="8">
        <f t="shared" si="56"/>
        <v>28829.676842105262</v>
      </c>
      <c r="F589" s="8">
        <f>SUM(F590:F594)</f>
        <v>27388.192999999999</v>
      </c>
      <c r="G589" s="8">
        <f>SUM(G590:G594)</f>
        <v>0</v>
      </c>
      <c r="H589" s="8">
        <f>SUM(H590:H594)</f>
        <v>1441.483842105263</v>
      </c>
      <c r="I589" s="8">
        <f>SUM(I590:I594)</f>
        <v>0</v>
      </c>
      <c r="J589" s="119" t="s">
        <v>588</v>
      </c>
      <c r="K589" s="119" t="s">
        <v>547</v>
      </c>
    </row>
    <row r="590" spans="1:11" ht="15" customHeight="1" outlineLevel="1" x14ac:dyDescent="0.25">
      <c r="A590" s="117"/>
      <c r="B590" s="118"/>
      <c r="C590" s="119"/>
      <c r="D590" s="59">
        <v>2021</v>
      </c>
      <c r="E590" s="8">
        <f t="shared" si="56"/>
        <v>28829.676842105262</v>
      </c>
      <c r="F590" s="8">
        <v>27388.192999999999</v>
      </c>
      <c r="G590" s="8">
        <v>0</v>
      </c>
      <c r="H590" s="8">
        <f>F590/95*5</f>
        <v>1441.483842105263</v>
      </c>
      <c r="I590" s="8">
        <v>0</v>
      </c>
      <c r="J590" s="119"/>
      <c r="K590" s="119"/>
    </row>
    <row r="591" spans="1:11" ht="15" customHeight="1" outlineLevel="1" x14ac:dyDescent="0.25">
      <c r="A591" s="117"/>
      <c r="B591" s="118"/>
      <c r="C591" s="119"/>
      <c r="D591" s="59">
        <v>2022</v>
      </c>
      <c r="E591" s="8">
        <v>0</v>
      </c>
      <c r="F591" s="8">
        <v>0</v>
      </c>
      <c r="G591" s="8">
        <v>0</v>
      </c>
      <c r="H591" s="8">
        <v>0</v>
      </c>
      <c r="I591" s="8">
        <v>0</v>
      </c>
      <c r="J591" s="119"/>
      <c r="K591" s="119"/>
    </row>
    <row r="592" spans="1:11" ht="15" customHeight="1" outlineLevel="1" x14ac:dyDescent="0.25">
      <c r="A592" s="117"/>
      <c r="B592" s="118"/>
      <c r="C592" s="119"/>
      <c r="D592" s="59">
        <v>2023</v>
      </c>
      <c r="E592" s="8">
        <v>0</v>
      </c>
      <c r="F592" s="8">
        <v>0</v>
      </c>
      <c r="G592" s="8">
        <v>0</v>
      </c>
      <c r="H592" s="8">
        <v>0</v>
      </c>
      <c r="I592" s="8">
        <v>0</v>
      </c>
      <c r="J592" s="119"/>
      <c r="K592" s="119"/>
    </row>
    <row r="593" spans="1:11" ht="15" customHeight="1" outlineLevel="1" x14ac:dyDescent="0.25">
      <c r="A593" s="117"/>
      <c r="B593" s="118"/>
      <c r="C593" s="119"/>
      <c r="D593" s="59">
        <v>2024</v>
      </c>
      <c r="E593" s="8">
        <v>0</v>
      </c>
      <c r="F593" s="8">
        <v>0</v>
      </c>
      <c r="G593" s="8">
        <v>0</v>
      </c>
      <c r="H593" s="8">
        <v>0</v>
      </c>
      <c r="I593" s="8">
        <v>0</v>
      </c>
      <c r="J593" s="119"/>
      <c r="K593" s="119"/>
    </row>
    <row r="594" spans="1:11" ht="13.5" customHeight="1" outlineLevel="1" x14ac:dyDescent="0.25">
      <c r="A594" s="117"/>
      <c r="B594" s="118"/>
      <c r="C594" s="119"/>
      <c r="D594" s="59">
        <v>2025</v>
      </c>
      <c r="E594" s="8">
        <v>0</v>
      </c>
      <c r="F594" s="8">
        <v>0</v>
      </c>
      <c r="G594" s="8">
        <v>0</v>
      </c>
      <c r="H594" s="8">
        <v>0</v>
      </c>
      <c r="I594" s="8">
        <v>0</v>
      </c>
      <c r="J594" s="119"/>
      <c r="K594" s="119"/>
    </row>
    <row r="595" spans="1:11" ht="16.5" customHeight="1" outlineLevel="1" x14ac:dyDescent="0.25">
      <c r="A595" s="117" t="s">
        <v>589</v>
      </c>
      <c r="B595" s="118" t="s">
        <v>590</v>
      </c>
      <c r="C595" s="119" t="s">
        <v>124</v>
      </c>
      <c r="D595" s="59" t="s">
        <v>8</v>
      </c>
      <c r="E595" s="8">
        <f t="shared" si="56"/>
        <v>4724.9217200000003</v>
      </c>
      <c r="F595" s="8">
        <f>SUM(F596:F600)</f>
        <v>4431.9217200000003</v>
      </c>
      <c r="G595" s="8">
        <f>SUM(G596:G600)</f>
        <v>0</v>
      </c>
      <c r="H595" s="8">
        <f>SUM(H596:H600)</f>
        <v>293</v>
      </c>
      <c r="I595" s="8">
        <f>SUM(I596:I600)</f>
        <v>0</v>
      </c>
      <c r="J595" s="119" t="s">
        <v>1178</v>
      </c>
      <c r="K595" s="119" t="s">
        <v>547</v>
      </c>
    </row>
    <row r="596" spans="1:11" ht="15" customHeight="1" outlineLevel="1" x14ac:dyDescent="0.25">
      <c r="A596" s="117"/>
      <c r="B596" s="118"/>
      <c r="C596" s="119"/>
      <c r="D596" s="59">
        <v>2021</v>
      </c>
      <c r="E596" s="8">
        <f t="shared" si="56"/>
        <v>2270.6600000000003</v>
      </c>
      <c r="F596" s="8">
        <v>2100.36</v>
      </c>
      <c r="G596" s="8">
        <v>0</v>
      </c>
      <c r="H596" s="8">
        <v>170.3</v>
      </c>
      <c r="I596" s="8">
        <v>0</v>
      </c>
      <c r="J596" s="119"/>
      <c r="K596" s="119"/>
    </row>
    <row r="597" spans="1:11" ht="18.75" customHeight="1" outlineLevel="1" x14ac:dyDescent="0.25">
      <c r="A597" s="117"/>
      <c r="B597" s="118"/>
      <c r="C597" s="119"/>
      <c r="D597" s="59">
        <v>2022</v>
      </c>
      <c r="E597" s="8">
        <f t="shared" si="56"/>
        <v>2454.26172</v>
      </c>
      <c r="F597" s="8">
        <v>2331.5617200000002</v>
      </c>
      <c r="G597" s="8">
        <v>0</v>
      </c>
      <c r="H597" s="8">
        <v>122.7</v>
      </c>
      <c r="I597" s="8">
        <v>0</v>
      </c>
      <c r="J597" s="119"/>
      <c r="K597" s="119"/>
    </row>
    <row r="598" spans="1:11" ht="17.25" customHeight="1" outlineLevel="1" x14ac:dyDescent="0.25">
      <c r="A598" s="117"/>
      <c r="B598" s="118"/>
      <c r="C598" s="119"/>
      <c r="D598" s="59">
        <v>2023</v>
      </c>
      <c r="E598" s="8">
        <f t="shared" si="56"/>
        <v>0</v>
      </c>
      <c r="F598" s="8">
        <v>0</v>
      </c>
      <c r="G598" s="8">
        <v>0</v>
      </c>
      <c r="H598" s="8">
        <v>0</v>
      </c>
      <c r="I598" s="8">
        <v>0</v>
      </c>
      <c r="J598" s="119"/>
      <c r="K598" s="119"/>
    </row>
    <row r="599" spans="1:11" ht="15" customHeight="1" outlineLevel="1" x14ac:dyDescent="0.25">
      <c r="A599" s="117"/>
      <c r="B599" s="118"/>
      <c r="C599" s="119"/>
      <c r="D599" s="59">
        <v>2024</v>
      </c>
      <c r="E599" s="8">
        <f t="shared" si="56"/>
        <v>0</v>
      </c>
      <c r="F599" s="8">
        <v>0</v>
      </c>
      <c r="G599" s="8">
        <v>0</v>
      </c>
      <c r="H599" s="8">
        <v>0</v>
      </c>
      <c r="I599" s="8">
        <v>0</v>
      </c>
      <c r="J599" s="119"/>
      <c r="K599" s="119"/>
    </row>
    <row r="600" spans="1:11" ht="14.25" customHeight="1" outlineLevel="1" x14ac:dyDescent="0.25">
      <c r="A600" s="117"/>
      <c r="B600" s="118"/>
      <c r="C600" s="119"/>
      <c r="D600" s="59">
        <v>2025</v>
      </c>
      <c r="E600" s="8">
        <f t="shared" si="56"/>
        <v>0</v>
      </c>
      <c r="F600" s="8">
        <v>0</v>
      </c>
      <c r="G600" s="8">
        <v>0</v>
      </c>
      <c r="H600" s="8">
        <v>0</v>
      </c>
      <c r="I600" s="8">
        <v>0</v>
      </c>
      <c r="J600" s="119"/>
      <c r="K600" s="119"/>
    </row>
    <row r="601" spans="1:11" ht="12.75" customHeight="1" outlineLevel="1" x14ac:dyDescent="0.25">
      <c r="A601" s="117" t="s">
        <v>592</v>
      </c>
      <c r="B601" s="118" t="s">
        <v>593</v>
      </c>
      <c r="C601" s="119">
        <v>2021</v>
      </c>
      <c r="D601" s="59" t="s">
        <v>8</v>
      </c>
      <c r="E601" s="8">
        <f t="shared" si="56"/>
        <v>0</v>
      </c>
      <c r="F601" s="8">
        <v>0</v>
      </c>
      <c r="G601" s="8">
        <v>0</v>
      </c>
      <c r="H601" s="8">
        <v>0</v>
      </c>
      <c r="I601" s="8">
        <v>0</v>
      </c>
      <c r="J601" s="119" t="s">
        <v>594</v>
      </c>
      <c r="K601" s="119" t="s">
        <v>103</v>
      </c>
    </row>
    <row r="602" spans="1:11" ht="12.75" customHeight="1" outlineLevel="1" x14ac:dyDescent="0.25">
      <c r="A602" s="117"/>
      <c r="B602" s="118"/>
      <c r="C602" s="119"/>
      <c r="D602" s="59">
        <v>2021</v>
      </c>
      <c r="E602" s="8">
        <f t="shared" si="56"/>
        <v>0</v>
      </c>
      <c r="F602" s="8">
        <v>0</v>
      </c>
      <c r="G602" s="8">
        <v>0</v>
      </c>
      <c r="H602" s="8">
        <v>0</v>
      </c>
      <c r="I602" s="8">
        <v>0</v>
      </c>
      <c r="J602" s="119"/>
      <c r="K602" s="119"/>
    </row>
    <row r="603" spans="1:11" ht="12.75" customHeight="1" outlineLevel="1" x14ac:dyDescent="0.25">
      <c r="A603" s="117"/>
      <c r="B603" s="118"/>
      <c r="C603" s="119"/>
      <c r="D603" s="59">
        <v>2022</v>
      </c>
      <c r="E603" s="8">
        <f t="shared" si="56"/>
        <v>0</v>
      </c>
      <c r="F603" s="8">
        <v>0</v>
      </c>
      <c r="G603" s="8">
        <v>0</v>
      </c>
      <c r="H603" s="8">
        <v>0</v>
      </c>
      <c r="I603" s="8">
        <v>0</v>
      </c>
      <c r="J603" s="119"/>
      <c r="K603" s="119"/>
    </row>
    <row r="604" spans="1:11" ht="12.75" customHeight="1" outlineLevel="1" x14ac:dyDescent="0.25">
      <c r="A604" s="117"/>
      <c r="B604" s="118"/>
      <c r="C604" s="119"/>
      <c r="D604" s="59">
        <v>2023</v>
      </c>
      <c r="E604" s="8">
        <f t="shared" si="56"/>
        <v>0</v>
      </c>
      <c r="F604" s="8">
        <v>0</v>
      </c>
      <c r="G604" s="8">
        <v>0</v>
      </c>
      <c r="H604" s="8">
        <v>0</v>
      </c>
      <c r="I604" s="8">
        <v>0</v>
      </c>
      <c r="J604" s="119"/>
      <c r="K604" s="119"/>
    </row>
    <row r="605" spans="1:11" ht="12.75" customHeight="1" outlineLevel="1" x14ac:dyDescent="0.25">
      <c r="A605" s="117"/>
      <c r="B605" s="118"/>
      <c r="C605" s="119"/>
      <c r="D605" s="59">
        <v>2024</v>
      </c>
      <c r="E605" s="8">
        <f t="shared" si="56"/>
        <v>0</v>
      </c>
      <c r="F605" s="8">
        <v>0</v>
      </c>
      <c r="G605" s="8">
        <v>0</v>
      </c>
      <c r="H605" s="8">
        <v>0</v>
      </c>
      <c r="I605" s="8">
        <v>0</v>
      </c>
      <c r="J605" s="119"/>
      <c r="K605" s="119"/>
    </row>
    <row r="606" spans="1:11" ht="12.75" customHeight="1" outlineLevel="1" x14ac:dyDescent="0.25">
      <c r="A606" s="117"/>
      <c r="B606" s="118"/>
      <c r="C606" s="119"/>
      <c r="D606" s="59">
        <v>2025</v>
      </c>
      <c r="E606" s="8">
        <f t="shared" si="56"/>
        <v>0</v>
      </c>
      <c r="F606" s="8">
        <v>0</v>
      </c>
      <c r="G606" s="8">
        <v>0</v>
      </c>
      <c r="H606" s="8">
        <v>0</v>
      </c>
      <c r="I606" s="8">
        <v>0</v>
      </c>
      <c r="J606" s="119"/>
      <c r="K606" s="119"/>
    </row>
    <row r="607" spans="1:11" ht="12.75" customHeight="1" outlineLevel="1" x14ac:dyDescent="0.25">
      <c r="A607" s="117" t="s">
        <v>722</v>
      </c>
      <c r="B607" s="118" t="s">
        <v>595</v>
      </c>
      <c r="C607" s="119">
        <v>2021</v>
      </c>
      <c r="D607" s="59" t="s">
        <v>8</v>
      </c>
      <c r="E607" s="8">
        <f t="shared" si="56"/>
        <v>468.3</v>
      </c>
      <c r="F607" s="8">
        <f>SUM(F608:F612)</f>
        <v>468.3</v>
      </c>
      <c r="G607" s="8">
        <f>SUM(G608:G612)</f>
        <v>0</v>
      </c>
      <c r="H607" s="8">
        <f>SUM(H608:H612)</f>
        <v>0</v>
      </c>
      <c r="I607" s="8">
        <f>SUM(I608:I612)</f>
        <v>0</v>
      </c>
      <c r="J607" s="119" t="s">
        <v>596</v>
      </c>
      <c r="K607" s="119" t="s">
        <v>597</v>
      </c>
    </row>
    <row r="608" spans="1:11" ht="12.75" customHeight="1" outlineLevel="1" x14ac:dyDescent="0.25">
      <c r="A608" s="117"/>
      <c r="B608" s="118"/>
      <c r="C608" s="119"/>
      <c r="D608" s="59">
        <v>2021</v>
      </c>
      <c r="E608" s="8">
        <f t="shared" si="56"/>
        <v>468.3</v>
      </c>
      <c r="F608" s="8">
        <v>468.3</v>
      </c>
      <c r="G608" s="8">
        <v>0</v>
      </c>
      <c r="H608" s="8">
        <v>0</v>
      </c>
      <c r="I608" s="8">
        <v>0</v>
      </c>
      <c r="J608" s="119"/>
      <c r="K608" s="119"/>
    </row>
    <row r="609" spans="1:11" ht="12.75" customHeight="1" outlineLevel="1" x14ac:dyDescent="0.25">
      <c r="A609" s="117"/>
      <c r="B609" s="118"/>
      <c r="C609" s="119"/>
      <c r="D609" s="59">
        <v>2022</v>
      </c>
      <c r="E609" s="8">
        <f t="shared" si="56"/>
        <v>0</v>
      </c>
      <c r="F609" s="8">
        <v>0</v>
      </c>
      <c r="G609" s="8">
        <v>0</v>
      </c>
      <c r="H609" s="8">
        <v>0</v>
      </c>
      <c r="I609" s="8">
        <v>0</v>
      </c>
      <c r="J609" s="119"/>
      <c r="K609" s="119"/>
    </row>
    <row r="610" spans="1:11" ht="12.75" customHeight="1" outlineLevel="1" x14ac:dyDescent="0.25">
      <c r="A610" s="117"/>
      <c r="B610" s="118"/>
      <c r="C610" s="119"/>
      <c r="D610" s="59">
        <v>2023</v>
      </c>
      <c r="E610" s="8">
        <f t="shared" si="56"/>
        <v>0</v>
      </c>
      <c r="F610" s="8">
        <v>0</v>
      </c>
      <c r="G610" s="8">
        <v>0</v>
      </c>
      <c r="H610" s="8">
        <v>0</v>
      </c>
      <c r="I610" s="8">
        <v>0</v>
      </c>
      <c r="J610" s="119"/>
      <c r="K610" s="119"/>
    </row>
    <row r="611" spans="1:11" ht="12.75" customHeight="1" outlineLevel="1" x14ac:dyDescent="0.25">
      <c r="A611" s="117"/>
      <c r="B611" s="118"/>
      <c r="C611" s="119"/>
      <c r="D611" s="59">
        <v>2024</v>
      </c>
      <c r="E611" s="8">
        <f t="shared" si="56"/>
        <v>0</v>
      </c>
      <c r="F611" s="8">
        <v>0</v>
      </c>
      <c r="G611" s="8">
        <v>0</v>
      </c>
      <c r="H611" s="8">
        <v>0</v>
      </c>
      <c r="I611" s="8">
        <v>0</v>
      </c>
      <c r="J611" s="119"/>
      <c r="K611" s="119"/>
    </row>
    <row r="612" spans="1:11" ht="12.75" customHeight="1" outlineLevel="1" x14ac:dyDescent="0.25">
      <c r="A612" s="117"/>
      <c r="B612" s="118"/>
      <c r="C612" s="119"/>
      <c r="D612" s="59">
        <v>2025</v>
      </c>
      <c r="E612" s="8">
        <f t="shared" si="56"/>
        <v>0</v>
      </c>
      <c r="F612" s="8">
        <v>0</v>
      </c>
      <c r="G612" s="8">
        <v>0</v>
      </c>
      <c r="H612" s="8">
        <v>0</v>
      </c>
      <c r="I612" s="8">
        <v>0</v>
      </c>
      <c r="J612" s="119"/>
      <c r="K612" s="119"/>
    </row>
    <row r="613" spans="1:11" ht="18" customHeight="1" outlineLevel="1" x14ac:dyDescent="0.25">
      <c r="A613" s="117" t="s">
        <v>1179</v>
      </c>
      <c r="B613" s="118" t="s">
        <v>599</v>
      </c>
      <c r="C613" s="119">
        <v>2021</v>
      </c>
      <c r="D613" s="59" t="s">
        <v>8</v>
      </c>
      <c r="E613" s="8">
        <f t="shared" si="56"/>
        <v>8226.4694736842102</v>
      </c>
      <c r="F613" s="8">
        <f>SUM(F614:F618)</f>
        <v>7815.1459999999997</v>
      </c>
      <c r="G613" s="8">
        <f>SUM(G614:G618)</f>
        <v>0</v>
      </c>
      <c r="H613" s="8">
        <f>SUM(H614:H618)</f>
        <v>411.32347368421051</v>
      </c>
      <c r="I613" s="8">
        <f>SUM(I614:I618)</f>
        <v>0</v>
      </c>
      <c r="J613" s="119" t="s">
        <v>600</v>
      </c>
      <c r="K613" s="119" t="s">
        <v>547</v>
      </c>
    </row>
    <row r="614" spans="1:11" ht="18" customHeight="1" outlineLevel="1" x14ac:dyDescent="0.25">
      <c r="A614" s="117"/>
      <c r="B614" s="118"/>
      <c r="C614" s="119"/>
      <c r="D614" s="59">
        <v>2021</v>
      </c>
      <c r="E614" s="8">
        <f t="shared" ref="E614:E677" si="57">SUM(F614:I614)</f>
        <v>8226.4694736842102</v>
      </c>
      <c r="F614" s="8">
        <v>7815.1459999999997</v>
      </c>
      <c r="G614" s="8">
        <v>0</v>
      </c>
      <c r="H614" s="8">
        <f t="shared" ref="H614:H615" si="58">F614/95*5</f>
        <v>411.32347368421051</v>
      </c>
      <c r="I614" s="8">
        <v>0</v>
      </c>
      <c r="J614" s="119"/>
      <c r="K614" s="119"/>
    </row>
    <row r="615" spans="1:11" ht="18" customHeight="1" outlineLevel="1" x14ac:dyDescent="0.25">
      <c r="A615" s="117"/>
      <c r="B615" s="118"/>
      <c r="C615" s="119"/>
      <c r="D615" s="59">
        <v>2022</v>
      </c>
      <c r="E615" s="8">
        <f t="shared" si="57"/>
        <v>0</v>
      </c>
      <c r="F615" s="8">
        <v>0</v>
      </c>
      <c r="G615" s="8">
        <v>0</v>
      </c>
      <c r="H615" s="8">
        <f t="shared" si="58"/>
        <v>0</v>
      </c>
      <c r="I615" s="8">
        <v>0</v>
      </c>
      <c r="J615" s="119"/>
      <c r="K615" s="119"/>
    </row>
    <row r="616" spans="1:11" ht="18" customHeight="1" outlineLevel="1" x14ac:dyDescent="0.25">
      <c r="A616" s="117"/>
      <c r="B616" s="118"/>
      <c r="C616" s="119"/>
      <c r="D616" s="59">
        <v>2023</v>
      </c>
      <c r="E616" s="8">
        <f t="shared" si="57"/>
        <v>0</v>
      </c>
      <c r="F616" s="8">
        <v>0</v>
      </c>
      <c r="G616" s="8">
        <v>0</v>
      </c>
      <c r="H616" s="8">
        <v>0</v>
      </c>
      <c r="I616" s="8">
        <v>0</v>
      </c>
      <c r="J616" s="119"/>
      <c r="K616" s="119"/>
    </row>
    <row r="617" spans="1:11" ht="18" customHeight="1" outlineLevel="1" x14ac:dyDescent="0.25">
      <c r="A617" s="117"/>
      <c r="B617" s="118"/>
      <c r="C617" s="119"/>
      <c r="D617" s="59">
        <v>2024</v>
      </c>
      <c r="E617" s="8">
        <f t="shared" si="57"/>
        <v>0</v>
      </c>
      <c r="F617" s="8">
        <v>0</v>
      </c>
      <c r="G617" s="8">
        <v>0</v>
      </c>
      <c r="H617" s="8">
        <v>0</v>
      </c>
      <c r="I617" s="8">
        <v>0</v>
      </c>
      <c r="J617" s="119"/>
      <c r="K617" s="119"/>
    </row>
    <row r="618" spans="1:11" ht="18" customHeight="1" outlineLevel="1" x14ac:dyDescent="0.25">
      <c r="A618" s="117"/>
      <c r="B618" s="118"/>
      <c r="C618" s="119"/>
      <c r="D618" s="59">
        <v>2025</v>
      </c>
      <c r="E618" s="8">
        <f t="shared" si="57"/>
        <v>0</v>
      </c>
      <c r="F618" s="8">
        <v>0</v>
      </c>
      <c r="G618" s="8">
        <v>0</v>
      </c>
      <c r="H618" s="8">
        <v>0</v>
      </c>
      <c r="I618" s="8">
        <v>0</v>
      </c>
      <c r="J618" s="119"/>
      <c r="K618" s="119"/>
    </row>
    <row r="619" spans="1:11" ht="18" customHeight="1" outlineLevel="1" x14ac:dyDescent="0.25">
      <c r="A619" s="117" t="s">
        <v>1180</v>
      </c>
      <c r="B619" s="118" t="s">
        <v>613</v>
      </c>
      <c r="C619" s="119">
        <v>2021</v>
      </c>
      <c r="D619" s="59" t="s">
        <v>8</v>
      </c>
      <c r="E619" s="8">
        <f t="shared" si="57"/>
        <v>15056.631578947368</v>
      </c>
      <c r="F619" s="8">
        <f>SUM(F620:F624)</f>
        <v>14303.8</v>
      </c>
      <c r="G619" s="8">
        <f>SUM(G620:G624)</f>
        <v>0</v>
      </c>
      <c r="H619" s="8">
        <f>SUM(H620:H624)</f>
        <v>752.83157894736837</v>
      </c>
      <c r="I619" s="8">
        <v>0</v>
      </c>
      <c r="J619" s="119" t="s">
        <v>614</v>
      </c>
      <c r="K619" s="119" t="s">
        <v>547</v>
      </c>
    </row>
    <row r="620" spans="1:11" ht="18" customHeight="1" outlineLevel="1" x14ac:dyDescent="0.25">
      <c r="A620" s="117"/>
      <c r="B620" s="118"/>
      <c r="C620" s="119"/>
      <c r="D620" s="59">
        <v>2021</v>
      </c>
      <c r="E620" s="8">
        <f t="shared" si="57"/>
        <v>15056.631578947368</v>
      </c>
      <c r="F620" s="8">
        <v>14303.8</v>
      </c>
      <c r="G620" s="8">
        <v>0</v>
      </c>
      <c r="H620" s="8">
        <f>F620/95*5</f>
        <v>752.83157894736837</v>
      </c>
      <c r="I620" s="8">
        <v>0</v>
      </c>
      <c r="J620" s="119"/>
      <c r="K620" s="119"/>
    </row>
    <row r="621" spans="1:11" ht="18" customHeight="1" outlineLevel="1" x14ac:dyDescent="0.25">
      <c r="A621" s="117"/>
      <c r="B621" s="118"/>
      <c r="C621" s="119"/>
      <c r="D621" s="59">
        <v>2022</v>
      </c>
      <c r="E621" s="8">
        <f t="shared" si="57"/>
        <v>0</v>
      </c>
      <c r="F621" s="8">
        <v>0</v>
      </c>
      <c r="G621" s="8">
        <v>0</v>
      </c>
      <c r="H621" s="8">
        <v>0</v>
      </c>
      <c r="I621" s="8">
        <v>0</v>
      </c>
      <c r="J621" s="119"/>
      <c r="K621" s="119"/>
    </row>
    <row r="622" spans="1:11" ht="18" customHeight="1" outlineLevel="1" x14ac:dyDescent="0.25">
      <c r="A622" s="117"/>
      <c r="B622" s="118"/>
      <c r="C622" s="119"/>
      <c r="D622" s="59">
        <v>2023</v>
      </c>
      <c r="E622" s="8">
        <f t="shared" si="57"/>
        <v>0</v>
      </c>
      <c r="F622" s="8">
        <v>0</v>
      </c>
      <c r="G622" s="8">
        <v>0</v>
      </c>
      <c r="H622" s="8">
        <v>0</v>
      </c>
      <c r="I622" s="8">
        <v>0</v>
      </c>
      <c r="J622" s="119"/>
      <c r="K622" s="119"/>
    </row>
    <row r="623" spans="1:11" ht="18" customHeight="1" outlineLevel="1" x14ac:dyDescent="0.25">
      <c r="A623" s="117"/>
      <c r="B623" s="118"/>
      <c r="C623" s="119"/>
      <c r="D623" s="59">
        <v>2024</v>
      </c>
      <c r="E623" s="8">
        <f t="shared" si="57"/>
        <v>0</v>
      </c>
      <c r="F623" s="8">
        <v>0</v>
      </c>
      <c r="G623" s="8">
        <v>0</v>
      </c>
      <c r="H623" s="8">
        <v>0</v>
      </c>
      <c r="I623" s="8">
        <v>0</v>
      </c>
      <c r="J623" s="119"/>
      <c r="K623" s="119"/>
    </row>
    <row r="624" spans="1:11" ht="18" customHeight="1" outlineLevel="1" x14ac:dyDescent="0.25">
      <c r="A624" s="117"/>
      <c r="B624" s="118"/>
      <c r="C624" s="119"/>
      <c r="D624" s="59">
        <v>2025</v>
      </c>
      <c r="E624" s="8">
        <f t="shared" si="57"/>
        <v>0</v>
      </c>
      <c r="F624" s="8">
        <v>0</v>
      </c>
      <c r="G624" s="8">
        <v>0</v>
      </c>
      <c r="H624" s="8">
        <v>0</v>
      </c>
      <c r="I624" s="8">
        <v>0</v>
      </c>
      <c r="J624" s="119"/>
      <c r="K624" s="119"/>
    </row>
    <row r="625" spans="1:11" ht="12.75" customHeight="1" outlineLevel="1" x14ac:dyDescent="0.25">
      <c r="A625" s="117" t="s">
        <v>916</v>
      </c>
      <c r="B625" s="118" t="s">
        <v>913</v>
      </c>
      <c r="C625" s="119">
        <v>2022</v>
      </c>
      <c r="D625" s="59" t="s">
        <v>8</v>
      </c>
      <c r="E625" s="8">
        <f t="shared" si="57"/>
        <v>20912.768100000001</v>
      </c>
      <c r="F625" s="8">
        <f>SUM(F626:F630)</f>
        <v>20912.768100000001</v>
      </c>
      <c r="G625" s="8">
        <f>SUM(G626:G630)</f>
        <v>0</v>
      </c>
      <c r="H625" s="8">
        <f>SUM(H626:H630)</f>
        <v>0</v>
      </c>
      <c r="I625" s="8">
        <f>SUM(I626:I630)</f>
        <v>0</v>
      </c>
      <c r="J625" s="119" t="s">
        <v>914</v>
      </c>
      <c r="K625" s="119" t="s">
        <v>915</v>
      </c>
    </row>
    <row r="626" spans="1:11" ht="12.75" customHeight="1" outlineLevel="1" x14ac:dyDescent="0.25">
      <c r="A626" s="117"/>
      <c r="B626" s="118"/>
      <c r="C626" s="119"/>
      <c r="D626" s="59">
        <v>2021</v>
      </c>
      <c r="E626" s="8">
        <f t="shared" si="57"/>
        <v>0</v>
      </c>
      <c r="F626" s="8">
        <v>0</v>
      </c>
      <c r="G626" s="8">
        <v>0</v>
      </c>
      <c r="H626" s="8">
        <v>0</v>
      </c>
      <c r="I626" s="8">
        <v>0</v>
      </c>
      <c r="J626" s="119"/>
      <c r="K626" s="119"/>
    </row>
    <row r="627" spans="1:11" ht="12.75" customHeight="1" outlineLevel="1" x14ac:dyDescent="0.25">
      <c r="A627" s="117"/>
      <c r="B627" s="118"/>
      <c r="C627" s="119"/>
      <c r="D627" s="59">
        <v>2022</v>
      </c>
      <c r="E627" s="8">
        <f t="shared" si="57"/>
        <v>20912.768100000001</v>
      </c>
      <c r="F627" s="8">
        <v>20912.768100000001</v>
      </c>
      <c r="G627" s="8">
        <v>0</v>
      </c>
      <c r="H627" s="8">
        <v>0</v>
      </c>
      <c r="I627" s="8">
        <v>0</v>
      </c>
      <c r="J627" s="119"/>
      <c r="K627" s="119"/>
    </row>
    <row r="628" spans="1:11" ht="12.75" customHeight="1" outlineLevel="1" x14ac:dyDescent="0.25">
      <c r="A628" s="117"/>
      <c r="B628" s="118"/>
      <c r="C628" s="119"/>
      <c r="D628" s="59">
        <v>2023</v>
      </c>
      <c r="E628" s="8">
        <f t="shared" si="57"/>
        <v>0</v>
      </c>
      <c r="F628" s="8">
        <v>0</v>
      </c>
      <c r="G628" s="8">
        <v>0</v>
      </c>
      <c r="H628" s="8">
        <v>0</v>
      </c>
      <c r="I628" s="8">
        <v>0</v>
      </c>
      <c r="J628" s="119"/>
      <c r="K628" s="119"/>
    </row>
    <row r="629" spans="1:11" ht="12.75" customHeight="1" outlineLevel="1" x14ac:dyDescent="0.25">
      <c r="A629" s="117"/>
      <c r="B629" s="118"/>
      <c r="C629" s="119"/>
      <c r="D629" s="59">
        <v>2024</v>
      </c>
      <c r="E629" s="8">
        <f t="shared" si="57"/>
        <v>0</v>
      </c>
      <c r="F629" s="8">
        <v>0</v>
      </c>
      <c r="G629" s="8">
        <v>0</v>
      </c>
      <c r="H629" s="8">
        <v>0</v>
      </c>
      <c r="I629" s="8">
        <v>0</v>
      </c>
      <c r="J629" s="119"/>
      <c r="K629" s="119"/>
    </row>
    <row r="630" spans="1:11" ht="12.75" customHeight="1" outlineLevel="1" x14ac:dyDescent="0.25">
      <c r="A630" s="117"/>
      <c r="B630" s="118"/>
      <c r="C630" s="119"/>
      <c r="D630" s="59">
        <v>2025</v>
      </c>
      <c r="E630" s="8">
        <f t="shared" si="57"/>
        <v>0</v>
      </c>
      <c r="F630" s="8">
        <v>0</v>
      </c>
      <c r="G630" s="8">
        <v>0</v>
      </c>
      <c r="H630" s="8">
        <v>0</v>
      </c>
      <c r="I630" s="8">
        <v>0</v>
      </c>
      <c r="J630" s="119"/>
      <c r="K630" s="119"/>
    </row>
    <row r="631" spans="1:11" ht="12.75" customHeight="1" outlineLevel="1" x14ac:dyDescent="0.25">
      <c r="A631" s="120" t="s">
        <v>1181</v>
      </c>
      <c r="B631" s="121" t="s">
        <v>917</v>
      </c>
      <c r="C631" s="122" t="s">
        <v>1169</v>
      </c>
      <c r="D631" s="48" t="s">
        <v>8</v>
      </c>
      <c r="E631" s="49">
        <f t="shared" si="57"/>
        <v>150000</v>
      </c>
      <c r="F631" s="49">
        <f>SUM(F632:F636)</f>
        <v>142500</v>
      </c>
      <c r="G631" s="49">
        <f>SUM(G632:G636)</f>
        <v>0</v>
      </c>
      <c r="H631" s="49">
        <f>SUM(H632:H636)</f>
        <v>7500</v>
      </c>
      <c r="I631" s="49">
        <f>SUM(I632:I636)</f>
        <v>0</v>
      </c>
      <c r="J631" s="122" t="s">
        <v>1182</v>
      </c>
      <c r="K631" s="122" t="s">
        <v>547</v>
      </c>
    </row>
    <row r="632" spans="1:11" ht="12.75" customHeight="1" outlineLevel="1" x14ac:dyDescent="0.25">
      <c r="A632" s="120"/>
      <c r="B632" s="121"/>
      <c r="C632" s="122"/>
      <c r="D632" s="48">
        <v>2021</v>
      </c>
      <c r="E632" s="49">
        <f t="shared" si="57"/>
        <v>0</v>
      </c>
      <c r="F632" s="49">
        <v>0</v>
      </c>
      <c r="G632" s="49">
        <v>0</v>
      </c>
      <c r="H632" s="49">
        <v>0</v>
      </c>
      <c r="I632" s="49">
        <v>0</v>
      </c>
      <c r="J632" s="122"/>
      <c r="K632" s="122"/>
    </row>
    <row r="633" spans="1:11" ht="12.75" customHeight="1" outlineLevel="1" x14ac:dyDescent="0.25">
      <c r="A633" s="120"/>
      <c r="B633" s="121"/>
      <c r="C633" s="122"/>
      <c r="D633" s="48">
        <v>2022</v>
      </c>
      <c r="E633" s="49">
        <f t="shared" si="57"/>
        <v>70000</v>
      </c>
      <c r="F633" s="49">
        <v>66500</v>
      </c>
      <c r="G633" s="49">
        <v>0</v>
      </c>
      <c r="H633" s="49">
        <v>3500</v>
      </c>
      <c r="I633" s="49">
        <v>0</v>
      </c>
      <c r="J633" s="122"/>
      <c r="K633" s="122"/>
    </row>
    <row r="634" spans="1:11" ht="12.75" customHeight="1" outlineLevel="1" x14ac:dyDescent="0.25">
      <c r="A634" s="120"/>
      <c r="B634" s="121"/>
      <c r="C634" s="122"/>
      <c r="D634" s="48">
        <v>2023</v>
      </c>
      <c r="E634" s="49">
        <f t="shared" si="57"/>
        <v>80000</v>
      </c>
      <c r="F634" s="49">
        <v>76000</v>
      </c>
      <c r="G634" s="49">
        <v>0</v>
      </c>
      <c r="H634" s="49">
        <v>4000</v>
      </c>
      <c r="I634" s="49">
        <v>0</v>
      </c>
      <c r="J634" s="122"/>
      <c r="K634" s="122"/>
    </row>
    <row r="635" spans="1:11" ht="12.75" customHeight="1" outlineLevel="1" x14ac:dyDescent="0.25">
      <c r="A635" s="120"/>
      <c r="B635" s="121"/>
      <c r="C635" s="122"/>
      <c r="D635" s="48">
        <v>2024</v>
      </c>
      <c r="E635" s="49">
        <f t="shared" si="57"/>
        <v>0</v>
      </c>
      <c r="F635" s="49">
        <v>0</v>
      </c>
      <c r="G635" s="49">
        <v>0</v>
      </c>
      <c r="H635" s="49">
        <v>0</v>
      </c>
      <c r="I635" s="49">
        <v>0</v>
      </c>
      <c r="J635" s="122"/>
      <c r="K635" s="122"/>
    </row>
    <row r="636" spans="1:11" outlineLevel="1" x14ac:dyDescent="0.25">
      <c r="A636" s="120"/>
      <c r="B636" s="121"/>
      <c r="C636" s="122"/>
      <c r="D636" s="48">
        <v>2025</v>
      </c>
      <c r="E636" s="49">
        <f t="shared" si="57"/>
        <v>0</v>
      </c>
      <c r="F636" s="49">
        <v>0</v>
      </c>
      <c r="G636" s="49">
        <v>0</v>
      </c>
      <c r="H636" s="49">
        <v>0</v>
      </c>
      <c r="I636" s="49">
        <v>0</v>
      </c>
      <c r="J636" s="122"/>
      <c r="K636" s="122"/>
    </row>
    <row r="637" spans="1:11" ht="14.25" customHeight="1" outlineLevel="1" x14ac:dyDescent="0.25">
      <c r="A637" s="117" t="s">
        <v>922</v>
      </c>
      <c r="B637" s="118" t="s">
        <v>920</v>
      </c>
      <c r="C637" s="119" t="s">
        <v>1113</v>
      </c>
      <c r="D637" s="59" t="s">
        <v>8</v>
      </c>
      <c r="E637" s="8">
        <f t="shared" si="57"/>
        <v>17600</v>
      </c>
      <c r="F637" s="8">
        <f>SUM(F638:F642)</f>
        <v>17600</v>
      </c>
      <c r="G637" s="8">
        <f>SUM(G638:G642)</f>
        <v>0</v>
      </c>
      <c r="H637" s="8">
        <f>SUM(H638:H642)</f>
        <v>0</v>
      </c>
      <c r="I637" s="8">
        <f>SUM(I638:I642)</f>
        <v>0</v>
      </c>
      <c r="J637" s="119" t="s">
        <v>921</v>
      </c>
      <c r="K637" s="119" t="s">
        <v>563</v>
      </c>
    </row>
    <row r="638" spans="1:11" ht="12.75" customHeight="1" outlineLevel="1" x14ac:dyDescent="0.25">
      <c r="A638" s="117"/>
      <c r="B638" s="118"/>
      <c r="C638" s="119"/>
      <c r="D638" s="59">
        <v>2021</v>
      </c>
      <c r="E638" s="8">
        <f t="shared" si="57"/>
        <v>0</v>
      </c>
      <c r="F638" s="8">
        <v>0</v>
      </c>
      <c r="G638" s="8">
        <v>0</v>
      </c>
      <c r="H638" s="8">
        <v>0</v>
      </c>
      <c r="I638" s="8">
        <v>0</v>
      </c>
      <c r="J638" s="119"/>
      <c r="K638" s="119"/>
    </row>
    <row r="639" spans="1:11" ht="14.25" customHeight="1" outlineLevel="1" x14ac:dyDescent="0.25">
      <c r="A639" s="117"/>
      <c r="B639" s="118"/>
      <c r="C639" s="119"/>
      <c r="D639" s="59">
        <v>2022</v>
      </c>
      <c r="E639" s="8">
        <f t="shared" si="57"/>
        <v>4400</v>
      </c>
      <c r="F639" s="8">
        <v>4400</v>
      </c>
      <c r="G639" s="8">
        <v>0</v>
      </c>
      <c r="H639" s="8">
        <v>0</v>
      </c>
      <c r="I639" s="8">
        <v>0</v>
      </c>
      <c r="J639" s="119"/>
      <c r="K639" s="119"/>
    </row>
    <row r="640" spans="1:11" ht="14.25" customHeight="1" outlineLevel="1" x14ac:dyDescent="0.25">
      <c r="A640" s="117"/>
      <c r="B640" s="118"/>
      <c r="C640" s="119"/>
      <c r="D640" s="59">
        <v>2023</v>
      </c>
      <c r="E640" s="8">
        <f t="shared" si="57"/>
        <v>4400</v>
      </c>
      <c r="F640" s="8">
        <v>4400</v>
      </c>
      <c r="G640" s="8">
        <v>0</v>
      </c>
      <c r="H640" s="8">
        <v>0</v>
      </c>
      <c r="I640" s="8">
        <v>0</v>
      </c>
      <c r="J640" s="119"/>
      <c r="K640" s="119"/>
    </row>
    <row r="641" spans="1:11" ht="12" customHeight="1" outlineLevel="1" x14ac:dyDescent="0.25">
      <c r="A641" s="117"/>
      <c r="B641" s="118"/>
      <c r="C641" s="119"/>
      <c r="D641" s="59">
        <v>2024</v>
      </c>
      <c r="E641" s="8">
        <f t="shared" si="57"/>
        <v>4400</v>
      </c>
      <c r="F641" s="8">
        <v>4400</v>
      </c>
      <c r="G641" s="8">
        <v>0</v>
      </c>
      <c r="H641" s="8">
        <v>0</v>
      </c>
      <c r="I641" s="8">
        <v>0</v>
      </c>
      <c r="J641" s="119"/>
      <c r="K641" s="119"/>
    </row>
    <row r="642" spans="1:11" ht="15" customHeight="1" outlineLevel="1" x14ac:dyDescent="0.25">
      <c r="A642" s="117"/>
      <c r="B642" s="118"/>
      <c r="C642" s="119"/>
      <c r="D642" s="59">
        <v>2025</v>
      </c>
      <c r="E642" s="8">
        <f t="shared" si="57"/>
        <v>4400</v>
      </c>
      <c r="F642" s="8">
        <v>4400</v>
      </c>
      <c r="G642" s="8">
        <v>0</v>
      </c>
      <c r="H642" s="8">
        <v>0</v>
      </c>
      <c r="I642" s="8">
        <v>0</v>
      </c>
      <c r="J642" s="119"/>
      <c r="K642" s="119"/>
    </row>
    <row r="643" spans="1:11" ht="12.75" customHeight="1" outlineLevel="1" x14ac:dyDescent="0.25">
      <c r="A643" s="117" t="s">
        <v>925</v>
      </c>
      <c r="B643" s="118" t="s">
        <v>926</v>
      </c>
      <c r="C643" s="119">
        <v>2022</v>
      </c>
      <c r="D643" s="59" t="s">
        <v>8</v>
      </c>
      <c r="E643" s="8">
        <f t="shared" si="57"/>
        <v>65500</v>
      </c>
      <c r="F643" s="8">
        <f>SUM(F644:F648)</f>
        <v>62225</v>
      </c>
      <c r="G643" s="8">
        <f>SUM(G644:G648)</f>
        <v>0</v>
      </c>
      <c r="H643" s="8">
        <f>SUM(H644:H648)</f>
        <v>3275</v>
      </c>
      <c r="I643" s="8">
        <f>SUM(I644:I648)</f>
        <v>0</v>
      </c>
      <c r="J643" s="119" t="s">
        <v>927</v>
      </c>
      <c r="K643" s="119" t="s">
        <v>547</v>
      </c>
    </row>
    <row r="644" spans="1:11" ht="12.75" customHeight="1" outlineLevel="1" x14ac:dyDescent="0.25">
      <c r="A644" s="117"/>
      <c r="B644" s="118"/>
      <c r="C644" s="119"/>
      <c r="D644" s="59">
        <v>2021</v>
      </c>
      <c r="E644" s="8">
        <f t="shared" si="57"/>
        <v>0</v>
      </c>
      <c r="F644" s="8">
        <v>0</v>
      </c>
      <c r="G644" s="8">
        <v>0</v>
      </c>
      <c r="H644" s="8">
        <v>0</v>
      </c>
      <c r="I644" s="8">
        <v>0</v>
      </c>
      <c r="J644" s="119"/>
      <c r="K644" s="119"/>
    </row>
    <row r="645" spans="1:11" ht="12.75" customHeight="1" outlineLevel="1" x14ac:dyDescent="0.25">
      <c r="A645" s="117"/>
      <c r="B645" s="118"/>
      <c r="C645" s="119"/>
      <c r="D645" s="59">
        <v>2022</v>
      </c>
      <c r="E645" s="8">
        <f t="shared" si="57"/>
        <v>65500</v>
      </c>
      <c r="F645" s="8">
        <v>62225</v>
      </c>
      <c r="G645" s="8">
        <v>0</v>
      </c>
      <c r="H645" s="8">
        <v>3275</v>
      </c>
      <c r="I645" s="8">
        <v>0</v>
      </c>
      <c r="J645" s="119"/>
      <c r="K645" s="119"/>
    </row>
    <row r="646" spans="1:11" ht="12.75" customHeight="1" outlineLevel="1" x14ac:dyDescent="0.25">
      <c r="A646" s="117"/>
      <c r="B646" s="118"/>
      <c r="C646" s="119"/>
      <c r="D646" s="59">
        <v>2023</v>
      </c>
      <c r="E646" s="8">
        <f t="shared" si="57"/>
        <v>0</v>
      </c>
      <c r="F646" s="8">
        <v>0</v>
      </c>
      <c r="G646" s="8">
        <v>0</v>
      </c>
      <c r="H646" s="8">
        <v>0</v>
      </c>
      <c r="I646" s="8">
        <v>0</v>
      </c>
      <c r="J646" s="119"/>
      <c r="K646" s="119"/>
    </row>
    <row r="647" spans="1:11" ht="12.75" customHeight="1" outlineLevel="1" x14ac:dyDescent="0.25">
      <c r="A647" s="117"/>
      <c r="B647" s="118"/>
      <c r="C647" s="119"/>
      <c r="D647" s="59">
        <v>2024</v>
      </c>
      <c r="E647" s="8">
        <f t="shared" si="57"/>
        <v>0</v>
      </c>
      <c r="F647" s="8">
        <v>0</v>
      </c>
      <c r="G647" s="8">
        <v>0</v>
      </c>
      <c r="H647" s="8">
        <v>0</v>
      </c>
      <c r="I647" s="8">
        <v>0</v>
      </c>
      <c r="J647" s="119"/>
      <c r="K647" s="119"/>
    </row>
    <row r="648" spans="1:11" ht="12.75" customHeight="1" outlineLevel="1" x14ac:dyDescent="0.25">
      <c r="A648" s="117"/>
      <c r="B648" s="118"/>
      <c r="C648" s="119"/>
      <c r="D648" s="59">
        <v>2025</v>
      </c>
      <c r="E648" s="8">
        <f t="shared" si="57"/>
        <v>0</v>
      </c>
      <c r="F648" s="8">
        <v>0</v>
      </c>
      <c r="G648" s="8">
        <v>0</v>
      </c>
      <c r="H648" s="8">
        <v>0</v>
      </c>
      <c r="I648" s="8">
        <v>0</v>
      </c>
      <c r="J648" s="119"/>
      <c r="K648" s="119"/>
    </row>
    <row r="649" spans="1:11" ht="12.75" customHeight="1" outlineLevel="1" x14ac:dyDescent="0.25">
      <c r="A649" s="117" t="s">
        <v>928</v>
      </c>
      <c r="B649" s="118" t="s">
        <v>1183</v>
      </c>
      <c r="C649" s="119">
        <v>2022</v>
      </c>
      <c r="D649" s="59" t="s">
        <v>8</v>
      </c>
      <c r="E649" s="8">
        <f t="shared" si="57"/>
        <v>3010.9325454545456</v>
      </c>
      <c r="F649" s="8">
        <f>SUM(F650:F654)</f>
        <v>2980.8232200000002</v>
      </c>
      <c r="G649" s="8">
        <f t="shared" ref="G649:G691" si="59">SUM(G650:G654)</f>
        <v>0</v>
      </c>
      <c r="H649" s="8">
        <f>SUM(H650:H654)</f>
        <v>30.109325454545456</v>
      </c>
      <c r="I649" s="8">
        <f t="shared" ref="I649:I685" si="60">SUM(I650:I654)</f>
        <v>0</v>
      </c>
      <c r="J649" s="119" t="s">
        <v>930</v>
      </c>
      <c r="K649" s="119" t="s">
        <v>547</v>
      </c>
    </row>
    <row r="650" spans="1:11" ht="12.75" customHeight="1" outlineLevel="1" x14ac:dyDescent="0.25">
      <c r="A650" s="117"/>
      <c r="B650" s="118"/>
      <c r="C650" s="119"/>
      <c r="D650" s="59">
        <v>2021</v>
      </c>
      <c r="E650" s="8">
        <f t="shared" si="57"/>
        <v>0</v>
      </c>
      <c r="F650" s="8"/>
      <c r="G650" s="8">
        <f t="shared" si="59"/>
        <v>0</v>
      </c>
      <c r="H650" s="8"/>
      <c r="I650" s="8">
        <f t="shared" si="60"/>
        <v>0</v>
      </c>
      <c r="J650" s="119"/>
      <c r="K650" s="119"/>
    </row>
    <row r="651" spans="1:11" ht="12.75" customHeight="1" outlineLevel="1" x14ac:dyDescent="0.25">
      <c r="A651" s="117"/>
      <c r="B651" s="118"/>
      <c r="C651" s="119"/>
      <c r="D651" s="59">
        <v>2022</v>
      </c>
      <c r="E651" s="8">
        <f t="shared" si="57"/>
        <v>3010.9325454545456</v>
      </c>
      <c r="F651" s="8">
        <v>2980.8232200000002</v>
      </c>
      <c r="G651" s="8">
        <f t="shared" si="59"/>
        <v>0</v>
      </c>
      <c r="H651" s="8">
        <f>F651/99*1</f>
        <v>30.109325454545456</v>
      </c>
      <c r="I651" s="8">
        <f t="shared" si="60"/>
        <v>0</v>
      </c>
      <c r="J651" s="119"/>
      <c r="K651" s="119"/>
    </row>
    <row r="652" spans="1:11" ht="12.75" customHeight="1" outlineLevel="1" x14ac:dyDescent="0.25">
      <c r="A652" s="117"/>
      <c r="B652" s="118"/>
      <c r="C652" s="119"/>
      <c r="D652" s="59">
        <v>2023</v>
      </c>
      <c r="E652" s="8">
        <f t="shared" si="57"/>
        <v>0</v>
      </c>
      <c r="F652" s="8"/>
      <c r="G652" s="8">
        <f t="shared" si="59"/>
        <v>0</v>
      </c>
      <c r="H652" s="8"/>
      <c r="I652" s="8">
        <f t="shared" si="60"/>
        <v>0</v>
      </c>
      <c r="J652" s="119"/>
      <c r="K652" s="119"/>
    </row>
    <row r="653" spans="1:11" ht="12.75" customHeight="1" outlineLevel="1" x14ac:dyDescent="0.25">
      <c r="A653" s="117"/>
      <c r="B653" s="118"/>
      <c r="C653" s="119"/>
      <c r="D653" s="59">
        <v>2024</v>
      </c>
      <c r="E653" s="8">
        <f t="shared" si="57"/>
        <v>0</v>
      </c>
      <c r="F653" s="8"/>
      <c r="G653" s="8">
        <f t="shared" si="59"/>
        <v>0</v>
      </c>
      <c r="H653" s="8"/>
      <c r="I653" s="8">
        <f t="shared" si="60"/>
        <v>0</v>
      </c>
      <c r="J653" s="119"/>
      <c r="K653" s="119"/>
    </row>
    <row r="654" spans="1:11" ht="12.75" customHeight="1" outlineLevel="1" x14ac:dyDescent="0.25">
      <c r="A654" s="117"/>
      <c r="B654" s="118"/>
      <c r="C654" s="119"/>
      <c r="D654" s="59">
        <v>2025</v>
      </c>
      <c r="E654" s="8">
        <f t="shared" si="57"/>
        <v>0</v>
      </c>
      <c r="F654" s="8"/>
      <c r="G654" s="8">
        <f t="shared" si="59"/>
        <v>0</v>
      </c>
      <c r="H654" s="8"/>
      <c r="I654" s="8">
        <f t="shared" si="60"/>
        <v>0</v>
      </c>
      <c r="J654" s="119"/>
      <c r="K654" s="119"/>
    </row>
    <row r="655" spans="1:11" ht="12.75" customHeight="1" outlineLevel="1" x14ac:dyDescent="0.25">
      <c r="A655" s="117" t="s">
        <v>931</v>
      </c>
      <c r="B655" s="118" t="s">
        <v>932</v>
      </c>
      <c r="C655" s="119">
        <v>2022</v>
      </c>
      <c r="D655" s="59" t="s">
        <v>8</v>
      </c>
      <c r="E655" s="8">
        <f t="shared" si="57"/>
        <v>9956.0763399999996</v>
      </c>
      <c r="F655" s="8">
        <f>SUM(F656:F660)</f>
        <v>9458.2733399999997</v>
      </c>
      <c r="G655" s="8">
        <f t="shared" si="59"/>
        <v>0</v>
      </c>
      <c r="H655" s="8">
        <f>SUM(H656:H660)</f>
        <v>497.803</v>
      </c>
      <c r="I655" s="8">
        <f t="shared" si="60"/>
        <v>0</v>
      </c>
      <c r="J655" s="119" t="s">
        <v>933</v>
      </c>
      <c r="K655" s="119" t="s">
        <v>547</v>
      </c>
    </row>
    <row r="656" spans="1:11" ht="12.75" customHeight="1" outlineLevel="1" x14ac:dyDescent="0.25">
      <c r="A656" s="117"/>
      <c r="B656" s="118"/>
      <c r="C656" s="119"/>
      <c r="D656" s="59">
        <v>2021</v>
      </c>
      <c r="E656" s="8">
        <f t="shared" si="57"/>
        <v>0</v>
      </c>
      <c r="F656" s="8">
        <v>0</v>
      </c>
      <c r="G656" s="8">
        <f t="shared" si="59"/>
        <v>0</v>
      </c>
      <c r="H656" s="8">
        <v>0</v>
      </c>
      <c r="I656" s="8">
        <f t="shared" si="60"/>
        <v>0</v>
      </c>
      <c r="J656" s="119"/>
      <c r="K656" s="119"/>
    </row>
    <row r="657" spans="1:11" ht="12.75" customHeight="1" outlineLevel="1" x14ac:dyDescent="0.25">
      <c r="A657" s="117"/>
      <c r="B657" s="118"/>
      <c r="C657" s="119"/>
      <c r="D657" s="59">
        <v>2022</v>
      </c>
      <c r="E657" s="8">
        <f t="shared" si="57"/>
        <v>9956.0763399999996</v>
      </c>
      <c r="F657" s="8">
        <v>9458.2733399999997</v>
      </c>
      <c r="G657" s="8">
        <f t="shared" si="59"/>
        <v>0</v>
      </c>
      <c r="H657" s="8">
        <v>497.803</v>
      </c>
      <c r="I657" s="8">
        <f t="shared" si="60"/>
        <v>0</v>
      </c>
      <c r="J657" s="119"/>
      <c r="K657" s="119"/>
    </row>
    <row r="658" spans="1:11" ht="12.75" customHeight="1" outlineLevel="1" x14ac:dyDescent="0.25">
      <c r="A658" s="117"/>
      <c r="B658" s="118"/>
      <c r="C658" s="119"/>
      <c r="D658" s="59">
        <v>2023</v>
      </c>
      <c r="E658" s="8">
        <f t="shared" si="57"/>
        <v>0</v>
      </c>
      <c r="F658" s="8">
        <v>0</v>
      </c>
      <c r="G658" s="8">
        <f t="shared" si="59"/>
        <v>0</v>
      </c>
      <c r="H658" s="8">
        <v>0</v>
      </c>
      <c r="I658" s="8">
        <f t="shared" si="60"/>
        <v>0</v>
      </c>
      <c r="J658" s="119"/>
      <c r="K658" s="119"/>
    </row>
    <row r="659" spans="1:11" ht="12.75" customHeight="1" outlineLevel="1" x14ac:dyDescent="0.25">
      <c r="A659" s="117"/>
      <c r="B659" s="118"/>
      <c r="C659" s="119"/>
      <c r="D659" s="59">
        <v>2024</v>
      </c>
      <c r="E659" s="8">
        <f t="shared" si="57"/>
        <v>0</v>
      </c>
      <c r="F659" s="8">
        <v>0</v>
      </c>
      <c r="G659" s="8">
        <f t="shared" si="59"/>
        <v>0</v>
      </c>
      <c r="H659" s="8">
        <v>0</v>
      </c>
      <c r="I659" s="8">
        <f t="shared" si="60"/>
        <v>0</v>
      </c>
      <c r="J659" s="119"/>
      <c r="K659" s="119"/>
    </row>
    <row r="660" spans="1:11" ht="12.75" customHeight="1" outlineLevel="1" x14ac:dyDescent="0.25">
      <c r="A660" s="117"/>
      <c r="B660" s="118"/>
      <c r="C660" s="119"/>
      <c r="D660" s="59">
        <v>2025</v>
      </c>
      <c r="E660" s="8">
        <f t="shared" si="57"/>
        <v>0</v>
      </c>
      <c r="F660" s="8">
        <v>0</v>
      </c>
      <c r="G660" s="8">
        <f t="shared" si="59"/>
        <v>0</v>
      </c>
      <c r="H660" s="8">
        <v>0</v>
      </c>
      <c r="I660" s="8">
        <f t="shared" si="60"/>
        <v>0</v>
      </c>
      <c r="J660" s="119"/>
      <c r="K660" s="119"/>
    </row>
    <row r="661" spans="1:11" ht="12.75" customHeight="1" outlineLevel="1" x14ac:dyDescent="0.25">
      <c r="A661" s="117" t="s">
        <v>934</v>
      </c>
      <c r="B661" s="118" t="s">
        <v>1184</v>
      </c>
      <c r="C661" s="119">
        <v>2022</v>
      </c>
      <c r="D661" s="59" t="s">
        <v>8</v>
      </c>
      <c r="E661" s="8">
        <f t="shared" si="57"/>
        <v>3320.7358421052631</v>
      </c>
      <c r="F661" s="8">
        <f>SUM(F662:F666)</f>
        <v>3154.6990500000002</v>
      </c>
      <c r="G661" s="8">
        <f t="shared" si="59"/>
        <v>0</v>
      </c>
      <c r="H661" s="8">
        <f>SUM(H662:H666)</f>
        <v>166.03679210526315</v>
      </c>
      <c r="I661" s="8">
        <f t="shared" si="60"/>
        <v>0</v>
      </c>
      <c r="J661" s="119" t="s">
        <v>1185</v>
      </c>
      <c r="K661" s="119" t="s">
        <v>547</v>
      </c>
    </row>
    <row r="662" spans="1:11" ht="12.75" customHeight="1" outlineLevel="1" x14ac:dyDescent="0.25">
      <c r="A662" s="117"/>
      <c r="B662" s="118"/>
      <c r="C662" s="119"/>
      <c r="D662" s="59">
        <v>2021</v>
      </c>
      <c r="E662" s="8">
        <f t="shared" si="57"/>
        <v>0</v>
      </c>
      <c r="F662" s="8">
        <v>0</v>
      </c>
      <c r="G662" s="8">
        <f t="shared" si="59"/>
        <v>0</v>
      </c>
      <c r="H662" s="8">
        <v>0</v>
      </c>
      <c r="I662" s="8">
        <f t="shared" si="60"/>
        <v>0</v>
      </c>
      <c r="J662" s="119"/>
      <c r="K662" s="119"/>
    </row>
    <row r="663" spans="1:11" ht="12.75" customHeight="1" outlineLevel="1" x14ac:dyDescent="0.25">
      <c r="A663" s="117"/>
      <c r="B663" s="118"/>
      <c r="C663" s="119"/>
      <c r="D663" s="59">
        <v>2022</v>
      </c>
      <c r="E663" s="8">
        <f t="shared" si="57"/>
        <v>3320.7358421052631</v>
      </c>
      <c r="F663" s="8">
        <v>3154.6990500000002</v>
      </c>
      <c r="G663" s="8">
        <f t="shared" si="59"/>
        <v>0</v>
      </c>
      <c r="H663" s="8">
        <f>F663/95*5</f>
        <v>166.03679210526315</v>
      </c>
      <c r="I663" s="8">
        <f t="shared" si="60"/>
        <v>0</v>
      </c>
      <c r="J663" s="119"/>
      <c r="K663" s="119"/>
    </row>
    <row r="664" spans="1:11" ht="12.75" customHeight="1" outlineLevel="1" x14ac:dyDescent="0.25">
      <c r="A664" s="117"/>
      <c r="B664" s="118"/>
      <c r="C664" s="119"/>
      <c r="D664" s="59">
        <v>2023</v>
      </c>
      <c r="E664" s="8">
        <f t="shared" si="57"/>
        <v>0</v>
      </c>
      <c r="F664" s="8">
        <v>0</v>
      </c>
      <c r="G664" s="8">
        <f t="shared" si="59"/>
        <v>0</v>
      </c>
      <c r="H664" s="8">
        <v>0</v>
      </c>
      <c r="I664" s="8">
        <f t="shared" si="60"/>
        <v>0</v>
      </c>
      <c r="J664" s="119"/>
      <c r="K664" s="119"/>
    </row>
    <row r="665" spans="1:11" ht="12.75" customHeight="1" outlineLevel="1" x14ac:dyDescent="0.25">
      <c r="A665" s="117"/>
      <c r="B665" s="118"/>
      <c r="C665" s="119"/>
      <c r="D665" s="59">
        <v>2024</v>
      </c>
      <c r="E665" s="8">
        <f t="shared" si="57"/>
        <v>0</v>
      </c>
      <c r="F665" s="8">
        <v>0</v>
      </c>
      <c r="G665" s="8">
        <f t="shared" si="59"/>
        <v>0</v>
      </c>
      <c r="H665" s="8">
        <v>0</v>
      </c>
      <c r="I665" s="8">
        <f t="shared" si="60"/>
        <v>0</v>
      </c>
      <c r="J665" s="119"/>
      <c r="K665" s="119"/>
    </row>
    <row r="666" spans="1:11" ht="12.75" customHeight="1" outlineLevel="1" x14ac:dyDescent="0.25">
      <c r="A666" s="117"/>
      <c r="B666" s="118"/>
      <c r="C666" s="119"/>
      <c r="D666" s="59">
        <v>2025</v>
      </c>
      <c r="E666" s="8">
        <f t="shared" si="57"/>
        <v>0</v>
      </c>
      <c r="F666" s="8">
        <v>0</v>
      </c>
      <c r="G666" s="8">
        <f t="shared" si="59"/>
        <v>0</v>
      </c>
      <c r="H666" s="8">
        <v>0</v>
      </c>
      <c r="I666" s="8">
        <f t="shared" si="60"/>
        <v>0</v>
      </c>
      <c r="J666" s="119"/>
      <c r="K666" s="119"/>
    </row>
    <row r="667" spans="1:11" ht="12.75" customHeight="1" outlineLevel="1" x14ac:dyDescent="0.25">
      <c r="A667" s="117" t="s">
        <v>937</v>
      </c>
      <c r="B667" s="118" t="s">
        <v>938</v>
      </c>
      <c r="C667" s="119">
        <v>2022</v>
      </c>
      <c r="D667" s="59" t="s">
        <v>8</v>
      </c>
      <c r="E667" s="8">
        <f t="shared" si="57"/>
        <v>17129.317905263157</v>
      </c>
      <c r="F667" s="8">
        <f>SUM(F668:F672)</f>
        <v>16272.852010000001</v>
      </c>
      <c r="G667" s="8">
        <f t="shared" si="59"/>
        <v>0</v>
      </c>
      <c r="H667" s="8">
        <f>SUM(H668:H672)</f>
        <v>856.4658952631579</v>
      </c>
      <c r="I667" s="8">
        <f t="shared" si="60"/>
        <v>0</v>
      </c>
      <c r="J667" s="119" t="s">
        <v>939</v>
      </c>
      <c r="K667" s="119" t="s">
        <v>547</v>
      </c>
    </row>
    <row r="668" spans="1:11" ht="12.75" customHeight="1" outlineLevel="1" x14ac:dyDescent="0.25">
      <c r="A668" s="117"/>
      <c r="B668" s="118"/>
      <c r="C668" s="119"/>
      <c r="D668" s="59">
        <v>2021</v>
      </c>
      <c r="E668" s="8">
        <f t="shared" si="57"/>
        <v>0</v>
      </c>
      <c r="F668" s="8">
        <v>0</v>
      </c>
      <c r="G668" s="8">
        <f t="shared" si="59"/>
        <v>0</v>
      </c>
      <c r="H668" s="8">
        <v>0</v>
      </c>
      <c r="I668" s="8">
        <f t="shared" si="60"/>
        <v>0</v>
      </c>
      <c r="J668" s="119"/>
      <c r="K668" s="119"/>
    </row>
    <row r="669" spans="1:11" ht="12.75" customHeight="1" outlineLevel="1" x14ac:dyDescent="0.25">
      <c r="A669" s="117"/>
      <c r="B669" s="118"/>
      <c r="C669" s="119"/>
      <c r="D669" s="59">
        <v>2022</v>
      </c>
      <c r="E669" s="8">
        <f t="shared" si="57"/>
        <v>17129.317905263157</v>
      </c>
      <c r="F669" s="8">
        <v>16272.852010000001</v>
      </c>
      <c r="G669" s="8">
        <f t="shared" si="59"/>
        <v>0</v>
      </c>
      <c r="H669" s="8">
        <f>F669/95*5</f>
        <v>856.4658952631579</v>
      </c>
      <c r="I669" s="8">
        <f t="shared" si="60"/>
        <v>0</v>
      </c>
      <c r="J669" s="119"/>
      <c r="K669" s="119"/>
    </row>
    <row r="670" spans="1:11" ht="12.75" customHeight="1" outlineLevel="1" x14ac:dyDescent="0.25">
      <c r="A670" s="117"/>
      <c r="B670" s="118"/>
      <c r="C670" s="119"/>
      <c r="D670" s="59">
        <v>2023</v>
      </c>
      <c r="E670" s="8">
        <f t="shared" si="57"/>
        <v>0</v>
      </c>
      <c r="F670" s="8">
        <v>0</v>
      </c>
      <c r="G670" s="8">
        <f t="shared" si="59"/>
        <v>0</v>
      </c>
      <c r="H670" s="8">
        <v>0</v>
      </c>
      <c r="I670" s="8">
        <f t="shared" si="60"/>
        <v>0</v>
      </c>
      <c r="J670" s="119"/>
      <c r="K670" s="119"/>
    </row>
    <row r="671" spans="1:11" ht="12.75" customHeight="1" outlineLevel="1" x14ac:dyDescent="0.25">
      <c r="A671" s="117"/>
      <c r="B671" s="118"/>
      <c r="C671" s="119"/>
      <c r="D671" s="59">
        <v>2024</v>
      </c>
      <c r="E671" s="8">
        <f t="shared" si="57"/>
        <v>0</v>
      </c>
      <c r="F671" s="8">
        <v>0</v>
      </c>
      <c r="G671" s="8">
        <f t="shared" si="59"/>
        <v>0</v>
      </c>
      <c r="H671" s="8">
        <v>0</v>
      </c>
      <c r="I671" s="8">
        <f t="shared" si="60"/>
        <v>0</v>
      </c>
      <c r="J671" s="119"/>
      <c r="K671" s="119"/>
    </row>
    <row r="672" spans="1:11" ht="12.75" customHeight="1" outlineLevel="1" x14ac:dyDescent="0.25">
      <c r="A672" s="117"/>
      <c r="B672" s="118"/>
      <c r="C672" s="119"/>
      <c r="D672" s="59">
        <v>2025</v>
      </c>
      <c r="E672" s="8">
        <f t="shared" si="57"/>
        <v>0</v>
      </c>
      <c r="F672" s="8">
        <v>0</v>
      </c>
      <c r="G672" s="8">
        <f t="shared" si="59"/>
        <v>0</v>
      </c>
      <c r="H672" s="8">
        <v>0</v>
      </c>
      <c r="I672" s="8">
        <f t="shared" si="60"/>
        <v>0</v>
      </c>
      <c r="J672" s="119"/>
      <c r="K672" s="119"/>
    </row>
    <row r="673" spans="1:11" ht="12.75" customHeight="1" outlineLevel="1" x14ac:dyDescent="0.25">
      <c r="A673" s="117" t="s">
        <v>940</v>
      </c>
      <c r="B673" s="118" t="s">
        <v>1186</v>
      </c>
      <c r="C673" s="119">
        <v>2022</v>
      </c>
      <c r="D673" s="59" t="s">
        <v>8</v>
      </c>
      <c r="E673" s="8">
        <f t="shared" si="57"/>
        <v>5286.9536799999996</v>
      </c>
      <c r="F673" s="8">
        <f>SUM(F674:F678)</f>
        <v>5022.6066799999999</v>
      </c>
      <c r="G673" s="8">
        <f t="shared" si="59"/>
        <v>0</v>
      </c>
      <c r="H673" s="8">
        <f>SUM(H674:H678)</f>
        <v>264.34699999999998</v>
      </c>
      <c r="I673" s="8">
        <f t="shared" si="60"/>
        <v>0</v>
      </c>
      <c r="J673" s="119" t="s">
        <v>942</v>
      </c>
      <c r="K673" s="119" t="s">
        <v>547</v>
      </c>
    </row>
    <row r="674" spans="1:11" ht="12.75" customHeight="1" outlineLevel="1" x14ac:dyDescent="0.25">
      <c r="A674" s="117"/>
      <c r="B674" s="118"/>
      <c r="C674" s="119"/>
      <c r="D674" s="59">
        <v>2021</v>
      </c>
      <c r="E674" s="8">
        <f t="shared" si="57"/>
        <v>0</v>
      </c>
      <c r="F674" s="8">
        <v>0</v>
      </c>
      <c r="G674" s="8">
        <f t="shared" si="59"/>
        <v>0</v>
      </c>
      <c r="H674" s="8">
        <v>0</v>
      </c>
      <c r="I674" s="8">
        <f t="shared" si="60"/>
        <v>0</v>
      </c>
      <c r="J674" s="119"/>
      <c r="K674" s="119"/>
    </row>
    <row r="675" spans="1:11" ht="12.75" customHeight="1" outlineLevel="1" x14ac:dyDescent="0.25">
      <c r="A675" s="117"/>
      <c r="B675" s="118"/>
      <c r="C675" s="119"/>
      <c r="D675" s="59">
        <v>2022</v>
      </c>
      <c r="E675" s="8">
        <f t="shared" si="57"/>
        <v>5286.9536799999996</v>
      </c>
      <c r="F675" s="8">
        <v>5022.6066799999999</v>
      </c>
      <c r="G675" s="8">
        <f t="shared" si="59"/>
        <v>0</v>
      </c>
      <c r="H675" s="8">
        <v>264.34699999999998</v>
      </c>
      <c r="I675" s="8">
        <f t="shared" si="60"/>
        <v>0</v>
      </c>
      <c r="J675" s="119"/>
      <c r="K675" s="119"/>
    </row>
    <row r="676" spans="1:11" ht="12.75" customHeight="1" outlineLevel="1" x14ac:dyDescent="0.25">
      <c r="A676" s="117"/>
      <c r="B676" s="118"/>
      <c r="C676" s="119"/>
      <c r="D676" s="59">
        <v>2023</v>
      </c>
      <c r="E676" s="8">
        <f t="shared" si="57"/>
        <v>0</v>
      </c>
      <c r="F676" s="8">
        <v>0</v>
      </c>
      <c r="G676" s="8">
        <f t="shared" si="59"/>
        <v>0</v>
      </c>
      <c r="H676" s="8">
        <v>0</v>
      </c>
      <c r="I676" s="8">
        <f t="shared" si="60"/>
        <v>0</v>
      </c>
      <c r="J676" s="119"/>
      <c r="K676" s="119"/>
    </row>
    <row r="677" spans="1:11" ht="12.75" customHeight="1" outlineLevel="1" x14ac:dyDescent="0.25">
      <c r="A677" s="117"/>
      <c r="B677" s="118"/>
      <c r="C677" s="119"/>
      <c r="D677" s="59">
        <v>2024</v>
      </c>
      <c r="E677" s="8">
        <f t="shared" si="57"/>
        <v>0</v>
      </c>
      <c r="F677" s="8">
        <v>0</v>
      </c>
      <c r="G677" s="8">
        <f t="shared" si="59"/>
        <v>0</v>
      </c>
      <c r="H677" s="8">
        <v>0</v>
      </c>
      <c r="I677" s="8">
        <f t="shared" si="60"/>
        <v>0</v>
      </c>
      <c r="J677" s="119"/>
      <c r="K677" s="119"/>
    </row>
    <row r="678" spans="1:11" ht="12.75" customHeight="1" outlineLevel="1" x14ac:dyDescent="0.25">
      <c r="A678" s="117"/>
      <c r="B678" s="118"/>
      <c r="C678" s="119"/>
      <c r="D678" s="59">
        <v>2025</v>
      </c>
      <c r="E678" s="8">
        <f t="shared" ref="E678:F756" si="61">SUM(F678:I678)</f>
        <v>0</v>
      </c>
      <c r="F678" s="8">
        <v>0</v>
      </c>
      <c r="G678" s="8">
        <f t="shared" si="59"/>
        <v>0</v>
      </c>
      <c r="H678" s="8">
        <v>0</v>
      </c>
      <c r="I678" s="8">
        <f t="shared" si="60"/>
        <v>0</v>
      </c>
      <c r="J678" s="119"/>
      <c r="K678" s="119"/>
    </row>
    <row r="679" spans="1:11" ht="12.75" customHeight="1" outlineLevel="1" x14ac:dyDescent="0.25">
      <c r="A679" s="117" t="s">
        <v>943</v>
      </c>
      <c r="B679" s="118" t="s">
        <v>944</v>
      </c>
      <c r="C679" s="119">
        <v>2022</v>
      </c>
      <c r="D679" s="59" t="s">
        <v>8</v>
      </c>
      <c r="E679" s="8">
        <f t="shared" si="61"/>
        <v>2973.9789052631577</v>
      </c>
      <c r="F679" s="8">
        <f>SUM(F680:F684)</f>
        <v>2825.2799599999998</v>
      </c>
      <c r="G679" s="8">
        <f t="shared" si="59"/>
        <v>0</v>
      </c>
      <c r="H679" s="8">
        <f>SUM(H680:H684)</f>
        <v>148.69894526315787</v>
      </c>
      <c r="I679" s="8">
        <f t="shared" si="60"/>
        <v>0</v>
      </c>
      <c r="J679" s="119" t="s">
        <v>945</v>
      </c>
      <c r="K679" s="119" t="s">
        <v>547</v>
      </c>
    </row>
    <row r="680" spans="1:11" ht="12.75" customHeight="1" outlineLevel="1" x14ac:dyDescent="0.25">
      <c r="A680" s="117"/>
      <c r="B680" s="118"/>
      <c r="C680" s="119"/>
      <c r="D680" s="59">
        <v>2021</v>
      </c>
      <c r="E680" s="8">
        <f t="shared" si="61"/>
        <v>0</v>
      </c>
      <c r="F680" s="8">
        <v>0</v>
      </c>
      <c r="G680" s="8">
        <f t="shared" si="59"/>
        <v>0</v>
      </c>
      <c r="H680" s="8">
        <v>0</v>
      </c>
      <c r="I680" s="8">
        <v>0</v>
      </c>
      <c r="J680" s="119"/>
      <c r="K680" s="119"/>
    </row>
    <row r="681" spans="1:11" ht="12.75" customHeight="1" outlineLevel="1" x14ac:dyDescent="0.25">
      <c r="A681" s="117"/>
      <c r="B681" s="118"/>
      <c r="C681" s="119"/>
      <c r="D681" s="59">
        <v>2022</v>
      </c>
      <c r="E681" s="8">
        <f t="shared" si="61"/>
        <v>2973.9789052631577</v>
      </c>
      <c r="F681" s="8">
        <v>2825.2799599999998</v>
      </c>
      <c r="G681" s="8">
        <f t="shared" si="59"/>
        <v>0</v>
      </c>
      <c r="H681" s="8">
        <f>F681/95*5</f>
        <v>148.69894526315787</v>
      </c>
      <c r="I681" s="8">
        <v>0</v>
      </c>
      <c r="J681" s="119"/>
      <c r="K681" s="119"/>
    </row>
    <row r="682" spans="1:11" ht="12.75" customHeight="1" outlineLevel="1" x14ac:dyDescent="0.25">
      <c r="A682" s="117"/>
      <c r="B682" s="118"/>
      <c r="C682" s="119"/>
      <c r="D682" s="59">
        <v>2023</v>
      </c>
      <c r="E682" s="8">
        <f t="shared" si="61"/>
        <v>0</v>
      </c>
      <c r="F682" s="8">
        <v>0</v>
      </c>
      <c r="G682" s="8">
        <v>0</v>
      </c>
      <c r="H682" s="8">
        <v>0</v>
      </c>
      <c r="I682" s="8">
        <v>0</v>
      </c>
      <c r="J682" s="119"/>
      <c r="K682" s="119"/>
    </row>
    <row r="683" spans="1:11" ht="12.75" customHeight="1" outlineLevel="1" x14ac:dyDescent="0.25">
      <c r="A683" s="117"/>
      <c r="B683" s="118"/>
      <c r="C683" s="119"/>
      <c r="D683" s="59">
        <v>2024</v>
      </c>
      <c r="E683" s="8">
        <f t="shared" si="61"/>
        <v>0</v>
      </c>
      <c r="F683" s="8">
        <v>0</v>
      </c>
      <c r="G683" s="8">
        <v>0</v>
      </c>
      <c r="H683" s="8">
        <v>0</v>
      </c>
      <c r="I683" s="8">
        <v>0</v>
      </c>
      <c r="J683" s="119"/>
      <c r="K683" s="119"/>
    </row>
    <row r="684" spans="1:11" ht="12.75" customHeight="1" outlineLevel="1" x14ac:dyDescent="0.25">
      <c r="A684" s="117"/>
      <c r="B684" s="118"/>
      <c r="C684" s="119"/>
      <c r="D684" s="59">
        <v>2025</v>
      </c>
      <c r="E684" s="8">
        <f t="shared" si="61"/>
        <v>0</v>
      </c>
      <c r="F684" s="8">
        <v>0</v>
      </c>
      <c r="G684" s="8">
        <v>0</v>
      </c>
      <c r="H684" s="8">
        <v>0</v>
      </c>
      <c r="I684" s="8">
        <v>0</v>
      </c>
      <c r="J684" s="119"/>
      <c r="K684" s="119"/>
    </row>
    <row r="685" spans="1:11" ht="12.75" customHeight="1" outlineLevel="1" x14ac:dyDescent="0.25">
      <c r="A685" s="120" t="s">
        <v>946</v>
      </c>
      <c r="B685" s="121" t="s">
        <v>947</v>
      </c>
      <c r="C685" s="122" t="s">
        <v>1169</v>
      </c>
      <c r="D685" s="48" t="s">
        <v>8</v>
      </c>
      <c r="E685" s="49">
        <f t="shared" si="61"/>
        <v>26151.575000000001</v>
      </c>
      <c r="F685" s="49">
        <f>SUM(F686:F690)</f>
        <v>24843.99625</v>
      </c>
      <c r="G685" s="49">
        <f t="shared" si="59"/>
        <v>0</v>
      </c>
      <c r="H685" s="49">
        <f>SUM(H686:H690)</f>
        <v>1307.5787500000001</v>
      </c>
      <c r="I685" s="49">
        <f t="shared" si="60"/>
        <v>0</v>
      </c>
      <c r="J685" s="122" t="s">
        <v>1187</v>
      </c>
      <c r="K685" s="122" t="s">
        <v>547</v>
      </c>
    </row>
    <row r="686" spans="1:11" ht="12.75" customHeight="1" outlineLevel="1" x14ac:dyDescent="0.25">
      <c r="A686" s="120"/>
      <c r="B686" s="121"/>
      <c r="C686" s="122"/>
      <c r="D686" s="48">
        <v>2021</v>
      </c>
      <c r="E686" s="49">
        <f t="shared" si="61"/>
        <v>0</v>
      </c>
      <c r="F686" s="49">
        <v>0</v>
      </c>
      <c r="G686" s="49">
        <v>0</v>
      </c>
      <c r="H686" s="49">
        <v>0</v>
      </c>
      <c r="I686" s="49">
        <f>SUM(I687:I690)</f>
        <v>0</v>
      </c>
      <c r="J686" s="122"/>
      <c r="K686" s="122"/>
    </row>
    <row r="687" spans="1:11" ht="12.75" customHeight="1" outlineLevel="1" x14ac:dyDescent="0.25">
      <c r="A687" s="120"/>
      <c r="B687" s="121"/>
      <c r="C687" s="122"/>
      <c r="D687" s="48">
        <v>2022</v>
      </c>
      <c r="E687" s="49">
        <f t="shared" si="61"/>
        <v>16151.575000000001</v>
      </c>
      <c r="F687" s="49">
        <v>15343.99625</v>
      </c>
      <c r="G687" s="49">
        <v>0</v>
      </c>
      <c r="H687" s="49">
        <f>F687*5/95</f>
        <v>807.57875000000001</v>
      </c>
      <c r="I687" s="49">
        <f>SUM(I688:I690)</f>
        <v>0</v>
      </c>
      <c r="J687" s="122"/>
      <c r="K687" s="122"/>
    </row>
    <row r="688" spans="1:11" ht="12.75" customHeight="1" outlineLevel="1" x14ac:dyDescent="0.25">
      <c r="A688" s="120"/>
      <c r="B688" s="121"/>
      <c r="C688" s="122"/>
      <c r="D688" s="48">
        <v>2023</v>
      </c>
      <c r="E688" s="49">
        <f t="shared" si="61"/>
        <v>10000</v>
      </c>
      <c r="F688" s="49">
        <v>9500</v>
      </c>
      <c r="G688" s="49">
        <v>0</v>
      </c>
      <c r="H688" s="49">
        <v>500</v>
      </c>
      <c r="I688" s="49">
        <f>SUM(I689:I690)</f>
        <v>0</v>
      </c>
      <c r="J688" s="122"/>
      <c r="K688" s="122"/>
    </row>
    <row r="689" spans="1:11" ht="12.75" customHeight="1" outlineLevel="1" x14ac:dyDescent="0.25">
      <c r="A689" s="120"/>
      <c r="B689" s="121"/>
      <c r="C689" s="122"/>
      <c r="D689" s="48">
        <v>2024</v>
      </c>
      <c r="E689" s="49">
        <f t="shared" si="61"/>
        <v>0</v>
      </c>
      <c r="F689" s="49">
        <v>0</v>
      </c>
      <c r="G689" s="49">
        <v>0</v>
      </c>
      <c r="H689" s="49">
        <v>0</v>
      </c>
      <c r="I689" s="49">
        <v>0</v>
      </c>
      <c r="J689" s="122"/>
      <c r="K689" s="122"/>
    </row>
    <row r="690" spans="1:11" ht="12.75" customHeight="1" outlineLevel="1" x14ac:dyDescent="0.25">
      <c r="A690" s="120"/>
      <c r="B690" s="121"/>
      <c r="C690" s="122"/>
      <c r="D690" s="48">
        <v>2025</v>
      </c>
      <c r="E690" s="49">
        <f t="shared" si="61"/>
        <v>0</v>
      </c>
      <c r="F690" s="49">
        <v>0</v>
      </c>
      <c r="G690" s="49">
        <v>0</v>
      </c>
      <c r="H690" s="49">
        <v>0</v>
      </c>
      <c r="I690" s="49">
        <v>0</v>
      </c>
      <c r="J690" s="122"/>
      <c r="K690" s="122"/>
    </row>
    <row r="691" spans="1:11" ht="12.75" customHeight="1" outlineLevel="1" x14ac:dyDescent="0.25">
      <c r="A691" s="120" t="s">
        <v>1188</v>
      </c>
      <c r="B691" s="121" t="s">
        <v>1189</v>
      </c>
      <c r="C691" s="122" t="s">
        <v>1169</v>
      </c>
      <c r="D691" s="48" t="s">
        <v>8</v>
      </c>
      <c r="E691" s="49">
        <f t="shared" si="61"/>
        <v>11451.6183</v>
      </c>
      <c r="F691" s="49">
        <f>SUM(F692:F696)</f>
        <v>11451.6183</v>
      </c>
      <c r="G691" s="49">
        <f t="shared" si="59"/>
        <v>0</v>
      </c>
      <c r="H691" s="49">
        <f>SUM(H692:H696)</f>
        <v>0</v>
      </c>
      <c r="I691" s="49">
        <f>SUM(I692:I696)</f>
        <v>0</v>
      </c>
      <c r="J691" s="122" t="s">
        <v>1756</v>
      </c>
      <c r="K691" s="122" t="s">
        <v>1190</v>
      </c>
    </row>
    <row r="692" spans="1:11" ht="12.75" customHeight="1" outlineLevel="1" x14ac:dyDescent="0.25">
      <c r="A692" s="120"/>
      <c r="B692" s="121"/>
      <c r="C692" s="122"/>
      <c r="D692" s="48">
        <v>2021</v>
      </c>
      <c r="E692" s="49">
        <f t="shared" si="61"/>
        <v>0</v>
      </c>
      <c r="F692" s="49">
        <v>0</v>
      </c>
      <c r="G692" s="49">
        <v>0</v>
      </c>
      <c r="H692" s="49">
        <v>0</v>
      </c>
      <c r="I692" s="49">
        <v>0</v>
      </c>
      <c r="J692" s="122"/>
      <c r="K692" s="122"/>
    </row>
    <row r="693" spans="1:11" ht="12.75" customHeight="1" outlineLevel="1" x14ac:dyDescent="0.25">
      <c r="A693" s="120"/>
      <c r="B693" s="121"/>
      <c r="C693" s="122"/>
      <c r="D693" s="48">
        <v>2022</v>
      </c>
      <c r="E693" s="49">
        <f t="shared" si="61"/>
        <v>11287.552299999999</v>
      </c>
      <c r="F693" s="49">
        <v>11287.552299999999</v>
      </c>
      <c r="G693" s="49">
        <v>0</v>
      </c>
      <c r="H693" s="49">
        <v>0</v>
      </c>
      <c r="I693" s="49">
        <v>0</v>
      </c>
      <c r="J693" s="122"/>
      <c r="K693" s="122"/>
    </row>
    <row r="694" spans="1:11" ht="12.75" customHeight="1" outlineLevel="1" x14ac:dyDescent="0.25">
      <c r="A694" s="120"/>
      <c r="B694" s="121"/>
      <c r="C694" s="122"/>
      <c r="D694" s="48">
        <v>2023</v>
      </c>
      <c r="E694" s="49">
        <f t="shared" si="61"/>
        <v>164.066</v>
      </c>
      <c r="F694" s="49">
        <v>164.066</v>
      </c>
      <c r="G694" s="49">
        <v>0</v>
      </c>
      <c r="H694" s="49">
        <v>0</v>
      </c>
      <c r="I694" s="49">
        <v>0</v>
      </c>
      <c r="J694" s="122"/>
      <c r="K694" s="122"/>
    </row>
    <row r="695" spans="1:11" ht="12.75" customHeight="1" outlineLevel="1" x14ac:dyDescent="0.25">
      <c r="A695" s="120"/>
      <c r="B695" s="121"/>
      <c r="C695" s="122"/>
      <c r="D695" s="48">
        <v>2024</v>
      </c>
      <c r="E695" s="49">
        <f t="shared" si="61"/>
        <v>0</v>
      </c>
      <c r="F695" s="49">
        <v>0</v>
      </c>
      <c r="G695" s="49">
        <v>0</v>
      </c>
      <c r="H695" s="49">
        <v>0</v>
      </c>
      <c r="I695" s="49">
        <v>0</v>
      </c>
      <c r="J695" s="122"/>
      <c r="K695" s="122"/>
    </row>
    <row r="696" spans="1:11" ht="12.75" customHeight="1" outlineLevel="1" x14ac:dyDescent="0.25">
      <c r="A696" s="120"/>
      <c r="B696" s="121"/>
      <c r="C696" s="122"/>
      <c r="D696" s="48">
        <v>2025</v>
      </c>
      <c r="E696" s="49">
        <f t="shared" si="61"/>
        <v>0</v>
      </c>
      <c r="F696" s="49">
        <v>0</v>
      </c>
      <c r="G696" s="49">
        <v>0</v>
      </c>
      <c r="H696" s="49">
        <v>0</v>
      </c>
      <c r="I696" s="49">
        <v>0</v>
      </c>
      <c r="J696" s="122"/>
      <c r="K696" s="122"/>
    </row>
    <row r="697" spans="1:11" ht="12.75" customHeight="1" outlineLevel="1" x14ac:dyDescent="0.25">
      <c r="A697" s="117" t="s">
        <v>1191</v>
      </c>
      <c r="B697" s="118" t="s">
        <v>1192</v>
      </c>
      <c r="C697" s="119">
        <v>2022</v>
      </c>
      <c r="D697" s="59" t="s">
        <v>8</v>
      </c>
      <c r="E697" s="8">
        <f t="shared" si="61"/>
        <v>2900</v>
      </c>
      <c r="F697" s="8">
        <f>SUM(F698:F702)</f>
        <v>2900</v>
      </c>
      <c r="G697" s="8">
        <f t="shared" ref="G697:I709" si="62">SUM(G698:G702)</f>
        <v>0</v>
      </c>
      <c r="H697" s="8">
        <f>SUM(H698:H702)</f>
        <v>0</v>
      </c>
      <c r="I697" s="8">
        <f>SUM(I698:I702)</f>
        <v>0</v>
      </c>
      <c r="J697" s="119" t="s">
        <v>1193</v>
      </c>
      <c r="K697" s="119" t="s">
        <v>597</v>
      </c>
    </row>
    <row r="698" spans="1:11" ht="12.75" customHeight="1" outlineLevel="1" x14ac:dyDescent="0.25">
      <c r="A698" s="117"/>
      <c r="B698" s="118"/>
      <c r="C698" s="119"/>
      <c r="D698" s="59">
        <v>2021</v>
      </c>
      <c r="E698" s="8">
        <f t="shared" si="61"/>
        <v>0</v>
      </c>
      <c r="F698" s="8">
        <v>0</v>
      </c>
      <c r="G698" s="8">
        <v>0</v>
      </c>
      <c r="H698" s="8">
        <v>0</v>
      </c>
      <c r="I698" s="8">
        <v>0</v>
      </c>
      <c r="J698" s="119"/>
      <c r="K698" s="119"/>
    </row>
    <row r="699" spans="1:11" ht="12.75" customHeight="1" outlineLevel="1" x14ac:dyDescent="0.25">
      <c r="A699" s="117"/>
      <c r="B699" s="118"/>
      <c r="C699" s="119"/>
      <c r="D699" s="59">
        <v>2022</v>
      </c>
      <c r="E699" s="8">
        <f t="shared" si="61"/>
        <v>2900</v>
      </c>
      <c r="F699" s="8">
        <v>2900</v>
      </c>
      <c r="G699" s="8">
        <v>0</v>
      </c>
      <c r="H699" s="8">
        <v>0</v>
      </c>
      <c r="I699" s="8">
        <v>0</v>
      </c>
      <c r="J699" s="119"/>
      <c r="K699" s="119"/>
    </row>
    <row r="700" spans="1:11" ht="12.75" customHeight="1" outlineLevel="1" x14ac:dyDescent="0.25">
      <c r="A700" s="117"/>
      <c r="B700" s="118"/>
      <c r="C700" s="119"/>
      <c r="D700" s="59">
        <v>2023</v>
      </c>
      <c r="E700" s="8">
        <f t="shared" si="61"/>
        <v>0</v>
      </c>
      <c r="F700" s="8">
        <v>0</v>
      </c>
      <c r="G700" s="8">
        <v>0</v>
      </c>
      <c r="H700" s="8">
        <v>0</v>
      </c>
      <c r="I700" s="8">
        <v>0</v>
      </c>
      <c r="J700" s="119"/>
      <c r="K700" s="119"/>
    </row>
    <row r="701" spans="1:11" ht="12.75" customHeight="1" outlineLevel="1" x14ac:dyDescent="0.25">
      <c r="A701" s="117"/>
      <c r="B701" s="118"/>
      <c r="C701" s="119"/>
      <c r="D701" s="59">
        <v>2024</v>
      </c>
      <c r="E701" s="8">
        <f t="shared" si="61"/>
        <v>0</v>
      </c>
      <c r="F701" s="8">
        <v>0</v>
      </c>
      <c r="G701" s="8">
        <v>0</v>
      </c>
      <c r="H701" s="8">
        <v>0</v>
      </c>
      <c r="I701" s="8">
        <v>0</v>
      </c>
      <c r="J701" s="119"/>
      <c r="K701" s="119"/>
    </row>
    <row r="702" spans="1:11" ht="12.75" customHeight="1" outlineLevel="1" x14ac:dyDescent="0.25">
      <c r="A702" s="117"/>
      <c r="B702" s="118"/>
      <c r="C702" s="119"/>
      <c r="D702" s="59">
        <v>2025</v>
      </c>
      <c r="E702" s="8">
        <f t="shared" si="61"/>
        <v>0</v>
      </c>
      <c r="F702" s="8">
        <v>0</v>
      </c>
      <c r="G702" s="8">
        <v>0</v>
      </c>
      <c r="H702" s="8">
        <v>0</v>
      </c>
      <c r="I702" s="8">
        <v>0</v>
      </c>
      <c r="J702" s="119"/>
      <c r="K702" s="119"/>
    </row>
    <row r="703" spans="1:11" ht="12.75" customHeight="1" outlineLevel="1" x14ac:dyDescent="0.25">
      <c r="A703" s="117" t="s">
        <v>1194</v>
      </c>
      <c r="B703" s="118" t="s">
        <v>1195</v>
      </c>
      <c r="C703" s="119">
        <v>2022</v>
      </c>
      <c r="D703" s="59" t="s">
        <v>8</v>
      </c>
      <c r="E703" s="8">
        <f t="shared" si="61"/>
        <v>0</v>
      </c>
      <c r="F703" s="8">
        <f>SUM(F704:F708)</f>
        <v>0</v>
      </c>
      <c r="G703" s="8">
        <f t="shared" si="62"/>
        <v>0</v>
      </c>
      <c r="H703" s="8">
        <f>SUM(H704:H708)</f>
        <v>0</v>
      </c>
      <c r="I703" s="8">
        <f>SUM(I704:I708)</f>
        <v>0</v>
      </c>
      <c r="J703" s="119" t="s">
        <v>1196</v>
      </c>
      <c r="K703" s="119" t="s">
        <v>597</v>
      </c>
    </row>
    <row r="704" spans="1:11" ht="12.75" customHeight="1" outlineLevel="1" x14ac:dyDescent="0.25">
      <c r="A704" s="117"/>
      <c r="B704" s="118"/>
      <c r="C704" s="119"/>
      <c r="D704" s="59">
        <v>2021</v>
      </c>
      <c r="E704" s="8">
        <f t="shared" si="61"/>
        <v>0</v>
      </c>
      <c r="F704" s="8">
        <v>0</v>
      </c>
      <c r="G704" s="8">
        <v>0</v>
      </c>
      <c r="H704" s="8">
        <v>0</v>
      </c>
      <c r="I704" s="8">
        <v>0</v>
      </c>
      <c r="J704" s="119"/>
      <c r="K704" s="119"/>
    </row>
    <row r="705" spans="1:11" ht="12.75" customHeight="1" outlineLevel="1" x14ac:dyDescent="0.25">
      <c r="A705" s="117"/>
      <c r="B705" s="118"/>
      <c r="C705" s="119"/>
      <c r="D705" s="59">
        <v>2022</v>
      </c>
      <c r="E705" s="8">
        <f t="shared" si="61"/>
        <v>0</v>
      </c>
      <c r="F705" s="8">
        <v>0</v>
      </c>
      <c r="G705" s="8">
        <v>0</v>
      </c>
      <c r="H705" s="8">
        <v>0</v>
      </c>
      <c r="I705" s="8">
        <v>0</v>
      </c>
      <c r="J705" s="119"/>
      <c r="K705" s="119"/>
    </row>
    <row r="706" spans="1:11" ht="12.75" customHeight="1" outlineLevel="1" x14ac:dyDescent="0.25">
      <c r="A706" s="117"/>
      <c r="B706" s="118"/>
      <c r="C706" s="119"/>
      <c r="D706" s="59">
        <v>2023</v>
      </c>
      <c r="E706" s="8">
        <f t="shared" si="61"/>
        <v>0</v>
      </c>
      <c r="F706" s="8">
        <v>0</v>
      </c>
      <c r="G706" s="8">
        <v>0</v>
      </c>
      <c r="H706" s="8">
        <v>0</v>
      </c>
      <c r="I706" s="8">
        <v>0</v>
      </c>
      <c r="J706" s="119"/>
      <c r="K706" s="119"/>
    </row>
    <row r="707" spans="1:11" ht="12.75" customHeight="1" outlineLevel="1" x14ac:dyDescent="0.25">
      <c r="A707" s="117"/>
      <c r="B707" s="118"/>
      <c r="C707" s="119"/>
      <c r="D707" s="59">
        <v>2024</v>
      </c>
      <c r="E707" s="8">
        <f t="shared" si="61"/>
        <v>0</v>
      </c>
      <c r="F707" s="8">
        <v>0</v>
      </c>
      <c r="G707" s="8">
        <v>0</v>
      </c>
      <c r="H707" s="8">
        <v>0</v>
      </c>
      <c r="I707" s="8">
        <v>0</v>
      </c>
      <c r="J707" s="119"/>
      <c r="K707" s="119"/>
    </row>
    <row r="708" spans="1:11" ht="12.75" customHeight="1" outlineLevel="1" x14ac:dyDescent="0.25">
      <c r="A708" s="117"/>
      <c r="B708" s="118"/>
      <c r="C708" s="119"/>
      <c r="D708" s="59">
        <v>2025</v>
      </c>
      <c r="E708" s="8">
        <f t="shared" si="61"/>
        <v>0</v>
      </c>
      <c r="F708" s="8">
        <v>0</v>
      </c>
      <c r="G708" s="8">
        <v>0</v>
      </c>
      <c r="H708" s="8">
        <v>0</v>
      </c>
      <c r="I708" s="8">
        <v>0</v>
      </c>
      <c r="J708" s="119"/>
      <c r="K708" s="119"/>
    </row>
    <row r="709" spans="1:11" ht="15.75" customHeight="1" outlineLevel="1" x14ac:dyDescent="0.25">
      <c r="A709" s="117" t="s">
        <v>1197</v>
      </c>
      <c r="B709" s="118" t="s">
        <v>1198</v>
      </c>
      <c r="C709" s="117">
        <v>2022</v>
      </c>
      <c r="D709" s="59" t="s">
        <v>8</v>
      </c>
      <c r="E709" s="8">
        <f t="shared" si="61"/>
        <v>964.12733015494632</v>
      </c>
      <c r="F709" s="8">
        <f>SUM(F710:F714)</f>
        <v>808.90282999999999</v>
      </c>
      <c r="G709" s="8">
        <f t="shared" si="62"/>
        <v>0</v>
      </c>
      <c r="H709" s="8">
        <f t="shared" si="62"/>
        <v>155.22450015494636</v>
      </c>
      <c r="I709" s="8">
        <f t="shared" si="62"/>
        <v>0</v>
      </c>
      <c r="J709" s="119" t="s">
        <v>1199</v>
      </c>
      <c r="K709" s="119" t="s">
        <v>566</v>
      </c>
    </row>
    <row r="710" spans="1:11" ht="15.75" customHeight="1" outlineLevel="1" x14ac:dyDescent="0.25">
      <c r="A710" s="117"/>
      <c r="B710" s="118"/>
      <c r="C710" s="117"/>
      <c r="D710" s="59">
        <v>2021</v>
      </c>
      <c r="E710" s="8">
        <f t="shared" si="61"/>
        <v>0</v>
      </c>
      <c r="F710" s="8">
        <v>0</v>
      </c>
      <c r="G710" s="8">
        <v>0</v>
      </c>
      <c r="H710" s="8">
        <v>0</v>
      </c>
      <c r="I710" s="8">
        <v>0</v>
      </c>
      <c r="J710" s="119"/>
      <c r="K710" s="119"/>
    </row>
    <row r="711" spans="1:11" ht="19.5" customHeight="1" outlineLevel="1" x14ac:dyDescent="0.25">
      <c r="A711" s="117"/>
      <c r="B711" s="118"/>
      <c r="C711" s="117"/>
      <c r="D711" s="59">
        <v>2022</v>
      </c>
      <c r="E711" s="8">
        <f t="shared" si="61"/>
        <v>964.12733015494632</v>
      </c>
      <c r="F711" s="8">
        <f>808.944-0.04117</f>
        <v>808.90282999999999</v>
      </c>
      <c r="G711" s="8">
        <v>0</v>
      </c>
      <c r="H711" s="8">
        <f>F711*16.1/83.9</f>
        <v>155.22450015494636</v>
      </c>
      <c r="I711" s="8">
        <v>0</v>
      </c>
      <c r="J711" s="119"/>
      <c r="K711" s="119"/>
    </row>
    <row r="712" spans="1:11" ht="18" customHeight="1" outlineLevel="1" x14ac:dyDescent="0.25">
      <c r="A712" s="117"/>
      <c r="B712" s="118"/>
      <c r="C712" s="117"/>
      <c r="D712" s="59">
        <v>2023</v>
      </c>
      <c r="E712" s="8">
        <f t="shared" si="61"/>
        <v>0</v>
      </c>
      <c r="F712" s="8">
        <v>0</v>
      </c>
      <c r="G712" s="8">
        <v>0</v>
      </c>
      <c r="H712" s="8">
        <v>0</v>
      </c>
      <c r="I712" s="8">
        <v>0</v>
      </c>
      <c r="J712" s="119"/>
      <c r="K712" s="119"/>
    </row>
    <row r="713" spans="1:11" ht="16.5" customHeight="1" outlineLevel="1" x14ac:dyDescent="0.25">
      <c r="A713" s="117"/>
      <c r="B713" s="118"/>
      <c r="C713" s="117"/>
      <c r="D713" s="59">
        <v>2024</v>
      </c>
      <c r="E713" s="8">
        <f t="shared" si="61"/>
        <v>0</v>
      </c>
      <c r="F713" s="8">
        <v>0</v>
      </c>
      <c r="G713" s="8">
        <v>0</v>
      </c>
      <c r="H713" s="8">
        <v>0</v>
      </c>
      <c r="I713" s="8">
        <v>0</v>
      </c>
      <c r="J713" s="119"/>
      <c r="K713" s="119"/>
    </row>
    <row r="714" spans="1:11" ht="16.5" customHeight="1" outlineLevel="1" x14ac:dyDescent="0.25">
      <c r="A714" s="117"/>
      <c r="B714" s="118"/>
      <c r="C714" s="117"/>
      <c r="D714" s="59">
        <v>2025</v>
      </c>
      <c r="E714" s="8">
        <f t="shared" si="61"/>
        <v>0</v>
      </c>
      <c r="F714" s="8">
        <v>0</v>
      </c>
      <c r="G714" s="8">
        <v>0</v>
      </c>
      <c r="H714" s="8">
        <v>0</v>
      </c>
      <c r="I714" s="8">
        <v>0</v>
      </c>
      <c r="J714" s="119"/>
      <c r="K714" s="119"/>
    </row>
    <row r="715" spans="1:11" ht="11.25" customHeight="1" outlineLevel="1" x14ac:dyDescent="0.25">
      <c r="A715" s="117" t="s">
        <v>1200</v>
      </c>
      <c r="B715" s="118" t="s">
        <v>1201</v>
      </c>
      <c r="C715" s="117">
        <v>2022</v>
      </c>
      <c r="D715" s="59" t="s">
        <v>8</v>
      </c>
      <c r="E715" s="8">
        <f t="shared" si="61"/>
        <v>5088.3444576877237</v>
      </c>
      <c r="F715" s="8">
        <f>SUM(F716:F720)</f>
        <v>4269.1210000000001</v>
      </c>
      <c r="G715" s="8">
        <f t="shared" ref="G715:I747" si="63">SUM(G716:G720)</f>
        <v>0</v>
      </c>
      <c r="H715" s="8">
        <f t="shared" si="63"/>
        <v>819.22345768772345</v>
      </c>
      <c r="I715" s="8">
        <f t="shared" si="63"/>
        <v>0</v>
      </c>
      <c r="J715" s="132" t="s">
        <v>1202</v>
      </c>
      <c r="K715" s="119" t="s">
        <v>566</v>
      </c>
    </row>
    <row r="716" spans="1:11" ht="11.25" customHeight="1" outlineLevel="1" x14ac:dyDescent="0.25">
      <c r="A716" s="117"/>
      <c r="B716" s="118"/>
      <c r="C716" s="117"/>
      <c r="D716" s="59">
        <v>2021</v>
      </c>
      <c r="E716" s="8">
        <f t="shared" si="61"/>
        <v>0</v>
      </c>
      <c r="F716" s="8">
        <v>0</v>
      </c>
      <c r="G716" s="8">
        <v>0</v>
      </c>
      <c r="H716" s="8">
        <v>0</v>
      </c>
      <c r="I716" s="8">
        <v>0</v>
      </c>
      <c r="J716" s="133"/>
      <c r="K716" s="119"/>
    </row>
    <row r="717" spans="1:11" ht="11.25" customHeight="1" outlineLevel="1" x14ac:dyDescent="0.25">
      <c r="A717" s="117"/>
      <c r="B717" s="118"/>
      <c r="C717" s="117"/>
      <c r="D717" s="59">
        <v>2022</v>
      </c>
      <c r="E717" s="8">
        <f t="shared" si="61"/>
        <v>5088.3444576877237</v>
      </c>
      <c r="F717" s="8">
        <f>4677.411-408.29</f>
        <v>4269.1210000000001</v>
      </c>
      <c r="G717" s="8">
        <v>0</v>
      </c>
      <c r="H717" s="8">
        <f>F717*16.1/83.9</f>
        <v>819.22345768772345</v>
      </c>
      <c r="I717" s="8">
        <v>0</v>
      </c>
      <c r="J717" s="133"/>
      <c r="K717" s="119"/>
    </row>
    <row r="718" spans="1:11" ht="11.25" customHeight="1" outlineLevel="1" x14ac:dyDescent="0.25">
      <c r="A718" s="117"/>
      <c r="B718" s="118"/>
      <c r="C718" s="117"/>
      <c r="D718" s="59">
        <v>2023</v>
      </c>
      <c r="E718" s="8">
        <f t="shared" si="61"/>
        <v>0</v>
      </c>
      <c r="F718" s="8">
        <v>0</v>
      </c>
      <c r="G718" s="8">
        <v>0</v>
      </c>
      <c r="H718" s="8">
        <v>0</v>
      </c>
      <c r="I718" s="8">
        <v>0</v>
      </c>
      <c r="J718" s="133"/>
      <c r="K718" s="119"/>
    </row>
    <row r="719" spans="1:11" ht="11.25" customHeight="1" outlineLevel="1" x14ac:dyDescent="0.25">
      <c r="A719" s="117"/>
      <c r="B719" s="118"/>
      <c r="C719" s="117"/>
      <c r="D719" s="59">
        <v>2024</v>
      </c>
      <c r="E719" s="8">
        <f t="shared" si="61"/>
        <v>0</v>
      </c>
      <c r="F719" s="8">
        <v>0</v>
      </c>
      <c r="G719" s="8">
        <v>0</v>
      </c>
      <c r="H719" s="8">
        <v>0</v>
      </c>
      <c r="I719" s="8">
        <v>0</v>
      </c>
      <c r="J719" s="133"/>
      <c r="K719" s="119"/>
    </row>
    <row r="720" spans="1:11" ht="11.25" customHeight="1" outlineLevel="1" x14ac:dyDescent="0.25">
      <c r="A720" s="117"/>
      <c r="B720" s="118"/>
      <c r="C720" s="117"/>
      <c r="D720" s="59">
        <v>2025</v>
      </c>
      <c r="E720" s="8">
        <f t="shared" si="61"/>
        <v>0</v>
      </c>
      <c r="F720" s="8">
        <v>0</v>
      </c>
      <c r="G720" s="8">
        <v>0</v>
      </c>
      <c r="H720" s="8">
        <v>0</v>
      </c>
      <c r="I720" s="8">
        <v>0</v>
      </c>
      <c r="J720" s="134"/>
      <c r="K720" s="119"/>
    </row>
    <row r="721" spans="1:11" ht="11.25" customHeight="1" outlineLevel="1" x14ac:dyDescent="0.25">
      <c r="A721" s="117" t="s">
        <v>1203</v>
      </c>
      <c r="B721" s="118" t="s">
        <v>1204</v>
      </c>
      <c r="C721" s="117">
        <v>2022</v>
      </c>
      <c r="D721" s="59" t="s">
        <v>8</v>
      </c>
      <c r="E721" s="8">
        <f t="shared" si="61"/>
        <v>35550</v>
      </c>
      <c r="F721" s="8">
        <f>SUM(F722:F726)</f>
        <v>33772.5</v>
      </c>
      <c r="G721" s="8">
        <v>0</v>
      </c>
      <c r="H721" s="8">
        <f>SUM(H722:H726)</f>
        <v>1777.5</v>
      </c>
      <c r="I721" s="8">
        <v>0</v>
      </c>
      <c r="J721" s="119" t="s">
        <v>1205</v>
      </c>
      <c r="K721" s="119" t="s">
        <v>1206</v>
      </c>
    </row>
    <row r="722" spans="1:11" ht="11.25" customHeight="1" outlineLevel="1" x14ac:dyDescent="0.25">
      <c r="A722" s="117"/>
      <c r="B722" s="118"/>
      <c r="C722" s="117"/>
      <c r="D722" s="59">
        <v>2021</v>
      </c>
      <c r="E722" s="8">
        <f t="shared" si="61"/>
        <v>0</v>
      </c>
      <c r="F722" s="8">
        <v>0</v>
      </c>
      <c r="G722" s="8">
        <v>0</v>
      </c>
      <c r="H722" s="8">
        <v>0</v>
      </c>
      <c r="I722" s="8">
        <v>0</v>
      </c>
      <c r="J722" s="119"/>
      <c r="K722" s="119"/>
    </row>
    <row r="723" spans="1:11" ht="11.25" customHeight="1" outlineLevel="1" x14ac:dyDescent="0.25">
      <c r="A723" s="117"/>
      <c r="B723" s="118"/>
      <c r="C723" s="117"/>
      <c r="D723" s="59">
        <v>2022</v>
      </c>
      <c r="E723" s="8">
        <f t="shared" si="61"/>
        <v>35550</v>
      </c>
      <c r="F723" s="8">
        <v>33772.5</v>
      </c>
      <c r="G723" s="8">
        <v>0</v>
      </c>
      <c r="H723" s="8">
        <f>F723*5/95</f>
        <v>1777.5</v>
      </c>
      <c r="I723" s="8">
        <v>0</v>
      </c>
      <c r="J723" s="119"/>
      <c r="K723" s="119"/>
    </row>
    <row r="724" spans="1:11" ht="11.25" customHeight="1" outlineLevel="1" x14ac:dyDescent="0.25">
      <c r="A724" s="117"/>
      <c r="B724" s="118"/>
      <c r="C724" s="117"/>
      <c r="D724" s="59">
        <v>2023</v>
      </c>
      <c r="E724" s="8">
        <f t="shared" si="61"/>
        <v>0</v>
      </c>
      <c r="F724" s="8">
        <v>0</v>
      </c>
      <c r="G724" s="8">
        <v>0</v>
      </c>
      <c r="H724" s="8">
        <v>0</v>
      </c>
      <c r="I724" s="8">
        <v>0</v>
      </c>
      <c r="J724" s="119"/>
      <c r="K724" s="119"/>
    </row>
    <row r="725" spans="1:11" ht="11.25" customHeight="1" outlineLevel="1" x14ac:dyDescent="0.25">
      <c r="A725" s="117"/>
      <c r="B725" s="118"/>
      <c r="C725" s="117"/>
      <c r="D725" s="59">
        <v>2024</v>
      </c>
      <c r="E725" s="8">
        <f t="shared" si="61"/>
        <v>0</v>
      </c>
      <c r="F725" s="8">
        <v>0</v>
      </c>
      <c r="G725" s="8">
        <v>0</v>
      </c>
      <c r="H725" s="8">
        <v>0</v>
      </c>
      <c r="I725" s="8">
        <v>0</v>
      </c>
      <c r="J725" s="119"/>
      <c r="K725" s="119"/>
    </row>
    <row r="726" spans="1:11" ht="11.25" customHeight="1" outlineLevel="1" x14ac:dyDescent="0.25">
      <c r="A726" s="117"/>
      <c r="B726" s="118"/>
      <c r="C726" s="117"/>
      <c r="D726" s="59">
        <v>2025</v>
      </c>
      <c r="E726" s="8">
        <f t="shared" si="61"/>
        <v>0</v>
      </c>
      <c r="F726" s="8">
        <v>0</v>
      </c>
      <c r="G726" s="8">
        <v>0</v>
      </c>
      <c r="H726" s="8">
        <v>0</v>
      </c>
      <c r="I726" s="8">
        <v>0</v>
      </c>
      <c r="J726" s="119"/>
      <c r="K726" s="119"/>
    </row>
    <row r="727" spans="1:11" ht="11.25" customHeight="1" outlineLevel="1" x14ac:dyDescent="0.25">
      <c r="A727" s="117" t="s">
        <v>1207</v>
      </c>
      <c r="B727" s="118" t="s">
        <v>1208</v>
      </c>
      <c r="C727" s="117">
        <v>2022</v>
      </c>
      <c r="D727" s="59" t="s">
        <v>8</v>
      </c>
      <c r="E727" s="8">
        <f t="shared" si="61"/>
        <v>15871.72</v>
      </c>
      <c r="F727" s="8">
        <f>SUM(F728:F732)</f>
        <v>15078.134</v>
      </c>
      <c r="G727" s="8">
        <v>0</v>
      </c>
      <c r="H727" s="8">
        <f>SUM(H728:H732)</f>
        <v>793.58600000000001</v>
      </c>
      <c r="I727" s="8">
        <v>0</v>
      </c>
      <c r="J727" s="119" t="s">
        <v>1209</v>
      </c>
      <c r="K727" s="119" t="s">
        <v>1206</v>
      </c>
    </row>
    <row r="728" spans="1:11" ht="11.25" customHeight="1" outlineLevel="1" x14ac:dyDescent="0.25">
      <c r="A728" s="117"/>
      <c r="B728" s="118"/>
      <c r="C728" s="117"/>
      <c r="D728" s="59">
        <v>2021</v>
      </c>
      <c r="E728" s="8">
        <f t="shared" si="61"/>
        <v>0</v>
      </c>
      <c r="F728" s="8">
        <f>SUM(G728:J728)</f>
        <v>0</v>
      </c>
      <c r="G728" s="8">
        <v>0</v>
      </c>
      <c r="H728" s="8">
        <v>0</v>
      </c>
      <c r="I728" s="8">
        <v>0</v>
      </c>
      <c r="J728" s="119"/>
      <c r="K728" s="119"/>
    </row>
    <row r="729" spans="1:11" ht="11.25" customHeight="1" outlineLevel="1" x14ac:dyDescent="0.25">
      <c r="A729" s="117"/>
      <c r="B729" s="118"/>
      <c r="C729" s="117"/>
      <c r="D729" s="59">
        <v>2022</v>
      </c>
      <c r="E729" s="8">
        <f t="shared" si="61"/>
        <v>15871.72</v>
      </c>
      <c r="F729" s="8">
        <v>15078.134</v>
      </c>
      <c r="G729" s="8">
        <v>0</v>
      </c>
      <c r="H729" s="8">
        <f>F729*5/95</f>
        <v>793.58600000000001</v>
      </c>
      <c r="I729" s="8">
        <v>0</v>
      </c>
      <c r="J729" s="119"/>
      <c r="K729" s="119"/>
    </row>
    <row r="730" spans="1:11" ht="11.25" customHeight="1" outlineLevel="1" x14ac:dyDescent="0.25">
      <c r="A730" s="117"/>
      <c r="B730" s="118"/>
      <c r="C730" s="117"/>
      <c r="D730" s="59">
        <v>2023</v>
      </c>
      <c r="E730" s="8">
        <f t="shared" si="61"/>
        <v>0</v>
      </c>
      <c r="F730" s="8">
        <f t="shared" si="61"/>
        <v>0</v>
      </c>
      <c r="G730" s="8">
        <v>0</v>
      </c>
      <c r="H730" s="8">
        <v>0</v>
      </c>
      <c r="I730" s="8">
        <v>0</v>
      </c>
      <c r="J730" s="119"/>
      <c r="K730" s="119"/>
    </row>
    <row r="731" spans="1:11" ht="11.25" customHeight="1" outlineLevel="1" x14ac:dyDescent="0.25">
      <c r="A731" s="117"/>
      <c r="B731" s="118"/>
      <c r="C731" s="117"/>
      <c r="D731" s="59">
        <v>2024</v>
      </c>
      <c r="E731" s="8">
        <f t="shared" si="61"/>
        <v>0</v>
      </c>
      <c r="F731" s="8">
        <f t="shared" si="61"/>
        <v>0</v>
      </c>
      <c r="G731" s="8">
        <v>0</v>
      </c>
      <c r="H731" s="8">
        <v>0</v>
      </c>
      <c r="I731" s="8">
        <v>0</v>
      </c>
      <c r="J731" s="119"/>
      <c r="K731" s="119"/>
    </row>
    <row r="732" spans="1:11" ht="11.25" customHeight="1" outlineLevel="1" x14ac:dyDescent="0.25">
      <c r="A732" s="117"/>
      <c r="B732" s="118"/>
      <c r="C732" s="117"/>
      <c r="D732" s="59">
        <v>2025</v>
      </c>
      <c r="E732" s="8">
        <f t="shared" si="61"/>
        <v>0</v>
      </c>
      <c r="F732" s="8">
        <f t="shared" si="61"/>
        <v>0</v>
      </c>
      <c r="G732" s="8">
        <v>0</v>
      </c>
      <c r="H732" s="8">
        <v>0</v>
      </c>
      <c r="I732" s="8">
        <v>0</v>
      </c>
      <c r="J732" s="119"/>
      <c r="K732" s="119"/>
    </row>
    <row r="733" spans="1:11" ht="11.25" customHeight="1" outlineLevel="1" x14ac:dyDescent="0.25">
      <c r="A733" s="126" t="s">
        <v>1775</v>
      </c>
      <c r="B733" s="111" t="s">
        <v>1780</v>
      </c>
      <c r="C733" s="111" t="s">
        <v>1779</v>
      </c>
      <c r="D733" s="40" t="s">
        <v>8</v>
      </c>
      <c r="E733" s="41"/>
      <c r="F733" s="41"/>
      <c r="G733" s="41"/>
      <c r="H733" s="41"/>
      <c r="I733" s="41"/>
      <c r="J733" s="129"/>
      <c r="K733" s="129"/>
    </row>
    <row r="734" spans="1:11" ht="11.25" customHeight="1" outlineLevel="1" x14ac:dyDescent="0.25">
      <c r="A734" s="127"/>
      <c r="B734" s="112"/>
      <c r="C734" s="112"/>
      <c r="D734" s="40">
        <v>2021</v>
      </c>
      <c r="E734" s="41"/>
      <c r="F734" s="41"/>
      <c r="G734" s="41"/>
      <c r="H734" s="41"/>
      <c r="I734" s="41"/>
      <c r="J734" s="130"/>
      <c r="K734" s="130"/>
    </row>
    <row r="735" spans="1:11" ht="11.25" customHeight="1" outlineLevel="1" x14ac:dyDescent="0.25">
      <c r="A735" s="127"/>
      <c r="B735" s="112"/>
      <c r="C735" s="112"/>
      <c r="D735" s="40">
        <v>2022</v>
      </c>
      <c r="E735" s="41"/>
      <c r="F735" s="41"/>
      <c r="G735" s="41"/>
      <c r="H735" s="41"/>
      <c r="I735" s="41"/>
      <c r="J735" s="130"/>
      <c r="K735" s="130"/>
    </row>
    <row r="736" spans="1:11" ht="11.25" customHeight="1" outlineLevel="1" x14ac:dyDescent="0.25">
      <c r="A736" s="127"/>
      <c r="B736" s="112"/>
      <c r="C736" s="112"/>
      <c r="D736" s="40">
        <v>2023</v>
      </c>
      <c r="E736" s="41"/>
      <c r="F736" s="41"/>
      <c r="G736" s="41"/>
      <c r="H736" s="41"/>
      <c r="I736" s="41"/>
      <c r="J736" s="130"/>
      <c r="K736" s="130"/>
    </row>
    <row r="737" spans="1:11" ht="27" customHeight="1" outlineLevel="1" x14ac:dyDescent="0.25">
      <c r="A737" s="127"/>
      <c r="B737" s="112"/>
      <c r="C737" s="112"/>
      <c r="D737" s="40">
        <v>2024</v>
      </c>
      <c r="E737" s="41"/>
      <c r="F737" s="41"/>
      <c r="G737" s="41"/>
      <c r="H737" s="41"/>
      <c r="I737" s="41"/>
      <c r="J737" s="130"/>
      <c r="K737" s="130"/>
    </row>
    <row r="738" spans="1:11" ht="14.25" customHeight="1" outlineLevel="1" x14ac:dyDescent="0.25">
      <c r="A738" s="127"/>
      <c r="B738" s="112"/>
      <c r="C738" s="112"/>
      <c r="D738" s="40">
        <v>2025</v>
      </c>
      <c r="E738" s="41"/>
      <c r="F738" s="41"/>
      <c r="G738" s="41"/>
      <c r="H738" s="41"/>
      <c r="I738" s="41"/>
      <c r="J738" s="130"/>
      <c r="K738" s="130"/>
    </row>
    <row r="739" spans="1:11" ht="17.25" customHeight="1" outlineLevel="1" x14ac:dyDescent="0.25">
      <c r="A739" s="128"/>
      <c r="B739" s="113"/>
      <c r="C739" s="113"/>
      <c r="D739" s="40">
        <v>2026</v>
      </c>
      <c r="E739" s="41"/>
      <c r="F739" s="41"/>
      <c r="G739" s="41"/>
      <c r="H739" s="41"/>
      <c r="I739" s="41"/>
      <c r="J739" s="131"/>
      <c r="K739" s="131"/>
    </row>
    <row r="740" spans="1:11" ht="11.25" customHeight="1" outlineLevel="1" x14ac:dyDescent="0.25">
      <c r="A740" s="126" t="s">
        <v>1776</v>
      </c>
      <c r="B740" s="111" t="s">
        <v>1781</v>
      </c>
      <c r="C740" s="111" t="s">
        <v>1779</v>
      </c>
      <c r="D740" s="40" t="s">
        <v>8</v>
      </c>
      <c r="E740" s="41"/>
      <c r="F740" s="41"/>
      <c r="G740" s="41"/>
      <c r="H740" s="41"/>
      <c r="I740" s="41"/>
      <c r="J740" s="129"/>
      <c r="K740" s="129"/>
    </row>
    <row r="741" spans="1:11" ht="11.25" customHeight="1" outlineLevel="1" x14ac:dyDescent="0.25">
      <c r="A741" s="127"/>
      <c r="B741" s="112"/>
      <c r="C741" s="112"/>
      <c r="D741" s="40">
        <v>2021</v>
      </c>
      <c r="E741" s="41"/>
      <c r="F741" s="41"/>
      <c r="G741" s="41"/>
      <c r="H741" s="41"/>
      <c r="I741" s="41"/>
      <c r="J741" s="130"/>
      <c r="K741" s="130"/>
    </row>
    <row r="742" spans="1:11" ht="11.25" customHeight="1" outlineLevel="1" x14ac:dyDescent="0.25">
      <c r="A742" s="127"/>
      <c r="B742" s="112"/>
      <c r="C742" s="112"/>
      <c r="D742" s="40">
        <v>2022</v>
      </c>
      <c r="E742" s="41"/>
      <c r="F742" s="41"/>
      <c r="G742" s="41"/>
      <c r="H742" s="41"/>
      <c r="I742" s="41"/>
      <c r="J742" s="130"/>
      <c r="K742" s="130"/>
    </row>
    <row r="743" spans="1:11" ht="11.25" customHeight="1" outlineLevel="1" x14ac:dyDescent="0.25">
      <c r="A743" s="127"/>
      <c r="B743" s="112"/>
      <c r="C743" s="112"/>
      <c r="D743" s="40">
        <v>2023</v>
      </c>
      <c r="E743" s="41"/>
      <c r="F743" s="41"/>
      <c r="G743" s="41"/>
      <c r="H743" s="41"/>
      <c r="I743" s="41"/>
      <c r="J743" s="130"/>
      <c r="K743" s="130"/>
    </row>
    <row r="744" spans="1:11" ht="11.25" customHeight="1" outlineLevel="1" x14ac:dyDescent="0.25">
      <c r="A744" s="127"/>
      <c r="B744" s="112"/>
      <c r="C744" s="112"/>
      <c r="D744" s="40">
        <v>2024</v>
      </c>
      <c r="E744" s="41"/>
      <c r="F744" s="41"/>
      <c r="G744" s="41"/>
      <c r="H744" s="41"/>
      <c r="I744" s="41"/>
      <c r="J744" s="130"/>
      <c r="K744" s="130"/>
    </row>
    <row r="745" spans="1:11" ht="11.25" customHeight="1" outlineLevel="1" x14ac:dyDescent="0.25">
      <c r="A745" s="127"/>
      <c r="B745" s="112"/>
      <c r="C745" s="112"/>
      <c r="D745" s="40">
        <v>2025</v>
      </c>
      <c r="E745" s="41"/>
      <c r="F745" s="41"/>
      <c r="G745" s="41"/>
      <c r="H745" s="41"/>
      <c r="I745" s="41"/>
      <c r="J745" s="130"/>
      <c r="K745" s="130"/>
    </row>
    <row r="746" spans="1:11" ht="11.25" customHeight="1" outlineLevel="1" x14ac:dyDescent="0.25">
      <c r="A746" s="128"/>
      <c r="B746" s="113"/>
      <c r="C746" s="113"/>
      <c r="D746" s="40">
        <v>2026</v>
      </c>
      <c r="E746" s="41"/>
      <c r="F746" s="41"/>
      <c r="G746" s="41"/>
      <c r="H746" s="41"/>
      <c r="I746" s="41"/>
      <c r="J746" s="131"/>
      <c r="K746" s="131"/>
    </row>
    <row r="747" spans="1:11" ht="12.75" customHeight="1" outlineLevel="1" x14ac:dyDescent="0.25">
      <c r="A747" s="108" t="s">
        <v>1210</v>
      </c>
      <c r="B747" s="108" t="s">
        <v>1211</v>
      </c>
      <c r="C747" s="111" t="s">
        <v>1777</v>
      </c>
      <c r="D747" s="59" t="s">
        <v>8</v>
      </c>
      <c r="E747" s="8">
        <f t="shared" si="61"/>
        <v>324633.50498999999</v>
      </c>
      <c r="F747" s="8">
        <f>SUM(F748:F752)</f>
        <v>96752.411989999993</v>
      </c>
      <c r="G747" s="8">
        <f t="shared" si="63"/>
        <v>227881.09299999999</v>
      </c>
      <c r="H747" s="8">
        <f>SUM(H748:H752)</f>
        <v>0</v>
      </c>
      <c r="I747" s="8">
        <f>SUM(I748:I752)</f>
        <v>0</v>
      </c>
      <c r="J747" s="108" t="s">
        <v>117</v>
      </c>
      <c r="K747" s="108" t="s">
        <v>484</v>
      </c>
    </row>
    <row r="748" spans="1:11" ht="12.75" customHeight="1" outlineLevel="1" x14ac:dyDescent="0.25">
      <c r="A748" s="109"/>
      <c r="B748" s="109"/>
      <c r="C748" s="112"/>
      <c r="D748" s="59">
        <v>2021</v>
      </c>
      <c r="E748" s="8">
        <f t="shared" si="61"/>
        <v>0</v>
      </c>
      <c r="F748" s="8">
        <f t="shared" ref="F748:I752" si="64">F755</f>
        <v>0</v>
      </c>
      <c r="G748" s="8">
        <f>G755</f>
        <v>0</v>
      </c>
      <c r="H748" s="8">
        <f t="shared" si="64"/>
        <v>0</v>
      </c>
      <c r="I748" s="8">
        <f t="shared" si="64"/>
        <v>0</v>
      </c>
      <c r="J748" s="109"/>
      <c r="K748" s="109"/>
    </row>
    <row r="749" spans="1:11" ht="12.75" customHeight="1" outlineLevel="1" x14ac:dyDescent="0.25">
      <c r="A749" s="109"/>
      <c r="B749" s="109"/>
      <c r="C749" s="112"/>
      <c r="D749" s="59">
        <v>2022</v>
      </c>
      <c r="E749" s="8">
        <f t="shared" si="61"/>
        <v>67438.159</v>
      </c>
      <c r="F749" s="8">
        <f t="shared" si="64"/>
        <v>19557.065999999999</v>
      </c>
      <c r="G749" s="8">
        <f t="shared" si="64"/>
        <v>47881.093000000001</v>
      </c>
      <c r="H749" s="8">
        <f t="shared" si="64"/>
        <v>0</v>
      </c>
      <c r="I749" s="8">
        <f t="shared" si="64"/>
        <v>0</v>
      </c>
      <c r="J749" s="109"/>
      <c r="K749" s="109"/>
    </row>
    <row r="750" spans="1:11" ht="12.75" customHeight="1" outlineLevel="1" x14ac:dyDescent="0.25">
      <c r="A750" s="109"/>
      <c r="B750" s="109"/>
      <c r="C750" s="112"/>
      <c r="D750" s="59">
        <v>2023</v>
      </c>
      <c r="E750" s="8">
        <f t="shared" si="61"/>
        <v>0</v>
      </c>
      <c r="F750" s="8">
        <f t="shared" si="64"/>
        <v>0</v>
      </c>
      <c r="G750" s="8">
        <f t="shared" si="64"/>
        <v>0</v>
      </c>
      <c r="H750" s="8">
        <f t="shared" si="64"/>
        <v>0</v>
      </c>
      <c r="I750" s="8">
        <f t="shared" si="64"/>
        <v>0</v>
      </c>
      <c r="J750" s="109"/>
      <c r="K750" s="109"/>
    </row>
    <row r="751" spans="1:11" ht="12.75" customHeight="1" outlineLevel="1" x14ac:dyDescent="0.25">
      <c r="A751" s="109"/>
      <c r="B751" s="109"/>
      <c r="C751" s="112"/>
      <c r="D751" s="59">
        <v>2024</v>
      </c>
      <c r="E751" s="8">
        <f t="shared" si="61"/>
        <v>126760.56338000001</v>
      </c>
      <c r="F751" s="8">
        <f t="shared" si="64"/>
        <v>36760.56338</v>
      </c>
      <c r="G751" s="8">
        <f t="shared" si="64"/>
        <v>90000</v>
      </c>
      <c r="H751" s="8">
        <f t="shared" si="64"/>
        <v>0</v>
      </c>
      <c r="I751" s="8">
        <f t="shared" si="64"/>
        <v>0</v>
      </c>
      <c r="J751" s="109"/>
      <c r="K751" s="109"/>
    </row>
    <row r="752" spans="1:11" ht="12.75" customHeight="1" outlineLevel="1" x14ac:dyDescent="0.25">
      <c r="A752" s="109"/>
      <c r="B752" s="109"/>
      <c r="C752" s="112"/>
      <c r="D752" s="59">
        <v>2025</v>
      </c>
      <c r="E752" s="8">
        <f t="shared" si="61"/>
        <v>130434.78260999999</v>
      </c>
      <c r="F752" s="8">
        <f t="shared" si="64"/>
        <v>40434.782610000002</v>
      </c>
      <c r="G752" s="8">
        <f t="shared" si="64"/>
        <v>90000</v>
      </c>
      <c r="H752" s="8">
        <f t="shared" si="64"/>
        <v>0</v>
      </c>
      <c r="I752" s="8">
        <f t="shared" si="64"/>
        <v>0</v>
      </c>
      <c r="J752" s="109"/>
      <c r="K752" s="109"/>
    </row>
    <row r="753" spans="1:11" ht="12.75" customHeight="1" outlineLevel="1" x14ac:dyDescent="0.25">
      <c r="A753" s="110"/>
      <c r="B753" s="110"/>
      <c r="C753" s="113"/>
      <c r="D753" s="48">
        <v>2026</v>
      </c>
      <c r="E753" s="49">
        <f>SUM(F753:I753)</f>
        <v>0</v>
      </c>
      <c r="F753" s="49">
        <f>SUM(F760)</f>
        <v>0</v>
      </c>
      <c r="G753" s="49">
        <f t="shared" ref="G753:I753" si="65">SUM(G760)</f>
        <v>0</v>
      </c>
      <c r="H753" s="49">
        <f t="shared" si="65"/>
        <v>0</v>
      </c>
      <c r="I753" s="49">
        <f t="shared" si="65"/>
        <v>0</v>
      </c>
      <c r="J753" s="110"/>
      <c r="K753" s="110"/>
    </row>
    <row r="754" spans="1:11" ht="12.75" customHeight="1" outlineLevel="1" x14ac:dyDescent="0.25">
      <c r="A754" s="108" t="s">
        <v>1212</v>
      </c>
      <c r="B754" s="108" t="s">
        <v>1736</v>
      </c>
      <c r="C754" s="111" t="s">
        <v>1777</v>
      </c>
      <c r="D754" s="59" t="s">
        <v>8</v>
      </c>
      <c r="E754" s="8">
        <f t="shared" si="61"/>
        <v>324633.50498999999</v>
      </c>
      <c r="F754" s="8">
        <f>SUM(F755:F759)</f>
        <v>96752.411989999993</v>
      </c>
      <c r="G754" s="8">
        <f>SUM(G755:G759)</f>
        <v>227881.09299999999</v>
      </c>
      <c r="H754" s="8">
        <f>SUM(H755:H759)</f>
        <v>0</v>
      </c>
      <c r="I754" s="8">
        <f>SUM(I755:I759)</f>
        <v>0</v>
      </c>
      <c r="J754" s="108" t="s">
        <v>1213</v>
      </c>
      <c r="K754" s="108" t="s">
        <v>484</v>
      </c>
    </row>
    <row r="755" spans="1:11" outlineLevel="1" x14ac:dyDescent="0.25">
      <c r="A755" s="109"/>
      <c r="B755" s="109"/>
      <c r="C755" s="112"/>
      <c r="D755" s="59">
        <v>2021</v>
      </c>
      <c r="E755" s="8">
        <f t="shared" si="61"/>
        <v>0</v>
      </c>
      <c r="F755" s="8">
        <v>0</v>
      </c>
      <c r="G755" s="8">
        <v>0</v>
      </c>
      <c r="H755" s="8">
        <v>0</v>
      </c>
      <c r="I755" s="8">
        <v>0</v>
      </c>
      <c r="J755" s="109"/>
      <c r="K755" s="109"/>
    </row>
    <row r="756" spans="1:11" outlineLevel="1" x14ac:dyDescent="0.25">
      <c r="A756" s="109"/>
      <c r="B756" s="109"/>
      <c r="C756" s="112"/>
      <c r="D756" s="59">
        <v>2022</v>
      </c>
      <c r="E756" s="8">
        <f t="shared" si="61"/>
        <v>67438.159</v>
      </c>
      <c r="F756" s="8">
        <v>19557.065999999999</v>
      </c>
      <c r="G756" s="8">
        <v>47881.093000000001</v>
      </c>
      <c r="H756" s="8">
        <v>0</v>
      </c>
      <c r="I756" s="8">
        <v>0</v>
      </c>
      <c r="J756" s="109"/>
      <c r="K756" s="109"/>
    </row>
    <row r="757" spans="1:11" outlineLevel="1" x14ac:dyDescent="0.25">
      <c r="A757" s="109"/>
      <c r="B757" s="109"/>
      <c r="C757" s="112"/>
      <c r="D757" s="59">
        <v>2023</v>
      </c>
      <c r="E757" s="8">
        <f t="shared" ref="E757:E842" si="66">SUM(F757:I757)</f>
        <v>0</v>
      </c>
      <c r="F757" s="8">
        <v>0</v>
      </c>
      <c r="G757" s="8">
        <v>0</v>
      </c>
      <c r="H757" s="8">
        <v>0</v>
      </c>
      <c r="I757" s="8">
        <v>0</v>
      </c>
      <c r="J757" s="109"/>
      <c r="K757" s="109"/>
    </row>
    <row r="758" spans="1:11" outlineLevel="1" x14ac:dyDescent="0.25">
      <c r="A758" s="109"/>
      <c r="B758" s="109"/>
      <c r="C758" s="112"/>
      <c r="D758" s="59">
        <v>2024</v>
      </c>
      <c r="E758" s="32">
        <f t="shared" si="66"/>
        <v>126760.56338000001</v>
      </c>
      <c r="F758" s="32">
        <v>36760.56338</v>
      </c>
      <c r="G758" s="32">
        <v>90000</v>
      </c>
      <c r="H758" s="8">
        <v>0</v>
      </c>
      <c r="I758" s="8">
        <v>0</v>
      </c>
      <c r="J758" s="109"/>
      <c r="K758" s="109"/>
    </row>
    <row r="759" spans="1:11" outlineLevel="1" x14ac:dyDescent="0.25">
      <c r="A759" s="109"/>
      <c r="B759" s="109"/>
      <c r="C759" s="112"/>
      <c r="D759" s="59">
        <v>2025</v>
      </c>
      <c r="E759" s="32">
        <f t="shared" si="66"/>
        <v>130434.78260999999</v>
      </c>
      <c r="F759" s="32">
        <v>40434.782610000002</v>
      </c>
      <c r="G759" s="32">
        <v>90000</v>
      </c>
      <c r="H759" s="8">
        <f>SUM(I752:L752)</f>
        <v>0</v>
      </c>
      <c r="I759" s="8">
        <f>SUM(J752:L752)</f>
        <v>0</v>
      </c>
      <c r="J759" s="109"/>
      <c r="K759" s="109"/>
    </row>
    <row r="760" spans="1:11" outlineLevel="1" x14ac:dyDescent="0.25">
      <c r="A760" s="110"/>
      <c r="B760" s="110"/>
      <c r="C760" s="113"/>
      <c r="D760" s="40">
        <v>2026</v>
      </c>
      <c r="E760" s="41"/>
      <c r="F760" s="41"/>
      <c r="G760" s="41"/>
      <c r="H760" s="41"/>
      <c r="I760" s="41"/>
      <c r="J760" s="110"/>
      <c r="K760" s="110"/>
    </row>
    <row r="761" spans="1:11" outlineLevel="1" x14ac:dyDescent="0.25">
      <c r="A761" s="120" t="s">
        <v>1214</v>
      </c>
      <c r="B761" s="121" t="s">
        <v>1215</v>
      </c>
      <c r="C761" s="122" t="s">
        <v>1216</v>
      </c>
      <c r="D761" s="48" t="s">
        <v>8</v>
      </c>
      <c r="E761" s="49">
        <f>[6]СТАРЫЙ!E689</f>
        <v>1965199.79856</v>
      </c>
      <c r="F761" s="49">
        <f>[6]СТАРЫЙ!F689</f>
        <v>1667880.05856</v>
      </c>
      <c r="G761" s="49">
        <f>[6]СТАРЫЙ!G689</f>
        <v>297319.74</v>
      </c>
      <c r="H761" s="49">
        <f>[6]СТАРЫЙ!H689</f>
        <v>0</v>
      </c>
      <c r="I761" s="49">
        <f>[6]СТАРЫЙ!I689</f>
        <v>0</v>
      </c>
      <c r="J761" s="122" t="s">
        <v>1217</v>
      </c>
      <c r="K761" s="122" t="s">
        <v>1760</v>
      </c>
    </row>
    <row r="762" spans="1:11" outlineLevel="1" x14ac:dyDescent="0.25">
      <c r="A762" s="120"/>
      <c r="B762" s="121"/>
      <c r="C762" s="122"/>
      <c r="D762" s="48">
        <v>2021</v>
      </c>
      <c r="E762" s="49">
        <f>[6]СТАРЫЙ!E690</f>
        <v>0</v>
      </c>
      <c r="F762" s="49">
        <f>[6]СТАРЫЙ!F690</f>
        <v>0</v>
      </c>
      <c r="G762" s="49">
        <f>[6]СТАРЫЙ!G690</f>
        <v>0</v>
      </c>
      <c r="H762" s="49">
        <f>[6]СТАРЫЙ!H690</f>
        <v>0</v>
      </c>
      <c r="I762" s="49">
        <f>[6]СТАРЫЙ!I690</f>
        <v>0</v>
      </c>
      <c r="J762" s="122"/>
      <c r="K762" s="122"/>
    </row>
    <row r="763" spans="1:11" outlineLevel="1" x14ac:dyDescent="0.25">
      <c r="A763" s="120"/>
      <c r="B763" s="121"/>
      <c r="C763" s="122"/>
      <c r="D763" s="48">
        <v>2022</v>
      </c>
      <c r="E763" s="49">
        <f>[6]СТАРЫЙ!E691</f>
        <v>0</v>
      </c>
      <c r="F763" s="49">
        <f>[6]СТАРЫЙ!F691</f>
        <v>0</v>
      </c>
      <c r="G763" s="49">
        <f>[6]СТАРЫЙ!G691</f>
        <v>0</v>
      </c>
      <c r="H763" s="49">
        <f>[6]СТАРЫЙ!H691</f>
        <v>0</v>
      </c>
      <c r="I763" s="49">
        <f>[6]СТАРЫЙ!I691</f>
        <v>0</v>
      </c>
      <c r="J763" s="122"/>
      <c r="K763" s="122"/>
    </row>
    <row r="764" spans="1:11" outlineLevel="1" x14ac:dyDescent="0.25">
      <c r="A764" s="120"/>
      <c r="B764" s="121"/>
      <c r="C764" s="122"/>
      <c r="D764" s="48">
        <v>2023</v>
      </c>
      <c r="E764" s="49">
        <f>[6]СТАРЫЙ!E692</f>
        <v>381844.82530999999</v>
      </c>
      <c r="F764" s="49">
        <f>[6]СТАРЫЙ!F692</f>
        <v>84525.085309999995</v>
      </c>
      <c r="G764" s="49">
        <f>[6]СТАРЫЙ!G692</f>
        <v>297319.74</v>
      </c>
      <c r="H764" s="49">
        <f>[6]СТАРЫЙ!H692</f>
        <v>0</v>
      </c>
      <c r="I764" s="49">
        <f>[6]СТАРЫЙ!I692</f>
        <v>0</v>
      </c>
      <c r="J764" s="122"/>
      <c r="K764" s="122"/>
    </row>
    <row r="765" spans="1:11" outlineLevel="1" x14ac:dyDescent="0.25">
      <c r="A765" s="120"/>
      <c r="B765" s="121"/>
      <c r="C765" s="122"/>
      <c r="D765" s="48">
        <v>2024</v>
      </c>
      <c r="E765" s="49">
        <f>[6]СТАРЫЙ!E693</f>
        <v>1101184.97325</v>
      </c>
      <c r="F765" s="49">
        <f>F771+F777+F783</f>
        <v>731076.37324999995</v>
      </c>
      <c r="G765" s="49">
        <f>G771+G777+G783</f>
        <v>370108.6</v>
      </c>
      <c r="H765" s="49">
        <f>[6]СТАРЫЙ!H693</f>
        <v>0</v>
      </c>
      <c r="I765" s="49">
        <f>[6]СТАРЫЙ!I693</f>
        <v>0</v>
      </c>
      <c r="J765" s="122"/>
      <c r="K765" s="122"/>
    </row>
    <row r="766" spans="1:11" outlineLevel="1" x14ac:dyDescent="0.25">
      <c r="A766" s="120"/>
      <c r="B766" s="121"/>
      <c r="C766" s="122"/>
      <c r="D766" s="48">
        <v>2025</v>
      </c>
      <c r="E766" s="49">
        <f>[6]СТАРЫЙ!E694</f>
        <v>482170</v>
      </c>
      <c r="F766" s="49">
        <f>[6]СТАРЫЙ!F694</f>
        <v>482170</v>
      </c>
      <c r="G766" s="49">
        <f>[6]СТАРЫЙ!G694</f>
        <v>0</v>
      </c>
      <c r="H766" s="49">
        <f>[6]СТАРЫЙ!H694</f>
        <v>0</v>
      </c>
      <c r="I766" s="49">
        <f>[6]СТАРЫЙ!I694</f>
        <v>0</v>
      </c>
      <c r="J766" s="122"/>
      <c r="K766" s="122"/>
    </row>
    <row r="767" spans="1:11" outlineLevel="1" x14ac:dyDescent="0.25">
      <c r="A767" s="120" t="s">
        <v>1218</v>
      </c>
      <c r="B767" s="121" t="s">
        <v>101</v>
      </c>
      <c r="C767" s="122" t="s">
        <v>1216</v>
      </c>
      <c r="D767" s="48" t="s">
        <v>8</v>
      </c>
      <c r="E767" s="49">
        <f>E768+E769+E770+E771+E772</f>
        <v>884016.68856000004</v>
      </c>
      <c r="F767" s="49">
        <f t="shared" ref="F767:I767" si="67">F768+F769+F770+F771+F772</f>
        <v>333431.45856</v>
      </c>
      <c r="G767" s="49">
        <f t="shared" si="67"/>
        <v>550585.23</v>
      </c>
      <c r="H767" s="49">
        <f t="shared" si="67"/>
        <v>0</v>
      </c>
      <c r="I767" s="49">
        <f t="shared" si="67"/>
        <v>0</v>
      </c>
      <c r="J767" s="122" t="s">
        <v>1219</v>
      </c>
      <c r="K767" s="122" t="s">
        <v>1220</v>
      </c>
    </row>
    <row r="768" spans="1:11" outlineLevel="1" x14ac:dyDescent="0.25">
      <c r="A768" s="120"/>
      <c r="B768" s="121"/>
      <c r="C768" s="122"/>
      <c r="D768" s="48">
        <v>2021</v>
      </c>
      <c r="E768" s="49">
        <f>[6]СТАРЫЙ!E696</f>
        <v>0</v>
      </c>
      <c r="F768" s="49">
        <f>[6]СТАРЫЙ!F696</f>
        <v>0</v>
      </c>
      <c r="G768" s="49">
        <f>[6]СТАРЫЙ!G696</f>
        <v>0</v>
      </c>
      <c r="H768" s="49">
        <f>[6]СТАРЫЙ!H696</f>
        <v>0</v>
      </c>
      <c r="I768" s="49">
        <f>[6]СТАРЫЙ!I696</f>
        <v>0</v>
      </c>
      <c r="J768" s="122"/>
      <c r="K768" s="122"/>
    </row>
    <row r="769" spans="1:11" outlineLevel="1" x14ac:dyDescent="0.25">
      <c r="A769" s="120"/>
      <c r="B769" s="121"/>
      <c r="C769" s="122"/>
      <c r="D769" s="48">
        <v>2022</v>
      </c>
      <c r="E769" s="49">
        <f>[6]СТАРЫЙ!E697</f>
        <v>0</v>
      </c>
      <c r="F769" s="49">
        <f>[6]СТАРЫЙ!F697</f>
        <v>0</v>
      </c>
      <c r="G769" s="49">
        <f>[6]СТАРЫЙ!G697</f>
        <v>0</v>
      </c>
      <c r="H769" s="49">
        <f>[6]СТАРЫЙ!H697</f>
        <v>0</v>
      </c>
      <c r="I769" s="49">
        <f>[6]СТАРЫЙ!I697</f>
        <v>0</v>
      </c>
      <c r="J769" s="122"/>
      <c r="K769" s="122"/>
    </row>
    <row r="770" spans="1:11" outlineLevel="1" x14ac:dyDescent="0.25">
      <c r="A770" s="120"/>
      <c r="B770" s="121"/>
      <c r="C770" s="122"/>
      <c r="D770" s="48">
        <v>2023</v>
      </c>
      <c r="E770" s="49">
        <f>[6]СТАРЫЙ!E698</f>
        <v>265001.71531</v>
      </c>
      <c r="F770" s="49">
        <f>[6]СТАРЫЙ!F698</f>
        <v>84525.085309999995</v>
      </c>
      <c r="G770" s="49">
        <f>[6]СТАРЫЙ!G698</f>
        <v>180476.63</v>
      </c>
      <c r="H770" s="49">
        <f>[6]СТАРЫЙ!H698</f>
        <v>0</v>
      </c>
      <c r="I770" s="49">
        <f>[6]СТАРЫЙ!I698</f>
        <v>0</v>
      </c>
      <c r="J770" s="122"/>
      <c r="K770" s="122"/>
    </row>
    <row r="771" spans="1:11" outlineLevel="1" x14ac:dyDescent="0.25">
      <c r="A771" s="120"/>
      <c r="B771" s="121"/>
      <c r="C771" s="122"/>
      <c r="D771" s="48">
        <v>2024</v>
      </c>
      <c r="E771" s="49">
        <f>[6]СТАРЫЙ!E699</f>
        <v>619014.97325000004</v>
      </c>
      <c r="F771" s="49">
        <v>248906.37325</v>
      </c>
      <c r="G771" s="49">
        <v>370108.6</v>
      </c>
      <c r="H771" s="49">
        <f>[6]СТАРЫЙ!H699</f>
        <v>0</v>
      </c>
      <c r="I771" s="49">
        <f>[6]СТАРЫЙ!I699</f>
        <v>0</v>
      </c>
      <c r="J771" s="122"/>
      <c r="K771" s="122"/>
    </row>
    <row r="772" spans="1:11" outlineLevel="1" x14ac:dyDescent="0.25">
      <c r="A772" s="120"/>
      <c r="B772" s="121"/>
      <c r="C772" s="122"/>
      <c r="D772" s="48">
        <v>2025</v>
      </c>
      <c r="E772" s="49">
        <f>[6]СТАРЫЙ!E700</f>
        <v>0</v>
      </c>
      <c r="F772" s="49">
        <f>[6]СТАРЫЙ!F700</f>
        <v>0</v>
      </c>
      <c r="G772" s="49">
        <f>[6]СТАРЫЙ!G700</f>
        <v>0</v>
      </c>
      <c r="H772" s="49">
        <f>[6]СТАРЫЙ!H700</f>
        <v>0</v>
      </c>
      <c r="I772" s="49">
        <f>[6]СТАРЫЙ!I700</f>
        <v>0</v>
      </c>
      <c r="J772" s="122"/>
      <c r="K772" s="122"/>
    </row>
    <row r="773" spans="1:11" ht="12.75" customHeight="1" outlineLevel="1" x14ac:dyDescent="0.25">
      <c r="A773" s="120" t="s">
        <v>1221</v>
      </c>
      <c r="B773" s="121" t="s">
        <v>1755</v>
      </c>
      <c r="C773" s="122">
        <v>2023</v>
      </c>
      <c r="D773" s="48" t="s">
        <v>8</v>
      </c>
      <c r="E773" s="49">
        <f>[6]СТАРЫЙ!E701</f>
        <v>249780</v>
      </c>
      <c r="F773" s="49">
        <f>[6]СТАРЫЙ!F701</f>
        <v>184340</v>
      </c>
      <c r="G773" s="49">
        <f>[6]СТАРЫЙ!G701</f>
        <v>65440</v>
      </c>
      <c r="H773" s="49">
        <f>[6]СТАРЫЙ!H701</f>
        <v>0</v>
      </c>
      <c r="I773" s="49">
        <f>[6]СТАРЫЙ!I701</f>
        <v>0</v>
      </c>
      <c r="J773" s="122" t="s">
        <v>1763</v>
      </c>
      <c r="K773" s="122" t="s">
        <v>1757</v>
      </c>
    </row>
    <row r="774" spans="1:11" ht="12.75" customHeight="1" outlineLevel="1" x14ac:dyDescent="0.25">
      <c r="A774" s="120"/>
      <c r="B774" s="121"/>
      <c r="C774" s="122"/>
      <c r="D774" s="48">
        <v>2021</v>
      </c>
      <c r="E774" s="49">
        <f>[6]СТАРЫЙ!E702</f>
        <v>0</v>
      </c>
      <c r="F774" s="49">
        <f>[6]СТАРЫЙ!F702</f>
        <v>0</v>
      </c>
      <c r="G774" s="49">
        <f>[6]СТАРЫЙ!G702</f>
        <v>0</v>
      </c>
      <c r="H774" s="49">
        <f>[6]СТАРЫЙ!H702</f>
        <v>0</v>
      </c>
      <c r="I774" s="49">
        <f>[6]СТАРЫЙ!I702</f>
        <v>0</v>
      </c>
      <c r="J774" s="122"/>
      <c r="K774" s="122"/>
    </row>
    <row r="775" spans="1:11" ht="12.75" customHeight="1" outlineLevel="1" x14ac:dyDescent="0.25">
      <c r="A775" s="120"/>
      <c r="B775" s="121"/>
      <c r="C775" s="122"/>
      <c r="D775" s="48">
        <v>2022</v>
      </c>
      <c r="E775" s="49">
        <f>[6]СТАРЫЙ!E703</f>
        <v>0</v>
      </c>
      <c r="F775" s="49">
        <f>[6]СТАРЫЙ!F703</f>
        <v>0</v>
      </c>
      <c r="G775" s="49">
        <f>[6]СТАРЫЙ!G703</f>
        <v>0</v>
      </c>
      <c r="H775" s="49">
        <f>[6]СТАРЫЙ!H703</f>
        <v>0</v>
      </c>
      <c r="I775" s="49">
        <f>[6]СТАРЫЙ!I703</f>
        <v>0</v>
      </c>
      <c r="J775" s="122"/>
      <c r="K775" s="122"/>
    </row>
    <row r="776" spans="1:11" ht="12.75" customHeight="1" outlineLevel="1" x14ac:dyDescent="0.25">
      <c r="A776" s="120"/>
      <c r="B776" s="121"/>
      <c r="C776" s="122"/>
      <c r="D776" s="48">
        <v>2023</v>
      </c>
      <c r="E776" s="49">
        <f>[6]СТАРЫЙ!E704</f>
        <v>65440</v>
      </c>
      <c r="F776" s="49">
        <f>[6]СТАРЫЙ!F704</f>
        <v>0</v>
      </c>
      <c r="G776" s="49">
        <f>[6]СТАРЫЙ!G704</f>
        <v>65440</v>
      </c>
      <c r="H776" s="49">
        <f>[6]СТАРЫЙ!H704</f>
        <v>0</v>
      </c>
      <c r="I776" s="49">
        <f>[6]СТАРЫЙ!I704</f>
        <v>0</v>
      </c>
      <c r="J776" s="122"/>
      <c r="K776" s="122"/>
    </row>
    <row r="777" spans="1:11" ht="12.75" customHeight="1" outlineLevel="1" x14ac:dyDescent="0.25">
      <c r="A777" s="120"/>
      <c r="B777" s="121"/>
      <c r="C777" s="122"/>
      <c r="D777" s="48">
        <v>2024</v>
      </c>
      <c r="E777" s="49">
        <f>[6]СТАРЫЙ!E705</f>
        <v>92170</v>
      </c>
      <c r="F777" s="49">
        <f>[6]СТАРЫЙ!F705</f>
        <v>92170</v>
      </c>
      <c r="G777" s="49">
        <f>[6]СТАРЫЙ!G705</f>
        <v>0</v>
      </c>
      <c r="H777" s="49">
        <f>[6]СТАРЫЙ!H705</f>
        <v>0</v>
      </c>
      <c r="I777" s="49">
        <f>[6]СТАРЫЙ!I705</f>
        <v>0</v>
      </c>
      <c r="J777" s="122"/>
      <c r="K777" s="122"/>
    </row>
    <row r="778" spans="1:11" ht="42.75" customHeight="1" outlineLevel="1" x14ac:dyDescent="0.25">
      <c r="A778" s="120"/>
      <c r="B778" s="121"/>
      <c r="C778" s="122"/>
      <c r="D778" s="48">
        <v>2025</v>
      </c>
      <c r="E778" s="49">
        <f>[6]СТАРЫЙ!E706</f>
        <v>92170</v>
      </c>
      <c r="F778" s="49">
        <f>[6]СТАРЫЙ!F706</f>
        <v>92170</v>
      </c>
      <c r="G778" s="49">
        <f>[6]СТАРЫЙ!G706</f>
        <v>0</v>
      </c>
      <c r="H778" s="49">
        <f>[6]СТАРЫЙ!H706</f>
        <v>0</v>
      </c>
      <c r="I778" s="49">
        <f>[6]СТАРЫЙ!I706</f>
        <v>0</v>
      </c>
      <c r="J778" s="122"/>
      <c r="K778" s="122"/>
    </row>
    <row r="779" spans="1:11" ht="12.75" customHeight="1" outlineLevel="1" x14ac:dyDescent="0.25">
      <c r="A779" s="120" t="s">
        <v>677</v>
      </c>
      <c r="B779" s="121" t="s">
        <v>1754</v>
      </c>
      <c r="C779" s="122">
        <v>2023</v>
      </c>
      <c r="D779" s="48" t="s">
        <v>8</v>
      </c>
      <c r="E779" s="49">
        <f>[6]СТАРЫЙ!E707</f>
        <v>831403.11</v>
      </c>
      <c r="F779" s="49">
        <f>[6]СТАРЫЙ!F707</f>
        <v>780000</v>
      </c>
      <c r="G779" s="49">
        <f>[6]СТАРЫЙ!G707</f>
        <v>51403.11</v>
      </c>
      <c r="H779" s="49">
        <f>[6]СТАРЫЙ!H707</f>
        <v>0</v>
      </c>
      <c r="I779" s="49">
        <f>[6]СТАРЫЙ!I707</f>
        <v>0</v>
      </c>
      <c r="J779" s="122" t="s">
        <v>1763</v>
      </c>
      <c r="K779" s="122" t="s">
        <v>1757</v>
      </c>
    </row>
    <row r="780" spans="1:11" outlineLevel="1" x14ac:dyDescent="0.25">
      <c r="A780" s="120"/>
      <c r="B780" s="121"/>
      <c r="C780" s="122"/>
      <c r="D780" s="48">
        <v>2021</v>
      </c>
      <c r="E780" s="49">
        <f>[6]СТАРЫЙ!E708</f>
        <v>0</v>
      </c>
      <c r="F780" s="49">
        <f>[6]СТАРЫЙ!F708</f>
        <v>0</v>
      </c>
      <c r="G780" s="49">
        <f>[6]СТАРЫЙ!G708</f>
        <v>0</v>
      </c>
      <c r="H780" s="49">
        <f>[6]СТАРЫЙ!H708</f>
        <v>0</v>
      </c>
      <c r="I780" s="49">
        <f>[6]СТАРЫЙ!I708</f>
        <v>0</v>
      </c>
      <c r="J780" s="122"/>
      <c r="K780" s="122"/>
    </row>
    <row r="781" spans="1:11" outlineLevel="1" x14ac:dyDescent="0.25">
      <c r="A781" s="120"/>
      <c r="B781" s="121"/>
      <c r="C781" s="122"/>
      <c r="D781" s="48">
        <v>2022</v>
      </c>
      <c r="E781" s="49">
        <f>[6]СТАРЫЙ!E709</f>
        <v>0</v>
      </c>
      <c r="F781" s="49">
        <f>[6]СТАРЫЙ!F709</f>
        <v>0</v>
      </c>
      <c r="G781" s="49">
        <f>[6]СТАРЫЙ!G709</f>
        <v>0</v>
      </c>
      <c r="H781" s="49">
        <f>[6]СТАРЫЙ!H709</f>
        <v>0</v>
      </c>
      <c r="I781" s="49">
        <f>[6]СТАРЫЙ!I709</f>
        <v>0</v>
      </c>
      <c r="J781" s="122"/>
      <c r="K781" s="122"/>
    </row>
    <row r="782" spans="1:11" outlineLevel="1" x14ac:dyDescent="0.25">
      <c r="A782" s="120"/>
      <c r="B782" s="121"/>
      <c r="C782" s="122"/>
      <c r="D782" s="48">
        <v>2023</v>
      </c>
      <c r="E782" s="49">
        <f>[6]СТАРЫЙ!E710</f>
        <v>51403.11</v>
      </c>
      <c r="F782" s="49">
        <f>[6]СТАРЫЙ!F710</f>
        <v>0</v>
      </c>
      <c r="G782" s="49">
        <f>[6]СТАРЫЙ!G710</f>
        <v>51403.11</v>
      </c>
      <c r="H782" s="49">
        <f>[6]СТАРЫЙ!H710</f>
        <v>0</v>
      </c>
      <c r="I782" s="49">
        <f>[6]СТАРЫЙ!I710</f>
        <v>0</v>
      </c>
      <c r="J782" s="122"/>
      <c r="K782" s="122"/>
    </row>
    <row r="783" spans="1:11" outlineLevel="1" x14ac:dyDescent="0.25">
      <c r="A783" s="120"/>
      <c r="B783" s="121"/>
      <c r="C783" s="122"/>
      <c r="D783" s="48">
        <v>2024</v>
      </c>
      <c r="E783" s="49">
        <f>[6]СТАРЫЙ!E711</f>
        <v>390000</v>
      </c>
      <c r="F783" s="49">
        <f>[6]СТАРЫЙ!F711</f>
        <v>390000</v>
      </c>
      <c r="G783" s="49">
        <f>[6]СТАРЫЙ!G711</f>
        <v>0</v>
      </c>
      <c r="H783" s="49">
        <f>[6]СТАРЫЙ!H711</f>
        <v>0</v>
      </c>
      <c r="I783" s="49">
        <f>[6]СТАРЫЙ!I711</f>
        <v>0</v>
      </c>
      <c r="J783" s="122"/>
      <c r="K783" s="122"/>
    </row>
    <row r="784" spans="1:11" ht="48.75" customHeight="1" outlineLevel="1" x14ac:dyDescent="0.25">
      <c r="A784" s="120"/>
      <c r="B784" s="121"/>
      <c r="C784" s="122"/>
      <c r="D784" s="48">
        <v>2025</v>
      </c>
      <c r="E784" s="49">
        <f>[6]СТАРЫЙ!E712</f>
        <v>390000</v>
      </c>
      <c r="F784" s="49">
        <f>[6]СТАРЫЙ!F712</f>
        <v>390000</v>
      </c>
      <c r="G784" s="49">
        <f>[6]СТАРЫЙ!G712</f>
        <v>0</v>
      </c>
      <c r="H784" s="49">
        <f>[6]СТАРЫЙ!H712</f>
        <v>0</v>
      </c>
      <c r="I784" s="49">
        <f>[6]СТАРЫЙ!I712</f>
        <v>0</v>
      </c>
      <c r="J784" s="122"/>
      <c r="K784" s="122"/>
    </row>
    <row r="785" spans="1:13" ht="12.75" customHeight="1" outlineLevel="1" x14ac:dyDescent="0.25">
      <c r="A785" s="117" t="s">
        <v>1747</v>
      </c>
      <c r="B785" s="118" t="s">
        <v>1761</v>
      </c>
      <c r="C785" s="119" t="s">
        <v>1125</v>
      </c>
      <c r="D785" s="59" t="s">
        <v>8</v>
      </c>
      <c r="E785" s="8">
        <f t="shared" ref="E785:I790" si="68">SUM(E791,E797)</f>
        <v>187892.8</v>
      </c>
      <c r="F785" s="8">
        <f t="shared" si="68"/>
        <v>186006.772</v>
      </c>
      <c r="G785" s="8">
        <f t="shared" si="68"/>
        <v>0</v>
      </c>
      <c r="H785" s="8">
        <f t="shared" si="68"/>
        <v>1886.0280000000002</v>
      </c>
      <c r="I785" s="8">
        <f t="shared" si="68"/>
        <v>0</v>
      </c>
      <c r="J785" s="119" t="s">
        <v>1759</v>
      </c>
      <c r="K785" s="119" t="s">
        <v>1749</v>
      </c>
    </row>
    <row r="786" spans="1:13" outlineLevel="1" x14ac:dyDescent="0.25">
      <c r="A786" s="117"/>
      <c r="B786" s="118"/>
      <c r="C786" s="119"/>
      <c r="D786" s="59">
        <v>2021</v>
      </c>
      <c r="E786" s="8">
        <f t="shared" si="68"/>
        <v>0</v>
      </c>
      <c r="F786" s="8">
        <f t="shared" si="68"/>
        <v>0</v>
      </c>
      <c r="G786" s="8">
        <f t="shared" si="68"/>
        <v>0</v>
      </c>
      <c r="H786" s="8">
        <f t="shared" si="68"/>
        <v>0</v>
      </c>
      <c r="I786" s="8">
        <f t="shared" si="68"/>
        <v>0</v>
      </c>
      <c r="J786" s="119"/>
      <c r="K786" s="119"/>
    </row>
    <row r="787" spans="1:13" outlineLevel="1" x14ac:dyDescent="0.25">
      <c r="A787" s="117"/>
      <c r="B787" s="118"/>
      <c r="C787" s="119"/>
      <c r="D787" s="59">
        <v>2022</v>
      </c>
      <c r="E787" s="8">
        <f t="shared" si="68"/>
        <v>0</v>
      </c>
      <c r="F787" s="8">
        <f t="shared" si="68"/>
        <v>0</v>
      </c>
      <c r="G787" s="8">
        <f t="shared" si="68"/>
        <v>0</v>
      </c>
      <c r="H787" s="8">
        <f t="shared" si="68"/>
        <v>0</v>
      </c>
      <c r="I787" s="8">
        <f t="shared" si="68"/>
        <v>0</v>
      </c>
      <c r="J787" s="119"/>
      <c r="K787" s="119"/>
    </row>
    <row r="788" spans="1:13" outlineLevel="1" x14ac:dyDescent="0.25">
      <c r="A788" s="117"/>
      <c r="B788" s="118"/>
      <c r="C788" s="119"/>
      <c r="D788" s="59">
        <v>2023</v>
      </c>
      <c r="E788" s="8">
        <f>SUM(E794,E800)</f>
        <v>28290</v>
      </c>
      <c r="F788" s="8">
        <f>SUM(F794,F800)</f>
        <v>28000</v>
      </c>
      <c r="G788" s="8">
        <f t="shared" si="68"/>
        <v>0</v>
      </c>
      <c r="H788" s="8">
        <f t="shared" si="68"/>
        <v>290</v>
      </c>
      <c r="I788" s="8">
        <f t="shared" si="68"/>
        <v>0</v>
      </c>
      <c r="J788" s="119"/>
      <c r="K788" s="119"/>
    </row>
    <row r="789" spans="1:13" outlineLevel="1" x14ac:dyDescent="0.25">
      <c r="A789" s="117"/>
      <c r="B789" s="118"/>
      <c r="C789" s="119"/>
      <c r="D789" s="59">
        <v>2024</v>
      </c>
      <c r="E789" s="8">
        <f t="shared" si="68"/>
        <v>80355</v>
      </c>
      <c r="F789" s="8">
        <f>SUM(F795,F801)</f>
        <v>79551.45</v>
      </c>
      <c r="G789" s="8">
        <f t="shared" si="68"/>
        <v>0</v>
      </c>
      <c r="H789" s="8">
        <f t="shared" si="68"/>
        <v>803.55</v>
      </c>
      <c r="I789" s="8">
        <f t="shared" si="68"/>
        <v>0</v>
      </c>
      <c r="J789" s="119"/>
      <c r="K789" s="119"/>
    </row>
    <row r="790" spans="1:13" outlineLevel="1" x14ac:dyDescent="0.25">
      <c r="A790" s="117"/>
      <c r="B790" s="118"/>
      <c r="C790" s="119"/>
      <c r="D790" s="59">
        <v>2025</v>
      </c>
      <c r="E790" s="8">
        <f t="shared" si="68"/>
        <v>79247.8</v>
      </c>
      <c r="F790" s="8">
        <f t="shared" si="68"/>
        <v>78455.322</v>
      </c>
      <c r="G790" s="8">
        <f t="shared" si="68"/>
        <v>0</v>
      </c>
      <c r="H790" s="8">
        <f t="shared" si="68"/>
        <v>792.47800000000007</v>
      </c>
      <c r="I790" s="8">
        <f t="shared" si="68"/>
        <v>0</v>
      </c>
      <c r="J790" s="119"/>
      <c r="K790" s="119"/>
    </row>
    <row r="791" spans="1:13" ht="12.75" customHeight="1" outlineLevel="1" x14ac:dyDescent="0.25">
      <c r="A791" s="120" t="s">
        <v>1750</v>
      </c>
      <c r="B791" s="121" t="s">
        <v>1753</v>
      </c>
      <c r="C791" s="122" t="s">
        <v>1125</v>
      </c>
      <c r="D791" s="48" t="s">
        <v>8</v>
      </c>
      <c r="E791" s="49">
        <f t="shared" ref="E791:E802" si="69">SUM(F791:I791)</f>
        <v>138499.6</v>
      </c>
      <c r="F791" s="49">
        <f>SUM(F792:F796)</f>
        <v>137107.46900000001</v>
      </c>
      <c r="G791" s="49">
        <f>SUM(G792:G796)</f>
        <v>0</v>
      </c>
      <c r="H791" s="49">
        <f>SUM(H792:H796)</f>
        <v>1392.1310000000001</v>
      </c>
      <c r="I791" s="49">
        <f>SUM(I792:I796)</f>
        <v>0</v>
      </c>
      <c r="J791" s="122" t="s">
        <v>1752</v>
      </c>
      <c r="K791" s="122" t="s">
        <v>1748</v>
      </c>
    </row>
    <row r="792" spans="1:13" outlineLevel="1" x14ac:dyDescent="0.25">
      <c r="A792" s="120"/>
      <c r="B792" s="121"/>
      <c r="C792" s="122"/>
      <c r="D792" s="48">
        <v>2021</v>
      </c>
      <c r="E792" s="49">
        <f t="shared" si="69"/>
        <v>0</v>
      </c>
      <c r="F792" s="49">
        <v>0</v>
      </c>
      <c r="G792" s="49">
        <v>0</v>
      </c>
      <c r="H792" s="49">
        <v>0</v>
      </c>
      <c r="I792" s="49">
        <v>0</v>
      </c>
      <c r="J792" s="122"/>
      <c r="K792" s="122"/>
      <c r="M792" s="58">
        <f>SUM(E791,E797)</f>
        <v>187892.8</v>
      </c>
    </row>
    <row r="793" spans="1:13" outlineLevel="1" x14ac:dyDescent="0.25">
      <c r="A793" s="120"/>
      <c r="B793" s="121"/>
      <c r="C793" s="122"/>
      <c r="D793" s="48">
        <v>2022</v>
      </c>
      <c r="E793" s="49">
        <f t="shared" si="69"/>
        <v>0</v>
      </c>
      <c r="F793" s="49">
        <v>0</v>
      </c>
      <c r="G793" s="49">
        <v>0</v>
      </c>
      <c r="H793" s="49">
        <v>0</v>
      </c>
      <c r="I793" s="49">
        <v>0</v>
      </c>
      <c r="J793" s="122"/>
      <c r="K793" s="122"/>
    </row>
    <row r="794" spans="1:13" outlineLevel="1" x14ac:dyDescent="0.25">
      <c r="A794" s="120"/>
      <c r="B794" s="121"/>
      <c r="C794" s="122"/>
      <c r="D794" s="48">
        <v>2023</v>
      </c>
      <c r="E794" s="49">
        <f t="shared" si="69"/>
        <v>20666.5</v>
      </c>
      <c r="F794" s="49">
        <v>20452.7</v>
      </c>
      <c r="G794" s="49">
        <v>0</v>
      </c>
      <c r="H794" s="49">
        <v>213.8</v>
      </c>
      <c r="I794" s="49">
        <v>0</v>
      </c>
      <c r="J794" s="122"/>
      <c r="K794" s="122"/>
    </row>
    <row r="795" spans="1:13" outlineLevel="1" x14ac:dyDescent="0.25">
      <c r="A795" s="120"/>
      <c r="B795" s="121"/>
      <c r="C795" s="122"/>
      <c r="D795" s="48">
        <v>2024</v>
      </c>
      <c r="E795" s="49">
        <f t="shared" si="69"/>
        <v>59324.6</v>
      </c>
      <c r="F795" s="49">
        <v>58731.353999999999</v>
      </c>
      <c r="G795" s="49">
        <v>0</v>
      </c>
      <c r="H795" s="49">
        <f>F795/99*1</f>
        <v>593.24599999999998</v>
      </c>
      <c r="I795" s="49">
        <v>0</v>
      </c>
      <c r="J795" s="122"/>
      <c r="K795" s="122"/>
    </row>
    <row r="796" spans="1:13" outlineLevel="1" x14ac:dyDescent="0.25">
      <c r="A796" s="120"/>
      <c r="B796" s="121"/>
      <c r="C796" s="122"/>
      <c r="D796" s="48">
        <v>2025</v>
      </c>
      <c r="E796" s="49">
        <f t="shared" si="69"/>
        <v>58508.5</v>
      </c>
      <c r="F796" s="49">
        <v>57923.415000000001</v>
      </c>
      <c r="G796" s="49">
        <v>0</v>
      </c>
      <c r="H796" s="49">
        <f>F796/99*1</f>
        <v>585.08500000000004</v>
      </c>
      <c r="I796" s="49">
        <v>0</v>
      </c>
      <c r="J796" s="122"/>
      <c r="K796" s="122"/>
    </row>
    <row r="797" spans="1:13" outlineLevel="1" x14ac:dyDescent="0.25">
      <c r="A797" s="120" t="s">
        <v>1751</v>
      </c>
      <c r="B797" s="121" t="s">
        <v>1758</v>
      </c>
      <c r="C797" s="122" t="s">
        <v>1125</v>
      </c>
      <c r="D797" s="48" t="s">
        <v>8</v>
      </c>
      <c r="E797" s="49">
        <f t="shared" si="69"/>
        <v>49393.2</v>
      </c>
      <c r="F797" s="49">
        <f>SUM(F798:F802)</f>
        <v>48899.303</v>
      </c>
      <c r="G797" s="49">
        <f>SUM(G798:G802)</f>
        <v>0</v>
      </c>
      <c r="H797" s="49">
        <f>SUM(H798:H802)</f>
        <v>493.89700000000005</v>
      </c>
      <c r="I797" s="49">
        <f>SUM(I798:I802)</f>
        <v>0</v>
      </c>
      <c r="J797" s="122" t="s">
        <v>1752</v>
      </c>
      <c r="K797" s="122" t="s">
        <v>1748</v>
      </c>
    </row>
    <row r="798" spans="1:13" outlineLevel="1" x14ac:dyDescent="0.25">
      <c r="A798" s="120"/>
      <c r="B798" s="121"/>
      <c r="C798" s="122"/>
      <c r="D798" s="48">
        <v>2021</v>
      </c>
      <c r="E798" s="49">
        <f t="shared" si="69"/>
        <v>0</v>
      </c>
      <c r="F798" s="49">
        <v>0</v>
      </c>
      <c r="G798" s="49">
        <v>0</v>
      </c>
      <c r="H798" s="49">
        <v>0</v>
      </c>
      <c r="I798" s="49">
        <v>0</v>
      </c>
      <c r="J798" s="122"/>
      <c r="K798" s="122"/>
    </row>
    <row r="799" spans="1:13" outlineLevel="1" x14ac:dyDescent="0.25">
      <c r="A799" s="120"/>
      <c r="B799" s="121"/>
      <c r="C799" s="122"/>
      <c r="D799" s="48">
        <v>2022</v>
      </c>
      <c r="E799" s="49">
        <f t="shared" si="69"/>
        <v>0</v>
      </c>
      <c r="F799" s="49">
        <v>0</v>
      </c>
      <c r="G799" s="49">
        <v>0</v>
      </c>
      <c r="H799" s="49">
        <v>0</v>
      </c>
      <c r="I799" s="49">
        <v>0</v>
      </c>
      <c r="J799" s="122"/>
      <c r="K799" s="122"/>
      <c r="M799" s="58">
        <f>SUM(F800,F794)</f>
        <v>28000</v>
      </c>
    </row>
    <row r="800" spans="1:13" outlineLevel="1" x14ac:dyDescent="0.25">
      <c r="A800" s="120"/>
      <c r="B800" s="121"/>
      <c r="C800" s="122"/>
      <c r="D800" s="48">
        <v>2023</v>
      </c>
      <c r="E800" s="49">
        <f t="shared" si="69"/>
        <v>7623.5</v>
      </c>
      <c r="F800" s="49">
        <v>7547.3</v>
      </c>
      <c r="G800" s="49">
        <v>0</v>
      </c>
      <c r="H800" s="49">
        <v>76.2</v>
      </c>
      <c r="I800" s="49">
        <v>0</v>
      </c>
      <c r="J800" s="122"/>
      <c r="K800" s="122"/>
    </row>
    <row r="801" spans="1:12" outlineLevel="1" x14ac:dyDescent="0.25">
      <c r="A801" s="120"/>
      <c r="B801" s="121"/>
      <c r="C801" s="122"/>
      <c r="D801" s="48">
        <v>2024</v>
      </c>
      <c r="E801" s="49">
        <f t="shared" si="69"/>
        <v>21030.400000000001</v>
      </c>
      <c r="F801" s="49">
        <v>20820.096000000001</v>
      </c>
      <c r="G801" s="49">
        <v>0</v>
      </c>
      <c r="H801" s="49">
        <f t="shared" ref="H801:H802" si="70">F801/99*1</f>
        <v>210.304</v>
      </c>
      <c r="I801" s="49">
        <v>0</v>
      </c>
      <c r="J801" s="122"/>
      <c r="K801" s="122"/>
    </row>
    <row r="802" spans="1:12" outlineLevel="1" x14ac:dyDescent="0.25">
      <c r="A802" s="120"/>
      <c r="B802" s="121"/>
      <c r="C802" s="122"/>
      <c r="D802" s="48">
        <v>2025</v>
      </c>
      <c r="E802" s="49">
        <f t="shared" si="69"/>
        <v>20739.3</v>
      </c>
      <c r="F802" s="49">
        <v>20531.906999999999</v>
      </c>
      <c r="G802" s="49">
        <v>0</v>
      </c>
      <c r="H802" s="49">
        <f t="shared" si="70"/>
        <v>207.393</v>
      </c>
      <c r="I802" s="49">
        <v>0</v>
      </c>
      <c r="J802" s="122"/>
      <c r="K802" s="122"/>
    </row>
    <row r="803" spans="1:12" ht="15" customHeight="1" x14ac:dyDescent="0.25">
      <c r="A803" s="108" t="s">
        <v>116</v>
      </c>
      <c r="B803" s="108" t="s">
        <v>40</v>
      </c>
      <c r="C803" s="111" t="s">
        <v>828</v>
      </c>
      <c r="D803" s="59" t="s">
        <v>8</v>
      </c>
      <c r="E803" s="8">
        <f t="shared" si="66"/>
        <v>1328210.8980899998</v>
      </c>
      <c r="F803" s="8">
        <f>SUM(F804:F808)</f>
        <v>735152.66107999999</v>
      </c>
      <c r="G803" s="8">
        <f>SUM(G804:G808)</f>
        <v>562487.59899999993</v>
      </c>
      <c r="H803" s="8">
        <f>SUM(H804:H808)</f>
        <v>30570.638009999973</v>
      </c>
      <c r="I803" s="8">
        <f>SUM(I804:I808)</f>
        <v>0</v>
      </c>
      <c r="J803" s="119" t="s">
        <v>117</v>
      </c>
      <c r="K803" s="119" t="s">
        <v>601</v>
      </c>
    </row>
    <row r="804" spans="1:12" ht="14.25" customHeight="1" x14ac:dyDescent="0.25">
      <c r="A804" s="109"/>
      <c r="B804" s="109"/>
      <c r="C804" s="112"/>
      <c r="D804" s="59">
        <v>2021</v>
      </c>
      <c r="E804" s="8">
        <f t="shared" si="66"/>
        <v>277483.179</v>
      </c>
      <c r="F804" s="8">
        <f t="shared" ref="F804:I808" si="71">F811+F818+F824+F830</f>
        <v>19160.86</v>
      </c>
      <c r="G804" s="8">
        <f t="shared" si="71"/>
        <v>257488.69899999999</v>
      </c>
      <c r="H804" s="8">
        <f t="shared" si="71"/>
        <v>833.61999999999989</v>
      </c>
      <c r="I804" s="8">
        <f t="shared" si="71"/>
        <v>0</v>
      </c>
      <c r="J804" s="119"/>
      <c r="K804" s="119"/>
    </row>
    <row r="805" spans="1:12" x14ac:dyDescent="0.25">
      <c r="A805" s="109"/>
      <c r="B805" s="109"/>
      <c r="C805" s="112"/>
      <c r="D805" s="59">
        <v>2022</v>
      </c>
      <c r="E805" s="8">
        <f t="shared" si="66"/>
        <v>684506.5541999999</v>
      </c>
      <c r="F805" s="8">
        <f t="shared" si="71"/>
        <v>488280.63192999997</v>
      </c>
      <c r="G805" s="8">
        <f t="shared" si="71"/>
        <v>177607.9</v>
      </c>
      <c r="H805" s="8">
        <f t="shared" si="71"/>
        <v>18618.022270000001</v>
      </c>
      <c r="I805" s="8">
        <f t="shared" si="71"/>
        <v>0</v>
      </c>
      <c r="J805" s="119"/>
      <c r="K805" s="119"/>
    </row>
    <row r="806" spans="1:12" x14ac:dyDescent="0.25">
      <c r="A806" s="109"/>
      <c r="B806" s="109"/>
      <c r="C806" s="112"/>
      <c r="D806" s="59">
        <v>2023</v>
      </c>
      <c r="E806" s="8">
        <f t="shared" si="66"/>
        <v>139473.16488999996</v>
      </c>
      <c r="F806" s="8">
        <f t="shared" si="71"/>
        <v>11675.569150000007</v>
      </c>
      <c r="G806" s="8">
        <f t="shared" si="71"/>
        <v>127391</v>
      </c>
      <c r="H806" s="8">
        <f t="shared" si="71"/>
        <v>406.59573999997519</v>
      </c>
      <c r="I806" s="8">
        <f t="shared" si="71"/>
        <v>0</v>
      </c>
      <c r="J806" s="119"/>
      <c r="K806" s="119"/>
    </row>
    <row r="807" spans="1:12" x14ac:dyDescent="0.25">
      <c r="A807" s="109"/>
      <c r="B807" s="109"/>
      <c r="C807" s="112"/>
      <c r="D807" s="59">
        <v>2024</v>
      </c>
      <c r="E807" s="8">
        <f t="shared" si="66"/>
        <v>220498</v>
      </c>
      <c r="F807" s="8">
        <f t="shared" si="71"/>
        <v>209785.60000000001</v>
      </c>
      <c r="G807" s="8">
        <f t="shared" si="71"/>
        <v>0</v>
      </c>
      <c r="H807" s="8">
        <f t="shared" si="71"/>
        <v>10712.4</v>
      </c>
      <c r="I807" s="8">
        <f t="shared" si="71"/>
        <v>0</v>
      </c>
      <c r="J807" s="119"/>
      <c r="K807" s="119"/>
    </row>
    <row r="808" spans="1:12" x14ac:dyDescent="0.25">
      <c r="A808" s="109"/>
      <c r="B808" s="109"/>
      <c r="C808" s="112"/>
      <c r="D808" s="59">
        <v>2025</v>
      </c>
      <c r="E808" s="8">
        <f t="shared" si="66"/>
        <v>6250</v>
      </c>
      <c r="F808" s="8">
        <f t="shared" si="71"/>
        <v>6250</v>
      </c>
      <c r="G808" s="8">
        <f t="shared" si="71"/>
        <v>0</v>
      </c>
      <c r="H808" s="8">
        <f t="shared" si="71"/>
        <v>0</v>
      </c>
      <c r="I808" s="8">
        <f t="shared" si="71"/>
        <v>0</v>
      </c>
      <c r="J808" s="119"/>
      <c r="K808" s="119"/>
    </row>
    <row r="809" spans="1:12" x14ac:dyDescent="0.25">
      <c r="A809" s="110"/>
      <c r="B809" s="110"/>
      <c r="C809" s="113"/>
      <c r="D809" s="48">
        <v>2026</v>
      </c>
      <c r="E809" s="49">
        <f>SUM(F809:I809)</f>
        <v>0</v>
      </c>
      <c r="F809" s="49">
        <f>SUM(F816)</f>
        <v>0</v>
      </c>
      <c r="G809" s="49">
        <f t="shared" ref="G809:I809" si="72">SUM(G816)</f>
        <v>0</v>
      </c>
      <c r="H809" s="49">
        <f t="shared" si="72"/>
        <v>0</v>
      </c>
      <c r="I809" s="49">
        <f t="shared" si="72"/>
        <v>0</v>
      </c>
      <c r="J809" s="57"/>
      <c r="K809" s="57"/>
    </row>
    <row r="810" spans="1:12" ht="21" customHeight="1" x14ac:dyDescent="0.25">
      <c r="A810" s="108" t="s">
        <v>119</v>
      </c>
      <c r="B810" s="108" t="s">
        <v>120</v>
      </c>
      <c r="C810" s="111" t="s">
        <v>828</v>
      </c>
      <c r="D810" s="59" t="s">
        <v>8</v>
      </c>
      <c r="E810" s="8">
        <f t="shared" si="66"/>
        <v>25746.25</v>
      </c>
      <c r="F810" s="8">
        <f>SUM(F811:F815)</f>
        <v>25746.25</v>
      </c>
      <c r="G810" s="8">
        <f>SUM(G811:G815)</f>
        <v>0</v>
      </c>
      <c r="H810" s="8">
        <f>SUM(H811:H815)</f>
        <v>0</v>
      </c>
      <c r="I810" s="8">
        <f>SUM(I811:I815)</f>
        <v>0</v>
      </c>
      <c r="J810" s="125" t="s">
        <v>1767</v>
      </c>
      <c r="K810" s="119" t="s">
        <v>484</v>
      </c>
      <c r="L810" s="124" t="s">
        <v>950</v>
      </c>
    </row>
    <row r="811" spans="1:12" ht="21" customHeight="1" x14ac:dyDescent="0.25">
      <c r="A811" s="109"/>
      <c r="B811" s="109"/>
      <c r="C811" s="112"/>
      <c r="D811" s="59">
        <v>2021</v>
      </c>
      <c r="E811" s="8">
        <f t="shared" si="66"/>
        <v>3320.7</v>
      </c>
      <c r="F811" s="8">
        <v>3320.7</v>
      </c>
      <c r="G811" s="8">
        <v>0</v>
      </c>
      <c r="H811" s="8">
        <v>0</v>
      </c>
      <c r="I811" s="8">
        <v>0</v>
      </c>
      <c r="J811" s="125"/>
      <c r="K811" s="119"/>
      <c r="L811" s="124"/>
    </row>
    <row r="812" spans="1:12" ht="21" customHeight="1" x14ac:dyDescent="0.25">
      <c r="A812" s="109"/>
      <c r="B812" s="109"/>
      <c r="C812" s="112"/>
      <c r="D812" s="59">
        <v>2022</v>
      </c>
      <c r="E812" s="8">
        <f t="shared" si="66"/>
        <v>5975.3</v>
      </c>
      <c r="F812" s="8">
        <v>5975.3</v>
      </c>
      <c r="G812" s="8">
        <v>0</v>
      </c>
      <c r="H812" s="8">
        <v>0</v>
      </c>
      <c r="I812" s="8">
        <v>0</v>
      </c>
      <c r="J812" s="125"/>
      <c r="K812" s="119"/>
      <c r="L812" s="124"/>
    </row>
    <row r="813" spans="1:12" ht="21" customHeight="1" x14ac:dyDescent="0.25">
      <c r="A813" s="109"/>
      <c r="B813" s="109"/>
      <c r="C813" s="112"/>
      <c r="D813" s="59">
        <v>2023</v>
      </c>
      <c r="E813" s="8">
        <f t="shared" si="66"/>
        <v>3950.25</v>
      </c>
      <c r="F813" s="8">
        <f>6250-2299.75</f>
        <v>3950.25</v>
      </c>
      <c r="G813" s="8">
        <v>0</v>
      </c>
      <c r="H813" s="8">
        <v>0</v>
      </c>
      <c r="I813" s="8">
        <v>0</v>
      </c>
      <c r="J813" s="125"/>
      <c r="K813" s="119"/>
      <c r="L813" s="124"/>
    </row>
    <row r="814" spans="1:12" ht="21" customHeight="1" x14ac:dyDescent="0.25">
      <c r="A814" s="109"/>
      <c r="B814" s="109"/>
      <c r="C814" s="112"/>
      <c r="D814" s="59">
        <v>2024</v>
      </c>
      <c r="E814" s="12">
        <f t="shared" si="66"/>
        <v>6250</v>
      </c>
      <c r="F814" s="32">
        <v>6250</v>
      </c>
      <c r="G814" s="8">
        <v>0</v>
      </c>
      <c r="H814" s="8">
        <v>0</v>
      </c>
      <c r="I814" s="8">
        <v>0</v>
      </c>
      <c r="J814" s="125"/>
      <c r="K814" s="119"/>
      <c r="L814" s="124"/>
    </row>
    <row r="815" spans="1:12" ht="21" customHeight="1" x14ac:dyDescent="0.25">
      <c r="A815" s="109"/>
      <c r="B815" s="109"/>
      <c r="C815" s="112"/>
      <c r="D815" s="59">
        <v>2025</v>
      </c>
      <c r="E815" s="12">
        <f t="shared" si="66"/>
        <v>6250</v>
      </c>
      <c r="F815" s="32">
        <v>6250</v>
      </c>
      <c r="G815" s="8">
        <v>0</v>
      </c>
      <c r="H815" s="8">
        <v>0</v>
      </c>
      <c r="I815" s="8">
        <v>0</v>
      </c>
      <c r="J815" s="125"/>
      <c r="K815" s="119"/>
      <c r="L815" s="124"/>
    </row>
    <row r="816" spans="1:12" ht="21" customHeight="1" x14ac:dyDescent="0.25">
      <c r="A816" s="110"/>
      <c r="B816" s="110"/>
      <c r="C816" s="113"/>
      <c r="D816" s="40">
        <v>2026</v>
      </c>
      <c r="E816" s="41"/>
      <c r="F816" s="41"/>
      <c r="G816" s="41"/>
      <c r="H816" s="41"/>
      <c r="I816" s="41"/>
      <c r="J816" s="60"/>
      <c r="K816" s="57"/>
    </row>
    <row r="817" spans="1:12" ht="20.25" customHeight="1" x14ac:dyDescent="0.25">
      <c r="A817" s="117" t="s">
        <v>122</v>
      </c>
      <c r="B817" s="118" t="s">
        <v>123</v>
      </c>
      <c r="C817" s="119" t="s">
        <v>124</v>
      </c>
      <c r="D817" s="59" t="s">
        <v>8</v>
      </c>
      <c r="E817" s="8">
        <f t="shared" si="66"/>
        <v>447152.68754999997</v>
      </c>
      <c r="F817" s="8">
        <f>SUM(F818:F822)</f>
        <v>316032.67813999997</v>
      </c>
      <c r="G817" s="8">
        <f>SUM(G818:G822)</f>
        <v>121253.24804000001</v>
      </c>
      <c r="H817" s="8">
        <f>SUM(H818:H822)</f>
        <v>9866.7613700000002</v>
      </c>
      <c r="I817" s="8">
        <f>SUM(I818:I822)</f>
        <v>0</v>
      </c>
      <c r="J817" s="119" t="s">
        <v>949</v>
      </c>
      <c r="K817" s="119" t="s">
        <v>547</v>
      </c>
      <c r="L817" s="124"/>
    </row>
    <row r="818" spans="1:12" ht="20.25" customHeight="1" x14ac:dyDescent="0.25">
      <c r="A818" s="117"/>
      <c r="B818" s="118"/>
      <c r="C818" s="119"/>
      <c r="D818" s="59">
        <v>2021</v>
      </c>
      <c r="E818" s="8">
        <f t="shared" si="66"/>
        <v>94469.148000000001</v>
      </c>
      <c r="F818" s="8">
        <v>5458.1030000000001</v>
      </c>
      <c r="G818" s="8">
        <v>88723.845000000001</v>
      </c>
      <c r="H818" s="8">
        <v>287.2</v>
      </c>
      <c r="I818" s="8">
        <v>0</v>
      </c>
      <c r="J818" s="119"/>
      <c r="K818" s="119"/>
      <c r="L818" s="124"/>
    </row>
    <row r="819" spans="1:12" ht="20.25" customHeight="1" x14ac:dyDescent="0.25">
      <c r="A819" s="117"/>
      <c r="B819" s="118"/>
      <c r="C819" s="119"/>
      <c r="D819" s="59">
        <v>2022</v>
      </c>
      <c r="E819" s="8">
        <f t="shared" si="66"/>
        <v>352683.53954999999</v>
      </c>
      <c r="F819" s="8">
        <v>310574.57513999997</v>
      </c>
      <c r="G819" s="8">
        <v>32529.403040000001</v>
      </c>
      <c r="H819" s="8">
        <v>9579.5613699999994</v>
      </c>
      <c r="I819" s="8">
        <v>0</v>
      </c>
      <c r="J819" s="119"/>
      <c r="K819" s="119"/>
      <c r="L819" s="124"/>
    </row>
    <row r="820" spans="1:12" ht="20.25" customHeight="1" x14ac:dyDescent="0.25">
      <c r="A820" s="117"/>
      <c r="B820" s="118"/>
      <c r="C820" s="119"/>
      <c r="D820" s="59">
        <v>2023</v>
      </c>
      <c r="E820" s="8">
        <f t="shared" si="66"/>
        <v>0</v>
      </c>
      <c r="F820" s="8">
        <v>0</v>
      </c>
      <c r="G820" s="8">
        <v>0</v>
      </c>
      <c r="H820" s="8">
        <v>0</v>
      </c>
      <c r="I820" s="8">
        <v>0</v>
      </c>
      <c r="J820" s="119"/>
      <c r="K820" s="119"/>
      <c r="L820" s="124"/>
    </row>
    <row r="821" spans="1:12" ht="20.25" customHeight="1" x14ac:dyDescent="0.25">
      <c r="A821" s="117"/>
      <c r="B821" s="118"/>
      <c r="C821" s="119"/>
      <c r="D821" s="59">
        <v>2024</v>
      </c>
      <c r="E821" s="8">
        <f t="shared" si="66"/>
        <v>0</v>
      </c>
      <c r="F821" s="8">
        <v>0</v>
      </c>
      <c r="G821" s="8">
        <v>0</v>
      </c>
      <c r="H821" s="8">
        <v>0</v>
      </c>
      <c r="I821" s="8">
        <v>0</v>
      </c>
      <c r="J821" s="119"/>
      <c r="K821" s="119"/>
      <c r="L821" s="124"/>
    </row>
    <row r="822" spans="1:12" ht="20.25" customHeight="1" x14ac:dyDescent="0.25">
      <c r="A822" s="117"/>
      <c r="B822" s="118"/>
      <c r="C822" s="119"/>
      <c r="D822" s="59">
        <v>2025</v>
      </c>
      <c r="E822" s="8">
        <f t="shared" si="66"/>
        <v>0</v>
      </c>
      <c r="F822" s="8">
        <v>0</v>
      </c>
      <c r="G822" s="8">
        <v>0</v>
      </c>
      <c r="H822" s="8">
        <v>0</v>
      </c>
      <c r="I822" s="8">
        <v>0</v>
      </c>
      <c r="J822" s="119"/>
      <c r="K822" s="119"/>
      <c r="L822" s="124"/>
    </row>
    <row r="823" spans="1:12" ht="15" customHeight="1" x14ac:dyDescent="0.25">
      <c r="A823" s="117" t="s">
        <v>126</v>
      </c>
      <c r="B823" s="118" t="s">
        <v>127</v>
      </c>
      <c r="C823" s="119" t="s">
        <v>124</v>
      </c>
      <c r="D823" s="59" t="s">
        <v>8</v>
      </c>
      <c r="E823" s="8">
        <f t="shared" si="66"/>
        <v>508717.68395999999</v>
      </c>
      <c r="F823" s="8">
        <v>242209.413</v>
      </c>
      <c r="G823" s="8">
        <v>253746.75095999998</v>
      </c>
      <c r="H823" s="8">
        <v>12761.52</v>
      </c>
      <c r="I823" s="8">
        <f>SUM(I824:I828)</f>
        <v>0</v>
      </c>
      <c r="J823" s="119" t="s">
        <v>1223</v>
      </c>
      <c r="K823" s="119" t="s">
        <v>547</v>
      </c>
    </row>
    <row r="824" spans="1:12" x14ac:dyDescent="0.25">
      <c r="A824" s="117"/>
      <c r="B824" s="118"/>
      <c r="C824" s="119"/>
      <c r="D824" s="59">
        <v>2021</v>
      </c>
      <c r="E824" s="8">
        <f t="shared" si="66"/>
        <v>179693.33100000001</v>
      </c>
      <c r="F824" s="8">
        <v>10382.057000000001</v>
      </c>
      <c r="G824" s="8">
        <v>168764.85399999999</v>
      </c>
      <c r="H824" s="8">
        <v>546.41999999999996</v>
      </c>
      <c r="I824" s="8">
        <v>0</v>
      </c>
      <c r="J824" s="119"/>
      <c r="K824" s="119"/>
    </row>
    <row r="825" spans="1:12" x14ac:dyDescent="0.25">
      <c r="A825" s="117"/>
      <c r="B825" s="118"/>
      <c r="C825" s="119"/>
      <c r="D825" s="59">
        <v>2022</v>
      </c>
      <c r="E825" s="8">
        <f t="shared" si="66"/>
        <v>325847.71465000004</v>
      </c>
      <c r="F825" s="8">
        <v>171730.75679000001</v>
      </c>
      <c r="G825" s="8">
        <v>145078.49695999999</v>
      </c>
      <c r="H825" s="8">
        <v>9038.4609</v>
      </c>
      <c r="I825" s="8">
        <v>0</v>
      </c>
      <c r="J825" s="119"/>
      <c r="K825" s="119"/>
    </row>
    <row r="826" spans="1:12" x14ac:dyDescent="0.25">
      <c r="A826" s="117"/>
      <c r="B826" s="118"/>
      <c r="C826" s="119"/>
      <c r="D826" s="59">
        <v>2023</v>
      </c>
      <c r="E826" s="8">
        <f t="shared" si="66"/>
        <v>0</v>
      </c>
      <c r="F826" s="8">
        <v>0</v>
      </c>
      <c r="G826" s="8">
        <v>0</v>
      </c>
      <c r="H826" s="8">
        <v>0</v>
      </c>
      <c r="I826" s="8">
        <v>0</v>
      </c>
      <c r="J826" s="119"/>
      <c r="K826" s="119"/>
    </row>
    <row r="827" spans="1:12" x14ac:dyDescent="0.25">
      <c r="A827" s="117"/>
      <c r="B827" s="118"/>
      <c r="C827" s="119"/>
      <c r="D827" s="59">
        <v>2024</v>
      </c>
      <c r="E827" s="8">
        <f t="shared" si="66"/>
        <v>0</v>
      </c>
      <c r="F827" s="8">
        <v>0</v>
      </c>
      <c r="G827" s="8">
        <v>0</v>
      </c>
      <c r="H827" s="8">
        <v>0</v>
      </c>
      <c r="I827" s="8">
        <v>0</v>
      </c>
      <c r="J827" s="119"/>
      <c r="K827" s="119"/>
    </row>
    <row r="828" spans="1:12" x14ac:dyDescent="0.25">
      <c r="A828" s="117"/>
      <c r="B828" s="118"/>
      <c r="C828" s="119"/>
      <c r="D828" s="59">
        <v>2025</v>
      </c>
      <c r="E828" s="8">
        <f t="shared" si="66"/>
        <v>0</v>
      </c>
      <c r="F828" s="8">
        <v>0</v>
      </c>
      <c r="G828" s="8">
        <v>0</v>
      </c>
      <c r="H828" s="8">
        <v>0</v>
      </c>
      <c r="I828" s="8">
        <v>0</v>
      </c>
      <c r="J828" s="119"/>
      <c r="K828" s="119"/>
    </row>
    <row r="829" spans="1:12" x14ac:dyDescent="0.25">
      <c r="A829" s="120" t="s">
        <v>128</v>
      </c>
      <c r="B829" s="121" t="s">
        <v>1224</v>
      </c>
      <c r="C829" s="122" t="s">
        <v>1216</v>
      </c>
      <c r="D829" s="48" t="s">
        <v>8</v>
      </c>
      <c r="E829" s="49">
        <f t="shared" si="66"/>
        <v>349770.91488999996</v>
      </c>
      <c r="F829" s="49">
        <f>SUM(F830:F834)</f>
        <v>211260.91915</v>
      </c>
      <c r="G829" s="49">
        <f>SUM(G830:G834)</f>
        <v>127391</v>
      </c>
      <c r="H829" s="49">
        <f>SUM(H830:H834)</f>
        <v>11118.995739999975</v>
      </c>
      <c r="I829" s="49">
        <f>SUM(I830:I834)</f>
        <v>0</v>
      </c>
      <c r="J829" s="123" t="s">
        <v>1768</v>
      </c>
      <c r="K829" s="122" t="s">
        <v>547</v>
      </c>
    </row>
    <row r="830" spans="1:12" x14ac:dyDescent="0.25">
      <c r="A830" s="120"/>
      <c r="B830" s="121"/>
      <c r="C830" s="122"/>
      <c r="D830" s="48">
        <v>2021</v>
      </c>
      <c r="E830" s="49">
        <f t="shared" si="66"/>
        <v>0</v>
      </c>
      <c r="F830" s="49">
        <v>0</v>
      </c>
      <c r="G830" s="49">
        <v>0</v>
      </c>
      <c r="H830" s="49">
        <v>0</v>
      </c>
      <c r="I830" s="49">
        <v>0</v>
      </c>
      <c r="J830" s="123"/>
      <c r="K830" s="122"/>
    </row>
    <row r="831" spans="1:12" x14ac:dyDescent="0.25">
      <c r="A831" s="120"/>
      <c r="B831" s="121"/>
      <c r="C831" s="122"/>
      <c r="D831" s="48">
        <v>2022</v>
      </c>
      <c r="E831" s="49">
        <f t="shared" si="66"/>
        <v>0</v>
      </c>
      <c r="F831" s="49">
        <v>0</v>
      </c>
      <c r="G831" s="49">
        <v>0</v>
      </c>
      <c r="H831" s="49">
        <v>0</v>
      </c>
      <c r="I831" s="49">
        <v>0</v>
      </c>
      <c r="J831" s="123"/>
      <c r="K831" s="122"/>
    </row>
    <row r="832" spans="1:12" x14ac:dyDescent="0.25">
      <c r="A832" s="120"/>
      <c r="B832" s="121"/>
      <c r="C832" s="122"/>
      <c r="D832" s="48">
        <v>2023</v>
      </c>
      <c r="E832" s="49">
        <f t="shared" si="66"/>
        <v>135522.91488999996</v>
      </c>
      <c r="F832" s="49">
        <f>(135116319.15-127391000)/1000</f>
        <v>7725.3191500000057</v>
      </c>
      <c r="G832" s="49">
        <v>127391</v>
      </c>
      <c r="H832" s="49">
        <f>135522914.89/1000-F832-G832</f>
        <v>406.59573999997519</v>
      </c>
      <c r="I832" s="49">
        <v>0</v>
      </c>
      <c r="J832" s="123"/>
      <c r="K832" s="122"/>
    </row>
    <row r="833" spans="1:11" x14ac:dyDescent="0.25">
      <c r="A833" s="120"/>
      <c r="B833" s="121"/>
      <c r="C833" s="122"/>
      <c r="D833" s="48">
        <v>2024</v>
      </c>
      <c r="E833" s="49">
        <f t="shared" si="66"/>
        <v>214248</v>
      </c>
      <c r="F833" s="49">
        <v>203535.6</v>
      </c>
      <c r="G833" s="49">
        <v>0</v>
      </c>
      <c r="H833" s="49">
        <v>10712.4</v>
      </c>
      <c r="I833" s="49">
        <v>0</v>
      </c>
      <c r="J833" s="123"/>
      <c r="K833" s="122"/>
    </row>
    <row r="834" spans="1:11" x14ac:dyDescent="0.25">
      <c r="A834" s="120"/>
      <c r="B834" s="121"/>
      <c r="C834" s="122"/>
      <c r="D834" s="48">
        <v>2025</v>
      </c>
      <c r="E834" s="49">
        <f t="shared" si="66"/>
        <v>0</v>
      </c>
      <c r="F834" s="49">
        <v>0</v>
      </c>
      <c r="G834" s="49">
        <v>0</v>
      </c>
      <c r="H834" s="49">
        <v>0</v>
      </c>
      <c r="I834" s="49">
        <v>0</v>
      </c>
      <c r="J834" s="123"/>
      <c r="K834" s="122"/>
    </row>
    <row r="835" spans="1:11" ht="15" customHeight="1" x14ac:dyDescent="0.25">
      <c r="A835" s="108" t="s">
        <v>131</v>
      </c>
      <c r="B835" s="108" t="s">
        <v>132</v>
      </c>
      <c r="C835" s="111" t="s">
        <v>828</v>
      </c>
      <c r="D835" s="59" t="s">
        <v>8</v>
      </c>
      <c r="E835" s="8">
        <f t="shared" si="66"/>
        <v>260043.50607999999</v>
      </c>
      <c r="F835" s="8">
        <f>SUM(F836:F840)</f>
        <v>260043.50607999999</v>
      </c>
      <c r="G835" s="8">
        <f>SUM(G836:G840)</f>
        <v>0</v>
      </c>
      <c r="H835" s="8">
        <f>SUM(H836:H840)</f>
        <v>0</v>
      </c>
      <c r="I835" s="8">
        <f>SUM(I836:I840)</f>
        <v>0</v>
      </c>
      <c r="J835" s="114"/>
      <c r="K835" s="108" t="s">
        <v>484</v>
      </c>
    </row>
    <row r="836" spans="1:11" x14ac:dyDescent="0.25">
      <c r="A836" s="109"/>
      <c r="B836" s="109"/>
      <c r="C836" s="112"/>
      <c r="D836" s="59">
        <v>2021</v>
      </c>
      <c r="E836" s="8">
        <f t="shared" si="66"/>
        <v>40456.699999999997</v>
      </c>
      <c r="F836" s="8">
        <f t="shared" ref="F836:I840" si="73">F843</f>
        <v>40456.699999999997</v>
      </c>
      <c r="G836" s="8">
        <f t="shared" si="73"/>
        <v>0</v>
      </c>
      <c r="H836" s="8">
        <f t="shared" si="73"/>
        <v>0</v>
      </c>
      <c r="I836" s="8">
        <f t="shared" si="73"/>
        <v>0</v>
      </c>
      <c r="J836" s="115"/>
      <c r="K836" s="109"/>
    </row>
    <row r="837" spans="1:11" x14ac:dyDescent="0.25">
      <c r="A837" s="109"/>
      <c r="B837" s="109"/>
      <c r="C837" s="112"/>
      <c r="D837" s="59">
        <v>2022</v>
      </c>
      <c r="E837" s="8">
        <f t="shared" si="66"/>
        <v>50867.625999999997</v>
      </c>
      <c r="F837" s="8">
        <f t="shared" si="73"/>
        <v>50867.625999999997</v>
      </c>
      <c r="G837" s="8">
        <f t="shared" si="73"/>
        <v>0</v>
      </c>
      <c r="H837" s="8">
        <f t="shared" si="73"/>
        <v>0</v>
      </c>
      <c r="I837" s="8">
        <f t="shared" si="73"/>
        <v>0</v>
      </c>
      <c r="J837" s="115"/>
      <c r="K837" s="109"/>
    </row>
    <row r="838" spans="1:11" x14ac:dyDescent="0.25">
      <c r="A838" s="109"/>
      <c r="B838" s="109"/>
      <c r="C838" s="112"/>
      <c r="D838" s="59">
        <v>2023</v>
      </c>
      <c r="E838" s="8">
        <f t="shared" si="66"/>
        <v>54796.042999999998</v>
      </c>
      <c r="F838" s="8">
        <f t="shared" si="73"/>
        <v>54796.042999999998</v>
      </c>
      <c r="G838" s="8">
        <f t="shared" si="73"/>
        <v>0</v>
      </c>
      <c r="H838" s="8">
        <f t="shared" si="73"/>
        <v>0</v>
      </c>
      <c r="I838" s="8">
        <f t="shared" si="73"/>
        <v>0</v>
      </c>
      <c r="J838" s="115"/>
      <c r="K838" s="109"/>
    </row>
    <row r="839" spans="1:11" x14ac:dyDescent="0.25">
      <c r="A839" s="109"/>
      <c r="B839" s="109"/>
      <c r="C839" s="112"/>
      <c r="D839" s="59">
        <v>2024</v>
      </c>
      <c r="E839" s="8">
        <f t="shared" si="66"/>
        <v>56948.595869999997</v>
      </c>
      <c r="F839" s="8">
        <f t="shared" si="73"/>
        <v>56948.595869999997</v>
      </c>
      <c r="G839" s="8">
        <f t="shared" si="73"/>
        <v>0</v>
      </c>
      <c r="H839" s="8">
        <f t="shared" si="73"/>
        <v>0</v>
      </c>
      <c r="I839" s="8">
        <f t="shared" si="73"/>
        <v>0</v>
      </c>
      <c r="J839" s="115"/>
      <c r="K839" s="109"/>
    </row>
    <row r="840" spans="1:11" ht="19.5" customHeight="1" x14ac:dyDescent="0.25">
      <c r="A840" s="109"/>
      <c r="B840" s="109"/>
      <c r="C840" s="112"/>
      <c r="D840" s="59">
        <v>2025</v>
      </c>
      <c r="E840" s="8">
        <f t="shared" si="66"/>
        <v>56974.541210000003</v>
      </c>
      <c r="F840" s="8">
        <f t="shared" si="73"/>
        <v>56974.541210000003</v>
      </c>
      <c r="G840" s="8">
        <f t="shared" si="73"/>
        <v>0</v>
      </c>
      <c r="H840" s="8">
        <f t="shared" si="73"/>
        <v>0</v>
      </c>
      <c r="I840" s="8">
        <f t="shared" si="73"/>
        <v>0</v>
      </c>
      <c r="J840" s="115"/>
      <c r="K840" s="109"/>
    </row>
    <row r="841" spans="1:11" ht="19.5" customHeight="1" x14ac:dyDescent="0.25">
      <c r="A841" s="110"/>
      <c r="B841" s="110"/>
      <c r="C841" s="113"/>
      <c r="D841" s="48">
        <v>2026</v>
      </c>
      <c r="E841" s="49">
        <f>SUM(F841:I841)</f>
        <v>0</v>
      </c>
      <c r="F841" s="49">
        <f>SUM(F848)</f>
        <v>0</v>
      </c>
      <c r="G841" s="49">
        <f t="shared" ref="G841:I841" si="74">SUM(G848)</f>
        <v>0</v>
      </c>
      <c r="H841" s="49">
        <f t="shared" si="74"/>
        <v>0</v>
      </c>
      <c r="I841" s="49">
        <f t="shared" si="74"/>
        <v>0</v>
      </c>
      <c r="J841" s="116"/>
      <c r="K841" s="110"/>
    </row>
    <row r="842" spans="1:11" ht="15" customHeight="1" x14ac:dyDescent="0.25">
      <c r="A842" s="108" t="s">
        <v>133</v>
      </c>
      <c r="B842" s="108" t="s">
        <v>134</v>
      </c>
      <c r="C842" s="111" t="s">
        <v>828</v>
      </c>
      <c r="D842" s="59" t="s">
        <v>8</v>
      </c>
      <c r="E842" s="8">
        <f t="shared" si="66"/>
        <v>260043.50607999999</v>
      </c>
      <c r="F842" s="8">
        <f>SUM(F843:F847)</f>
        <v>260043.50607999999</v>
      </c>
      <c r="G842" s="8">
        <f>SUM(G843:G847)</f>
        <v>0</v>
      </c>
      <c r="H842" s="8">
        <f>SUM(H843:H847)</f>
        <v>0</v>
      </c>
      <c r="I842" s="8">
        <f>SUM(I843:I847)</f>
        <v>0</v>
      </c>
      <c r="J842" s="108" t="s">
        <v>605</v>
      </c>
      <c r="K842" s="108" t="s">
        <v>484</v>
      </c>
    </row>
    <row r="843" spans="1:11" x14ac:dyDescent="0.25">
      <c r="A843" s="109"/>
      <c r="B843" s="109"/>
      <c r="C843" s="112"/>
      <c r="D843" s="59">
        <v>2021</v>
      </c>
      <c r="E843" s="8">
        <f t="shared" ref="E843:E854" si="75">SUM(F843:I843)</f>
        <v>40456.699999999997</v>
      </c>
      <c r="F843" s="8">
        <f t="shared" ref="F843:I847" si="76">F850</f>
        <v>40456.699999999997</v>
      </c>
      <c r="G843" s="8">
        <f t="shared" si="76"/>
        <v>0</v>
      </c>
      <c r="H843" s="8">
        <f t="shared" si="76"/>
        <v>0</v>
      </c>
      <c r="I843" s="8">
        <f t="shared" si="76"/>
        <v>0</v>
      </c>
      <c r="J843" s="109"/>
      <c r="K843" s="109"/>
    </row>
    <row r="844" spans="1:11" x14ac:dyDescent="0.25">
      <c r="A844" s="109"/>
      <c r="B844" s="109"/>
      <c r="C844" s="112"/>
      <c r="D844" s="59">
        <v>2022</v>
      </c>
      <c r="E844" s="8">
        <f t="shared" si="75"/>
        <v>50867.625999999997</v>
      </c>
      <c r="F844" s="8">
        <f t="shared" si="76"/>
        <v>50867.625999999997</v>
      </c>
      <c r="G844" s="8">
        <f t="shared" si="76"/>
        <v>0</v>
      </c>
      <c r="H844" s="8">
        <f t="shared" si="76"/>
        <v>0</v>
      </c>
      <c r="I844" s="8">
        <f t="shared" si="76"/>
        <v>0</v>
      </c>
      <c r="J844" s="109"/>
      <c r="K844" s="109"/>
    </row>
    <row r="845" spans="1:11" x14ac:dyDescent="0.25">
      <c r="A845" s="109"/>
      <c r="B845" s="109"/>
      <c r="C845" s="112"/>
      <c r="D845" s="59">
        <v>2023</v>
      </c>
      <c r="E845" s="8">
        <f t="shared" si="75"/>
        <v>54796.042999999998</v>
      </c>
      <c r="F845" s="8">
        <f t="shared" si="76"/>
        <v>54796.042999999998</v>
      </c>
      <c r="G845" s="8">
        <f t="shared" si="76"/>
        <v>0</v>
      </c>
      <c r="H845" s="8">
        <f t="shared" si="76"/>
        <v>0</v>
      </c>
      <c r="I845" s="8">
        <f t="shared" si="76"/>
        <v>0</v>
      </c>
      <c r="J845" s="109"/>
      <c r="K845" s="109"/>
    </row>
    <row r="846" spans="1:11" x14ac:dyDescent="0.25">
      <c r="A846" s="109"/>
      <c r="B846" s="109"/>
      <c r="C846" s="112"/>
      <c r="D846" s="59">
        <v>2024</v>
      </c>
      <c r="E846" s="8">
        <f t="shared" si="75"/>
        <v>56948.595869999997</v>
      </c>
      <c r="F846" s="8">
        <f t="shared" si="76"/>
        <v>56948.595869999997</v>
      </c>
      <c r="G846" s="8">
        <f t="shared" si="76"/>
        <v>0</v>
      </c>
      <c r="H846" s="8">
        <f t="shared" si="76"/>
        <v>0</v>
      </c>
      <c r="I846" s="8">
        <f t="shared" si="76"/>
        <v>0</v>
      </c>
      <c r="J846" s="109"/>
      <c r="K846" s="109"/>
    </row>
    <row r="847" spans="1:11" x14ac:dyDescent="0.25">
      <c r="A847" s="109"/>
      <c r="B847" s="109"/>
      <c r="C847" s="112"/>
      <c r="D847" s="59">
        <v>2025</v>
      </c>
      <c r="E847" s="8">
        <f t="shared" si="75"/>
        <v>56974.541210000003</v>
      </c>
      <c r="F847" s="8">
        <f t="shared" si="76"/>
        <v>56974.541210000003</v>
      </c>
      <c r="G847" s="8">
        <f>G854</f>
        <v>0</v>
      </c>
      <c r="H847" s="8">
        <f>H854</f>
        <v>0</v>
      </c>
      <c r="I847" s="8">
        <f>I854</f>
        <v>0</v>
      </c>
      <c r="J847" s="109"/>
      <c r="K847" s="109"/>
    </row>
    <row r="848" spans="1:11" x14ac:dyDescent="0.25">
      <c r="A848" s="110"/>
      <c r="B848" s="110"/>
      <c r="C848" s="113"/>
      <c r="D848" s="48">
        <v>2026</v>
      </c>
      <c r="E848" s="49">
        <f>SUM(F848:I848)</f>
        <v>0</v>
      </c>
      <c r="F848" s="49">
        <f>F855</f>
        <v>0</v>
      </c>
      <c r="G848" s="49">
        <f t="shared" ref="G848:I848" si="77">G855</f>
        <v>0</v>
      </c>
      <c r="H848" s="49">
        <f t="shared" si="77"/>
        <v>0</v>
      </c>
      <c r="I848" s="49">
        <f t="shared" si="77"/>
        <v>0</v>
      </c>
      <c r="J848" s="110"/>
      <c r="K848" s="110"/>
    </row>
    <row r="849" spans="1:11" ht="15" customHeight="1" x14ac:dyDescent="0.25">
      <c r="A849" s="108" t="s">
        <v>135</v>
      </c>
      <c r="B849" s="108" t="s">
        <v>954</v>
      </c>
      <c r="C849" s="111" t="s">
        <v>828</v>
      </c>
      <c r="D849" s="59" t="s">
        <v>8</v>
      </c>
      <c r="E849" s="8">
        <f t="shared" si="75"/>
        <v>260043.50607999999</v>
      </c>
      <c r="F849" s="8">
        <f>SUM(F850:F854)</f>
        <v>260043.50607999999</v>
      </c>
      <c r="G849" s="8">
        <f>SUM(G850:G854)</f>
        <v>0</v>
      </c>
      <c r="H849" s="8">
        <f>SUM(H850:H854)</f>
        <v>0</v>
      </c>
      <c r="I849" s="8">
        <f>SUM(I850:I854)</f>
        <v>0</v>
      </c>
      <c r="J849" s="108" t="s">
        <v>607</v>
      </c>
      <c r="K849" s="108" t="s">
        <v>484</v>
      </c>
    </row>
    <row r="850" spans="1:11" x14ac:dyDescent="0.25">
      <c r="A850" s="109"/>
      <c r="B850" s="109"/>
      <c r="C850" s="112"/>
      <c r="D850" s="59">
        <v>2021</v>
      </c>
      <c r="E850" s="8">
        <f t="shared" si="75"/>
        <v>40456.699999999997</v>
      </c>
      <c r="F850" s="8">
        <v>40456.699999999997</v>
      </c>
      <c r="G850" s="8">
        <v>0</v>
      </c>
      <c r="H850" s="8">
        <v>0</v>
      </c>
      <c r="I850" s="8">
        <v>0</v>
      </c>
      <c r="J850" s="109"/>
      <c r="K850" s="109"/>
    </row>
    <row r="851" spans="1:11" x14ac:dyDescent="0.25">
      <c r="A851" s="109"/>
      <c r="B851" s="109"/>
      <c r="C851" s="112"/>
      <c r="D851" s="59">
        <v>2022</v>
      </c>
      <c r="E851" s="8">
        <f t="shared" si="75"/>
        <v>50867.625999999997</v>
      </c>
      <c r="F851" s="8">
        <v>50867.625999999997</v>
      </c>
      <c r="G851" s="8">
        <v>0</v>
      </c>
      <c r="H851" s="8">
        <v>0</v>
      </c>
      <c r="I851" s="8">
        <v>0</v>
      </c>
      <c r="J851" s="109"/>
      <c r="K851" s="109"/>
    </row>
    <row r="852" spans="1:11" x14ac:dyDescent="0.25">
      <c r="A852" s="109"/>
      <c r="B852" s="109"/>
      <c r="C852" s="112"/>
      <c r="D852" s="59">
        <v>2023</v>
      </c>
      <c r="E852" s="8">
        <f t="shared" si="75"/>
        <v>54796.042999999998</v>
      </c>
      <c r="F852" s="8">
        <f>54125.195+670.848</f>
        <v>54796.042999999998</v>
      </c>
      <c r="G852" s="8">
        <v>0</v>
      </c>
      <c r="H852" s="8">
        <v>0</v>
      </c>
      <c r="I852" s="8">
        <v>0</v>
      </c>
      <c r="J852" s="109"/>
      <c r="K852" s="109"/>
    </row>
    <row r="853" spans="1:11" x14ac:dyDescent="0.25">
      <c r="A853" s="109"/>
      <c r="B853" s="109"/>
      <c r="C853" s="112"/>
      <c r="D853" s="59">
        <v>2024</v>
      </c>
      <c r="E853" s="8">
        <f t="shared" si="75"/>
        <v>56948.595869999997</v>
      </c>
      <c r="F853" s="32">
        <v>56948.595869999997</v>
      </c>
      <c r="G853" s="8">
        <v>0</v>
      </c>
      <c r="H853" s="8">
        <v>0</v>
      </c>
      <c r="I853" s="8">
        <v>0</v>
      </c>
      <c r="J853" s="109"/>
      <c r="K853" s="109"/>
    </row>
    <row r="854" spans="1:11" x14ac:dyDescent="0.25">
      <c r="A854" s="109"/>
      <c r="B854" s="109"/>
      <c r="C854" s="112"/>
      <c r="D854" s="59">
        <v>2025</v>
      </c>
      <c r="E854" s="8">
        <f t="shared" si="75"/>
        <v>56974.541210000003</v>
      </c>
      <c r="F854" s="32">
        <v>56974.541210000003</v>
      </c>
      <c r="G854" s="8">
        <v>0</v>
      </c>
      <c r="H854" s="8">
        <v>0</v>
      </c>
      <c r="I854" s="8">
        <v>0</v>
      </c>
      <c r="J854" s="109"/>
      <c r="K854" s="109"/>
    </row>
    <row r="855" spans="1:11" x14ac:dyDescent="0.25">
      <c r="A855" s="110"/>
      <c r="B855" s="110"/>
      <c r="C855" s="113"/>
      <c r="D855" s="40">
        <v>2026</v>
      </c>
      <c r="E855" s="41"/>
      <c r="F855" s="41"/>
      <c r="G855" s="41"/>
      <c r="H855" s="41"/>
      <c r="I855" s="41"/>
      <c r="J855" s="110"/>
      <c r="K855" s="110"/>
    </row>
    <row r="857" spans="1:11" x14ac:dyDescent="0.25">
      <c r="A857" s="17" t="s">
        <v>1745</v>
      </c>
    </row>
  </sheetData>
  <autoFilter ref="A4:L854"/>
  <mergeCells count="697">
    <mergeCell ref="A1:K2"/>
    <mergeCell ref="A3:A4"/>
    <mergeCell ref="B3:B4"/>
    <mergeCell ref="C3:C4"/>
    <mergeCell ref="D3:I3"/>
    <mergeCell ref="J3:J4"/>
    <mergeCell ref="K3:K4"/>
    <mergeCell ref="A5:A11"/>
    <mergeCell ref="B5:B11"/>
    <mergeCell ref="C5:C11"/>
    <mergeCell ref="J5:J11"/>
    <mergeCell ref="K5:K11"/>
    <mergeCell ref="A12:A18"/>
    <mergeCell ref="B12:B18"/>
    <mergeCell ref="C12:C18"/>
    <mergeCell ref="J12:J18"/>
    <mergeCell ref="K12:K18"/>
    <mergeCell ref="L26:L31"/>
    <mergeCell ref="A33:A38"/>
    <mergeCell ref="B33:B38"/>
    <mergeCell ref="C33:C38"/>
    <mergeCell ref="J33:J38"/>
    <mergeCell ref="K33:K38"/>
    <mergeCell ref="L33:L38"/>
    <mergeCell ref="A19:A25"/>
    <mergeCell ref="B19:B25"/>
    <mergeCell ref="C19:C25"/>
    <mergeCell ref="J19:J25"/>
    <mergeCell ref="K19:K25"/>
    <mergeCell ref="A26:A32"/>
    <mergeCell ref="B26:B32"/>
    <mergeCell ref="C26:C32"/>
    <mergeCell ref="J26:J32"/>
    <mergeCell ref="K26:K32"/>
    <mergeCell ref="L45:L50"/>
    <mergeCell ref="A51:A56"/>
    <mergeCell ref="B51:B56"/>
    <mergeCell ref="C51:C56"/>
    <mergeCell ref="J51:J56"/>
    <mergeCell ref="K51:K56"/>
    <mergeCell ref="L51:L56"/>
    <mergeCell ref="A39:A44"/>
    <mergeCell ref="B39:B44"/>
    <mergeCell ref="C39:C44"/>
    <mergeCell ref="J39:J44"/>
    <mergeCell ref="K39:K44"/>
    <mergeCell ref="A45:A50"/>
    <mergeCell ref="B45:B50"/>
    <mergeCell ref="C45:C50"/>
    <mergeCell ref="J45:J50"/>
    <mergeCell ref="K45:K50"/>
    <mergeCell ref="A57:A63"/>
    <mergeCell ref="B57:B63"/>
    <mergeCell ref="C57:C63"/>
    <mergeCell ref="J57:J63"/>
    <mergeCell ref="K57:K63"/>
    <mergeCell ref="A64:A70"/>
    <mergeCell ref="B64:B70"/>
    <mergeCell ref="C64:C70"/>
    <mergeCell ref="J64:J70"/>
    <mergeCell ref="K64:K70"/>
    <mergeCell ref="A71:A76"/>
    <mergeCell ref="B71:B76"/>
    <mergeCell ref="C71:C76"/>
    <mergeCell ref="J71:J76"/>
    <mergeCell ref="K71:K76"/>
    <mergeCell ref="A77:A83"/>
    <mergeCell ref="B77:B83"/>
    <mergeCell ref="C77:C83"/>
    <mergeCell ref="J77:J83"/>
    <mergeCell ref="K77:K83"/>
    <mergeCell ref="A84:A90"/>
    <mergeCell ref="B84:B90"/>
    <mergeCell ref="C84:C90"/>
    <mergeCell ref="J84:J90"/>
    <mergeCell ref="K84:K90"/>
    <mergeCell ref="A91:A97"/>
    <mergeCell ref="B91:B97"/>
    <mergeCell ref="C91:C97"/>
    <mergeCell ref="J91:J97"/>
    <mergeCell ref="K91:K97"/>
    <mergeCell ref="A98:A104"/>
    <mergeCell ref="B98:B104"/>
    <mergeCell ref="C98:C104"/>
    <mergeCell ref="J98:J104"/>
    <mergeCell ref="K98:K104"/>
    <mergeCell ref="A105:A110"/>
    <mergeCell ref="B105:B110"/>
    <mergeCell ref="C105:C110"/>
    <mergeCell ref="J105:J110"/>
    <mergeCell ref="K105:K110"/>
    <mergeCell ref="A111:A116"/>
    <mergeCell ref="B111:B116"/>
    <mergeCell ref="C111:C116"/>
    <mergeCell ref="J111:J116"/>
    <mergeCell ref="K111:K116"/>
    <mergeCell ref="A117:A123"/>
    <mergeCell ref="B117:B123"/>
    <mergeCell ref="C117:C123"/>
    <mergeCell ref="J117:J123"/>
    <mergeCell ref="K117:K123"/>
    <mergeCell ref="A124:A129"/>
    <mergeCell ref="B124:B129"/>
    <mergeCell ref="C124:C129"/>
    <mergeCell ref="J124:J129"/>
    <mergeCell ref="K124:K129"/>
    <mergeCell ref="A130:A135"/>
    <mergeCell ref="B130:B135"/>
    <mergeCell ref="C130:C135"/>
    <mergeCell ref="J130:J135"/>
    <mergeCell ref="K130:K135"/>
    <mergeCell ref="A136:A142"/>
    <mergeCell ref="B136:B142"/>
    <mergeCell ref="C136:C142"/>
    <mergeCell ref="J136:J142"/>
    <mergeCell ref="K136:K142"/>
    <mergeCell ref="A143:A149"/>
    <mergeCell ref="B143:B149"/>
    <mergeCell ref="C143:C149"/>
    <mergeCell ref="J143:J149"/>
    <mergeCell ref="K143:K149"/>
    <mergeCell ref="A150:A156"/>
    <mergeCell ref="B150:B156"/>
    <mergeCell ref="C150:C156"/>
    <mergeCell ref="J150:J156"/>
    <mergeCell ref="K150:K156"/>
    <mergeCell ref="A157:A162"/>
    <mergeCell ref="B157:B162"/>
    <mergeCell ref="C157:C162"/>
    <mergeCell ref="J157:J162"/>
    <mergeCell ref="K157:K162"/>
    <mergeCell ref="A176:A182"/>
    <mergeCell ref="B176:B182"/>
    <mergeCell ref="C176:C182"/>
    <mergeCell ref="J176:J182"/>
    <mergeCell ref="K176:K182"/>
    <mergeCell ref="L176:L181"/>
    <mergeCell ref="A163:A169"/>
    <mergeCell ref="B163:B169"/>
    <mergeCell ref="C163:C169"/>
    <mergeCell ref="J163:J169"/>
    <mergeCell ref="K163:K169"/>
    <mergeCell ref="A170:A175"/>
    <mergeCell ref="B170:B175"/>
    <mergeCell ref="C170:C175"/>
    <mergeCell ref="J170:J175"/>
    <mergeCell ref="K170:K175"/>
    <mergeCell ref="A183:A189"/>
    <mergeCell ref="B183:B189"/>
    <mergeCell ref="C183:C189"/>
    <mergeCell ref="J183:J189"/>
    <mergeCell ref="K183:K189"/>
    <mergeCell ref="A190:A195"/>
    <mergeCell ref="B190:B195"/>
    <mergeCell ref="C190:C195"/>
    <mergeCell ref="J190:J195"/>
    <mergeCell ref="K190:K195"/>
    <mergeCell ref="L203:L208"/>
    <mergeCell ref="A210:A216"/>
    <mergeCell ref="B210:B216"/>
    <mergeCell ref="C210:C216"/>
    <mergeCell ref="J210:J216"/>
    <mergeCell ref="K210:K216"/>
    <mergeCell ref="L210:L215"/>
    <mergeCell ref="A196:A202"/>
    <mergeCell ref="B196:B202"/>
    <mergeCell ref="C196:C202"/>
    <mergeCell ref="J196:J202"/>
    <mergeCell ref="K196:K202"/>
    <mergeCell ref="A203:A209"/>
    <mergeCell ref="B203:B209"/>
    <mergeCell ref="C203:C209"/>
    <mergeCell ref="J203:J209"/>
    <mergeCell ref="K203:K209"/>
    <mergeCell ref="A217:A223"/>
    <mergeCell ref="B217:B223"/>
    <mergeCell ref="C217:C223"/>
    <mergeCell ref="J217:J223"/>
    <mergeCell ref="K217:K223"/>
    <mergeCell ref="A224:A230"/>
    <mergeCell ref="B224:B230"/>
    <mergeCell ref="C224:C230"/>
    <mergeCell ref="J224:J230"/>
    <mergeCell ref="K224:K230"/>
    <mergeCell ref="A231:A237"/>
    <mergeCell ref="B231:B237"/>
    <mergeCell ref="C231:C237"/>
    <mergeCell ref="J231:J237"/>
    <mergeCell ref="K231:K237"/>
    <mergeCell ref="A238:A244"/>
    <mergeCell ref="B238:B244"/>
    <mergeCell ref="C238:C244"/>
    <mergeCell ref="J238:J244"/>
    <mergeCell ref="K238: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81:A286"/>
    <mergeCell ref="B281:B286"/>
    <mergeCell ref="C281:C286"/>
    <mergeCell ref="J281:J286"/>
    <mergeCell ref="K281:K286"/>
    <mergeCell ref="A287:A292"/>
    <mergeCell ref="B287:B292"/>
    <mergeCell ref="C287:C292"/>
    <mergeCell ref="J287:J292"/>
    <mergeCell ref="K287:K292"/>
    <mergeCell ref="A293:A298"/>
    <mergeCell ref="B293:B298"/>
    <mergeCell ref="C293:C298"/>
    <mergeCell ref="J293:J298"/>
    <mergeCell ref="K293:K298"/>
    <mergeCell ref="A299:A305"/>
    <mergeCell ref="B299:B305"/>
    <mergeCell ref="C299:C305"/>
    <mergeCell ref="J299:J305"/>
    <mergeCell ref="K299:K305"/>
    <mergeCell ref="A306:A311"/>
    <mergeCell ref="B306:B311"/>
    <mergeCell ref="C306:C311"/>
    <mergeCell ref="J306:J311"/>
    <mergeCell ref="K306:K311"/>
    <mergeCell ref="A312:A317"/>
    <mergeCell ref="B312:B317"/>
    <mergeCell ref="C312:C317"/>
    <mergeCell ref="J312:J317"/>
    <mergeCell ref="K312:K317"/>
    <mergeCell ref="A318:A323"/>
    <mergeCell ref="B318:B323"/>
    <mergeCell ref="C318:C323"/>
    <mergeCell ref="J318:J323"/>
    <mergeCell ref="K318:K323"/>
    <mergeCell ref="A324:A329"/>
    <mergeCell ref="B324:B329"/>
    <mergeCell ref="C324:C329"/>
    <mergeCell ref="J324:J329"/>
    <mergeCell ref="K324:K329"/>
    <mergeCell ref="A330:A335"/>
    <mergeCell ref="B330:B335"/>
    <mergeCell ref="C330:C335"/>
    <mergeCell ref="J330:J335"/>
    <mergeCell ref="K330:K335"/>
    <mergeCell ref="A336:A342"/>
    <mergeCell ref="B336:B342"/>
    <mergeCell ref="C336:C342"/>
    <mergeCell ref="J336:J342"/>
    <mergeCell ref="K336:K342"/>
    <mergeCell ref="A343:A348"/>
    <mergeCell ref="B343:B348"/>
    <mergeCell ref="C343:C348"/>
    <mergeCell ref="J343:J348"/>
    <mergeCell ref="K343:K348"/>
    <mergeCell ref="A349:A355"/>
    <mergeCell ref="B349:B355"/>
    <mergeCell ref="C349:C355"/>
    <mergeCell ref="J349:J355"/>
    <mergeCell ref="K349:K355"/>
    <mergeCell ref="A356:A362"/>
    <mergeCell ref="B356:B362"/>
    <mergeCell ref="C356:C362"/>
    <mergeCell ref="J356:J362"/>
    <mergeCell ref="K356:K362"/>
    <mergeCell ref="A363:A369"/>
    <mergeCell ref="B363:B369"/>
    <mergeCell ref="C363:C369"/>
    <mergeCell ref="J363:J369"/>
    <mergeCell ref="K363:K369"/>
    <mergeCell ref="A370:A375"/>
    <mergeCell ref="B370:B375"/>
    <mergeCell ref="C370:C375"/>
    <mergeCell ref="J370:J375"/>
    <mergeCell ref="K370:K375"/>
    <mergeCell ref="A376:A381"/>
    <mergeCell ref="B376:B381"/>
    <mergeCell ref="C376:C381"/>
    <mergeCell ref="J376:J381"/>
    <mergeCell ref="K376:K381"/>
    <mergeCell ref="A382:A387"/>
    <mergeCell ref="B382:B387"/>
    <mergeCell ref="C382:C387"/>
    <mergeCell ref="J382:J387"/>
    <mergeCell ref="K382:K387"/>
    <mergeCell ref="A388:A394"/>
    <mergeCell ref="B388:B394"/>
    <mergeCell ref="C388:C394"/>
    <mergeCell ref="J388:J394"/>
    <mergeCell ref="K388:K394"/>
    <mergeCell ref="A395:A400"/>
    <mergeCell ref="B395:B400"/>
    <mergeCell ref="C395:C400"/>
    <mergeCell ref="J395:J400"/>
    <mergeCell ref="K395:K400"/>
    <mergeCell ref="A401:A406"/>
    <mergeCell ref="B401:B406"/>
    <mergeCell ref="C401:C406"/>
    <mergeCell ref="J401:J406"/>
    <mergeCell ref="K401:K406"/>
    <mergeCell ref="A407:A412"/>
    <mergeCell ref="B407:B412"/>
    <mergeCell ref="C407:C412"/>
    <mergeCell ref="J407:J412"/>
    <mergeCell ref="K407:K412"/>
    <mergeCell ref="A413:A418"/>
    <mergeCell ref="B413:B418"/>
    <mergeCell ref="C413:C418"/>
    <mergeCell ref="J413:J418"/>
    <mergeCell ref="K413:K41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A443:A448"/>
    <mergeCell ref="B443:B448"/>
    <mergeCell ref="C443:C448"/>
    <mergeCell ref="J443:J448"/>
    <mergeCell ref="K443:K448"/>
    <mergeCell ref="L443:L448"/>
    <mergeCell ref="A437:A442"/>
    <mergeCell ref="B437:B442"/>
    <mergeCell ref="C437:C442"/>
    <mergeCell ref="J437:J442"/>
    <mergeCell ref="K437:K442"/>
    <mergeCell ref="L437:L442"/>
    <mergeCell ref="A449:A454"/>
    <mergeCell ref="B449:B454"/>
    <mergeCell ref="C449:C454"/>
    <mergeCell ref="J449:J454"/>
    <mergeCell ref="K449:K454"/>
    <mergeCell ref="A455:A460"/>
    <mergeCell ref="B455:B460"/>
    <mergeCell ref="C455:C460"/>
    <mergeCell ref="J455:J460"/>
    <mergeCell ref="K455:K460"/>
    <mergeCell ref="A473:A478"/>
    <mergeCell ref="B473:B478"/>
    <mergeCell ref="C473:C478"/>
    <mergeCell ref="J473:J478"/>
    <mergeCell ref="K473:K478"/>
    <mergeCell ref="L473:L478"/>
    <mergeCell ref="A461:A466"/>
    <mergeCell ref="B461:B466"/>
    <mergeCell ref="C461:C466"/>
    <mergeCell ref="J461:J466"/>
    <mergeCell ref="K461:K466"/>
    <mergeCell ref="A467:A472"/>
    <mergeCell ref="B467:B472"/>
    <mergeCell ref="C467:C472"/>
    <mergeCell ref="J467:J472"/>
    <mergeCell ref="K467:K472"/>
    <mergeCell ref="L485:L490"/>
    <mergeCell ref="A491:A496"/>
    <mergeCell ref="B491:B496"/>
    <mergeCell ref="C491:C496"/>
    <mergeCell ref="J491:J496"/>
    <mergeCell ref="K491:K496"/>
    <mergeCell ref="A479:A484"/>
    <mergeCell ref="B479:B484"/>
    <mergeCell ref="C479:C484"/>
    <mergeCell ref="J479:J484"/>
    <mergeCell ref="K479:K484"/>
    <mergeCell ref="A485:A490"/>
    <mergeCell ref="B485:B490"/>
    <mergeCell ref="C485:C490"/>
    <mergeCell ref="J485:J490"/>
    <mergeCell ref="K485:K490"/>
    <mergeCell ref="L503:L505"/>
    <mergeCell ref="A509:A514"/>
    <mergeCell ref="B509:B514"/>
    <mergeCell ref="C509:C514"/>
    <mergeCell ref="J509:J514"/>
    <mergeCell ref="K509:K514"/>
    <mergeCell ref="A497:A502"/>
    <mergeCell ref="B497:B502"/>
    <mergeCell ref="C497:C502"/>
    <mergeCell ref="J497:J502"/>
    <mergeCell ref="K497:K502"/>
    <mergeCell ref="A503:A508"/>
    <mergeCell ref="B503:B508"/>
    <mergeCell ref="C503:C508"/>
    <mergeCell ref="J503:J508"/>
    <mergeCell ref="K503:K508"/>
    <mergeCell ref="A515:A520"/>
    <mergeCell ref="B515:B520"/>
    <mergeCell ref="C515:C520"/>
    <mergeCell ref="J515:J520"/>
    <mergeCell ref="K515:K520"/>
    <mergeCell ref="A521:A526"/>
    <mergeCell ref="B521:B526"/>
    <mergeCell ref="C521:C526"/>
    <mergeCell ref="J521:J526"/>
    <mergeCell ref="K521:K526"/>
    <mergeCell ref="A527:A533"/>
    <mergeCell ref="B527:B533"/>
    <mergeCell ref="C527:C533"/>
    <mergeCell ref="J527:J533"/>
    <mergeCell ref="K527:K533"/>
    <mergeCell ref="A534:A539"/>
    <mergeCell ref="B534:B539"/>
    <mergeCell ref="C534:C539"/>
    <mergeCell ref="J534:J539"/>
    <mergeCell ref="K534:K539"/>
    <mergeCell ref="A540:A546"/>
    <mergeCell ref="B540:B546"/>
    <mergeCell ref="C540:C546"/>
    <mergeCell ref="J540:J546"/>
    <mergeCell ref="K540:K546"/>
    <mergeCell ref="A547:A552"/>
    <mergeCell ref="B547:B552"/>
    <mergeCell ref="C547:C552"/>
    <mergeCell ref="J547:J552"/>
    <mergeCell ref="K547:K552"/>
    <mergeCell ref="A553:A558"/>
    <mergeCell ref="B553:B558"/>
    <mergeCell ref="C553:C558"/>
    <mergeCell ref="J553:J558"/>
    <mergeCell ref="K553:K558"/>
    <mergeCell ref="A559:A564"/>
    <mergeCell ref="B559:B564"/>
    <mergeCell ref="C559:C564"/>
    <mergeCell ref="J559:J564"/>
    <mergeCell ref="K559:K564"/>
    <mergeCell ref="A565:A570"/>
    <mergeCell ref="B565:B570"/>
    <mergeCell ref="C565:C570"/>
    <mergeCell ref="J565:J570"/>
    <mergeCell ref="K565:K570"/>
    <mergeCell ref="A571:A576"/>
    <mergeCell ref="B571:B576"/>
    <mergeCell ref="C571:C576"/>
    <mergeCell ref="J571:J576"/>
    <mergeCell ref="K571:K576"/>
    <mergeCell ref="A577:A582"/>
    <mergeCell ref="B577:B582"/>
    <mergeCell ref="C577:C582"/>
    <mergeCell ref="J577:J582"/>
    <mergeCell ref="K577:K582"/>
    <mergeCell ref="A583:A588"/>
    <mergeCell ref="B583:B588"/>
    <mergeCell ref="C583:C588"/>
    <mergeCell ref="J583:J588"/>
    <mergeCell ref="K583:K588"/>
    <mergeCell ref="A589:A594"/>
    <mergeCell ref="B589:B594"/>
    <mergeCell ref="C589:C594"/>
    <mergeCell ref="J589:J594"/>
    <mergeCell ref="K589:K594"/>
    <mergeCell ref="A595:A600"/>
    <mergeCell ref="B595:B600"/>
    <mergeCell ref="C595:C600"/>
    <mergeCell ref="J595:J600"/>
    <mergeCell ref="K595:K600"/>
    <mergeCell ref="A601:A606"/>
    <mergeCell ref="B601:B606"/>
    <mergeCell ref="C601:C606"/>
    <mergeCell ref="J601:J606"/>
    <mergeCell ref="K601:K606"/>
    <mergeCell ref="A607:A612"/>
    <mergeCell ref="B607:B612"/>
    <mergeCell ref="C607:C612"/>
    <mergeCell ref="J607:J612"/>
    <mergeCell ref="K607:K612"/>
    <mergeCell ref="A613:A618"/>
    <mergeCell ref="B613:B618"/>
    <mergeCell ref="C613:C618"/>
    <mergeCell ref="J613:J618"/>
    <mergeCell ref="K613:K618"/>
    <mergeCell ref="A619:A624"/>
    <mergeCell ref="B619:B624"/>
    <mergeCell ref="C619:C624"/>
    <mergeCell ref="J619:J624"/>
    <mergeCell ref="K619:K624"/>
    <mergeCell ref="A625:A630"/>
    <mergeCell ref="B625:B630"/>
    <mergeCell ref="C625:C630"/>
    <mergeCell ref="J625:J630"/>
    <mergeCell ref="K625:K630"/>
    <mergeCell ref="A631:A636"/>
    <mergeCell ref="B631:B636"/>
    <mergeCell ref="C631:C636"/>
    <mergeCell ref="J631:J636"/>
    <mergeCell ref="K631:K636"/>
    <mergeCell ref="A637:A642"/>
    <mergeCell ref="B637:B642"/>
    <mergeCell ref="C637:C642"/>
    <mergeCell ref="J637:J642"/>
    <mergeCell ref="K637:K642"/>
    <mergeCell ref="A643:A648"/>
    <mergeCell ref="B643:B648"/>
    <mergeCell ref="C643:C648"/>
    <mergeCell ref="J643:J648"/>
    <mergeCell ref="K643:K648"/>
    <mergeCell ref="A649:A654"/>
    <mergeCell ref="B649:B654"/>
    <mergeCell ref="C649:C654"/>
    <mergeCell ref="J649:J654"/>
    <mergeCell ref="K649:K654"/>
    <mergeCell ref="A655:A660"/>
    <mergeCell ref="B655:B660"/>
    <mergeCell ref="C655:C660"/>
    <mergeCell ref="J655:J660"/>
    <mergeCell ref="K655:K660"/>
    <mergeCell ref="A661:A666"/>
    <mergeCell ref="B661:B666"/>
    <mergeCell ref="C661:C666"/>
    <mergeCell ref="J661:J666"/>
    <mergeCell ref="K661:K666"/>
    <mergeCell ref="A667:A672"/>
    <mergeCell ref="B667:B672"/>
    <mergeCell ref="C667:C672"/>
    <mergeCell ref="J667:J672"/>
    <mergeCell ref="K667:K672"/>
    <mergeCell ref="A673:A678"/>
    <mergeCell ref="B673:B678"/>
    <mergeCell ref="C673:C678"/>
    <mergeCell ref="J673:J678"/>
    <mergeCell ref="K673:K678"/>
    <mergeCell ref="A679:A684"/>
    <mergeCell ref="B679:B684"/>
    <mergeCell ref="C679:C684"/>
    <mergeCell ref="J679:J684"/>
    <mergeCell ref="K679:K684"/>
    <mergeCell ref="A685:A690"/>
    <mergeCell ref="B685:B690"/>
    <mergeCell ref="C685:C690"/>
    <mergeCell ref="J685:J690"/>
    <mergeCell ref="K685:K690"/>
    <mergeCell ref="A691:A696"/>
    <mergeCell ref="B691:B696"/>
    <mergeCell ref="C691:C696"/>
    <mergeCell ref="J691:J696"/>
    <mergeCell ref="K691:K696"/>
    <mergeCell ref="A697:A702"/>
    <mergeCell ref="B697:B702"/>
    <mergeCell ref="C697:C702"/>
    <mergeCell ref="J697:J702"/>
    <mergeCell ref="K697:K702"/>
    <mergeCell ref="A703:A708"/>
    <mergeCell ref="B703:B708"/>
    <mergeCell ref="C703:C708"/>
    <mergeCell ref="J703:J708"/>
    <mergeCell ref="K703:K708"/>
    <mergeCell ref="A709:A714"/>
    <mergeCell ref="B709:B714"/>
    <mergeCell ref="C709:C714"/>
    <mergeCell ref="J709:J714"/>
    <mergeCell ref="K709:K714"/>
    <mergeCell ref="A715:A720"/>
    <mergeCell ref="B715:B720"/>
    <mergeCell ref="C715:C720"/>
    <mergeCell ref="J715:J720"/>
    <mergeCell ref="K715:K720"/>
    <mergeCell ref="A721:A726"/>
    <mergeCell ref="B721:B726"/>
    <mergeCell ref="C721:C726"/>
    <mergeCell ref="J721:J726"/>
    <mergeCell ref="K721:K726"/>
    <mergeCell ref="A727:A732"/>
    <mergeCell ref="B727:B732"/>
    <mergeCell ref="C727:C732"/>
    <mergeCell ref="J727:J732"/>
    <mergeCell ref="K727:K732"/>
    <mergeCell ref="A733:A739"/>
    <mergeCell ref="B733:B739"/>
    <mergeCell ref="C733:C739"/>
    <mergeCell ref="J733:J739"/>
    <mergeCell ref="K733:K739"/>
    <mergeCell ref="A740:A746"/>
    <mergeCell ref="B740:B746"/>
    <mergeCell ref="C740:C746"/>
    <mergeCell ref="J740:J746"/>
    <mergeCell ref="K740:K746"/>
    <mergeCell ref="A747:A753"/>
    <mergeCell ref="B747:B753"/>
    <mergeCell ref="C747:C753"/>
    <mergeCell ref="J747:J753"/>
    <mergeCell ref="K747:K753"/>
    <mergeCell ref="A754:A760"/>
    <mergeCell ref="B754:B760"/>
    <mergeCell ref="C754:C760"/>
    <mergeCell ref="J754:J760"/>
    <mergeCell ref="K754:K760"/>
    <mergeCell ref="A761:A766"/>
    <mergeCell ref="B761:B766"/>
    <mergeCell ref="C761:C766"/>
    <mergeCell ref="J761:J766"/>
    <mergeCell ref="K761:K766"/>
    <mergeCell ref="A767:A772"/>
    <mergeCell ref="B767:B772"/>
    <mergeCell ref="C767:C772"/>
    <mergeCell ref="J767:J772"/>
    <mergeCell ref="K767:K772"/>
    <mergeCell ref="A773:A778"/>
    <mergeCell ref="B773:B778"/>
    <mergeCell ref="C773:C778"/>
    <mergeCell ref="J773:J778"/>
    <mergeCell ref="K773:K778"/>
    <mergeCell ref="A779:A784"/>
    <mergeCell ref="B779:B784"/>
    <mergeCell ref="C779:C784"/>
    <mergeCell ref="J779:J784"/>
    <mergeCell ref="K779:K784"/>
    <mergeCell ref="A785:A790"/>
    <mergeCell ref="B785:B790"/>
    <mergeCell ref="C785:C790"/>
    <mergeCell ref="J785:J790"/>
    <mergeCell ref="K785:K790"/>
    <mergeCell ref="A791:A796"/>
    <mergeCell ref="B791:B796"/>
    <mergeCell ref="C791:C796"/>
    <mergeCell ref="J791:J796"/>
    <mergeCell ref="K791:K796"/>
    <mergeCell ref="A797:A802"/>
    <mergeCell ref="B797:B802"/>
    <mergeCell ref="C797:C802"/>
    <mergeCell ref="J797:J802"/>
    <mergeCell ref="K797:K802"/>
    <mergeCell ref="A803:A809"/>
    <mergeCell ref="B803:B809"/>
    <mergeCell ref="C803:C809"/>
    <mergeCell ref="J803:J808"/>
    <mergeCell ref="K803:K808"/>
    <mergeCell ref="A817:A822"/>
    <mergeCell ref="B817:B822"/>
    <mergeCell ref="C817:C822"/>
    <mergeCell ref="J817:J822"/>
    <mergeCell ref="K817:K822"/>
    <mergeCell ref="L817:L822"/>
    <mergeCell ref="A810:A816"/>
    <mergeCell ref="B810:B816"/>
    <mergeCell ref="C810:C816"/>
    <mergeCell ref="J810:J815"/>
    <mergeCell ref="K810:K815"/>
    <mergeCell ref="L810:L815"/>
    <mergeCell ref="A823:A828"/>
    <mergeCell ref="B823:B828"/>
    <mergeCell ref="C823:C828"/>
    <mergeCell ref="J823:J828"/>
    <mergeCell ref="K823:K828"/>
    <mergeCell ref="A829:A834"/>
    <mergeCell ref="B829:B834"/>
    <mergeCell ref="C829:C834"/>
    <mergeCell ref="J829:J834"/>
    <mergeCell ref="K829:K834"/>
    <mergeCell ref="A849:A855"/>
    <mergeCell ref="B849:B855"/>
    <mergeCell ref="C849:C855"/>
    <mergeCell ref="J849:J855"/>
    <mergeCell ref="K849:K855"/>
    <mergeCell ref="A835:A841"/>
    <mergeCell ref="B835:B841"/>
    <mergeCell ref="C835:C841"/>
    <mergeCell ref="J835:J841"/>
    <mergeCell ref="K835:K841"/>
    <mergeCell ref="A842:A848"/>
    <mergeCell ref="B842:B848"/>
    <mergeCell ref="C842:C848"/>
    <mergeCell ref="J842:J848"/>
    <mergeCell ref="K842:K848"/>
  </mergeCells>
  <pageMargins left="0.11811023622047245" right="0.11811023622047245" top="0.15748031496062992" bottom="0.15748031496062992" header="0.11811023622047245" footer="0.11811023622047245"/>
  <pageSetup paperSize="9" scale="68" firstPageNumber="4294967295" fitToHeight="0" orientation="landscape" r:id="rId1"/>
  <headerFooter>
    <oddFooter>&amp;C&amp;P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80"/>
  <sheetViews>
    <sheetView zoomScaleNormal="100" workbookViewId="0">
      <pane xSplit="3" ySplit="4" topLeftCell="D344" activePane="bottomRight" state="frozen"/>
      <selection activeCell="J305" sqref="J305:J310"/>
      <selection pane="topRight"/>
      <selection pane="bottomLeft"/>
      <selection pane="bottomRight" activeCell="K780" sqref="K780"/>
    </sheetView>
  </sheetViews>
  <sheetFormatPr defaultRowHeight="15" outlineLevelRow="1" x14ac:dyDescent="0.25"/>
  <cols>
    <col min="1" max="1" width="6.28515625" style="17" customWidth="1"/>
    <col min="2" max="2" width="36.42578125" style="16" customWidth="1"/>
    <col min="3" max="4" width="8.85546875" style="9" customWidth="1"/>
    <col min="5" max="5" width="17.140625" style="9" customWidth="1"/>
    <col min="6" max="6" width="18" style="9" customWidth="1"/>
    <col min="7" max="7" width="15" style="9" customWidth="1"/>
    <col min="8" max="8" width="11.7109375" style="9" customWidth="1"/>
    <col min="9" max="9" width="15.5703125" style="9" customWidth="1"/>
    <col min="10" max="10" width="43.42578125" style="9" customWidth="1"/>
    <col min="11" max="11" width="32.7109375" style="9" customWidth="1"/>
    <col min="12" max="12" width="0.140625" style="35" hidden="1" customWidth="1"/>
    <col min="13" max="13" width="12.85546875" style="35" customWidth="1"/>
    <col min="14" max="14" width="39.85546875" style="35" customWidth="1"/>
    <col min="15" max="15" width="12.5703125" style="35" customWidth="1"/>
    <col min="16" max="16" width="13.5703125" style="35" customWidth="1"/>
    <col min="17" max="16384" width="9.140625" style="35"/>
  </cols>
  <sheetData>
    <row r="1" spans="1:15" ht="15.75" customHeight="1" x14ac:dyDescent="0.25">
      <c r="A1" s="157" t="s">
        <v>0</v>
      </c>
      <c r="B1" s="157"/>
      <c r="C1" s="157"/>
      <c r="D1" s="157"/>
      <c r="E1" s="157"/>
      <c r="F1" s="157"/>
      <c r="G1" s="157"/>
      <c r="H1" s="157"/>
      <c r="I1" s="157"/>
      <c r="J1" s="157"/>
      <c r="K1" s="157"/>
    </row>
    <row r="2" spans="1:15" x14ac:dyDescent="0.25">
      <c r="A2" s="158"/>
      <c r="B2" s="158"/>
      <c r="C2" s="158"/>
      <c r="D2" s="158"/>
      <c r="E2" s="158"/>
      <c r="F2" s="158"/>
      <c r="G2" s="158"/>
      <c r="H2" s="158"/>
      <c r="I2" s="158"/>
      <c r="J2" s="158"/>
      <c r="K2" s="158"/>
    </row>
    <row r="3" spans="1:15" ht="39.75" customHeight="1" x14ac:dyDescent="0.25">
      <c r="A3" s="117" t="s">
        <v>1</v>
      </c>
      <c r="B3" s="118" t="s">
        <v>2</v>
      </c>
      <c r="C3" s="119" t="s">
        <v>3</v>
      </c>
      <c r="D3" s="159" t="s">
        <v>4</v>
      </c>
      <c r="E3" s="159"/>
      <c r="F3" s="159"/>
      <c r="G3" s="159"/>
      <c r="H3" s="159"/>
      <c r="I3" s="159"/>
      <c r="J3" s="119" t="s">
        <v>5</v>
      </c>
      <c r="K3" s="119" t="s">
        <v>6</v>
      </c>
    </row>
    <row r="4" spans="1:15" ht="36.75" customHeight="1" x14ac:dyDescent="0.25">
      <c r="A4" s="117"/>
      <c r="B4" s="118"/>
      <c r="C4" s="119"/>
      <c r="D4" s="36" t="s">
        <v>7</v>
      </c>
      <c r="E4" s="36" t="s">
        <v>8</v>
      </c>
      <c r="F4" s="36" t="s">
        <v>9</v>
      </c>
      <c r="G4" s="36" t="s">
        <v>10</v>
      </c>
      <c r="H4" s="36" t="s">
        <v>11</v>
      </c>
      <c r="I4" s="36" t="s">
        <v>12</v>
      </c>
      <c r="J4" s="119"/>
      <c r="K4" s="119"/>
    </row>
    <row r="5" spans="1:15" ht="15" customHeight="1" x14ac:dyDescent="0.25">
      <c r="A5" s="117"/>
      <c r="B5" s="118" t="s">
        <v>13</v>
      </c>
      <c r="C5" s="119" t="s">
        <v>14</v>
      </c>
      <c r="D5" s="36" t="s">
        <v>8</v>
      </c>
      <c r="E5" s="8">
        <f t="shared" ref="E5:E28" si="0">SUM(F5:I5)</f>
        <v>11447375.396334751</v>
      </c>
      <c r="F5" s="8">
        <f>SUM(F6:F10)</f>
        <v>10052389.86231</v>
      </c>
      <c r="G5" s="8">
        <f>SUM(G6:G10)</f>
        <v>1184784.5228500001</v>
      </c>
      <c r="H5" s="8">
        <f>SUM(H6:H10)</f>
        <v>210201.01117475086</v>
      </c>
      <c r="I5" s="8">
        <f>SUM(I6:I10)</f>
        <v>0</v>
      </c>
      <c r="J5" s="119"/>
      <c r="K5" s="119" t="s">
        <v>482</v>
      </c>
      <c r="M5" s="35">
        <f>E11+E17</f>
        <v>11447375.396334751</v>
      </c>
    </row>
    <row r="6" spans="1:15" x14ac:dyDescent="0.25">
      <c r="A6" s="117"/>
      <c r="B6" s="118"/>
      <c r="C6" s="119"/>
      <c r="D6" s="36">
        <v>2021</v>
      </c>
      <c r="E6" s="8">
        <f t="shared" si="0"/>
        <v>1613228.6017916503</v>
      </c>
      <c r="F6" s="8">
        <f>F24+F174+F348+F762</f>
        <v>1267910.29015</v>
      </c>
      <c r="G6" s="8">
        <f t="shared" ref="F6:I10" si="1">G24+G174+G348+G762</f>
        <v>301879.99800000002</v>
      </c>
      <c r="H6" s="8">
        <f t="shared" si="1"/>
        <v>43438.313641650384</v>
      </c>
      <c r="I6" s="8">
        <f t="shared" si="1"/>
        <v>0</v>
      </c>
      <c r="J6" s="119"/>
      <c r="K6" s="119"/>
    </row>
    <row r="7" spans="1:15" x14ac:dyDescent="0.25">
      <c r="A7" s="117"/>
      <c r="B7" s="118"/>
      <c r="C7" s="119"/>
      <c r="D7" s="36">
        <v>2022</v>
      </c>
      <c r="E7" s="8">
        <f t="shared" si="0"/>
        <v>2883391.4108731011</v>
      </c>
      <c r="F7" s="8">
        <f>F25+F175+F349+F763</f>
        <v>2558971.7024200005</v>
      </c>
      <c r="G7" s="8">
        <f t="shared" si="1"/>
        <v>244045.77</v>
      </c>
      <c r="H7" s="8">
        <f t="shared" si="1"/>
        <v>80373.93845310052</v>
      </c>
      <c r="I7" s="8">
        <f t="shared" si="1"/>
        <v>0</v>
      </c>
      <c r="J7" s="119"/>
      <c r="K7" s="119"/>
    </row>
    <row r="8" spans="1:15" x14ac:dyDescent="0.25">
      <c r="A8" s="117"/>
      <c r="B8" s="118"/>
      <c r="C8" s="119"/>
      <c r="D8" s="36">
        <v>2023</v>
      </c>
      <c r="E8" s="8">
        <f t="shared" si="0"/>
        <v>2154380.0654199999</v>
      </c>
      <c r="F8" s="8">
        <f>F26+F176+F350+F764</f>
        <v>1676033.8114900002</v>
      </c>
      <c r="G8" s="8">
        <f t="shared" si="1"/>
        <v>436920.95484999998</v>
      </c>
      <c r="H8" s="8">
        <f t="shared" si="1"/>
        <v>41425.299079999975</v>
      </c>
      <c r="I8" s="8">
        <f t="shared" si="1"/>
        <v>0</v>
      </c>
      <c r="J8" s="119"/>
      <c r="K8" s="119"/>
    </row>
    <row r="9" spans="1:15" x14ac:dyDescent="0.25">
      <c r="A9" s="117"/>
      <c r="B9" s="118"/>
      <c r="C9" s="119"/>
      <c r="D9" s="36">
        <v>2024</v>
      </c>
      <c r="E9" s="8">
        <f t="shared" si="0"/>
        <v>2805670.42025</v>
      </c>
      <c r="F9" s="8">
        <f t="shared" si="1"/>
        <v>2679889.19025</v>
      </c>
      <c r="G9" s="8">
        <f t="shared" si="1"/>
        <v>97937.8</v>
      </c>
      <c r="H9" s="8">
        <f t="shared" si="1"/>
        <v>27843.43</v>
      </c>
      <c r="I9" s="8">
        <f t="shared" si="1"/>
        <v>0</v>
      </c>
      <c r="J9" s="119"/>
      <c r="K9" s="119"/>
    </row>
    <row r="10" spans="1:15" x14ac:dyDescent="0.25">
      <c r="A10" s="117"/>
      <c r="B10" s="118"/>
      <c r="C10" s="119"/>
      <c r="D10" s="36">
        <v>2025</v>
      </c>
      <c r="E10" s="8">
        <f t="shared" si="0"/>
        <v>1990704.8979999998</v>
      </c>
      <c r="F10" s="8">
        <f t="shared" si="1"/>
        <v>1869584.8679999998</v>
      </c>
      <c r="G10" s="8">
        <f t="shared" si="1"/>
        <v>104000</v>
      </c>
      <c r="H10" s="8">
        <f t="shared" si="1"/>
        <v>17120.03</v>
      </c>
      <c r="I10" s="8">
        <f t="shared" si="1"/>
        <v>0</v>
      </c>
      <c r="J10" s="119"/>
      <c r="K10" s="119"/>
    </row>
    <row r="11" spans="1:15" x14ac:dyDescent="0.25">
      <c r="A11" s="117"/>
      <c r="B11" s="118" t="s">
        <v>483</v>
      </c>
      <c r="C11" s="119" t="s">
        <v>14</v>
      </c>
      <c r="D11" s="36" t="s">
        <v>8</v>
      </c>
      <c r="E11" s="8">
        <f t="shared" ref="E11:E22" si="2">SUM(F11:I11)</f>
        <v>7214774.7817478431</v>
      </c>
      <c r="F11" s="8">
        <f>SUM(F12:F16)</f>
        <v>6783287.5325200008</v>
      </c>
      <c r="G11" s="8">
        <f t="shared" ref="G11:H11" si="3">SUM(G12:G16)</f>
        <v>324977.18385000003</v>
      </c>
      <c r="H11" s="8">
        <f t="shared" si="3"/>
        <v>106510.06537784266</v>
      </c>
      <c r="I11" s="8">
        <v>0</v>
      </c>
      <c r="J11" s="119"/>
      <c r="K11" s="119" t="s">
        <v>484</v>
      </c>
    </row>
    <row r="12" spans="1:15" x14ac:dyDescent="0.25">
      <c r="A12" s="117"/>
      <c r="B12" s="118"/>
      <c r="C12" s="119"/>
      <c r="D12" s="36">
        <v>2021</v>
      </c>
      <c r="E12" s="8">
        <f t="shared" si="2"/>
        <v>1143437.1402100001</v>
      </c>
      <c r="F12" s="8">
        <f t="shared" ref="F12:H16" si="4">F6-F18</f>
        <v>1079783.2501300001</v>
      </c>
      <c r="G12" s="8">
        <f t="shared" si="4"/>
        <v>44391.299000000028</v>
      </c>
      <c r="H12" s="8">
        <f t="shared" si="4"/>
        <v>19262.591080000006</v>
      </c>
      <c r="I12" s="8">
        <v>0</v>
      </c>
      <c r="J12" s="119"/>
      <c r="K12" s="119"/>
      <c r="M12" s="35" t="s">
        <v>9</v>
      </c>
      <c r="N12" s="35" t="s">
        <v>10</v>
      </c>
      <c r="O12" s="35" t="s">
        <v>11</v>
      </c>
    </row>
    <row r="13" spans="1:15" x14ac:dyDescent="0.25">
      <c r="A13" s="117"/>
      <c r="B13" s="118"/>
      <c r="C13" s="119"/>
      <c r="D13" s="36">
        <v>2022</v>
      </c>
      <c r="E13" s="8">
        <f t="shared" si="2"/>
        <v>1725609.8373178432</v>
      </c>
      <c r="F13" s="8">
        <f t="shared" si="4"/>
        <v>1637815.2563600005</v>
      </c>
      <c r="G13" s="8">
        <f t="shared" si="4"/>
        <v>66437.87</v>
      </c>
      <c r="H13" s="8">
        <f t="shared" si="4"/>
        <v>21356.710957842668</v>
      </c>
      <c r="I13" s="8">
        <v>0</v>
      </c>
      <c r="J13" s="119"/>
      <c r="K13" s="119"/>
      <c r="M13" s="10">
        <f>SUM(F25,F175,F379,F391,F469,F481,F487,F493,F499,F553,F583,F643,F649,F655,F661,F679,F739,F763)</f>
        <v>1637815.2563600005</v>
      </c>
      <c r="N13" s="35">
        <f>SUM(G25,G175,G379,G391,G469,G481,G487,G493,G499,G553,G583,G643,G649,G655,G661,G679,G739,G763)</f>
        <v>66437.87</v>
      </c>
      <c r="O13" s="35">
        <f>SUM(H25,H175,H379,H391,H469,H481,H487,H493,H499,H553,H583,H643,H649,H655,H661,H679,H739,H763)</f>
        <v>21356.710957842668</v>
      </c>
    </row>
    <row r="14" spans="1:15" x14ac:dyDescent="0.25">
      <c r="A14" s="117"/>
      <c r="B14" s="118"/>
      <c r="C14" s="119"/>
      <c r="D14" s="36">
        <v>2023</v>
      </c>
      <c r="E14" s="8">
        <f t="shared" si="2"/>
        <v>1506558.2592200004</v>
      </c>
      <c r="F14" s="11">
        <f>F8-F20</f>
        <v>1461119.3410300002</v>
      </c>
      <c r="G14" s="11">
        <f>G8-G20</f>
        <v>12210.214849999989</v>
      </c>
      <c r="H14" s="8">
        <f t="shared" si="4"/>
        <v>33228.70334</v>
      </c>
      <c r="I14" s="8">
        <v>0</v>
      </c>
      <c r="J14" s="119"/>
      <c r="K14" s="119"/>
    </row>
    <row r="15" spans="1:15" x14ac:dyDescent="0.25">
      <c r="A15" s="117"/>
      <c r="B15" s="118"/>
      <c r="C15" s="119"/>
      <c r="D15" s="36">
        <v>2024</v>
      </c>
      <c r="E15" s="8">
        <f t="shared" si="2"/>
        <v>1409882.4470000002</v>
      </c>
      <c r="F15" s="8">
        <f t="shared" si="4"/>
        <v>1295613.6170000001</v>
      </c>
      <c r="G15" s="8">
        <f t="shared" si="4"/>
        <v>97937.8</v>
      </c>
      <c r="H15" s="8">
        <f t="shared" si="4"/>
        <v>16331.03</v>
      </c>
      <c r="I15" s="8">
        <v>0</v>
      </c>
      <c r="J15" s="119"/>
      <c r="K15" s="119"/>
      <c r="M15" s="35">
        <f t="shared" ref="M15:O16" si="5">SUM(F27,F177,F381,F393,F471,F483,F489,F495,F501,F555,F585,F645,F651,F657,F663,F681,F741,F765)</f>
        <v>1295613.6170000001</v>
      </c>
      <c r="N15" s="35">
        <f t="shared" si="5"/>
        <v>97937.8</v>
      </c>
      <c r="O15" s="35">
        <f t="shared" si="5"/>
        <v>16331.03</v>
      </c>
    </row>
    <row r="16" spans="1:15" x14ac:dyDescent="0.25">
      <c r="A16" s="117"/>
      <c r="B16" s="118"/>
      <c r="C16" s="119"/>
      <c r="D16" s="36">
        <v>2025</v>
      </c>
      <c r="E16" s="8">
        <f t="shared" si="2"/>
        <v>1429287.0979999998</v>
      </c>
      <c r="F16" s="8">
        <f t="shared" si="4"/>
        <v>1308956.0679999997</v>
      </c>
      <c r="G16" s="8">
        <f t="shared" si="4"/>
        <v>104000</v>
      </c>
      <c r="H16" s="8">
        <f t="shared" si="4"/>
        <v>16331.029999999999</v>
      </c>
      <c r="I16" s="8">
        <v>0</v>
      </c>
      <c r="J16" s="119"/>
      <c r="K16" s="119"/>
      <c r="M16" s="35">
        <f t="shared" si="5"/>
        <v>1308956.068</v>
      </c>
      <c r="N16" s="35">
        <f t="shared" si="5"/>
        <v>104000</v>
      </c>
      <c r="O16" s="35">
        <f t="shared" si="5"/>
        <v>16331.03</v>
      </c>
    </row>
    <row r="17" spans="1:12" x14ac:dyDescent="0.25">
      <c r="A17" s="117"/>
      <c r="B17" s="118" t="s">
        <v>18</v>
      </c>
      <c r="C17" s="119" t="s">
        <v>41</v>
      </c>
      <c r="D17" s="36" t="s">
        <v>8</v>
      </c>
      <c r="E17" s="8">
        <f t="shared" si="2"/>
        <v>4232600.6145869074</v>
      </c>
      <c r="F17" s="8">
        <f>F18+F19+F20+F21+F22</f>
        <v>3269102.3297899999</v>
      </c>
      <c r="G17" s="8">
        <f t="shared" ref="G17:H17" si="6">G18+G19+G20+G21+G22</f>
        <v>859807.33899999992</v>
      </c>
      <c r="H17" s="8">
        <f t="shared" si="6"/>
        <v>103690.9457969082</v>
      </c>
      <c r="I17" s="8">
        <f t="shared" ref="I17" si="7">I18+I19+I20+I21</f>
        <v>0</v>
      </c>
      <c r="J17" s="119"/>
      <c r="K17" s="119" t="s">
        <v>20</v>
      </c>
    </row>
    <row r="18" spans="1:12" x14ac:dyDescent="0.25">
      <c r="A18" s="117"/>
      <c r="B18" s="118"/>
      <c r="C18" s="119"/>
      <c r="D18" s="36">
        <v>2021</v>
      </c>
      <c r="E18" s="8">
        <f t="shared" si="2"/>
        <v>469791.46158165036</v>
      </c>
      <c r="F18" s="8">
        <f t="shared" ref="F18:H22" si="8">F360+F366+F372+F384+F414+F426+F432+F462+F504+F510+F516+F522+F534+F540+F558+F564+F570+F576+F588+F594+F600+F606+F612+F618+F624+F630+F636+F666+F672+F696+F744+F750+F756+F450+F714+F702</f>
        <v>188127.04001999999</v>
      </c>
      <c r="G18" s="8">
        <f t="shared" si="8"/>
        <v>257488.69899999999</v>
      </c>
      <c r="H18" s="8">
        <f t="shared" si="8"/>
        <v>24175.722561650378</v>
      </c>
      <c r="I18" s="8">
        <f t="shared" ref="I18:I22" si="9">I6-I12</f>
        <v>0</v>
      </c>
      <c r="J18" s="119"/>
      <c r="K18" s="119"/>
    </row>
    <row r="19" spans="1:12" x14ac:dyDescent="0.25">
      <c r="A19" s="117"/>
      <c r="B19" s="118"/>
      <c r="C19" s="119"/>
      <c r="D19" s="36">
        <v>2022</v>
      </c>
      <c r="E19" s="8">
        <f t="shared" si="2"/>
        <v>1157781.5735552579</v>
      </c>
      <c r="F19" s="8">
        <f t="shared" si="8"/>
        <v>921156.4460600001</v>
      </c>
      <c r="G19" s="8">
        <f t="shared" si="8"/>
        <v>177607.9</v>
      </c>
      <c r="H19" s="8">
        <f t="shared" si="8"/>
        <v>59017.227495257852</v>
      </c>
      <c r="I19" s="8">
        <f t="shared" si="9"/>
        <v>0</v>
      </c>
      <c r="J19" s="119"/>
      <c r="K19" s="119"/>
    </row>
    <row r="20" spans="1:12" x14ac:dyDescent="0.25">
      <c r="A20" s="117"/>
      <c r="B20" s="118"/>
      <c r="C20" s="119"/>
      <c r="D20" s="36">
        <v>2023</v>
      </c>
      <c r="E20" s="8">
        <f>SUM(F20:I20)</f>
        <v>647821.80619999999</v>
      </c>
      <c r="F20" s="8">
        <f>F362+F368+F374+F386+F416+F428+F434+F464+F506+F512+F518+F524+F536+F542+F560+F566+F572+F578+F590+F596+F602+F608+F614+F620+F626+F632+F638+F668+F674+F698+F746+F752+F758+F452+F716+F704</f>
        <v>214914.47045999998</v>
      </c>
      <c r="G20" s="8">
        <f>G362+G368+G374+G386+G416+G428+G434+G464+G506+G512+G518+G524+G536+G542+G560+G566+G572+G578+G590+G596+G602+G608+G614+G620+G626+G632+G638+G668+G674+G698+G746+G752+G758+G452+G716+G704+G710</f>
        <v>424710.74</v>
      </c>
      <c r="H20" s="8">
        <f t="shared" si="8"/>
        <v>8196.5957399999752</v>
      </c>
      <c r="I20" s="8">
        <f t="shared" ref="I20" si="10">I362+I368+I374+I386+I416+I428+I434+I464+I506+I512+I518+I524+I536+I542+I554+I560+I566+I572+I578+I590+I596+I602+I608+I614+I620+I626+I632+I638+I668+I674+I698+I746+I752+I758+I452+I716</f>
        <v>0</v>
      </c>
      <c r="J20" s="119"/>
      <c r="K20" s="119"/>
    </row>
    <row r="21" spans="1:12" x14ac:dyDescent="0.25">
      <c r="A21" s="117"/>
      <c r="B21" s="118"/>
      <c r="C21" s="119"/>
      <c r="D21" s="36">
        <v>2024</v>
      </c>
      <c r="E21" s="8">
        <f t="shared" si="2"/>
        <v>1395787.9732499998</v>
      </c>
      <c r="F21" s="8">
        <f>F363+F369+F375+F387+F417+F429+F435+F465+F507+F513+F519+F525+F537+F543+F561+F567+F573+F579+F591+F597+F603+F609+F615+F621+F627+F633+F639+F669+F675+F747+F753+F759+F453+F717+F693</f>
        <v>1384275.5732499999</v>
      </c>
      <c r="G21" s="8">
        <f t="shared" si="8"/>
        <v>0</v>
      </c>
      <c r="H21" s="8">
        <f t="shared" si="8"/>
        <v>11512.4</v>
      </c>
      <c r="I21" s="8">
        <f t="shared" ref="I21" si="11">I363+I369+I375+I387+I417+I429+I435+I465+I507+I513+I519+I525+I537+I543+I555+I561+I567+I573+I579+I591+I597+I603+I609+I615+I621+I627+I633+I639+I669+I675+I699+I747+I753+I759+I453+I717+I718</f>
        <v>0</v>
      </c>
      <c r="J21" s="119"/>
      <c r="K21" s="119"/>
    </row>
    <row r="22" spans="1:12" x14ac:dyDescent="0.25">
      <c r="A22" s="117"/>
      <c r="B22" s="118"/>
      <c r="C22" s="119"/>
      <c r="D22" s="36">
        <v>2025</v>
      </c>
      <c r="E22" s="8">
        <f t="shared" si="2"/>
        <v>561417.80000000005</v>
      </c>
      <c r="F22" s="8">
        <f>F364+F370+F376+F388+F418+F430+F436+F466+F508+F514+F520+F526+F538+F544+F562+F568+F574+F580+F592+F598+F604+F610+F616+F622+F628+F634+F640+F670+F676+F748+F754+F760+F454+F718+F694</f>
        <v>560628.80000000005</v>
      </c>
      <c r="G22" s="8">
        <f t="shared" si="8"/>
        <v>0</v>
      </c>
      <c r="H22" s="8">
        <f t="shared" si="8"/>
        <v>789</v>
      </c>
      <c r="I22" s="8">
        <f t="shared" si="9"/>
        <v>0</v>
      </c>
      <c r="J22" s="119"/>
      <c r="K22" s="119"/>
    </row>
    <row r="23" spans="1:12" ht="15" customHeight="1" x14ac:dyDescent="0.25">
      <c r="A23" s="117" t="s">
        <v>806</v>
      </c>
      <c r="B23" s="118" t="s">
        <v>818</v>
      </c>
      <c r="C23" s="119" t="s">
        <v>14</v>
      </c>
      <c r="D23" s="36" t="s">
        <v>8</v>
      </c>
      <c r="E23" s="8">
        <f t="shared" si="0"/>
        <v>1140882.7094399999</v>
      </c>
      <c r="F23" s="8">
        <f>SUM(F24:F28)</f>
        <v>1104713.6106199999</v>
      </c>
      <c r="G23" s="8">
        <f>SUM(G24:G28)</f>
        <v>23683.307479999996</v>
      </c>
      <c r="H23" s="8">
        <f>SUM(H24:H28)</f>
        <v>12485.79134</v>
      </c>
      <c r="I23" s="8">
        <f>SUM(I24:I28)</f>
        <v>0</v>
      </c>
      <c r="J23" s="119"/>
      <c r="K23" s="119" t="s">
        <v>486</v>
      </c>
      <c r="L23" s="124" t="s">
        <v>1111</v>
      </c>
    </row>
    <row r="24" spans="1:12" x14ac:dyDescent="0.25">
      <c r="A24" s="117"/>
      <c r="B24" s="118"/>
      <c r="C24" s="119"/>
      <c r="D24" s="36">
        <v>2021</v>
      </c>
      <c r="E24" s="8">
        <f t="shared" si="0"/>
        <v>138607.88275000002</v>
      </c>
      <c r="F24" s="8">
        <f t="shared" ref="F24:I28" si="12">F30+F48+F144</f>
        <v>118407.68375000001</v>
      </c>
      <c r="G24" s="8">
        <f t="shared" si="12"/>
        <v>20200.198999999997</v>
      </c>
      <c r="H24" s="8">
        <f t="shared" si="12"/>
        <v>0</v>
      </c>
      <c r="I24" s="8">
        <f t="shared" si="12"/>
        <v>0</v>
      </c>
      <c r="J24" s="119"/>
      <c r="K24" s="119"/>
      <c r="L24" s="124"/>
    </row>
    <row r="25" spans="1:12" x14ac:dyDescent="0.25">
      <c r="A25" s="117"/>
      <c r="B25" s="118"/>
      <c r="C25" s="119"/>
      <c r="D25" s="36">
        <v>2022</v>
      </c>
      <c r="E25" s="8">
        <f t="shared" si="0"/>
        <v>284204.41166000004</v>
      </c>
      <c r="F25" s="8">
        <f t="shared" si="12"/>
        <v>281836.93466000003</v>
      </c>
      <c r="G25" s="8">
        <f t="shared" si="12"/>
        <v>2367.4769999999999</v>
      </c>
      <c r="H25" s="8">
        <f t="shared" si="12"/>
        <v>0</v>
      </c>
      <c r="I25" s="8">
        <f t="shared" si="12"/>
        <v>0</v>
      </c>
      <c r="J25" s="119"/>
      <c r="K25" s="119"/>
      <c r="L25" s="124"/>
    </row>
    <row r="26" spans="1:12" x14ac:dyDescent="0.25">
      <c r="A26" s="117"/>
      <c r="B26" s="118"/>
      <c r="C26" s="119"/>
      <c r="D26" s="36">
        <v>2023</v>
      </c>
      <c r="E26" s="8">
        <f t="shared" si="0"/>
        <v>296877.74302999995</v>
      </c>
      <c r="F26" s="8">
        <f>F32+F50+F146</f>
        <v>283276.32020999998</v>
      </c>
      <c r="G26" s="8">
        <f t="shared" si="12"/>
        <v>1115.63148</v>
      </c>
      <c r="H26" s="8">
        <f t="shared" si="12"/>
        <v>12485.79134</v>
      </c>
      <c r="I26" s="8">
        <f t="shared" si="12"/>
        <v>0</v>
      </c>
      <c r="J26" s="119"/>
      <c r="K26" s="119"/>
      <c r="L26" s="124"/>
    </row>
    <row r="27" spans="1:12" x14ac:dyDescent="0.25">
      <c r="A27" s="117"/>
      <c r="B27" s="118"/>
      <c r="C27" s="119"/>
      <c r="D27" s="36">
        <v>2024</v>
      </c>
      <c r="E27" s="8">
        <f t="shared" si="0"/>
        <v>210596.33600000001</v>
      </c>
      <c r="F27" s="8">
        <f t="shared" si="12"/>
        <v>210596.33600000001</v>
      </c>
      <c r="G27" s="8">
        <f t="shared" si="12"/>
        <v>0</v>
      </c>
      <c r="H27" s="8">
        <f t="shared" si="12"/>
        <v>0</v>
      </c>
      <c r="I27" s="8">
        <f t="shared" si="12"/>
        <v>0</v>
      </c>
      <c r="J27" s="119"/>
      <c r="K27" s="119"/>
      <c r="L27" s="124"/>
    </row>
    <row r="28" spans="1:12" x14ac:dyDescent="0.25">
      <c r="A28" s="117"/>
      <c r="B28" s="118"/>
      <c r="C28" s="119"/>
      <c r="D28" s="36">
        <v>2025</v>
      </c>
      <c r="E28" s="8">
        <f t="shared" si="0"/>
        <v>210596.33600000001</v>
      </c>
      <c r="F28" s="8">
        <f t="shared" si="12"/>
        <v>210596.33600000001</v>
      </c>
      <c r="G28" s="8">
        <f t="shared" si="12"/>
        <v>0</v>
      </c>
      <c r="H28" s="8">
        <f t="shared" si="12"/>
        <v>0</v>
      </c>
      <c r="I28" s="8">
        <f t="shared" si="12"/>
        <v>0</v>
      </c>
      <c r="J28" s="119"/>
      <c r="K28" s="119"/>
      <c r="L28" s="124"/>
    </row>
    <row r="29" spans="1:12" x14ac:dyDescent="0.25">
      <c r="A29" s="117" t="s">
        <v>23</v>
      </c>
      <c r="B29" s="118" t="s">
        <v>24</v>
      </c>
      <c r="C29" s="119" t="s">
        <v>14</v>
      </c>
      <c r="D29" s="36" t="s">
        <v>8</v>
      </c>
      <c r="E29" s="8">
        <f t="shared" ref="E29:E40" si="13">SUM(F29:I29)</f>
        <v>3054.4259999999999</v>
      </c>
      <c r="F29" s="8">
        <f>SUM(F30:F34)</f>
        <v>3054.4259999999999</v>
      </c>
      <c r="G29" s="8">
        <f>SUM(G30:G34)</f>
        <v>0</v>
      </c>
      <c r="H29" s="8">
        <f>SUM(H30:H34)</f>
        <v>0</v>
      </c>
      <c r="I29" s="8">
        <f>SUM(I30:I34)</f>
        <v>0</v>
      </c>
      <c r="J29" s="119" t="s">
        <v>487</v>
      </c>
      <c r="K29" s="119" t="s">
        <v>488</v>
      </c>
      <c r="L29" s="124"/>
    </row>
    <row r="30" spans="1:12" x14ac:dyDescent="0.25">
      <c r="A30" s="117"/>
      <c r="B30" s="118"/>
      <c r="C30" s="119"/>
      <c r="D30" s="36">
        <v>2021</v>
      </c>
      <c r="E30" s="8">
        <f t="shared" si="13"/>
        <v>3054.4259999999999</v>
      </c>
      <c r="F30" s="8">
        <f t="shared" ref="F30:I34" si="14">F36+F42</f>
        <v>3054.4259999999999</v>
      </c>
      <c r="G30" s="8">
        <f t="shared" si="14"/>
        <v>0</v>
      </c>
      <c r="H30" s="8">
        <f t="shared" si="14"/>
        <v>0</v>
      </c>
      <c r="I30" s="8">
        <f t="shared" si="14"/>
        <v>0</v>
      </c>
      <c r="J30" s="119"/>
      <c r="K30" s="119"/>
      <c r="L30" s="124"/>
    </row>
    <row r="31" spans="1:12" x14ac:dyDescent="0.25">
      <c r="A31" s="117"/>
      <c r="B31" s="118"/>
      <c r="C31" s="119"/>
      <c r="D31" s="36">
        <v>2022</v>
      </c>
      <c r="E31" s="8">
        <f t="shared" si="13"/>
        <v>0</v>
      </c>
      <c r="F31" s="8">
        <f t="shared" si="14"/>
        <v>0</v>
      </c>
      <c r="G31" s="8">
        <f t="shared" si="14"/>
        <v>0</v>
      </c>
      <c r="H31" s="8">
        <f t="shared" si="14"/>
        <v>0</v>
      </c>
      <c r="I31" s="8">
        <f t="shared" si="14"/>
        <v>0</v>
      </c>
      <c r="J31" s="119"/>
      <c r="K31" s="119"/>
      <c r="L31" s="124"/>
    </row>
    <row r="32" spans="1:12" x14ac:dyDescent="0.25">
      <c r="A32" s="117"/>
      <c r="B32" s="118"/>
      <c r="C32" s="119"/>
      <c r="D32" s="36">
        <v>2023</v>
      </c>
      <c r="E32" s="8">
        <f t="shared" si="13"/>
        <v>0</v>
      </c>
      <c r="F32" s="8">
        <f t="shared" si="14"/>
        <v>0</v>
      </c>
      <c r="G32" s="8">
        <f t="shared" si="14"/>
        <v>0</v>
      </c>
      <c r="H32" s="8">
        <f t="shared" si="14"/>
        <v>0</v>
      </c>
      <c r="I32" s="8">
        <f t="shared" si="14"/>
        <v>0</v>
      </c>
      <c r="J32" s="119"/>
      <c r="K32" s="119"/>
      <c r="L32" s="124"/>
    </row>
    <row r="33" spans="1:12" x14ac:dyDescent="0.25">
      <c r="A33" s="117"/>
      <c r="B33" s="118"/>
      <c r="C33" s="119"/>
      <c r="D33" s="36">
        <v>2024</v>
      </c>
      <c r="E33" s="8">
        <f t="shared" si="13"/>
        <v>0</v>
      </c>
      <c r="F33" s="8">
        <f t="shared" si="14"/>
        <v>0</v>
      </c>
      <c r="G33" s="8">
        <f t="shared" si="14"/>
        <v>0</v>
      </c>
      <c r="H33" s="8">
        <f t="shared" si="14"/>
        <v>0</v>
      </c>
      <c r="I33" s="8">
        <f t="shared" si="14"/>
        <v>0</v>
      </c>
      <c r="J33" s="119"/>
      <c r="K33" s="119"/>
      <c r="L33" s="124"/>
    </row>
    <row r="34" spans="1:12" x14ac:dyDescent="0.25">
      <c r="A34" s="117"/>
      <c r="B34" s="118"/>
      <c r="C34" s="119"/>
      <c r="D34" s="36">
        <v>2025</v>
      </c>
      <c r="E34" s="8">
        <f t="shared" si="13"/>
        <v>0</v>
      </c>
      <c r="F34" s="8">
        <f t="shared" si="14"/>
        <v>0</v>
      </c>
      <c r="G34" s="8">
        <f t="shared" si="14"/>
        <v>0</v>
      </c>
      <c r="H34" s="8">
        <f t="shared" si="14"/>
        <v>0</v>
      </c>
      <c r="I34" s="8">
        <f t="shared" si="14"/>
        <v>0</v>
      </c>
      <c r="J34" s="119"/>
      <c r="K34" s="119"/>
      <c r="L34" s="124"/>
    </row>
    <row r="35" spans="1:12" x14ac:dyDescent="0.25">
      <c r="A35" s="117" t="s">
        <v>27</v>
      </c>
      <c r="B35" s="118" t="s">
        <v>489</v>
      </c>
      <c r="C35" s="119" t="s">
        <v>490</v>
      </c>
      <c r="D35" s="36" t="s">
        <v>8</v>
      </c>
      <c r="E35" s="8">
        <f t="shared" si="13"/>
        <v>0</v>
      </c>
      <c r="F35" s="8">
        <f>SUM(F36:F40)</f>
        <v>0</v>
      </c>
      <c r="G35" s="8">
        <f>SUM(G36:G40)</f>
        <v>0</v>
      </c>
      <c r="H35" s="8">
        <f>SUM(H36:H40)</f>
        <v>0</v>
      </c>
      <c r="I35" s="8">
        <f>SUM(I36:I40)</f>
        <v>0</v>
      </c>
      <c r="J35" s="119" t="s">
        <v>29</v>
      </c>
      <c r="K35" s="119" t="s">
        <v>486</v>
      </c>
    </row>
    <row r="36" spans="1:12" x14ac:dyDescent="0.25">
      <c r="A36" s="117"/>
      <c r="B36" s="118"/>
      <c r="C36" s="119"/>
      <c r="D36" s="36">
        <v>2021</v>
      </c>
      <c r="E36" s="8">
        <f t="shared" si="13"/>
        <v>0</v>
      </c>
      <c r="F36" s="8">
        <v>0</v>
      </c>
      <c r="G36" s="8">
        <v>0</v>
      </c>
      <c r="H36" s="8">
        <v>0</v>
      </c>
      <c r="I36" s="8">
        <v>0</v>
      </c>
      <c r="J36" s="119"/>
      <c r="K36" s="119"/>
    </row>
    <row r="37" spans="1:12" x14ac:dyDescent="0.25">
      <c r="A37" s="117"/>
      <c r="B37" s="118"/>
      <c r="C37" s="119"/>
      <c r="D37" s="36">
        <v>2022</v>
      </c>
      <c r="E37" s="8">
        <f t="shared" si="13"/>
        <v>0</v>
      </c>
      <c r="F37" s="8">
        <v>0</v>
      </c>
      <c r="G37" s="8">
        <v>0</v>
      </c>
      <c r="H37" s="8">
        <v>0</v>
      </c>
      <c r="I37" s="8">
        <v>0</v>
      </c>
      <c r="J37" s="119"/>
      <c r="K37" s="119"/>
    </row>
    <row r="38" spans="1:12" x14ac:dyDescent="0.25">
      <c r="A38" s="117"/>
      <c r="B38" s="118"/>
      <c r="C38" s="119"/>
      <c r="D38" s="36">
        <v>2023</v>
      </c>
      <c r="E38" s="8">
        <f t="shared" si="13"/>
        <v>0</v>
      </c>
      <c r="F38" s="8">
        <v>0</v>
      </c>
      <c r="G38" s="8">
        <v>0</v>
      </c>
      <c r="H38" s="8">
        <v>0</v>
      </c>
      <c r="I38" s="8">
        <v>0</v>
      </c>
      <c r="J38" s="119"/>
      <c r="K38" s="119"/>
    </row>
    <row r="39" spans="1:12" x14ac:dyDescent="0.25">
      <c r="A39" s="117"/>
      <c r="B39" s="118"/>
      <c r="C39" s="119"/>
      <c r="D39" s="36">
        <v>2024</v>
      </c>
      <c r="E39" s="8">
        <f t="shared" si="13"/>
        <v>0</v>
      </c>
      <c r="F39" s="8">
        <v>0</v>
      </c>
      <c r="G39" s="8">
        <v>0</v>
      </c>
      <c r="H39" s="8">
        <v>0</v>
      </c>
      <c r="I39" s="8">
        <v>0</v>
      </c>
      <c r="J39" s="119"/>
      <c r="K39" s="119"/>
    </row>
    <row r="40" spans="1:12" x14ac:dyDescent="0.25">
      <c r="A40" s="117"/>
      <c r="B40" s="118"/>
      <c r="C40" s="119"/>
      <c r="D40" s="36">
        <v>2025</v>
      </c>
      <c r="E40" s="8">
        <f t="shared" si="13"/>
        <v>0</v>
      </c>
      <c r="F40" s="8">
        <v>0</v>
      </c>
      <c r="G40" s="8">
        <v>0</v>
      </c>
      <c r="H40" s="8">
        <v>0</v>
      </c>
      <c r="I40" s="8">
        <v>0</v>
      </c>
      <c r="J40" s="119"/>
      <c r="K40" s="119"/>
    </row>
    <row r="41" spans="1:12" x14ac:dyDescent="0.25">
      <c r="A41" s="117" t="s">
        <v>491</v>
      </c>
      <c r="B41" s="118" t="s">
        <v>492</v>
      </c>
      <c r="C41" s="119" t="s">
        <v>490</v>
      </c>
      <c r="D41" s="36" t="s">
        <v>8</v>
      </c>
      <c r="E41" s="8">
        <f>SUM(E42:E46)</f>
        <v>3054.4259999999999</v>
      </c>
      <c r="F41" s="8">
        <f>SUM(F42:F46)</f>
        <v>3054.4259999999999</v>
      </c>
      <c r="G41" s="8">
        <f>SUM(G42:G46)</f>
        <v>0</v>
      </c>
      <c r="H41" s="8">
        <f>SUM(H42:H46)</f>
        <v>0</v>
      </c>
      <c r="I41" s="8">
        <f>SUM(I42:I46)</f>
        <v>0</v>
      </c>
      <c r="J41" s="119" t="s">
        <v>493</v>
      </c>
      <c r="K41" s="119" t="s">
        <v>494</v>
      </c>
      <c r="L41" s="124"/>
    </row>
    <row r="42" spans="1:12" x14ac:dyDescent="0.25">
      <c r="A42" s="117"/>
      <c r="B42" s="118"/>
      <c r="C42" s="119"/>
      <c r="D42" s="36">
        <v>2021</v>
      </c>
      <c r="E42" s="8">
        <f t="shared" ref="E42:E105" si="15">SUM(F42:I42)</f>
        <v>3054.4259999999999</v>
      </c>
      <c r="F42" s="8">
        <v>3054.4259999999999</v>
      </c>
      <c r="G42" s="8">
        <v>0</v>
      </c>
      <c r="H42" s="8">
        <v>0</v>
      </c>
      <c r="I42" s="8">
        <v>0</v>
      </c>
      <c r="J42" s="119"/>
      <c r="K42" s="119"/>
      <c r="L42" s="124"/>
    </row>
    <row r="43" spans="1:12" x14ac:dyDescent="0.25">
      <c r="A43" s="117"/>
      <c r="B43" s="118"/>
      <c r="C43" s="119"/>
      <c r="D43" s="36">
        <v>2022</v>
      </c>
      <c r="E43" s="8">
        <f t="shared" si="15"/>
        <v>0</v>
      </c>
      <c r="F43" s="8">
        <v>0</v>
      </c>
      <c r="G43" s="8">
        <v>0</v>
      </c>
      <c r="H43" s="8">
        <v>0</v>
      </c>
      <c r="I43" s="8">
        <v>0</v>
      </c>
      <c r="J43" s="119"/>
      <c r="K43" s="119"/>
      <c r="L43" s="124"/>
    </row>
    <row r="44" spans="1:12" x14ac:dyDescent="0.25">
      <c r="A44" s="117"/>
      <c r="B44" s="118"/>
      <c r="C44" s="119"/>
      <c r="D44" s="36">
        <v>2023</v>
      </c>
      <c r="E44" s="8">
        <f t="shared" si="15"/>
        <v>0</v>
      </c>
      <c r="F44" s="8">
        <v>0</v>
      </c>
      <c r="G44" s="8">
        <v>0</v>
      </c>
      <c r="H44" s="8">
        <v>0</v>
      </c>
      <c r="I44" s="8">
        <v>0</v>
      </c>
      <c r="J44" s="119"/>
      <c r="K44" s="119"/>
      <c r="L44" s="124"/>
    </row>
    <row r="45" spans="1:12" x14ac:dyDescent="0.25">
      <c r="A45" s="117"/>
      <c r="B45" s="118"/>
      <c r="C45" s="119"/>
      <c r="D45" s="36">
        <v>2024</v>
      </c>
      <c r="E45" s="8">
        <f t="shared" si="15"/>
        <v>0</v>
      </c>
      <c r="F45" s="8">
        <v>0</v>
      </c>
      <c r="G45" s="8">
        <v>0</v>
      </c>
      <c r="H45" s="8">
        <v>0</v>
      </c>
      <c r="I45" s="8">
        <v>0</v>
      </c>
      <c r="J45" s="119"/>
      <c r="K45" s="119"/>
      <c r="L45" s="124"/>
    </row>
    <row r="46" spans="1:12" x14ac:dyDescent="0.25">
      <c r="A46" s="117"/>
      <c r="B46" s="118"/>
      <c r="C46" s="119"/>
      <c r="D46" s="36">
        <v>2025</v>
      </c>
      <c r="E46" s="8">
        <f t="shared" si="15"/>
        <v>0</v>
      </c>
      <c r="F46" s="8">
        <v>0</v>
      </c>
      <c r="G46" s="8">
        <v>0</v>
      </c>
      <c r="H46" s="8">
        <v>0</v>
      </c>
      <c r="I46" s="8">
        <v>0</v>
      </c>
      <c r="J46" s="119"/>
      <c r="K46" s="119"/>
      <c r="L46" s="124"/>
    </row>
    <row r="47" spans="1:12" ht="27.75" customHeight="1" x14ac:dyDescent="0.25">
      <c r="A47" s="117" t="s">
        <v>30</v>
      </c>
      <c r="B47" s="118" t="s">
        <v>608</v>
      </c>
      <c r="C47" s="119" t="s">
        <v>14</v>
      </c>
      <c r="D47" s="36" t="s">
        <v>8</v>
      </c>
      <c r="E47" s="8">
        <f t="shared" si="15"/>
        <v>1076273.99869</v>
      </c>
      <c r="F47" s="8">
        <f>SUM(F48:F52)</f>
        <v>1063788.20735</v>
      </c>
      <c r="G47" s="8">
        <f>SUM(G48:G52)</f>
        <v>0</v>
      </c>
      <c r="H47" s="8">
        <f>SUM(H48:H52)</f>
        <v>12485.79134</v>
      </c>
      <c r="I47" s="8">
        <f>SUM(I48:I52)</f>
        <v>0</v>
      </c>
      <c r="J47" s="119" t="s">
        <v>495</v>
      </c>
      <c r="K47" s="119" t="s">
        <v>486</v>
      </c>
    </row>
    <row r="48" spans="1:12" ht="27.75" customHeight="1" x14ac:dyDescent="0.25">
      <c r="A48" s="117"/>
      <c r="B48" s="118"/>
      <c r="C48" s="119"/>
      <c r="D48" s="36">
        <v>2021</v>
      </c>
      <c r="E48" s="8">
        <f t="shared" si="15"/>
        <v>108436.894</v>
      </c>
      <c r="F48" s="8">
        <f t="shared" ref="F48:F49" si="16">SUM(F54+F60+F66+F72+F78+F84+F90+F102+F108+F114+F132)</f>
        <v>108436.894</v>
      </c>
      <c r="G48" s="8">
        <f t="shared" ref="G48:I52" si="17">SUM(G54+G60+G66+G72+G78+G84+G90+G102+G108+G114)</f>
        <v>0</v>
      </c>
      <c r="H48" s="8">
        <f t="shared" si="17"/>
        <v>0</v>
      </c>
      <c r="I48" s="8">
        <f t="shared" si="17"/>
        <v>0</v>
      </c>
      <c r="J48" s="119"/>
      <c r="K48" s="119"/>
    </row>
    <row r="49" spans="1:11" ht="27.75" customHeight="1" x14ac:dyDescent="0.25">
      <c r="A49" s="117"/>
      <c r="B49" s="118"/>
      <c r="C49" s="119"/>
      <c r="D49" s="36">
        <v>2022</v>
      </c>
      <c r="E49" s="8">
        <f t="shared" si="15"/>
        <v>274226.68966000003</v>
      </c>
      <c r="F49" s="8">
        <f t="shared" si="16"/>
        <v>274226.68966000003</v>
      </c>
      <c r="G49" s="8">
        <f t="shared" si="17"/>
        <v>0</v>
      </c>
      <c r="H49" s="8">
        <f t="shared" si="17"/>
        <v>0</v>
      </c>
      <c r="I49" s="8">
        <f t="shared" si="17"/>
        <v>0</v>
      </c>
      <c r="J49" s="119"/>
      <c r="K49" s="119"/>
    </row>
    <row r="50" spans="1:11" ht="27.75" customHeight="1" x14ac:dyDescent="0.25">
      <c r="A50" s="117"/>
      <c r="B50" s="118"/>
      <c r="C50" s="119"/>
      <c r="D50" s="36">
        <v>2023</v>
      </c>
      <c r="E50" s="8">
        <f t="shared" si="15"/>
        <v>286735.94302999997</v>
      </c>
      <c r="F50" s="8">
        <f>SUM(F56+F62+F68+F74+F80+F86+F92+F104+F110+F116+F134+F122+F128+F140)</f>
        <v>274250.15168999997</v>
      </c>
      <c r="G50" s="8">
        <f>SUM(G56+G62+G68+G74+G80+G86+G92+G104+G110+G116+G134+G122+G128)</f>
        <v>0</v>
      </c>
      <c r="H50" s="8">
        <f>SUM(H56+H62+H68+H74+H80+H86+H92+H104+H110+H116+H134+H122+H128)</f>
        <v>12485.79134</v>
      </c>
      <c r="I50" s="8">
        <f t="shared" si="17"/>
        <v>0</v>
      </c>
      <c r="J50" s="119"/>
      <c r="K50" s="119"/>
    </row>
    <row r="51" spans="1:11" ht="27.75" customHeight="1" x14ac:dyDescent="0.25">
      <c r="A51" s="117"/>
      <c r="B51" s="118"/>
      <c r="C51" s="119"/>
      <c r="D51" s="36">
        <v>2024</v>
      </c>
      <c r="E51" s="8">
        <f t="shared" si="15"/>
        <v>203437.236</v>
      </c>
      <c r="F51" s="8">
        <f t="shared" ref="F51:F52" si="18">SUM(F57+F63+F69+F75+F81+F87+F93+F105+F111+F117+F135+F123+F129)</f>
        <v>203437.236</v>
      </c>
      <c r="G51" s="8">
        <f t="shared" si="17"/>
        <v>0</v>
      </c>
      <c r="H51" s="8">
        <f t="shared" si="17"/>
        <v>0</v>
      </c>
      <c r="I51" s="8">
        <f t="shared" si="17"/>
        <v>0</v>
      </c>
      <c r="J51" s="119"/>
      <c r="K51" s="119"/>
    </row>
    <row r="52" spans="1:11" ht="27.75" customHeight="1" x14ac:dyDescent="0.25">
      <c r="A52" s="117"/>
      <c r="B52" s="118"/>
      <c r="C52" s="119"/>
      <c r="D52" s="36">
        <v>2025</v>
      </c>
      <c r="E52" s="8">
        <f t="shared" si="15"/>
        <v>203437.236</v>
      </c>
      <c r="F52" s="8">
        <f t="shared" si="18"/>
        <v>203437.236</v>
      </c>
      <c r="G52" s="8">
        <f t="shared" si="17"/>
        <v>0</v>
      </c>
      <c r="H52" s="8">
        <f t="shared" si="17"/>
        <v>0</v>
      </c>
      <c r="I52" s="8">
        <f t="shared" si="17"/>
        <v>0</v>
      </c>
      <c r="J52" s="119"/>
      <c r="K52" s="119"/>
    </row>
    <row r="53" spans="1:11" ht="15" customHeight="1" x14ac:dyDescent="0.25">
      <c r="A53" s="117" t="s">
        <v>33</v>
      </c>
      <c r="B53" s="118" t="s">
        <v>496</v>
      </c>
      <c r="C53" s="119" t="s">
        <v>14</v>
      </c>
      <c r="D53" s="36" t="s">
        <v>8</v>
      </c>
      <c r="E53" s="8">
        <f t="shared" si="15"/>
        <v>209200</v>
      </c>
      <c r="F53" s="8">
        <f>SUM(F54:F58)</f>
        <v>209200</v>
      </c>
      <c r="G53" s="8">
        <f>SUM(G54:G58)</f>
        <v>0</v>
      </c>
      <c r="H53" s="8">
        <f>SUM(H54:H58)</f>
        <v>0</v>
      </c>
      <c r="I53" s="8">
        <f>SUM(I54:I58)</f>
        <v>0</v>
      </c>
      <c r="J53" s="119" t="s">
        <v>819</v>
      </c>
      <c r="K53" s="119" t="s">
        <v>484</v>
      </c>
    </row>
    <row r="54" spans="1:11" x14ac:dyDescent="0.25">
      <c r="A54" s="117"/>
      <c r="B54" s="118"/>
      <c r="C54" s="119"/>
      <c r="D54" s="36">
        <v>2021</v>
      </c>
      <c r="E54" s="8">
        <f t="shared" si="15"/>
        <v>43000</v>
      </c>
      <c r="F54" s="8">
        <v>43000</v>
      </c>
      <c r="G54" s="8">
        <v>0</v>
      </c>
      <c r="H54" s="8">
        <v>0</v>
      </c>
      <c r="I54" s="8">
        <v>0</v>
      </c>
      <c r="J54" s="119"/>
      <c r="K54" s="119"/>
    </row>
    <row r="55" spans="1:11" x14ac:dyDescent="0.25">
      <c r="A55" s="117"/>
      <c r="B55" s="118"/>
      <c r="C55" s="119"/>
      <c r="D55" s="36">
        <v>2022</v>
      </c>
      <c r="E55" s="8">
        <f t="shared" si="15"/>
        <v>45000</v>
      </c>
      <c r="F55" s="8">
        <v>45000</v>
      </c>
      <c r="G55" s="8">
        <v>0</v>
      </c>
      <c r="H55" s="8">
        <v>0</v>
      </c>
      <c r="I55" s="8">
        <v>0</v>
      </c>
      <c r="J55" s="119"/>
      <c r="K55" s="119"/>
    </row>
    <row r="56" spans="1:11" x14ac:dyDescent="0.25">
      <c r="A56" s="117"/>
      <c r="B56" s="118"/>
      <c r="C56" s="119"/>
      <c r="D56" s="36">
        <v>2023</v>
      </c>
      <c r="E56" s="8">
        <f t="shared" si="15"/>
        <v>61200</v>
      </c>
      <c r="F56" s="31">
        <f>30000+10000+9000+12200</f>
        <v>61200</v>
      </c>
      <c r="G56" s="8">
        <v>0</v>
      </c>
      <c r="H56" s="8">
        <v>0</v>
      </c>
      <c r="I56" s="8">
        <v>0</v>
      </c>
      <c r="J56" s="119"/>
      <c r="K56" s="119"/>
    </row>
    <row r="57" spans="1:11" x14ac:dyDescent="0.25">
      <c r="A57" s="117"/>
      <c r="B57" s="118"/>
      <c r="C57" s="119"/>
      <c r="D57" s="36">
        <v>2024</v>
      </c>
      <c r="E57" s="8">
        <f t="shared" si="15"/>
        <v>30000</v>
      </c>
      <c r="F57" s="8">
        <v>30000</v>
      </c>
      <c r="G57" s="8">
        <v>0</v>
      </c>
      <c r="H57" s="8">
        <v>0</v>
      </c>
      <c r="I57" s="8">
        <v>0</v>
      </c>
      <c r="J57" s="119"/>
      <c r="K57" s="119"/>
    </row>
    <row r="58" spans="1:11" x14ac:dyDescent="0.25">
      <c r="A58" s="117"/>
      <c r="B58" s="118"/>
      <c r="C58" s="119"/>
      <c r="D58" s="36">
        <v>2025</v>
      </c>
      <c r="E58" s="8">
        <f t="shared" si="15"/>
        <v>30000</v>
      </c>
      <c r="F58" s="8">
        <v>30000</v>
      </c>
      <c r="G58" s="8">
        <v>0</v>
      </c>
      <c r="H58" s="8">
        <v>0</v>
      </c>
      <c r="I58" s="8">
        <v>0</v>
      </c>
      <c r="J58" s="119"/>
      <c r="K58" s="119"/>
    </row>
    <row r="59" spans="1:11" ht="13.5" customHeight="1" outlineLevel="1" x14ac:dyDescent="0.25">
      <c r="A59" s="117" t="s">
        <v>36</v>
      </c>
      <c r="B59" s="118" t="s">
        <v>498</v>
      </c>
      <c r="C59" s="119">
        <v>2021</v>
      </c>
      <c r="D59" s="36" t="s">
        <v>8</v>
      </c>
      <c r="E59" s="8">
        <f t="shared" si="15"/>
        <v>0</v>
      </c>
      <c r="F59" s="8">
        <f>SUM(F60:F64)</f>
        <v>0</v>
      </c>
      <c r="G59" s="8">
        <f>SUM(G60:G64)</f>
        <v>0</v>
      </c>
      <c r="H59" s="8">
        <f>SUM(H60:H64)</f>
        <v>0</v>
      </c>
      <c r="I59" s="8">
        <f>SUM(I60:I64)</f>
        <v>0</v>
      </c>
      <c r="J59" s="119" t="s">
        <v>499</v>
      </c>
      <c r="K59" s="119" t="s">
        <v>484</v>
      </c>
    </row>
    <row r="60" spans="1:11" ht="13.5" customHeight="1" outlineLevel="1" x14ac:dyDescent="0.25">
      <c r="A60" s="117"/>
      <c r="B60" s="118"/>
      <c r="C60" s="119"/>
      <c r="D60" s="36">
        <v>2021</v>
      </c>
      <c r="E60" s="8">
        <f t="shared" si="15"/>
        <v>0</v>
      </c>
      <c r="F60" s="8">
        <v>0</v>
      </c>
      <c r="G60" s="8">
        <v>0</v>
      </c>
      <c r="H60" s="8">
        <v>0</v>
      </c>
      <c r="I60" s="8">
        <v>0</v>
      </c>
      <c r="J60" s="119"/>
      <c r="K60" s="119"/>
    </row>
    <row r="61" spans="1:11" ht="13.5" customHeight="1" outlineLevel="1" x14ac:dyDescent="0.25">
      <c r="A61" s="117"/>
      <c r="B61" s="118"/>
      <c r="C61" s="119"/>
      <c r="D61" s="36">
        <v>2022</v>
      </c>
      <c r="E61" s="8">
        <f t="shared" si="15"/>
        <v>0</v>
      </c>
      <c r="F61" s="8">
        <v>0</v>
      </c>
      <c r="G61" s="8">
        <v>0</v>
      </c>
      <c r="H61" s="8">
        <v>0</v>
      </c>
      <c r="I61" s="8">
        <v>0</v>
      </c>
      <c r="J61" s="119"/>
      <c r="K61" s="119"/>
    </row>
    <row r="62" spans="1:11" ht="13.5" customHeight="1" outlineLevel="1" x14ac:dyDescent="0.25">
      <c r="A62" s="117"/>
      <c r="B62" s="118"/>
      <c r="C62" s="119"/>
      <c r="D62" s="36">
        <v>2023</v>
      </c>
      <c r="E62" s="8">
        <f t="shared" si="15"/>
        <v>0</v>
      </c>
      <c r="F62" s="8">
        <v>0</v>
      </c>
      <c r="G62" s="8">
        <v>0</v>
      </c>
      <c r="H62" s="8">
        <v>0</v>
      </c>
      <c r="I62" s="8">
        <v>0</v>
      </c>
      <c r="J62" s="119"/>
      <c r="K62" s="119"/>
    </row>
    <row r="63" spans="1:11" ht="13.5" customHeight="1" outlineLevel="1" x14ac:dyDescent="0.25">
      <c r="A63" s="117"/>
      <c r="B63" s="118"/>
      <c r="C63" s="119"/>
      <c r="D63" s="36">
        <v>2024</v>
      </c>
      <c r="E63" s="8">
        <f t="shared" si="15"/>
        <v>0</v>
      </c>
      <c r="F63" s="8">
        <v>0</v>
      </c>
      <c r="G63" s="8">
        <v>0</v>
      </c>
      <c r="H63" s="8">
        <v>0</v>
      </c>
      <c r="I63" s="8">
        <v>0</v>
      </c>
      <c r="J63" s="119"/>
      <c r="K63" s="119"/>
    </row>
    <row r="64" spans="1:11" ht="13.5" customHeight="1" outlineLevel="1" x14ac:dyDescent="0.25">
      <c r="A64" s="117"/>
      <c r="B64" s="118"/>
      <c r="C64" s="119"/>
      <c r="D64" s="36">
        <v>2025</v>
      </c>
      <c r="E64" s="8">
        <f t="shared" si="15"/>
        <v>0</v>
      </c>
      <c r="F64" s="8">
        <v>0</v>
      </c>
      <c r="G64" s="8">
        <v>0</v>
      </c>
      <c r="H64" s="8">
        <v>0</v>
      </c>
      <c r="I64" s="8">
        <v>0</v>
      </c>
      <c r="J64" s="119"/>
      <c r="K64" s="119"/>
    </row>
    <row r="65" spans="1:13" ht="13.5" customHeight="1" outlineLevel="1" x14ac:dyDescent="0.25">
      <c r="A65" s="117" t="s">
        <v>500</v>
      </c>
      <c r="B65" s="118" t="s">
        <v>501</v>
      </c>
      <c r="C65" s="119" t="s">
        <v>14</v>
      </c>
      <c r="D65" s="36" t="s">
        <v>8</v>
      </c>
      <c r="E65" s="8">
        <f t="shared" si="15"/>
        <v>202993.769</v>
      </c>
      <c r="F65" s="8">
        <f>SUM(F66:F70)</f>
        <v>202993.769</v>
      </c>
      <c r="G65" s="8">
        <f>SUM(G66:G70)</f>
        <v>0</v>
      </c>
      <c r="H65" s="8">
        <f>SUM(H66:H70)</f>
        <v>0</v>
      </c>
      <c r="I65" s="8">
        <f>SUM(I66:I70)</f>
        <v>0</v>
      </c>
      <c r="J65" s="119" t="s">
        <v>820</v>
      </c>
      <c r="K65" s="119" t="s">
        <v>484</v>
      </c>
    </row>
    <row r="66" spans="1:13" ht="13.5" customHeight="1" outlineLevel="1" x14ac:dyDescent="0.25">
      <c r="A66" s="117"/>
      <c r="B66" s="118"/>
      <c r="C66" s="119"/>
      <c r="D66" s="36">
        <v>2021</v>
      </c>
      <c r="E66" s="8">
        <f t="shared" si="15"/>
        <v>33993.769</v>
      </c>
      <c r="F66" s="8">
        <v>33993.769</v>
      </c>
      <c r="G66" s="8">
        <v>0</v>
      </c>
      <c r="H66" s="8">
        <v>0</v>
      </c>
      <c r="I66" s="8">
        <v>0</v>
      </c>
      <c r="J66" s="119"/>
      <c r="K66" s="119"/>
    </row>
    <row r="67" spans="1:13" ht="13.5" customHeight="1" outlineLevel="1" x14ac:dyDescent="0.25">
      <c r="A67" s="117"/>
      <c r="B67" s="118"/>
      <c r="C67" s="119"/>
      <c r="D67" s="36">
        <v>2022</v>
      </c>
      <c r="E67" s="8">
        <f t="shared" si="15"/>
        <v>40000</v>
      </c>
      <c r="F67" s="8">
        <v>40000</v>
      </c>
      <c r="G67" s="8">
        <v>0</v>
      </c>
      <c r="H67" s="8">
        <v>0</v>
      </c>
      <c r="I67" s="8">
        <v>0</v>
      </c>
      <c r="J67" s="119"/>
      <c r="K67" s="119"/>
    </row>
    <row r="68" spans="1:13" ht="13.5" customHeight="1" outlineLevel="1" x14ac:dyDescent="0.25">
      <c r="A68" s="117"/>
      <c r="B68" s="118"/>
      <c r="C68" s="119"/>
      <c r="D68" s="36">
        <v>2023</v>
      </c>
      <c r="E68" s="8">
        <f t="shared" si="15"/>
        <v>49000</v>
      </c>
      <c r="F68" s="31">
        <f>40000+9000</f>
        <v>49000</v>
      </c>
      <c r="G68" s="8">
        <v>0</v>
      </c>
      <c r="H68" s="8">
        <v>0</v>
      </c>
      <c r="I68" s="8">
        <v>0</v>
      </c>
      <c r="J68" s="119"/>
      <c r="K68" s="119"/>
    </row>
    <row r="69" spans="1:13" ht="13.5" customHeight="1" outlineLevel="1" x14ac:dyDescent="0.25">
      <c r="A69" s="117"/>
      <c r="B69" s="118"/>
      <c r="C69" s="119"/>
      <c r="D69" s="36">
        <v>2024</v>
      </c>
      <c r="E69" s="8">
        <f t="shared" si="15"/>
        <v>40000</v>
      </c>
      <c r="F69" s="8">
        <v>40000</v>
      </c>
      <c r="G69" s="8">
        <v>0</v>
      </c>
      <c r="H69" s="8">
        <v>0</v>
      </c>
      <c r="I69" s="8">
        <v>0</v>
      </c>
      <c r="J69" s="119"/>
      <c r="K69" s="119"/>
    </row>
    <row r="70" spans="1:13" ht="13.5" customHeight="1" outlineLevel="1" x14ac:dyDescent="0.25">
      <c r="A70" s="117"/>
      <c r="B70" s="118"/>
      <c r="C70" s="119"/>
      <c r="D70" s="36">
        <v>2025</v>
      </c>
      <c r="E70" s="8">
        <f t="shared" si="15"/>
        <v>40000</v>
      </c>
      <c r="F70" s="8">
        <v>40000</v>
      </c>
      <c r="G70" s="8">
        <v>0</v>
      </c>
      <c r="H70" s="8">
        <v>0</v>
      </c>
      <c r="I70" s="8">
        <v>0</v>
      </c>
      <c r="J70" s="119"/>
      <c r="K70" s="119"/>
    </row>
    <row r="71" spans="1:13" ht="13.5" customHeight="1" outlineLevel="1" x14ac:dyDescent="0.25">
      <c r="A71" s="117" t="s">
        <v>503</v>
      </c>
      <c r="B71" s="118" t="s">
        <v>1112</v>
      </c>
      <c r="C71" s="119" t="s">
        <v>14</v>
      </c>
      <c r="D71" s="36" t="s">
        <v>8</v>
      </c>
      <c r="E71" s="8">
        <f t="shared" si="15"/>
        <v>18034.921689999999</v>
      </c>
      <c r="F71" s="8">
        <f>SUM(F72:F76)</f>
        <v>18034.921689999999</v>
      </c>
      <c r="G71" s="8">
        <f>SUM(G72:G76)</f>
        <v>0</v>
      </c>
      <c r="H71" s="8">
        <f>SUM(H72:H76)</f>
        <v>0</v>
      </c>
      <c r="I71" s="8">
        <f>SUM(I72:I76)</f>
        <v>0</v>
      </c>
      <c r="J71" s="119" t="s">
        <v>505</v>
      </c>
      <c r="K71" s="119" t="s">
        <v>484</v>
      </c>
    </row>
    <row r="72" spans="1:13" ht="13.5" customHeight="1" outlineLevel="1" x14ac:dyDescent="0.25">
      <c r="A72" s="117"/>
      <c r="B72" s="118"/>
      <c r="C72" s="119"/>
      <c r="D72" s="36">
        <v>2021</v>
      </c>
      <c r="E72" s="8">
        <f t="shared" si="15"/>
        <v>2000</v>
      </c>
      <c r="F72" s="8">
        <v>2000</v>
      </c>
      <c r="G72" s="8">
        <v>0</v>
      </c>
      <c r="H72" s="8">
        <v>0</v>
      </c>
      <c r="I72" s="8">
        <v>0</v>
      </c>
      <c r="J72" s="119"/>
      <c r="K72" s="119"/>
    </row>
    <row r="73" spans="1:13" ht="13.5" customHeight="1" outlineLevel="1" x14ac:dyDescent="0.25">
      <c r="A73" s="117"/>
      <c r="B73" s="118"/>
      <c r="C73" s="119"/>
      <c r="D73" s="36">
        <v>2022</v>
      </c>
      <c r="E73" s="8">
        <f t="shared" si="15"/>
        <v>2900</v>
      </c>
      <c r="F73" s="8">
        <v>2900</v>
      </c>
      <c r="G73" s="8">
        <v>0</v>
      </c>
      <c r="H73" s="8">
        <v>0</v>
      </c>
      <c r="I73" s="8">
        <v>0</v>
      </c>
      <c r="J73" s="119"/>
      <c r="K73" s="119"/>
    </row>
    <row r="74" spans="1:13" ht="13.5" customHeight="1" outlineLevel="1" x14ac:dyDescent="0.25">
      <c r="A74" s="117"/>
      <c r="B74" s="118"/>
      <c r="C74" s="119"/>
      <c r="D74" s="36">
        <v>2023</v>
      </c>
      <c r="E74" s="8">
        <f t="shared" si="15"/>
        <v>1934.9216900000004</v>
      </c>
      <c r="F74" s="11">
        <f>5600-3148.56931-134.432-300-82.077</f>
        <v>1934.9216900000004</v>
      </c>
      <c r="G74" s="8">
        <v>0</v>
      </c>
      <c r="H74" s="8">
        <v>0</v>
      </c>
      <c r="I74" s="8">
        <v>0</v>
      </c>
      <c r="J74" s="119"/>
      <c r="K74" s="119"/>
      <c r="M74" s="35" t="s">
        <v>1743</v>
      </c>
    </row>
    <row r="75" spans="1:13" ht="13.5" customHeight="1" outlineLevel="1" x14ac:dyDescent="0.25">
      <c r="A75" s="117"/>
      <c r="B75" s="118"/>
      <c r="C75" s="119"/>
      <c r="D75" s="36">
        <v>2024</v>
      </c>
      <c r="E75" s="8">
        <f t="shared" si="15"/>
        <v>5600</v>
      </c>
      <c r="F75" s="8">
        <v>5600</v>
      </c>
      <c r="G75" s="8">
        <v>0</v>
      </c>
      <c r="H75" s="8">
        <v>0</v>
      </c>
      <c r="I75" s="8">
        <v>0</v>
      </c>
      <c r="J75" s="119"/>
      <c r="K75" s="119"/>
    </row>
    <row r="76" spans="1:13" ht="13.5" customHeight="1" outlineLevel="1" x14ac:dyDescent="0.25">
      <c r="A76" s="117"/>
      <c r="B76" s="118"/>
      <c r="C76" s="119"/>
      <c r="D76" s="36">
        <v>2025</v>
      </c>
      <c r="E76" s="8">
        <f t="shared" si="15"/>
        <v>5600</v>
      </c>
      <c r="F76" s="8">
        <v>5600</v>
      </c>
      <c r="G76" s="8">
        <v>0</v>
      </c>
      <c r="H76" s="8">
        <v>0</v>
      </c>
      <c r="I76" s="8">
        <v>0</v>
      </c>
      <c r="J76" s="119"/>
      <c r="K76" s="119"/>
    </row>
    <row r="77" spans="1:13" ht="13.5" customHeight="1" outlineLevel="1" x14ac:dyDescent="0.25">
      <c r="A77" s="117" t="s">
        <v>506</v>
      </c>
      <c r="B77" s="118" t="s">
        <v>1225</v>
      </c>
      <c r="C77" s="119" t="s">
        <v>14</v>
      </c>
      <c r="D77" s="36" t="s">
        <v>8</v>
      </c>
      <c r="E77" s="8">
        <f t="shared" si="15"/>
        <v>251750.26500000001</v>
      </c>
      <c r="F77" s="8">
        <f>SUM(F78:F82)</f>
        <v>251750.26500000001</v>
      </c>
      <c r="G77" s="8">
        <f>SUM(G78:G82)</f>
        <v>0</v>
      </c>
      <c r="H77" s="8">
        <f>SUM(H78:H82)</f>
        <v>0</v>
      </c>
      <c r="I77" s="8">
        <f>SUM(I78:I82)</f>
        <v>0</v>
      </c>
      <c r="J77" s="119" t="s">
        <v>508</v>
      </c>
      <c r="K77" s="119" t="s">
        <v>486</v>
      </c>
    </row>
    <row r="78" spans="1:13" ht="13.5" customHeight="1" outlineLevel="1" x14ac:dyDescent="0.25">
      <c r="A78" s="117"/>
      <c r="B78" s="118"/>
      <c r="C78" s="119"/>
      <c r="D78" s="36">
        <v>2021</v>
      </c>
      <c r="E78" s="8">
        <f t="shared" si="15"/>
        <v>29443.125</v>
      </c>
      <c r="F78" s="8">
        <f>29443125/1000</f>
        <v>29443.125</v>
      </c>
      <c r="G78" s="8">
        <v>0</v>
      </c>
      <c r="H78" s="8">
        <v>0</v>
      </c>
      <c r="I78" s="8">
        <v>0</v>
      </c>
      <c r="J78" s="119"/>
      <c r="K78" s="119"/>
    </row>
    <row r="79" spans="1:13" ht="13.5" customHeight="1" outlineLevel="1" x14ac:dyDescent="0.25">
      <c r="A79" s="117"/>
      <c r="B79" s="118"/>
      <c r="C79" s="119"/>
      <c r="D79" s="36">
        <v>2022</v>
      </c>
      <c r="E79" s="8">
        <f t="shared" si="15"/>
        <v>99747.438999999998</v>
      </c>
      <c r="F79" s="8">
        <v>99747.438999999998</v>
      </c>
      <c r="G79" s="8">
        <v>0</v>
      </c>
      <c r="H79" s="8">
        <v>0</v>
      </c>
      <c r="I79" s="8">
        <v>0</v>
      </c>
      <c r="J79" s="119"/>
      <c r="K79" s="119"/>
    </row>
    <row r="80" spans="1:13" ht="13.5" customHeight="1" outlineLevel="1" x14ac:dyDescent="0.25">
      <c r="A80" s="117"/>
      <c r="B80" s="118"/>
      <c r="C80" s="119"/>
      <c r="D80" s="36">
        <v>2023</v>
      </c>
      <c r="E80" s="8">
        <f t="shared" si="15"/>
        <v>74885.229000000007</v>
      </c>
      <c r="F80" s="11">
        <f>56948.035+1000+16937.194</f>
        <v>74885.229000000007</v>
      </c>
      <c r="G80" s="8">
        <v>0</v>
      </c>
      <c r="H80" s="8">
        <v>0</v>
      </c>
      <c r="I80" s="8">
        <v>0</v>
      </c>
      <c r="J80" s="119"/>
      <c r="K80" s="119"/>
    </row>
    <row r="81" spans="1:11" ht="13.5" customHeight="1" outlineLevel="1" x14ac:dyDescent="0.25">
      <c r="A81" s="117"/>
      <c r="B81" s="118"/>
      <c r="C81" s="119"/>
      <c r="D81" s="36">
        <v>2024</v>
      </c>
      <c r="E81" s="8">
        <f t="shared" si="15"/>
        <v>23837.236000000001</v>
      </c>
      <c r="F81" s="8">
        <v>23837.236000000001</v>
      </c>
      <c r="G81" s="8">
        <v>0</v>
      </c>
      <c r="H81" s="8">
        <v>0</v>
      </c>
      <c r="I81" s="8">
        <v>0</v>
      </c>
      <c r="J81" s="119"/>
      <c r="K81" s="119"/>
    </row>
    <row r="82" spans="1:11" ht="13.5" customHeight="1" outlineLevel="1" x14ac:dyDescent="0.25">
      <c r="A82" s="117"/>
      <c r="B82" s="118"/>
      <c r="C82" s="119"/>
      <c r="D82" s="36">
        <v>2025</v>
      </c>
      <c r="E82" s="8">
        <f t="shared" si="15"/>
        <v>23837.236000000001</v>
      </c>
      <c r="F82" s="8">
        <v>23837.236000000001</v>
      </c>
      <c r="G82" s="8">
        <v>0</v>
      </c>
      <c r="H82" s="8">
        <v>0</v>
      </c>
      <c r="I82" s="8">
        <v>0</v>
      </c>
      <c r="J82" s="119"/>
      <c r="K82" s="119"/>
    </row>
    <row r="83" spans="1:11" ht="13.5" customHeight="1" outlineLevel="1" x14ac:dyDescent="0.25">
      <c r="A83" s="117" t="s">
        <v>821</v>
      </c>
      <c r="B83" s="118" t="s">
        <v>822</v>
      </c>
      <c r="C83" s="119" t="s">
        <v>1113</v>
      </c>
      <c r="D83" s="36" t="s">
        <v>8</v>
      </c>
      <c r="E83" s="8">
        <f t="shared" si="15"/>
        <v>80000</v>
      </c>
      <c r="F83" s="8">
        <f>SUM(F84:F88)</f>
        <v>80000</v>
      </c>
      <c r="G83" s="8">
        <f>SUM(G84:G88)</f>
        <v>0</v>
      </c>
      <c r="H83" s="8">
        <f>SUM(H84:H88)</f>
        <v>0</v>
      </c>
      <c r="I83" s="8">
        <f>SUM(I84:I88)</f>
        <v>0</v>
      </c>
      <c r="J83" s="119" t="s">
        <v>823</v>
      </c>
      <c r="K83" s="119" t="s">
        <v>484</v>
      </c>
    </row>
    <row r="84" spans="1:11" ht="13.5" customHeight="1" outlineLevel="1" x14ac:dyDescent="0.25">
      <c r="A84" s="117"/>
      <c r="B84" s="118"/>
      <c r="C84" s="119"/>
      <c r="D84" s="36">
        <v>2021</v>
      </c>
      <c r="E84" s="8">
        <f t="shared" si="15"/>
        <v>0</v>
      </c>
      <c r="F84" s="8">
        <v>0</v>
      </c>
      <c r="G84" s="8">
        <v>0</v>
      </c>
      <c r="H84" s="8">
        <v>0</v>
      </c>
      <c r="I84" s="8">
        <v>0</v>
      </c>
      <c r="J84" s="119"/>
      <c r="K84" s="119"/>
    </row>
    <row r="85" spans="1:11" ht="13.5" customHeight="1" outlineLevel="1" x14ac:dyDescent="0.25">
      <c r="A85" s="117"/>
      <c r="B85" s="118"/>
      <c r="C85" s="119"/>
      <c r="D85" s="36">
        <v>2022</v>
      </c>
      <c r="E85" s="8">
        <f t="shared" si="15"/>
        <v>20000</v>
      </c>
      <c r="F85" s="8">
        <v>20000</v>
      </c>
      <c r="G85" s="8">
        <v>0</v>
      </c>
      <c r="H85" s="8">
        <v>0</v>
      </c>
      <c r="I85" s="8">
        <v>0</v>
      </c>
      <c r="J85" s="119"/>
      <c r="K85" s="119"/>
    </row>
    <row r="86" spans="1:11" ht="13.5" customHeight="1" outlineLevel="1" x14ac:dyDescent="0.25">
      <c r="A86" s="117"/>
      <c r="B86" s="118"/>
      <c r="C86" s="119"/>
      <c r="D86" s="36">
        <v>2023</v>
      </c>
      <c r="E86" s="8">
        <f t="shared" si="15"/>
        <v>20000</v>
      </c>
      <c r="F86" s="8">
        <v>20000</v>
      </c>
      <c r="G86" s="8">
        <v>0</v>
      </c>
      <c r="H86" s="8">
        <v>0</v>
      </c>
      <c r="I86" s="8">
        <v>0</v>
      </c>
      <c r="J86" s="119"/>
      <c r="K86" s="119"/>
    </row>
    <row r="87" spans="1:11" ht="13.5" customHeight="1" outlineLevel="1" x14ac:dyDescent="0.25">
      <c r="A87" s="117"/>
      <c r="B87" s="118"/>
      <c r="C87" s="119"/>
      <c r="D87" s="36">
        <v>2024</v>
      </c>
      <c r="E87" s="8">
        <f t="shared" si="15"/>
        <v>20000</v>
      </c>
      <c r="F87" s="8">
        <v>20000</v>
      </c>
      <c r="G87" s="8">
        <v>0</v>
      </c>
      <c r="H87" s="8">
        <v>0</v>
      </c>
      <c r="I87" s="8">
        <v>0</v>
      </c>
      <c r="J87" s="119"/>
      <c r="K87" s="119"/>
    </row>
    <row r="88" spans="1:11" ht="13.5" customHeight="1" outlineLevel="1" x14ac:dyDescent="0.25">
      <c r="A88" s="117"/>
      <c r="B88" s="118"/>
      <c r="C88" s="119"/>
      <c r="D88" s="36">
        <v>2025</v>
      </c>
      <c r="E88" s="8">
        <f t="shared" si="15"/>
        <v>20000</v>
      </c>
      <c r="F88" s="8">
        <v>20000</v>
      </c>
      <c r="G88" s="8">
        <v>0</v>
      </c>
      <c r="H88" s="8">
        <v>0</v>
      </c>
      <c r="I88" s="8">
        <v>0</v>
      </c>
      <c r="J88" s="119"/>
      <c r="K88" s="119"/>
    </row>
    <row r="89" spans="1:11" ht="13.5" customHeight="1" outlineLevel="1" x14ac:dyDescent="0.25">
      <c r="A89" s="117" t="s">
        <v>824</v>
      </c>
      <c r="B89" s="118" t="s">
        <v>1114</v>
      </c>
      <c r="C89" s="119" t="s">
        <v>14</v>
      </c>
      <c r="D89" s="36" t="s">
        <v>8</v>
      </c>
      <c r="E89" s="8">
        <f t="shared" si="15"/>
        <v>3220</v>
      </c>
      <c r="F89" s="8">
        <f>SUM(F90:F94)</f>
        <v>3220</v>
      </c>
      <c r="G89" s="8">
        <f>SUM(G90:G94)</f>
        <v>0</v>
      </c>
      <c r="H89" s="8">
        <f>SUM(H90:H94)</f>
        <v>0</v>
      </c>
      <c r="I89" s="8">
        <f>SUM(I90:I94)</f>
        <v>0</v>
      </c>
      <c r="J89" s="119" t="s">
        <v>1115</v>
      </c>
      <c r="K89" s="119" t="s">
        <v>484</v>
      </c>
    </row>
    <row r="90" spans="1:11" ht="13.5" customHeight="1" outlineLevel="1" x14ac:dyDescent="0.25">
      <c r="A90" s="117"/>
      <c r="B90" s="118"/>
      <c r="C90" s="119"/>
      <c r="D90" s="36">
        <v>2021</v>
      </c>
      <c r="E90" s="8">
        <f t="shared" si="15"/>
        <v>0</v>
      </c>
      <c r="F90" s="8">
        <v>0</v>
      </c>
      <c r="G90" s="8">
        <v>0</v>
      </c>
      <c r="H90" s="8">
        <v>0</v>
      </c>
      <c r="I90" s="8">
        <v>0</v>
      </c>
      <c r="J90" s="119"/>
      <c r="K90" s="119"/>
    </row>
    <row r="91" spans="1:11" ht="13.5" customHeight="1" outlineLevel="1" x14ac:dyDescent="0.25">
      <c r="A91" s="117"/>
      <c r="B91" s="118"/>
      <c r="C91" s="119"/>
      <c r="D91" s="36">
        <v>2022</v>
      </c>
      <c r="E91" s="8">
        <f t="shared" si="15"/>
        <v>3220</v>
      </c>
      <c r="F91" s="8">
        <f>3360-140</f>
        <v>3220</v>
      </c>
      <c r="G91" s="8">
        <v>0</v>
      </c>
      <c r="H91" s="8">
        <v>0</v>
      </c>
      <c r="I91" s="8">
        <v>0</v>
      </c>
      <c r="J91" s="119"/>
      <c r="K91" s="119"/>
    </row>
    <row r="92" spans="1:11" ht="13.5" customHeight="1" outlineLevel="1" x14ac:dyDescent="0.25">
      <c r="A92" s="117"/>
      <c r="B92" s="118"/>
      <c r="C92" s="119"/>
      <c r="D92" s="36">
        <v>2023</v>
      </c>
      <c r="E92" s="8">
        <f t="shared" si="15"/>
        <v>0</v>
      </c>
      <c r="F92" s="8">
        <v>0</v>
      </c>
      <c r="G92" s="8">
        <v>0</v>
      </c>
      <c r="H92" s="8">
        <v>0</v>
      </c>
      <c r="I92" s="8">
        <v>0</v>
      </c>
      <c r="J92" s="119"/>
      <c r="K92" s="119"/>
    </row>
    <row r="93" spans="1:11" ht="13.5" customHeight="1" outlineLevel="1" x14ac:dyDescent="0.25">
      <c r="A93" s="117"/>
      <c r="B93" s="118"/>
      <c r="C93" s="119"/>
      <c r="D93" s="36">
        <v>2024</v>
      </c>
      <c r="E93" s="8">
        <f t="shared" si="15"/>
        <v>0</v>
      </c>
      <c r="F93" s="8">
        <v>0</v>
      </c>
      <c r="G93" s="8">
        <v>0</v>
      </c>
      <c r="H93" s="8">
        <v>0</v>
      </c>
      <c r="I93" s="8">
        <v>0</v>
      </c>
      <c r="J93" s="119"/>
      <c r="K93" s="119"/>
    </row>
    <row r="94" spans="1:11" ht="13.5" customHeight="1" outlineLevel="1" x14ac:dyDescent="0.25">
      <c r="A94" s="117"/>
      <c r="B94" s="118"/>
      <c r="C94" s="119"/>
      <c r="D94" s="36">
        <v>2025</v>
      </c>
      <c r="E94" s="8">
        <f t="shared" si="15"/>
        <v>0</v>
      </c>
      <c r="F94" s="8">
        <v>0</v>
      </c>
      <c r="G94" s="8">
        <v>0</v>
      </c>
      <c r="H94" s="8">
        <v>0</v>
      </c>
      <c r="I94" s="8">
        <v>0</v>
      </c>
      <c r="J94" s="119"/>
      <c r="K94" s="119"/>
    </row>
    <row r="95" spans="1:11" ht="23.25" customHeight="1" outlineLevel="1" x14ac:dyDescent="0.25">
      <c r="A95" s="117" t="s">
        <v>826</v>
      </c>
      <c r="B95" s="118" t="s">
        <v>1116</v>
      </c>
      <c r="C95" s="119" t="s">
        <v>828</v>
      </c>
      <c r="D95" s="36" t="s">
        <v>8</v>
      </c>
      <c r="E95" s="8">
        <f t="shared" si="15"/>
        <v>0</v>
      </c>
      <c r="F95" s="8">
        <f>SUM(F96:F100)</f>
        <v>0</v>
      </c>
      <c r="G95" s="8">
        <f>SUM(G96:G100)</f>
        <v>0</v>
      </c>
      <c r="H95" s="8">
        <f>SUM(H96:H100)</f>
        <v>0</v>
      </c>
      <c r="I95" s="8">
        <f>SUM(I96:I100)</f>
        <v>0</v>
      </c>
      <c r="J95" s="119" t="s">
        <v>829</v>
      </c>
      <c r="K95" s="119" t="s">
        <v>484</v>
      </c>
    </row>
    <row r="96" spans="1:11" ht="13.5" customHeight="1" outlineLevel="1" x14ac:dyDescent="0.25">
      <c r="A96" s="117"/>
      <c r="B96" s="118"/>
      <c r="C96" s="119"/>
      <c r="D96" s="36">
        <v>2021</v>
      </c>
      <c r="E96" s="8">
        <f t="shared" si="15"/>
        <v>0</v>
      </c>
      <c r="F96" s="8">
        <v>0</v>
      </c>
      <c r="G96" s="8">
        <v>0</v>
      </c>
      <c r="H96" s="8">
        <v>0</v>
      </c>
      <c r="I96" s="8">
        <v>0</v>
      </c>
      <c r="J96" s="119"/>
      <c r="K96" s="119"/>
    </row>
    <row r="97" spans="1:11" ht="13.5" customHeight="1" outlineLevel="1" x14ac:dyDescent="0.25">
      <c r="A97" s="117"/>
      <c r="B97" s="118"/>
      <c r="C97" s="119"/>
      <c r="D97" s="36">
        <v>2022</v>
      </c>
      <c r="E97" s="8">
        <f t="shared" si="15"/>
        <v>0</v>
      </c>
      <c r="F97" s="8">
        <v>0</v>
      </c>
      <c r="G97" s="8">
        <v>0</v>
      </c>
      <c r="H97" s="8">
        <v>0</v>
      </c>
      <c r="I97" s="8">
        <v>0</v>
      </c>
      <c r="J97" s="119"/>
      <c r="K97" s="119"/>
    </row>
    <row r="98" spans="1:11" ht="13.5" customHeight="1" outlineLevel="1" x14ac:dyDescent="0.25">
      <c r="A98" s="117"/>
      <c r="B98" s="118"/>
      <c r="C98" s="119"/>
      <c r="D98" s="36">
        <v>2023</v>
      </c>
      <c r="E98" s="8">
        <f t="shared" si="15"/>
        <v>0</v>
      </c>
      <c r="F98" s="8">
        <v>0</v>
      </c>
      <c r="G98" s="8">
        <v>0</v>
      </c>
      <c r="H98" s="8">
        <v>0</v>
      </c>
      <c r="I98" s="8">
        <v>0</v>
      </c>
      <c r="J98" s="119"/>
      <c r="K98" s="119"/>
    </row>
    <row r="99" spans="1:11" ht="13.5" customHeight="1" outlineLevel="1" x14ac:dyDescent="0.25">
      <c r="A99" s="117"/>
      <c r="B99" s="118"/>
      <c r="C99" s="119"/>
      <c r="D99" s="36">
        <v>2024</v>
      </c>
      <c r="E99" s="8">
        <f t="shared" si="15"/>
        <v>0</v>
      </c>
      <c r="F99" s="8">
        <v>0</v>
      </c>
      <c r="G99" s="8">
        <v>0</v>
      </c>
      <c r="H99" s="8">
        <v>0</v>
      </c>
      <c r="I99" s="8">
        <v>0</v>
      </c>
      <c r="J99" s="119"/>
      <c r="K99" s="119"/>
    </row>
    <row r="100" spans="1:11" ht="13.5" customHeight="1" outlineLevel="1" x14ac:dyDescent="0.25">
      <c r="A100" s="117"/>
      <c r="B100" s="118"/>
      <c r="C100" s="119"/>
      <c r="D100" s="36">
        <v>2025</v>
      </c>
      <c r="E100" s="8">
        <v>0</v>
      </c>
      <c r="F100" s="8">
        <v>0</v>
      </c>
      <c r="G100" s="8">
        <v>0</v>
      </c>
      <c r="H100" s="8">
        <v>0</v>
      </c>
      <c r="I100" s="8">
        <v>0</v>
      </c>
      <c r="J100" s="119"/>
      <c r="K100" s="119"/>
    </row>
    <row r="101" spans="1:11" ht="13.5" customHeight="1" outlineLevel="1" x14ac:dyDescent="0.25">
      <c r="A101" s="117" t="s">
        <v>830</v>
      </c>
      <c r="B101" s="118" t="s">
        <v>1117</v>
      </c>
      <c r="C101" s="119" t="s">
        <v>14</v>
      </c>
      <c r="D101" s="36" t="s">
        <v>8</v>
      </c>
      <c r="E101" s="8">
        <f t="shared" si="15"/>
        <v>95500</v>
      </c>
      <c r="F101" s="8">
        <f>SUM(F102:F106)</f>
        <v>95500</v>
      </c>
      <c r="G101" s="8">
        <f>SUM(G102:G106)</f>
        <v>0</v>
      </c>
      <c r="H101" s="8">
        <f>SUM(H102:H106)</f>
        <v>0</v>
      </c>
      <c r="I101" s="8">
        <f>SUM(I102:I106)</f>
        <v>0</v>
      </c>
      <c r="J101" s="119" t="s">
        <v>1118</v>
      </c>
      <c r="K101" s="119" t="s">
        <v>515</v>
      </c>
    </row>
    <row r="102" spans="1:11" ht="13.5" customHeight="1" outlineLevel="1" x14ac:dyDescent="0.25">
      <c r="A102" s="117"/>
      <c r="B102" s="118"/>
      <c r="C102" s="119"/>
      <c r="D102" s="36">
        <v>2021</v>
      </c>
      <c r="E102" s="8">
        <f t="shared" si="15"/>
        <v>0</v>
      </c>
      <c r="F102" s="8">
        <v>0</v>
      </c>
      <c r="G102" s="8">
        <v>0</v>
      </c>
      <c r="H102" s="8">
        <v>0</v>
      </c>
      <c r="I102" s="8">
        <v>0</v>
      </c>
      <c r="J102" s="119"/>
      <c r="K102" s="119"/>
    </row>
    <row r="103" spans="1:11" ht="13.5" customHeight="1" outlineLevel="1" x14ac:dyDescent="0.25">
      <c r="A103" s="117"/>
      <c r="B103" s="118"/>
      <c r="C103" s="119"/>
      <c r="D103" s="36">
        <v>2022</v>
      </c>
      <c r="E103" s="8">
        <f t="shared" si="15"/>
        <v>21000</v>
      </c>
      <c r="F103" s="8">
        <v>21000</v>
      </c>
      <c r="G103" s="8">
        <v>0</v>
      </c>
      <c r="H103" s="8">
        <v>0</v>
      </c>
      <c r="I103" s="8">
        <v>0</v>
      </c>
      <c r="J103" s="119"/>
      <c r="K103" s="119"/>
    </row>
    <row r="104" spans="1:11" ht="13.5" customHeight="1" outlineLevel="1" x14ac:dyDescent="0.25">
      <c r="A104" s="117"/>
      <c r="B104" s="118"/>
      <c r="C104" s="119"/>
      <c r="D104" s="36">
        <v>2023</v>
      </c>
      <c r="E104" s="8">
        <f t="shared" si="15"/>
        <v>22500</v>
      </c>
      <c r="F104" s="11">
        <f>26000-3500</f>
        <v>22500</v>
      </c>
      <c r="G104" s="8">
        <v>0</v>
      </c>
      <c r="H104" s="8">
        <v>0</v>
      </c>
      <c r="I104" s="8">
        <v>0</v>
      </c>
      <c r="J104" s="119"/>
      <c r="K104" s="119"/>
    </row>
    <row r="105" spans="1:11" ht="13.5" customHeight="1" outlineLevel="1" x14ac:dyDescent="0.25">
      <c r="A105" s="117"/>
      <c r="B105" s="118"/>
      <c r="C105" s="119"/>
      <c r="D105" s="36">
        <v>2024</v>
      </c>
      <c r="E105" s="8">
        <f t="shared" si="15"/>
        <v>26000</v>
      </c>
      <c r="F105" s="8">
        <v>26000</v>
      </c>
      <c r="G105" s="8">
        <v>0</v>
      </c>
      <c r="H105" s="8">
        <v>0</v>
      </c>
      <c r="I105" s="8">
        <v>0</v>
      </c>
      <c r="J105" s="119"/>
      <c r="K105" s="119"/>
    </row>
    <row r="106" spans="1:11" ht="13.5" customHeight="1" outlineLevel="1" x14ac:dyDescent="0.25">
      <c r="A106" s="117"/>
      <c r="B106" s="118"/>
      <c r="C106" s="119"/>
      <c r="D106" s="36">
        <v>2025</v>
      </c>
      <c r="E106" s="8">
        <f t="shared" ref="E106:H120" si="19">SUM(F106:I106)</f>
        <v>26000</v>
      </c>
      <c r="F106" s="8">
        <v>26000</v>
      </c>
      <c r="G106" s="8">
        <v>0</v>
      </c>
      <c r="H106" s="8">
        <v>0</v>
      </c>
      <c r="I106" s="8">
        <v>0</v>
      </c>
      <c r="J106" s="119"/>
      <c r="K106" s="119"/>
    </row>
    <row r="107" spans="1:11" ht="18" customHeight="1" outlineLevel="1" x14ac:dyDescent="0.25">
      <c r="A107" s="117" t="s">
        <v>832</v>
      </c>
      <c r="B107" s="118" t="s">
        <v>1119</v>
      </c>
      <c r="C107" s="119" t="s">
        <v>124</v>
      </c>
      <c r="D107" s="36" t="s">
        <v>8</v>
      </c>
      <c r="E107" s="8">
        <f t="shared" si="19"/>
        <v>9000</v>
      </c>
      <c r="F107" s="8">
        <f>SUM(F108:F112)</f>
        <v>9000</v>
      </c>
      <c r="G107" s="8">
        <f>SUM(G108:G112)</f>
        <v>0</v>
      </c>
      <c r="H107" s="8">
        <f>SUM(H108:H112)</f>
        <v>0</v>
      </c>
      <c r="I107" s="8">
        <f>SUM(I108:I112)</f>
        <v>0</v>
      </c>
      <c r="J107" s="119" t="s">
        <v>1120</v>
      </c>
      <c r="K107" s="119" t="s">
        <v>515</v>
      </c>
    </row>
    <row r="108" spans="1:11" ht="22.5" customHeight="1" outlineLevel="1" x14ac:dyDescent="0.25">
      <c r="A108" s="117"/>
      <c r="B108" s="118"/>
      <c r="C108" s="119"/>
      <c r="D108" s="36">
        <v>2021</v>
      </c>
      <c r="E108" s="8">
        <f t="shared" si="19"/>
        <v>0</v>
      </c>
      <c r="F108" s="8">
        <v>0</v>
      </c>
      <c r="G108" s="8">
        <v>0</v>
      </c>
      <c r="H108" s="8">
        <v>0</v>
      </c>
      <c r="I108" s="8">
        <v>0</v>
      </c>
      <c r="J108" s="119"/>
      <c r="K108" s="119"/>
    </row>
    <row r="109" spans="1:11" ht="26.25" customHeight="1" outlineLevel="1" x14ac:dyDescent="0.25">
      <c r="A109" s="117"/>
      <c r="B109" s="118"/>
      <c r="C109" s="119"/>
      <c r="D109" s="36">
        <v>2022</v>
      </c>
      <c r="E109" s="8">
        <f t="shared" si="19"/>
        <v>9000</v>
      </c>
      <c r="F109" s="8">
        <v>9000</v>
      </c>
      <c r="G109" s="8">
        <v>0</v>
      </c>
      <c r="H109" s="8">
        <v>0</v>
      </c>
      <c r="I109" s="8">
        <v>0</v>
      </c>
      <c r="J109" s="119"/>
      <c r="K109" s="119"/>
    </row>
    <row r="110" spans="1:11" ht="32.25" customHeight="1" outlineLevel="1" x14ac:dyDescent="0.25">
      <c r="A110" s="117"/>
      <c r="B110" s="118"/>
      <c r="C110" s="119"/>
      <c r="D110" s="36">
        <v>2023</v>
      </c>
      <c r="E110" s="8">
        <f t="shared" si="19"/>
        <v>0</v>
      </c>
      <c r="F110" s="8">
        <v>0</v>
      </c>
      <c r="G110" s="8">
        <v>0</v>
      </c>
      <c r="H110" s="8">
        <v>0</v>
      </c>
      <c r="I110" s="8">
        <v>0</v>
      </c>
      <c r="J110" s="119"/>
      <c r="K110" s="119"/>
    </row>
    <row r="111" spans="1:11" ht="22.5" customHeight="1" outlineLevel="1" x14ac:dyDescent="0.25">
      <c r="A111" s="117"/>
      <c r="B111" s="118"/>
      <c r="C111" s="119"/>
      <c r="D111" s="36">
        <v>2024</v>
      </c>
      <c r="E111" s="8">
        <f t="shared" si="19"/>
        <v>0</v>
      </c>
      <c r="F111" s="8">
        <v>0</v>
      </c>
      <c r="G111" s="8">
        <v>0</v>
      </c>
      <c r="H111" s="8">
        <v>0</v>
      </c>
      <c r="I111" s="8">
        <v>0</v>
      </c>
      <c r="J111" s="119"/>
      <c r="K111" s="119"/>
    </row>
    <row r="112" spans="1:11" ht="21" customHeight="1" outlineLevel="1" x14ac:dyDescent="0.25">
      <c r="A112" s="117"/>
      <c r="B112" s="118"/>
      <c r="C112" s="119"/>
      <c r="D112" s="36">
        <v>2025</v>
      </c>
      <c r="E112" s="8">
        <f t="shared" si="19"/>
        <v>0</v>
      </c>
      <c r="F112" s="8">
        <v>0</v>
      </c>
      <c r="G112" s="8">
        <v>0</v>
      </c>
      <c r="H112" s="8">
        <v>0</v>
      </c>
      <c r="I112" s="8">
        <v>0</v>
      </c>
      <c r="J112" s="119"/>
      <c r="K112" s="119"/>
    </row>
    <row r="113" spans="1:11" ht="15.75" customHeight="1" outlineLevel="1" x14ac:dyDescent="0.25">
      <c r="A113" s="117" t="s">
        <v>1121</v>
      </c>
      <c r="B113" s="118" t="s">
        <v>1122</v>
      </c>
      <c r="C113" s="119">
        <v>2022</v>
      </c>
      <c r="D113" s="36" t="s">
        <v>8</v>
      </c>
      <c r="E113" s="8">
        <f>SUM(F113:I113)</f>
        <v>33359.250659999998</v>
      </c>
      <c r="F113" s="8">
        <f>SUM(F114:F118)</f>
        <v>33359.250659999998</v>
      </c>
      <c r="G113" s="8">
        <f>SUM(G114:G118)</f>
        <v>0</v>
      </c>
      <c r="H113" s="8">
        <f>SUM(H114:H118)</f>
        <v>0</v>
      </c>
      <c r="I113" s="8">
        <f>SUM(I114:I118)</f>
        <v>0</v>
      </c>
      <c r="J113" s="119" t="s">
        <v>1120</v>
      </c>
      <c r="K113" s="119" t="s">
        <v>515</v>
      </c>
    </row>
    <row r="114" spans="1:11" ht="15.75" customHeight="1" outlineLevel="1" x14ac:dyDescent="0.25">
      <c r="A114" s="117"/>
      <c r="B114" s="118"/>
      <c r="C114" s="119"/>
      <c r="D114" s="36">
        <v>2021</v>
      </c>
      <c r="E114" s="8">
        <f t="shared" si="19"/>
        <v>0</v>
      </c>
      <c r="F114" s="8">
        <v>0</v>
      </c>
      <c r="G114" s="8">
        <v>0</v>
      </c>
      <c r="H114" s="8">
        <v>0</v>
      </c>
      <c r="I114" s="8">
        <v>0</v>
      </c>
      <c r="J114" s="119"/>
      <c r="K114" s="119"/>
    </row>
    <row r="115" spans="1:11" ht="15.75" customHeight="1" outlineLevel="1" x14ac:dyDescent="0.25">
      <c r="A115" s="117"/>
      <c r="B115" s="118"/>
      <c r="C115" s="119"/>
      <c r="D115" s="36">
        <v>2022</v>
      </c>
      <c r="E115" s="8">
        <f t="shared" si="19"/>
        <v>33359.250659999998</v>
      </c>
      <c r="F115" s="8">
        <f>33194.388+164.86266</f>
        <v>33359.250659999998</v>
      </c>
      <c r="G115" s="8">
        <v>0</v>
      </c>
      <c r="H115" s="8">
        <v>0</v>
      </c>
      <c r="I115" s="8">
        <v>0</v>
      </c>
      <c r="J115" s="119"/>
      <c r="K115" s="119"/>
    </row>
    <row r="116" spans="1:11" ht="15.75" customHeight="1" outlineLevel="1" x14ac:dyDescent="0.25">
      <c r="A116" s="117"/>
      <c r="B116" s="118"/>
      <c r="C116" s="119"/>
      <c r="D116" s="36">
        <v>2023</v>
      </c>
      <c r="E116" s="8">
        <f t="shared" si="19"/>
        <v>0</v>
      </c>
      <c r="F116" s="8">
        <f t="shared" si="19"/>
        <v>0</v>
      </c>
      <c r="G116" s="8">
        <f t="shared" si="19"/>
        <v>0</v>
      </c>
      <c r="H116" s="8">
        <f t="shared" si="19"/>
        <v>0</v>
      </c>
      <c r="I116" s="8">
        <v>0</v>
      </c>
      <c r="J116" s="119"/>
      <c r="K116" s="119"/>
    </row>
    <row r="117" spans="1:11" ht="15.75" customHeight="1" outlineLevel="1" x14ac:dyDescent="0.25">
      <c r="A117" s="117"/>
      <c r="B117" s="118"/>
      <c r="C117" s="119"/>
      <c r="D117" s="36">
        <v>2024</v>
      </c>
      <c r="E117" s="8">
        <f t="shared" si="19"/>
        <v>0</v>
      </c>
      <c r="F117" s="8">
        <f t="shared" si="19"/>
        <v>0</v>
      </c>
      <c r="G117" s="8">
        <f t="shared" si="19"/>
        <v>0</v>
      </c>
      <c r="H117" s="8">
        <f t="shared" si="19"/>
        <v>0</v>
      </c>
      <c r="I117" s="8">
        <v>0</v>
      </c>
      <c r="J117" s="119"/>
      <c r="K117" s="119"/>
    </row>
    <row r="118" spans="1:11" ht="15.75" customHeight="1" outlineLevel="1" x14ac:dyDescent="0.25">
      <c r="A118" s="117"/>
      <c r="B118" s="118"/>
      <c r="C118" s="119"/>
      <c r="D118" s="36">
        <v>2025</v>
      </c>
      <c r="E118" s="8">
        <f t="shared" si="19"/>
        <v>0</v>
      </c>
      <c r="F118" s="8">
        <f t="shared" si="19"/>
        <v>0</v>
      </c>
      <c r="G118" s="8">
        <f t="shared" si="19"/>
        <v>0</v>
      </c>
      <c r="H118" s="8">
        <f t="shared" si="19"/>
        <v>0</v>
      </c>
      <c r="I118" s="8">
        <v>0</v>
      </c>
      <c r="J118" s="119"/>
      <c r="K118" s="119"/>
    </row>
    <row r="119" spans="1:11" ht="15.75" customHeight="1" outlineLevel="1" x14ac:dyDescent="0.25">
      <c r="A119" s="117" t="s">
        <v>1123</v>
      </c>
      <c r="B119" s="118" t="s">
        <v>1124</v>
      </c>
      <c r="C119" s="119" t="s">
        <v>1125</v>
      </c>
      <c r="D119" s="36" t="s">
        <v>8</v>
      </c>
      <c r="E119" s="8">
        <f t="shared" si="19"/>
        <v>32210.526320000001</v>
      </c>
      <c r="F119" s="8">
        <f>SUM(F120:F124)</f>
        <v>27000</v>
      </c>
      <c r="G119" s="8">
        <f>SUM(G120:G124)</f>
        <v>0</v>
      </c>
      <c r="H119" s="8">
        <f>SUM(H120:H124)</f>
        <v>5210.5263199999999</v>
      </c>
      <c r="I119" s="8">
        <f>SUM(I120:I124)</f>
        <v>0</v>
      </c>
      <c r="J119" s="161" t="s">
        <v>1764</v>
      </c>
      <c r="K119" s="119" t="s">
        <v>515</v>
      </c>
    </row>
    <row r="120" spans="1:11" ht="15.75" customHeight="1" outlineLevel="1" x14ac:dyDescent="0.25">
      <c r="A120" s="117"/>
      <c r="B120" s="118"/>
      <c r="C120" s="119"/>
      <c r="D120" s="36">
        <v>2021</v>
      </c>
      <c r="E120" s="8">
        <f t="shared" si="19"/>
        <v>0</v>
      </c>
      <c r="F120" s="8">
        <v>0</v>
      </c>
      <c r="G120" s="8">
        <v>0</v>
      </c>
      <c r="H120" s="8">
        <v>0</v>
      </c>
      <c r="I120" s="8">
        <v>0</v>
      </c>
      <c r="J120" s="162"/>
      <c r="K120" s="119"/>
    </row>
    <row r="121" spans="1:11" ht="15.75" customHeight="1" outlineLevel="1" x14ac:dyDescent="0.25">
      <c r="A121" s="117"/>
      <c r="B121" s="118"/>
      <c r="C121" s="119"/>
      <c r="D121" s="36">
        <v>2022</v>
      </c>
      <c r="E121" s="8">
        <f t="shared" ref="E121:E190" si="20">SUM(F121:I121)</f>
        <v>0</v>
      </c>
      <c r="F121" s="8">
        <v>0</v>
      </c>
      <c r="G121" s="8">
        <v>0</v>
      </c>
      <c r="H121" s="8">
        <v>0</v>
      </c>
      <c r="I121" s="8">
        <v>0</v>
      </c>
      <c r="J121" s="162"/>
      <c r="K121" s="119"/>
    </row>
    <row r="122" spans="1:11" ht="15.75" customHeight="1" outlineLevel="1" x14ac:dyDescent="0.25">
      <c r="A122" s="117"/>
      <c r="B122" s="118"/>
      <c r="C122" s="119"/>
      <c r="D122" s="36">
        <v>2023</v>
      </c>
      <c r="E122" s="8">
        <f t="shared" si="20"/>
        <v>14210.526320000001</v>
      </c>
      <c r="F122" s="8">
        <v>9000</v>
      </c>
      <c r="G122" s="8">
        <v>0</v>
      </c>
      <c r="H122" s="8">
        <v>5210.5263199999999</v>
      </c>
      <c r="I122" s="8">
        <v>0</v>
      </c>
      <c r="J122" s="162"/>
      <c r="K122" s="119"/>
    </row>
    <row r="123" spans="1:11" ht="15.75" customHeight="1" outlineLevel="1" x14ac:dyDescent="0.25">
      <c r="A123" s="117"/>
      <c r="B123" s="118"/>
      <c r="C123" s="119"/>
      <c r="D123" s="36">
        <v>2024</v>
      </c>
      <c r="E123" s="8">
        <f t="shared" si="20"/>
        <v>9000</v>
      </c>
      <c r="F123" s="8">
        <v>9000</v>
      </c>
      <c r="G123" s="8">
        <v>0</v>
      </c>
      <c r="H123" s="8">
        <v>0</v>
      </c>
      <c r="I123" s="8">
        <v>0</v>
      </c>
      <c r="J123" s="162"/>
      <c r="K123" s="119"/>
    </row>
    <row r="124" spans="1:11" ht="15.75" customHeight="1" outlineLevel="1" x14ac:dyDescent="0.25">
      <c r="A124" s="117"/>
      <c r="B124" s="118"/>
      <c r="C124" s="119"/>
      <c r="D124" s="36">
        <v>2025</v>
      </c>
      <c r="E124" s="8">
        <f t="shared" si="20"/>
        <v>9000</v>
      </c>
      <c r="F124" s="8">
        <v>9000</v>
      </c>
      <c r="G124" s="8">
        <v>0</v>
      </c>
      <c r="H124" s="8">
        <v>0</v>
      </c>
      <c r="I124" s="8">
        <v>0</v>
      </c>
      <c r="J124" s="163"/>
      <c r="K124" s="119"/>
    </row>
    <row r="125" spans="1:11" ht="15.75" customHeight="1" outlineLevel="1" x14ac:dyDescent="0.25">
      <c r="A125" s="117" t="s">
        <v>1126</v>
      </c>
      <c r="B125" s="118" t="s">
        <v>1127</v>
      </c>
      <c r="C125" s="119" t="s">
        <v>1125</v>
      </c>
      <c r="D125" s="36" t="s">
        <v>8</v>
      </c>
      <c r="E125" s="8">
        <f t="shared" si="20"/>
        <v>112275.26502000001</v>
      </c>
      <c r="F125" s="8">
        <f>SUM(F126:F130)</f>
        <v>105000</v>
      </c>
      <c r="G125" s="8">
        <f>SUM(G126:G130)</f>
        <v>0</v>
      </c>
      <c r="H125" s="8">
        <f>SUM(H126:H130)</f>
        <v>7275.2650199999998</v>
      </c>
      <c r="I125" s="8">
        <f>SUM(I126:I130)</f>
        <v>0</v>
      </c>
      <c r="J125" s="161" t="s">
        <v>1765</v>
      </c>
      <c r="K125" s="119" t="s">
        <v>515</v>
      </c>
    </row>
    <row r="126" spans="1:11" ht="15.75" customHeight="1" outlineLevel="1" x14ac:dyDescent="0.25">
      <c r="A126" s="117"/>
      <c r="B126" s="118"/>
      <c r="C126" s="119"/>
      <c r="D126" s="36">
        <v>2021</v>
      </c>
      <c r="E126" s="8">
        <f t="shared" si="20"/>
        <v>0</v>
      </c>
      <c r="F126" s="8">
        <v>0</v>
      </c>
      <c r="G126" s="8">
        <f t="shared" ref="G126:H130" si="21">SUM(H126:K126)</f>
        <v>0</v>
      </c>
      <c r="H126" s="8">
        <f t="shared" si="21"/>
        <v>0</v>
      </c>
      <c r="I126" s="8">
        <v>0</v>
      </c>
      <c r="J126" s="162"/>
      <c r="K126" s="119"/>
    </row>
    <row r="127" spans="1:11" ht="15.75" customHeight="1" outlineLevel="1" x14ac:dyDescent="0.25">
      <c r="A127" s="117"/>
      <c r="B127" s="118"/>
      <c r="C127" s="119"/>
      <c r="D127" s="36">
        <v>2022</v>
      </c>
      <c r="E127" s="8">
        <f t="shared" si="20"/>
        <v>0</v>
      </c>
      <c r="F127" s="8">
        <v>0</v>
      </c>
      <c r="G127" s="8">
        <f t="shared" si="21"/>
        <v>0</v>
      </c>
      <c r="H127" s="8">
        <f t="shared" si="21"/>
        <v>0</v>
      </c>
      <c r="I127" s="8">
        <v>0</v>
      </c>
      <c r="J127" s="162"/>
      <c r="K127" s="119"/>
    </row>
    <row r="128" spans="1:11" ht="15.75" customHeight="1" outlineLevel="1" x14ac:dyDescent="0.25">
      <c r="A128" s="117"/>
      <c r="B128" s="118"/>
      <c r="C128" s="119"/>
      <c r="D128" s="36">
        <v>2023</v>
      </c>
      <c r="E128" s="8">
        <f t="shared" si="20"/>
        <v>42275.265019999999</v>
      </c>
      <c r="F128" s="8">
        <v>35000</v>
      </c>
      <c r="G128" s="8"/>
      <c r="H128" s="8">
        <v>7275.2650199999998</v>
      </c>
      <c r="I128" s="8">
        <v>0</v>
      </c>
      <c r="J128" s="162"/>
      <c r="K128" s="119"/>
    </row>
    <row r="129" spans="1:11" ht="15.75" customHeight="1" outlineLevel="1" x14ac:dyDescent="0.25">
      <c r="A129" s="117"/>
      <c r="B129" s="118"/>
      <c r="C129" s="119"/>
      <c r="D129" s="36">
        <v>2024</v>
      </c>
      <c r="E129" s="8">
        <f t="shared" si="20"/>
        <v>35000</v>
      </c>
      <c r="F129" s="8">
        <v>35000</v>
      </c>
      <c r="G129" s="8">
        <f t="shared" si="21"/>
        <v>0</v>
      </c>
      <c r="H129" s="8">
        <f t="shared" si="21"/>
        <v>0</v>
      </c>
      <c r="I129" s="8">
        <v>0</v>
      </c>
      <c r="J129" s="162"/>
      <c r="K129" s="119"/>
    </row>
    <row r="130" spans="1:11" ht="15.75" customHeight="1" outlineLevel="1" x14ac:dyDescent="0.25">
      <c r="A130" s="117"/>
      <c r="B130" s="118"/>
      <c r="C130" s="119"/>
      <c r="D130" s="36">
        <v>2025</v>
      </c>
      <c r="E130" s="8">
        <f t="shared" si="20"/>
        <v>35000</v>
      </c>
      <c r="F130" s="8">
        <v>35000</v>
      </c>
      <c r="G130" s="8">
        <f t="shared" si="21"/>
        <v>0</v>
      </c>
      <c r="H130" s="8">
        <f t="shared" si="21"/>
        <v>0</v>
      </c>
      <c r="I130" s="8">
        <v>0</v>
      </c>
      <c r="J130" s="163"/>
      <c r="K130" s="119"/>
    </row>
    <row r="131" spans="1:11" ht="15.75" customHeight="1" outlineLevel="1" x14ac:dyDescent="0.25">
      <c r="A131" s="117" t="s">
        <v>1128</v>
      </c>
      <c r="B131" s="118" t="s">
        <v>1129</v>
      </c>
      <c r="C131" s="119" t="s">
        <v>1125</v>
      </c>
      <c r="D131" s="36" t="s">
        <v>8</v>
      </c>
      <c r="E131" s="8">
        <f t="shared" si="20"/>
        <v>28730.001</v>
      </c>
      <c r="F131" s="8">
        <f>SUM(F132:F136)</f>
        <v>28730.001</v>
      </c>
      <c r="G131" s="8">
        <f t="shared" ref="G131:H143" si="22">SUM(G132:G136)</f>
        <v>0</v>
      </c>
      <c r="H131" s="8">
        <f t="shared" si="22"/>
        <v>0</v>
      </c>
      <c r="I131" s="8">
        <f>SUM(I132:I136)</f>
        <v>0</v>
      </c>
      <c r="J131" s="119" t="s">
        <v>1130</v>
      </c>
      <c r="K131" s="119" t="s">
        <v>484</v>
      </c>
    </row>
    <row r="132" spans="1:11" ht="15.75" customHeight="1" outlineLevel="1" x14ac:dyDescent="0.25">
      <c r="A132" s="117"/>
      <c r="B132" s="118"/>
      <c r="C132" s="119"/>
      <c r="D132" s="36">
        <v>2021</v>
      </c>
      <c r="E132" s="8">
        <f t="shared" si="20"/>
        <v>0</v>
      </c>
      <c r="F132" s="8">
        <v>0</v>
      </c>
      <c r="G132" s="8">
        <v>0</v>
      </c>
      <c r="H132" s="8">
        <v>0</v>
      </c>
      <c r="I132" s="8">
        <v>0</v>
      </c>
      <c r="J132" s="119"/>
      <c r="K132" s="119"/>
    </row>
    <row r="133" spans="1:11" ht="15.75" customHeight="1" outlineLevel="1" x14ac:dyDescent="0.25">
      <c r="A133" s="117"/>
      <c r="B133" s="118"/>
      <c r="C133" s="119"/>
      <c r="D133" s="36">
        <v>2022</v>
      </c>
      <c r="E133" s="8">
        <f t="shared" si="20"/>
        <v>0</v>
      </c>
      <c r="F133" s="8">
        <v>0</v>
      </c>
      <c r="G133" s="8">
        <v>0</v>
      </c>
      <c r="H133" s="8">
        <v>0</v>
      </c>
      <c r="I133" s="8">
        <v>0</v>
      </c>
      <c r="J133" s="119"/>
      <c r="K133" s="119"/>
    </row>
    <row r="134" spans="1:11" ht="15.75" customHeight="1" outlineLevel="1" x14ac:dyDescent="0.25">
      <c r="A134" s="117"/>
      <c r="B134" s="118"/>
      <c r="C134" s="119"/>
      <c r="D134" s="36">
        <v>2023</v>
      </c>
      <c r="E134" s="8">
        <f t="shared" si="20"/>
        <v>730.00100000000009</v>
      </c>
      <c r="F134" s="11">
        <f>14000-5000-8105.321-164.678</f>
        <v>730.00100000000009</v>
      </c>
      <c r="G134" s="8">
        <v>0</v>
      </c>
      <c r="H134" s="8">
        <v>0</v>
      </c>
      <c r="I134" s="8">
        <v>0</v>
      </c>
      <c r="J134" s="119"/>
      <c r="K134" s="119"/>
    </row>
    <row r="135" spans="1:11" ht="15.75" customHeight="1" outlineLevel="1" x14ac:dyDescent="0.25">
      <c r="A135" s="117"/>
      <c r="B135" s="118"/>
      <c r="C135" s="119"/>
      <c r="D135" s="36">
        <v>2024</v>
      </c>
      <c r="E135" s="8">
        <f t="shared" si="20"/>
        <v>14000</v>
      </c>
      <c r="F135" s="8">
        <v>14000</v>
      </c>
      <c r="G135" s="8">
        <v>0</v>
      </c>
      <c r="H135" s="8">
        <v>0</v>
      </c>
      <c r="I135" s="8">
        <v>0</v>
      </c>
      <c r="J135" s="119"/>
      <c r="K135" s="119"/>
    </row>
    <row r="136" spans="1:11" ht="15.75" customHeight="1" outlineLevel="1" x14ac:dyDescent="0.25">
      <c r="A136" s="117"/>
      <c r="B136" s="118"/>
      <c r="C136" s="119"/>
      <c r="D136" s="36">
        <v>2025</v>
      </c>
      <c r="E136" s="8">
        <f t="shared" si="20"/>
        <v>14000</v>
      </c>
      <c r="F136" s="8">
        <v>14000</v>
      </c>
      <c r="G136" s="8">
        <v>0</v>
      </c>
      <c r="H136" s="8">
        <v>0</v>
      </c>
      <c r="I136" s="8">
        <v>0</v>
      </c>
      <c r="J136" s="119"/>
      <c r="K136" s="119"/>
    </row>
    <row r="137" spans="1:11" ht="15.75" customHeight="1" outlineLevel="1" x14ac:dyDescent="0.25">
      <c r="A137" s="117" t="s">
        <v>1738</v>
      </c>
      <c r="B137" s="118" t="s">
        <v>1744</v>
      </c>
      <c r="C137" s="119" t="s">
        <v>1125</v>
      </c>
      <c r="D137" s="36" t="s">
        <v>8</v>
      </c>
      <c r="E137" s="8">
        <f>SUM(E138:E142)</f>
        <v>0</v>
      </c>
      <c r="F137" s="8">
        <v>0</v>
      </c>
      <c r="G137" s="8">
        <v>0</v>
      </c>
      <c r="H137" s="8">
        <v>0</v>
      </c>
      <c r="I137" s="8">
        <v>0</v>
      </c>
      <c r="J137" s="119" t="s">
        <v>1739</v>
      </c>
      <c r="K137" s="119" t="s">
        <v>484</v>
      </c>
    </row>
    <row r="138" spans="1:11" ht="15.75" customHeight="1" outlineLevel="1" x14ac:dyDescent="0.25">
      <c r="A138" s="117"/>
      <c r="B138" s="118"/>
      <c r="C138" s="119"/>
      <c r="D138" s="36">
        <v>2021</v>
      </c>
      <c r="E138" s="8">
        <f>SUM(F138:I138)</f>
        <v>0</v>
      </c>
      <c r="F138" s="8">
        <v>0</v>
      </c>
      <c r="G138" s="8">
        <v>0</v>
      </c>
      <c r="H138" s="8">
        <v>0</v>
      </c>
      <c r="I138" s="8">
        <v>0</v>
      </c>
      <c r="J138" s="119"/>
      <c r="K138" s="119"/>
    </row>
    <row r="139" spans="1:11" ht="15.75" customHeight="1" outlineLevel="1" x14ac:dyDescent="0.25">
      <c r="A139" s="117"/>
      <c r="B139" s="118"/>
      <c r="C139" s="119"/>
      <c r="D139" s="36">
        <v>2022</v>
      </c>
      <c r="E139" s="8">
        <f>SUM(F139:I139)</f>
        <v>0</v>
      </c>
      <c r="F139" s="8">
        <v>0</v>
      </c>
      <c r="G139" s="8">
        <v>0</v>
      </c>
      <c r="H139" s="8">
        <v>0</v>
      </c>
      <c r="I139" s="8">
        <v>0</v>
      </c>
      <c r="J139" s="119"/>
      <c r="K139" s="119"/>
    </row>
    <row r="140" spans="1:11" ht="15.75" customHeight="1" outlineLevel="1" x14ac:dyDescent="0.25">
      <c r="A140" s="117"/>
      <c r="B140" s="118"/>
      <c r="C140" s="119"/>
      <c r="D140" s="36">
        <v>2023</v>
      </c>
      <c r="E140" s="8">
        <f>SUM(F140:I140)</f>
        <v>0</v>
      </c>
      <c r="F140" s="11">
        <v>0</v>
      </c>
      <c r="G140" s="8">
        <v>0</v>
      </c>
      <c r="H140" s="8"/>
      <c r="I140" s="8">
        <v>0</v>
      </c>
      <c r="J140" s="119"/>
      <c r="K140" s="119"/>
    </row>
    <row r="141" spans="1:11" ht="15.75" customHeight="1" outlineLevel="1" x14ac:dyDescent="0.25">
      <c r="A141" s="117"/>
      <c r="B141" s="118"/>
      <c r="C141" s="119"/>
      <c r="D141" s="36">
        <v>2024</v>
      </c>
      <c r="E141" s="8">
        <f>SUM(F141:I141)</f>
        <v>0</v>
      </c>
      <c r="F141" s="8">
        <v>0</v>
      </c>
      <c r="G141" s="8">
        <v>0</v>
      </c>
      <c r="H141" s="8">
        <v>0</v>
      </c>
      <c r="I141" s="8">
        <v>0</v>
      </c>
      <c r="J141" s="119"/>
      <c r="K141" s="119"/>
    </row>
    <row r="142" spans="1:11" ht="15.75" customHeight="1" outlineLevel="1" x14ac:dyDescent="0.25">
      <c r="A142" s="117"/>
      <c r="B142" s="118"/>
      <c r="C142" s="119"/>
      <c r="D142" s="36">
        <v>2025</v>
      </c>
      <c r="E142" s="8">
        <f>SUM(F142:I142)</f>
        <v>0</v>
      </c>
      <c r="F142" s="8">
        <v>0</v>
      </c>
      <c r="G142" s="8">
        <v>0</v>
      </c>
      <c r="H142" s="8">
        <v>0</v>
      </c>
      <c r="I142" s="8">
        <v>0</v>
      </c>
      <c r="J142" s="119"/>
      <c r="K142" s="119"/>
    </row>
    <row r="143" spans="1:11" ht="15" customHeight="1" outlineLevel="1" x14ac:dyDescent="0.25">
      <c r="A143" s="117" t="s">
        <v>39</v>
      </c>
      <c r="B143" s="118" t="s">
        <v>40</v>
      </c>
      <c r="C143" s="119" t="s">
        <v>14</v>
      </c>
      <c r="D143" s="36" t="s">
        <v>8</v>
      </c>
      <c r="E143" s="8">
        <f t="shared" si="20"/>
        <v>61554.284749999992</v>
      </c>
      <c r="F143" s="8">
        <f>SUM(F144:F148)</f>
        <v>37870.977269999996</v>
      </c>
      <c r="G143" s="8">
        <f t="shared" si="22"/>
        <v>23683.307479999996</v>
      </c>
      <c r="H143" s="8">
        <f>SUM(H144:H148)</f>
        <v>0</v>
      </c>
      <c r="I143" s="8">
        <f>SUM(I144:I148)</f>
        <v>0</v>
      </c>
      <c r="J143" s="119" t="s">
        <v>509</v>
      </c>
      <c r="K143" s="119" t="s">
        <v>510</v>
      </c>
    </row>
    <row r="144" spans="1:11" outlineLevel="1" x14ac:dyDescent="0.25">
      <c r="A144" s="117"/>
      <c r="B144" s="118"/>
      <c r="C144" s="119"/>
      <c r="D144" s="36">
        <v>2021</v>
      </c>
      <c r="E144" s="8">
        <f t="shared" si="20"/>
        <v>27116.562749999997</v>
      </c>
      <c r="F144" s="8">
        <f t="shared" ref="F144:I148" si="23">F156+F168+F150+F162</f>
        <v>6916.3637500000004</v>
      </c>
      <c r="G144" s="8">
        <f t="shared" si="23"/>
        <v>20200.198999999997</v>
      </c>
      <c r="H144" s="8">
        <f t="shared" si="23"/>
        <v>0</v>
      </c>
      <c r="I144" s="8">
        <f t="shared" si="23"/>
        <v>0</v>
      </c>
      <c r="J144" s="119"/>
      <c r="K144" s="119"/>
    </row>
    <row r="145" spans="1:12" outlineLevel="1" x14ac:dyDescent="0.25">
      <c r="A145" s="117"/>
      <c r="B145" s="118"/>
      <c r="C145" s="119"/>
      <c r="D145" s="36">
        <v>2022</v>
      </c>
      <c r="E145" s="8">
        <f t="shared" si="20"/>
        <v>9977.7219999999998</v>
      </c>
      <c r="F145" s="8">
        <f t="shared" si="23"/>
        <v>7610.2449999999999</v>
      </c>
      <c r="G145" s="8">
        <f t="shared" si="23"/>
        <v>2367.4769999999999</v>
      </c>
      <c r="H145" s="8">
        <f t="shared" si="23"/>
        <v>0</v>
      </c>
      <c r="I145" s="8">
        <f t="shared" si="23"/>
        <v>0</v>
      </c>
      <c r="J145" s="119"/>
      <c r="K145" s="119"/>
    </row>
    <row r="146" spans="1:12" outlineLevel="1" x14ac:dyDescent="0.25">
      <c r="A146" s="117"/>
      <c r="B146" s="118"/>
      <c r="C146" s="119"/>
      <c r="D146" s="36">
        <v>2023</v>
      </c>
      <c r="E146" s="8">
        <f t="shared" si="20"/>
        <v>10141.799999999999</v>
      </c>
      <c r="F146" s="8">
        <f t="shared" si="23"/>
        <v>9026.1685199999993</v>
      </c>
      <c r="G146" s="8">
        <f t="shared" si="23"/>
        <v>1115.63148</v>
      </c>
      <c r="H146" s="8">
        <f t="shared" si="23"/>
        <v>0</v>
      </c>
      <c r="I146" s="8">
        <f t="shared" si="23"/>
        <v>0</v>
      </c>
      <c r="J146" s="119"/>
      <c r="K146" s="119"/>
    </row>
    <row r="147" spans="1:12" outlineLevel="1" x14ac:dyDescent="0.25">
      <c r="A147" s="117"/>
      <c r="B147" s="118"/>
      <c r="C147" s="119"/>
      <c r="D147" s="36">
        <v>2024</v>
      </c>
      <c r="E147" s="8">
        <f t="shared" si="20"/>
        <v>7159.1</v>
      </c>
      <c r="F147" s="8">
        <f t="shared" si="23"/>
        <v>7159.1</v>
      </c>
      <c r="G147" s="8">
        <f t="shared" si="23"/>
        <v>0</v>
      </c>
      <c r="H147" s="8">
        <f t="shared" si="23"/>
        <v>0</v>
      </c>
      <c r="I147" s="8">
        <f t="shared" si="23"/>
        <v>0</v>
      </c>
      <c r="J147" s="119"/>
      <c r="K147" s="119"/>
    </row>
    <row r="148" spans="1:12" outlineLevel="1" x14ac:dyDescent="0.25">
      <c r="A148" s="117"/>
      <c r="B148" s="118"/>
      <c r="C148" s="119"/>
      <c r="D148" s="36">
        <v>2025</v>
      </c>
      <c r="E148" s="8">
        <f t="shared" si="20"/>
        <v>7159.1</v>
      </c>
      <c r="F148" s="8">
        <f t="shared" si="23"/>
        <v>7159.1</v>
      </c>
      <c r="G148" s="8">
        <f t="shared" si="23"/>
        <v>0</v>
      </c>
      <c r="H148" s="8">
        <f t="shared" si="23"/>
        <v>0</v>
      </c>
      <c r="I148" s="8">
        <f t="shared" si="23"/>
        <v>0</v>
      </c>
      <c r="J148" s="119"/>
      <c r="K148" s="119"/>
    </row>
    <row r="149" spans="1:12" outlineLevel="1" x14ac:dyDescent="0.25">
      <c r="A149" s="117" t="s">
        <v>44</v>
      </c>
      <c r="B149" s="118" t="s">
        <v>45</v>
      </c>
      <c r="C149" s="119" t="s">
        <v>41</v>
      </c>
      <c r="D149" s="36" t="s">
        <v>8</v>
      </c>
      <c r="E149" s="8">
        <f t="shared" si="20"/>
        <v>5045.5297499999997</v>
      </c>
      <c r="F149" s="8">
        <f>SUM(F150:F154)</f>
        <v>302.73126999999999</v>
      </c>
      <c r="G149" s="8">
        <f>SUM(G150:G154)</f>
        <v>4742.7984799999995</v>
      </c>
      <c r="H149" s="8">
        <f>SUM(H150:H154)</f>
        <v>0</v>
      </c>
      <c r="I149" s="8">
        <f>SUM(I150:I154)</f>
        <v>0</v>
      </c>
      <c r="J149" s="119" t="s">
        <v>1740</v>
      </c>
      <c r="K149" s="119" t="s">
        <v>512</v>
      </c>
    </row>
    <row r="150" spans="1:12" outlineLevel="1" x14ac:dyDescent="0.25">
      <c r="A150" s="117"/>
      <c r="B150" s="118"/>
      <c r="C150" s="119"/>
      <c r="D150" s="36">
        <v>2021</v>
      </c>
      <c r="E150" s="8">
        <f t="shared" si="20"/>
        <v>1340.09575</v>
      </c>
      <c r="F150" s="8">
        <v>80.405749999999998</v>
      </c>
      <c r="G150" s="8">
        <v>1259.69</v>
      </c>
      <c r="H150" s="8">
        <v>0</v>
      </c>
      <c r="I150" s="8">
        <v>0</v>
      </c>
      <c r="J150" s="119"/>
      <c r="K150" s="119"/>
    </row>
    <row r="151" spans="1:12" outlineLevel="1" x14ac:dyDescent="0.25">
      <c r="A151" s="117"/>
      <c r="B151" s="118"/>
      <c r="C151" s="119"/>
      <c r="D151" s="36">
        <v>2022</v>
      </c>
      <c r="E151" s="8">
        <f t="shared" si="20"/>
        <v>2518.5919999999996</v>
      </c>
      <c r="F151" s="8">
        <v>151.11500000000001</v>
      </c>
      <c r="G151" s="8">
        <v>2367.4769999999999</v>
      </c>
      <c r="H151" s="8">
        <v>0</v>
      </c>
      <c r="I151" s="8">
        <v>0</v>
      </c>
      <c r="J151" s="119"/>
      <c r="K151" s="119"/>
    </row>
    <row r="152" spans="1:12" outlineLevel="1" x14ac:dyDescent="0.25">
      <c r="A152" s="117"/>
      <c r="B152" s="118"/>
      <c r="C152" s="119"/>
      <c r="D152" s="36">
        <v>2023</v>
      </c>
      <c r="E152" s="8">
        <f t="shared" si="20"/>
        <v>1186.8420000000001</v>
      </c>
      <c r="F152" s="8">
        <v>71.210520000000002</v>
      </c>
      <c r="G152" s="8">
        <v>1115.63148</v>
      </c>
      <c r="H152" s="8">
        <v>0</v>
      </c>
      <c r="I152" s="8">
        <v>0</v>
      </c>
      <c r="J152" s="119"/>
      <c r="K152" s="119"/>
    </row>
    <row r="153" spans="1:12" outlineLevel="1" x14ac:dyDescent="0.25">
      <c r="A153" s="117"/>
      <c r="B153" s="118"/>
      <c r="C153" s="119"/>
      <c r="D153" s="36">
        <v>2024</v>
      </c>
      <c r="E153" s="8">
        <f t="shared" si="20"/>
        <v>0</v>
      </c>
      <c r="F153" s="8">
        <v>0</v>
      </c>
      <c r="G153" s="8">
        <v>0</v>
      </c>
      <c r="H153" s="8">
        <v>0</v>
      </c>
      <c r="I153" s="8">
        <v>0</v>
      </c>
      <c r="J153" s="119"/>
      <c r="K153" s="119"/>
    </row>
    <row r="154" spans="1:12" outlineLevel="1" x14ac:dyDescent="0.25">
      <c r="A154" s="117"/>
      <c r="B154" s="118"/>
      <c r="C154" s="119"/>
      <c r="D154" s="36">
        <v>2025</v>
      </c>
      <c r="E154" s="8">
        <f t="shared" si="20"/>
        <v>0</v>
      </c>
      <c r="F154" s="8">
        <v>0</v>
      </c>
      <c r="G154" s="8">
        <v>0</v>
      </c>
      <c r="H154" s="8">
        <v>0</v>
      </c>
      <c r="I154" s="8">
        <v>0</v>
      </c>
      <c r="J154" s="119"/>
      <c r="K154" s="119"/>
    </row>
    <row r="155" spans="1:12" ht="15" customHeight="1" outlineLevel="1" x14ac:dyDescent="0.25">
      <c r="A155" s="117" t="s">
        <v>48</v>
      </c>
      <c r="B155" s="118" t="s">
        <v>1131</v>
      </c>
      <c r="C155" s="119" t="s">
        <v>14</v>
      </c>
      <c r="D155" s="36" t="s">
        <v>8</v>
      </c>
      <c r="E155" s="8">
        <f t="shared" si="20"/>
        <v>14562.969000000001</v>
      </c>
      <c r="F155" s="8">
        <f>SUM(F156:F160)</f>
        <v>14562.969000000001</v>
      </c>
      <c r="G155" s="8">
        <f>SUM(G156:G160)</f>
        <v>0</v>
      </c>
      <c r="H155" s="8">
        <f>SUM(H156:H160)</f>
        <v>0</v>
      </c>
      <c r="I155" s="8">
        <f>SUM(I156:I160)</f>
        <v>0</v>
      </c>
      <c r="J155" s="119" t="s">
        <v>50</v>
      </c>
      <c r="K155" s="119" t="s">
        <v>484</v>
      </c>
      <c r="L155" s="124"/>
    </row>
    <row r="156" spans="1:12" outlineLevel="1" x14ac:dyDescent="0.25">
      <c r="A156" s="117"/>
      <c r="B156" s="118"/>
      <c r="C156" s="119"/>
      <c r="D156" s="36">
        <v>2021</v>
      </c>
      <c r="E156" s="8">
        <f t="shared" si="20"/>
        <v>1631.52</v>
      </c>
      <c r="F156" s="8">
        <v>1631.52</v>
      </c>
      <c r="G156" s="8">
        <v>0</v>
      </c>
      <c r="H156" s="8">
        <v>0</v>
      </c>
      <c r="I156" s="8">
        <v>0</v>
      </c>
      <c r="J156" s="119"/>
      <c r="K156" s="119"/>
      <c r="L156" s="124"/>
    </row>
    <row r="157" spans="1:12" outlineLevel="1" x14ac:dyDescent="0.25">
      <c r="A157" s="117"/>
      <c r="B157" s="118"/>
      <c r="C157" s="119"/>
      <c r="D157" s="36">
        <v>2022</v>
      </c>
      <c r="E157" s="8">
        <f t="shared" si="20"/>
        <v>3459.13</v>
      </c>
      <c r="F157" s="8">
        <v>3459.13</v>
      </c>
      <c r="G157" s="8">
        <v>0</v>
      </c>
      <c r="H157" s="8">
        <v>0</v>
      </c>
      <c r="I157" s="8">
        <v>0</v>
      </c>
      <c r="J157" s="119"/>
      <c r="K157" s="119"/>
      <c r="L157" s="124"/>
    </row>
    <row r="158" spans="1:12" outlineLevel="1" x14ac:dyDescent="0.25">
      <c r="A158" s="117"/>
      <c r="B158" s="118"/>
      <c r="C158" s="119"/>
      <c r="D158" s="36">
        <v>2023</v>
      </c>
      <c r="E158" s="8">
        <f t="shared" si="20"/>
        <v>3154.1189999999997</v>
      </c>
      <c r="F158" s="23">
        <f>3159.1-4.981</f>
        <v>3154.1189999999997</v>
      </c>
      <c r="G158" s="8">
        <v>0</v>
      </c>
      <c r="H158" s="8">
        <v>0</v>
      </c>
      <c r="I158" s="8">
        <v>0</v>
      </c>
      <c r="J158" s="119"/>
      <c r="K158" s="119"/>
      <c r="L158" s="124"/>
    </row>
    <row r="159" spans="1:12" outlineLevel="1" x14ac:dyDescent="0.25">
      <c r="A159" s="117"/>
      <c r="B159" s="118"/>
      <c r="C159" s="119"/>
      <c r="D159" s="36">
        <v>2024</v>
      </c>
      <c r="E159" s="8">
        <f t="shared" si="20"/>
        <v>3159.1</v>
      </c>
      <c r="F159" s="8">
        <v>3159.1</v>
      </c>
      <c r="G159" s="8">
        <v>0</v>
      </c>
      <c r="H159" s="8">
        <v>0</v>
      </c>
      <c r="I159" s="8">
        <v>0</v>
      </c>
      <c r="J159" s="119"/>
      <c r="K159" s="119"/>
      <c r="L159" s="124"/>
    </row>
    <row r="160" spans="1:12" outlineLevel="1" x14ac:dyDescent="0.25">
      <c r="A160" s="117"/>
      <c r="B160" s="118"/>
      <c r="C160" s="119"/>
      <c r="D160" s="36">
        <v>2025</v>
      </c>
      <c r="E160" s="8">
        <f t="shared" si="20"/>
        <v>3159.1</v>
      </c>
      <c r="F160" s="8">
        <v>3159.1</v>
      </c>
      <c r="G160" s="8">
        <v>0</v>
      </c>
      <c r="H160" s="8">
        <v>0</v>
      </c>
      <c r="I160" s="8">
        <v>0</v>
      </c>
      <c r="J160" s="119"/>
      <c r="K160" s="119"/>
      <c r="L160" s="124"/>
    </row>
    <row r="161" spans="1:12" ht="18" customHeight="1" outlineLevel="1" x14ac:dyDescent="0.25">
      <c r="A161" s="117" t="s">
        <v>51</v>
      </c>
      <c r="B161" s="118" t="s">
        <v>52</v>
      </c>
      <c r="C161" s="119" t="s">
        <v>14</v>
      </c>
      <c r="D161" s="36" t="s">
        <v>8</v>
      </c>
      <c r="E161" s="8">
        <f t="shared" si="20"/>
        <v>21796.309000000001</v>
      </c>
      <c r="F161" s="8">
        <f>SUM(F162:F166)</f>
        <v>21796.309000000001</v>
      </c>
      <c r="G161" s="8">
        <f>SUM(G162:G166)</f>
        <v>0</v>
      </c>
      <c r="H161" s="8">
        <f>SUM(H162:H166)</f>
        <v>0</v>
      </c>
      <c r="I161" s="8">
        <f>SUM(I162:I166)</f>
        <v>0</v>
      </c>
      <c r="J161" s="119" t="s">
        <v>514</v>
      </c>
      <c r="K161" s="119" t="s">
        <v>515</v>
      </c>
    </row>
    <row r="162" spans="1:12" ht="18" customHeight="1" outlineLevel="1" x14ac:dyDescent="0.25">
      <c r="A162" s="117"/>
      <c r="B162" s="118"/>
      <c r="C162" s="119"/>
      <c r="D162" s="36">
        <v>2021</v>
      </c>
      <c r="E162" s="8">
        <f t="shared" si="20"/>
        <v>3995.47</v>
      </c>
      <c r="F162" s="8">
        <v>3995.47</v>
      </c>
      <c r="G162" s="8">
        <v>0</v>
      </c>
      <c r="H162" s="8">
        <v>0</v>
      </c>
      <c r="I162" s="8">
        <v>0</v>
      </c>
      <c r="J162" s="119"/>
      <c r="K162" s="119"/>
    </row>
    <row r="163" spans="1:12" ht="18" customHeight="1" outlineLevel="1" x14ac:dyDescent="0.25">
      <c r="A163" s="117"/>
      <c r="B163" s="118"/>
      <c r="C163" s="119"/>
      <c r="D163" s="36">
        <v>2022</v>
      </c>
      <c r="E163" s="8">
        <f t="shared" si="20"/>
        <v>4000</v>
      </c>
      <c r="F163" s="8">
        <v>4000</v>
      </c>
      <c r="G163" s="8">
        <v>0</v>
      </c>
      <c r="H163" s="8">
        <v>0</v>
      </c>
      <c r="I163" s="8">
        <v>0</v>
      </c>
      <c r="J163" s="119"/>
      <c r="K163" s="119"/>
    </row>
    <row r="164" spans="1:12" ht="18" customHeight="1" outlineLevel="1" x14ac:dyDescent="0.25">
      <c r="A164" s="117"/>
      <c r="B164" s="118"/>
      <c r="C164" s="119"/>
      <c r="D164" s="36">
        <v>2023</v>
      </c>
      <c r="E164" s="8">
        <f t="shared" si="20"/>
        <v>5800.8389999999999</v>
      </c>
      <c r="F164" s="11">
        <f>4000+164.678+1500+136.161</f>
        <v>5800.8389999999999</v>
      </c>
      <c r="G164" s="8">
        <v>0</v>
      </c>
      <c r="H164" s="8">
        <v>0</v>
      </c>
      <c r="I164" s="8">
        <v>0</v>
      </c>
      <c r="J164" s="119"/>
      <c r="K164" s="119"/>
    </row>
    <row r="165" spans="1:12" ht="18" customHeight="1" outlineLevel="1" x14ac:dyDescent="0.25">
      <c r="A165" s="117"/>
      <c r="B165" s="118"/>
      <c r="C165" s="119"/>
      <c r="D165" s="36">
        <v>2024</v>
      </c>
      <c r="E165" s="8">
        <f t="shared" si="20"/>
        <v>4000</v>
      </c>
      <c r="F165" s="8">
        <v>4000</v>
      </c>
      <c r="G165" s="8">
        <v>0</v>
      </c>
      <c r="H165" s="8">
        <v>0</v>
      </c>
      <c r="I165" s="8">
        <v>0</v>
      </c>
      <c r="J165" s="119"/>
      <c r="K165" s="119"/>
    </row>
    <row r="166" spans="1:12" ht="18" customHeight="1" outlineLevel="1" x14ac:dyDescent="0.25">
      <c r="A166" s="117"/>
      <c r="B166" s="118"/>
      <c r="C166" s="119"/>
      <c r="D166" s="36">
        <v>2025</v>
      </c>
      <c r="E166" s="8">
        <f t="shared" si="20"/>
        <v>4000</v>
      </c>
      <c r="F166" s="8">
        <v>4000</v>
      </c>
      <c r="G166" s="8">
        <v>0</v>
      </c>
      <c r="H166" s="8">
        <v>0</v>
      </c>
      <c r="I166" s="8">
        <v>0</v>
      </c>
      <c r="J166" s="119"/>
      <c r="K166" s="119"/>
    </row>
    <row r="167" spans="1:12" ht="13.5" customHeight="1" outlineLevel="1" x14ac:dyDescent="0.25">
      <c r="A167" s="117" t="s">
        <v>516</v>
      </c>
      <c r="B167" s="118" t="s">
        <v>45</v>
      </c>
      <c r="C167" s="119" t="s">
        <v>41</v>
      </c>
      <c r="D167" s="36" t="s">
        <v>8</v>
      </c>
      <c r="E167" s="8">
        <f t="shared" si="20"/>
        <v>20149.476999999999</v>
      </c>
      <c r="F167" s="8">
        <f>SUM(F168:F172)</f>
        <v>1208.9680000000001</v>
      </c>
      <c r="G167" s="8">
        <f>SUM(G168:G172)</f>
        <v>18940.508999999998</v>
      </c>
      <c r="H167" s="8">
        <f>SUM(H168:H172)</f>
        <v>0</v>
      </c>
      <c r="I167" s="8">
        <f>SUM(I168:I172)</f>
        <v>0</v>
      </c>
      <c r="J167" s="119" t="s">
        <v>517</v>
      </c>
      <c r="K167" s="119" t="s">
        <v>515</v>
      </c>
    </row>
    <row r="168" spans="1:12" ht="13.5" customHeight="1" outlineLevel="1" x14ac:dyDescent="0.25">
      <c r="A168" s="117"/>
      <c r="B168" s="118"/>
      <c r="C168" s="119"/>
      <c r="D168" s="36">
        <v>2021</v>
      </c>
      <c r="E168" s="8">
        <f t="shared" si="20"/>
        <v>20149.476999999999</v>
      </c>
      <c r="F168" s="8">
        <v>1208.9680000000001</v>
      </c>
      <c r="G168" s="8">
        <v>18940.508999999998</v>
      </c>
      <c r="H168" s="8">
        <v>0</v>
      </c>
      <c r="I168" s="8">
        <v>0</v>
      </c>
      <c r="J168" s="119"/>
      <c r="K168" s="119"/>
    </row>
    <row r="169" spans="1:12" ht="13.5" customHeight="1" outlineLevel="1" x14ac:dyDescent="0.25">
      <c r="A169" s="117"/>
      <c r="B169" s="118"/>
      <c r="C169" s="119"/>
      <c r="D169" s="36">
        <v>2022</v>
      </c>
      <c r="E169" s="8">
        <f t="shared" si="20"/>
        <v>0</v>
      </c>
      <c r="F169" s="8">
        <v>0</v>
      </c>
      <c r="G169" s="8">
        <v>0</v>
      </c>
      <c r="H169" s="8">
        <v>0</v>
      </c>
      <c r="I169" s="8">
        <v>0</v>
      </c>
      <c r="J169" s="119"/>
      <c r="K169" s="119"/>
    </row>
    <row r="170" spans="1:12" ht="13.5" customHeight="1" outlineLevel="1" x14ac:dyDescent="0.25">
      <c r="A170" s="117"/>
      <c r="B170" s="118"/>
      <c r="C170" s="119"/>
      <c r="D170" s="36">
        <v>2023</v>
      </c>
      <c r="E170" s="8">
        <f t="shared" si="20"/>
        <v>0</v>
      </c>
      <c r="F170" s="8">
        <v>0</v>
      </c>
      <c r="G170" s="8">
        <v>0</v>
      </c>
      <c r="H170" s="8">
        <v>0</v>
      </c>
      <c r="I170" s="8">
        <v>0</v>
      </c>
      <c r="J170" s="119"/>
      <c r="K170" s="119"/>
    </row>
    <row r="171" spans="1:12" ht="13.5" customHeight="1" outlineLevel="1" x14ac:dyDescent="0.25">
      <c r="A171" s="117"/>
      <c r="B171" s="118"/>
      <c r="C171" s="119"/>
      <c r="D171" s="36">
        <v>2024</v>
      </c>
      <c r="E171" s="8">
        <f t="shared" si="20"/>
        <v>0</v>
      </c>
      <c r="F171" s="8">
        <v>0</v>
      </c>
      <c r="G171" s="8">
        <v>0</v>
      </c>
      <c r="H171" s="8">
        <v>0</v>
      </c>
      <c r="I171" s="8">
        <v>0</v>
      </c>
      <c r="J171" s="119"/>
      <c r="K171" s="119"/>
    </row>
    <row r="172" spans="1:12" ht="13.5" customHeight="1" outlineLevel="1" x14ac:dyDescent="0.25">
      <c r="A172" s="117"/>
      <c r="B172" s="118"/>
      <c r="C172" s="119"/>
      <c r="D172" s="36">
        <v>2025</v>
      </c>
      <c r="E172" s="8">
        <f t="shared" si="20"/>
        <v>0</v>
      </c>
      <c r="F172" s="8">
        <v>0</v>
      </c>
      <c r="G172" s="8">
        <v>0</v>
      </c>
      <c r="H172" s="8">
        <v>0</v>
      </c>
      <c r="I172" s="8">
        <v>0</v>
      </c>
      <c r="J172" s="119"/>
      <c r="K172" s="119"/>
    </row>
    <row r="173" spans="1:12" ht="15" customHeight="1" x14ac:dyDescent="0.25">
      <c r="A173" s="117" t="s">
        <v>54</v>
      </c>
      <c r="B173" s="118" t="s">
        <v>55</v>
      </c>
      <c r="C173" s="119" t="s">
        <v>14</v>
      </c>
      <c r="D173" s="36" t="s">
        <v>8</v>
      </c>
      <c r="E173" s="8">
        <f t="shared" si="20"/>
        <v>5248206.8447800009</v>
      </c>
      <c r="F173" s="8">
        <f>SUM(F174:F178)</f>
        <v>5091259.8912000004</v>
      </c>
      <c r="G173" s="8">
        <f>SUM(G174:G178)</f>
        <v>71412.78336999999</v>
      </c>
      <c r="H173" s="8">
        <f>SUM(H174:H178)</f>
        <v>85534.170209999997</v>
      </c>
      <c r="I173" s="8">
        <f>SUM(I174:I178)</f>
        <v>0</v>
      </c>
      <c r="J173" s="119"/>
      <c r="K173" s="119" t="s">
        <v>510</v>
      </c>
      <c r="L173" s="35" t="s">
        <v>1132</v>
      </c>
    </row>
    <row r="174" spans="1:12" x14ac:dyDescent="0.25">
      <c r="A174" s="117"/>
      <c r="B174" s="118"/>
      <c r="C174" s="119"/>
      <c r="D174" s="36">
        <v>2021</v>
      </c>
      <c r="E174" s="8">
        <f t="shared" si="20"/>
        <v>891879.98959000001</v>
      </c>
      <c r="F174" s="8">
        <f t="shared" ref="F174:I178" si="24">F180+F312+F330</f>
        <v>854371.18938</v>
      </c>
      <c r="G174" s="8">
        <f t="shared" si="24"/>
        <v>24191.1</v>
      </c>
      <c r="H174" s="8">
        <f t="shared" si="24"/>
        <v>13317.700210000001</v>
      </c>
      <c r="I174" s="8">
        <f t="shared" si="24"/>
        <v>0</v>
      </c>
      <c r="J174" s="119"/>
      <c r="K174" s="119"/>
    </row>
    <row r="175" spans="1:12" x14ac:dyDescent="0.25">
      <c r="A175" s="117"/>
      <c r="B175" s="118"/>
      <c r="C175" s="119"/>
      <c r="D175" s="36">
        <v>2022</v>
      </c>
      <c r="E175" s="8">
        <f t="shared" si="20"/>
        <v>1227311.4540000001</v>
      </c>
      <c r="F175" s="8">
        <f t="shared" si="24"/>
        <v>1191344.9740000002</v>
      </c>
      <c r="G175" s="8">
        <f t="shared" si="24"/>
        <v>16189.3</v>
      </c>
      <c r="H175" s="8">
        <f t="shared" si="24"/>
        <v>19777.18</v>
      </c>
      <c r="I175" s="8">
        <f t="shared" si="24"/>
        <v>0</v>
      </c>
      <c r="J175" s="119"/>
      <c r="K175" s="119"/>
    </row>
    <row r="176" spans="1:12" x14ac:dyDescent="0.25">
      <c r="A176" s="117"/>
      <c r="B176" s="118"/>
      <c r="C176" s="119"/>
      <c r="D176" s="36">
        <v>2023</v>
      </c>
      <c r="E176" s="8">
        <f t="shared" si="20"/>
        <v>1113485.8361899999</v>
      </c>
      <c r="F176" s="8">
        <f t="shared" si="24"/>
        <v>1082614.0228200001</v>
      </c>
      <c r="G176" s="8">
        <f t="shared" si="24"/>
        <v>11094.58337</v>
      </c>
      <c r="H176" s="8">
        <f t="shared" si="24"/>
        <v>19777.23</v>
      </c>
      <c r="I176" s="8">
        <f t="shared" si="24"/>
        <v>0</v>
      </c>
      <c r="J176" s="119"/>
      <c r="K176" s="119"/>
    </row>
    <row r="177" spans="1:13" x14ac:dyDescent="0.25">
      <c r="A177" s="117"/>
      <c r="B177" s="118"/>
      <c r="C177" s="119"/>
      <c r="D177" s="36">
        <v>2024</v>
      </c>
      <c r="E177" s="8">
        <f t="shared" si="20"/>
        <v>1018527.559</v>
      </c>
      <c r="F177" s="8">
        <f t="shared" si="24"/>
        <v>982258.72899999993</v>
      </c>
      <c r="G177" s="8">
        <f t="shared" si="24"/>
        <v>19937.8</v>
      </c>
      <c r="H177" s="8">
        <f t="shared" si="24"/>
        <v>16331.03</v>
      </c>
      <c r="I177" s="8">
        <f t="shared" si="24"/>
        <v>0</v>
      </c>
      <c r="J177" s="119"/>
      <c r="K177" s="119"/>
    </row>
    <row r="178" spans="1:13" x14ac:dyDescent="0.25">
      <c r="A178" s="117"/>
      <c r="B178" s="118"/>
      <c r="C178" s="119"/>
      <c r="D178" s="36">
        <v>2025</v>
      </c>
      <c r="E178" s="8">
        <f t="shared" si="20"/>
        <v>997002.00600000005</v>
      </c>
      <c r="F178" s="8">
        <f t="shared" si="24"/>
        <v>980670.97600000002</v>
      </c>
      <c r="G178" s="8">
        <f t="shared" si="24"/>
        <v>0</v>
      </c>
      <c r="H178" s="8">
        <f t="shared" si="24"/>
        <v>16331.03</v>
      </c>
      <c r="I178" s="8">
        <f t="shared" si="24"/>
        <v>0</v>
      </c>
      <c r="J178" s="119"/>
      <c r="K178" s="119"/>
    </row>
    <row r="179" spans="1:13" ht="13.5" customHeight="1" outlineLevel="1" x14ac:dyDescent="0.25">
      <c r="A179" s="117" t="s">
        <v>56</v>
      </c>
      <c r="B179" s="118" t="s">
        <v>518</v>
      </c>
      <c r="C179" s="119" t="s">
        <v>14</v>
      </c>
      <c r="D179" s="36" t="s">
        <v>8</v>
      </c>
      <c r="E179" s="8">
        <f t="shared" si="20"/>
        <v>4862062.9226299999</v>
      </c>
      <c r="F179" s="8">
        <f>SUM(F180:F184)</f>
        <v>4862062.9226299999</v>
      </c>
      <c r="G179" s="8">
        <f>SUM(G180:G184)</f>
        <v>0</v>
      </c>
      <c r="H179" s="8">
        <f>SUM(H180:H184)</f>
        <v>0</v>
      </c>
      <c r="I179" s="8">
        <f>SUM(I180:I184)</f>
        <v>0</v>
      </c>
      <c r="J179" s="119" t="s">
        <v>519</v>
      </c>
      <c r="K179" s="119" t="s">
        <v>486</v>
      </c>
      <c r="L179" s="124"/>
    </row>
    <row r="180" spans="1:13" ht="13.5" customHeight="1" outlineLevel="1" x14ac:dyDescent="0.25">
      <c r="A180" s="117"/>
      <c r="B180" s="118"/>
      <c r="C180" s="119"/>
      <c r="D180" s="36">
        <v>2021</v>
      </c>
      <c r="E180" s="8">
        <f t="shared" si="20"/>
        <v>809865.57669999998</v>
      </c>
      <c r="F180" s="8">
        <f>F186+F192+F198+F204+F210+F216++F222+F228+F234+F240+F246+F252+F258+F264+F270+F276+F282+F288+F300+F294</f>
        <v>809865.57669999998</v>
      </c>
      <c r="G180" s="8">
        <f t="shared" ref="G180:I184" si="25">G186+G192+G198+G204+G210+G216++G222+G228+G234+G240+G246+G252+G258+G264+G270+G276+G282+G288+G300</f>
        <v>0</v>
      </c>
      <c r="H180" s="8">
        <f t="shared" si="25"/>
        <v>0</v>
      </c>
      <c r="I180" s="8">
        <f t="shared" si="25"/>
        <v>0</v>
      </c>
      <c r="J180" s="119"/>
      <c r="K180" s="119"/>
      <c r="L180" s="124"/>
    </row>
    <row r="181" spans="1:13" ht="13.5" customHeight="1" outlineLevel="1" x14ac:dyDescent="0.25">
      <c r="A181" s="117"/>
      <c r="B181" s="118"/>
      <c r="C181" s="119"/>
      <c r="D181" s="36">
        <v>2022</v>
      </c>
      <c r="E181" s="8">
        <f t="shared" si="20"/>
        <v>1140833.8970000001</v>
      </c>
      <c r="F181" s="8">
        <f>F187+F193+F199+F205+F211+F217++F223+F229+F235+F241+F247+F253+F259+F265+F271+F277+F283+F289+F301</f>
        <v>1140833.8970000001</v>
      </c>
      <c r="G181" s="8">
        <f t="shared" si="25"/>
        <v>0</v>
      </c>
      <c r="H181" s="8">
        <f t="shared" si="25"/>
        <v>0</v>
      </c>
      <c r="I181" s="8">
        <f t="shared" si="25"/>
        <v>0</v>
      </c>
      <c r="J181" s="119"/>
      <c r="K181" s="119"/>
      <c r="L181" s="124"/>
    </row>
    <row r="182" spans="1:13" ht="13.5" customHeight="1" outlineLevel="1" x14ac:dyDescent="0.25">
      <c r="A182" s="117"/>
      <c r="B182" s="118"/>
      <c r="C182" s="119"/>
      <c r="D182" s="36">
        <v>2023</v>
      </c>
      <c r="E182" s="8">
        <f t="shared" si="20"/>
        <v>1034105.8579300002</v>
      </c>
      <c r="F182" s="8">
        <f>F188+F194+F200+F206+F212+F218++F224+F230+F236+F242+F248+F254+F260+F266+F272+F278+F284+F290+F302+F308</f>
        <v>1034105.8579300002</v>
      </c>
      <c r="G182" s="8">
        <f t="shared" si="25"/>
        <v>0</v>
      </c>
      <c r="H182" s="8">
        <f t="shared" si="25"/>
        <v>0</v>
      </c>
      <c r="I182" s="8">
        <f t="shared" si="25"/>
        <v>0</v>
      </c>
      <c r="J182" s="119"/>
      <c r="K182" s="119"/>
      <c r="L182" s="124"/>
    </row>
    <row r="183" spans="1:13" ht="13.5" customHeight="1" outlineLevel="1" x14ac:dyDescent="0.25">
      <c r="A183" s="117"/>
      <c r="B183" s="118"/>
      <c r="C183" s="119"/>
      <c r="D183" s="36">
        <v>2024</v>
      </c>
      <c r="E183" s="8">
        <f t="shared" si="20"/>
        <v>937986.61499999999</v>
      </c>
      <c r="F183" s="8">
        <f t="shared" ref="F183:F184" si="26">F189+F195+F201+F207+F213+F219++F225+F231+F237+F243+F249+F255+F261+F267+F273+F279+F285+F291+F303</f>
        <v>937986.61499999999</v>
      </c>
      <c r="G183" s="8">
        <f t="shared" si="25"/>
        <v>0</v>
      </c>
      <c r="H183" s="8">
        <f t="shared" si="25"/>
        <v>0</v>
      </c>
      <c r="I183" s="8">
        <f t="shared" si="25"/>
        <v>0</v>
      </c>
      <c r="J183" s="119"/>
      <c r="K183" s="119"/>
      <c r="L183" s="124"/>
    </row>
    <row r="184" spans="1:13" ht="13.5" customHeight="1" outlineLevel="1" x14ac:dyDescent="0.25">
      <c r="A184" s="117"/>
      <c r="B184" s="118"/>
      <c r="C184" s="119"/>
      <c r="D184" s="36">
        <v>2025</v>
      </c>
      <c r="E184" s="8">
        <f t="shared" si="20"/>
        <v>939270.97600000002</v>
      </c>
      <c r="F184" s="8">
        <f t="shared" si="26"/>
        <v>939270.97600000002</v>
      </c>
      <c r="G184" s="8">
        <f t="shared" si="25"/>
        <v>0</v>
      </c>
      <c r="H184" s="8">
        <f t="shared" si="25"/>
        <v>0</v>
      </c>
      <c r="I184" s="8">
        <f t="shared" si="25"/>
        <v>0</v>
      </c>
      <c r="J184" s="119"/>
      <c r="K184" s="119"/>
      <c r="L184" s="124"/>
    </row>
    <row r="185" spans="1:13" ht="13.5" customHeight="1" outlineLevel="1" x14ac:dyDescent="0.25">
      <c r="A185" s="117" t="s">
        <v>60</v>
      </c>
      <c r="B185" s="118" t="s">
        <v>835</v>
      </c>
      <c r="C185" s="119" t="s">
        <v>14</v>
      </c>
      <c r="D185" s="36" t="s">
        <v>8</v>
      </c>
      <c r="E185" s="8">
        <f t="shared" si="20"/>
        <v>12900.54667</v>
      </c>
      <c r="F185" s="8">
        <f>SUM(F186:F190)</f>
        <v>12900.54667</v>
      </c>
      <c r="G185" s="8">
        <f>SUM(G186:G190)</f>
        <v>0</v>
      </c>
      <c r="H185" s="8">
        <f>SUM(H186:H190)</f>
        <v>0</v>
      </c>
      <c r="I185" s="8">
        <f>SUM(I186:I190)</f>
        <v>0</v>
      </c>
      <c r="J185" s="119" t="s">
        <v>62</v>
      </c>
      <c r="K185" s="119" t="s">
        <v>484</v>
      </c>
      <c r="L185" s="124"/>
    </row>
    <row r="186" spans="1:13" ht="13.5" customHeight="1" outlineLevel="1" x14ac:dyDescent="0.25">
      <c r="A186" s="117"/>
      <c r="B186" s="118"/>
      <c r="C186" s="119"/>
      <c r="D186" s="36">
        <v>2021</v>
      </c>
      <c r="E186" s="8">
        <f t="shared" si="20"/>
        <v>2106.6577000000002</v>
      </c>
      <c r="F186" s="8">
        <f>2106.6577</f>
        <v>2106.6577000000002</v>
      </c>
      <c r="G186" s="8">
        <v>0</v>
      </c>
      <c r="H186" s="8">
        <v>0</v>
      </c>
      <c r="I186" s="8">
        <v>0</v>
      </c>
      <c r="J186" s="119"/>
      <c r="K186" s="119"/>
      <c r="L186" s="124"/>
    </row>
    <row r="187" spans="1:13" ht="13.5" customHeight="1" outlineLevel="1" x14ac:dyDescent="0.25">
      <c r="A187" s="117"/>
      <c r="B187" s="118"/>
      <c r="C187" s="119"/>
      <c r="D187" s="36">
        <v>2022</v>
      </c>
      <c r="E187" s="8">
        <f t="shared" si="20"/>
        <v>5343.0770000000002</v>
      </c>
      <c r="F187" s="8">
        <f>5912.957-569.88</f>
        <v>5343.0770000000002</v>
      </c>
      <c r="G187" s="8">
        <v>0</v>
      </c>
      <c r="H187" s="8">
        <v>0</v>
      </c>
      <c r="I187" s="8">
        <v>0</v>
      </c>
      <c r="J187" s="119"/>
      <c r="K187" s="119"/>
      <c r="L187" s="124"/>
    </row>
    <row r="188" spans="1:13" ht="13.5" customHeight="1" outlineLevel="1" x14ac:dyDescent="0.25">
      <c r="A188" s="117"/>
      <c r="B188" s="118"/>
      <c r="C188" s="119"/>
      <c r="D188" s="36">
        <v>2023</v>
      </c>
      <c r="E188" s="8">
        <f t="shared" si="20"/>
        <v>1237.58797</v>
      </c>
      <c r="F188" s="11">
        <f>2106.657+(30930.97/1000)-900</f>
        <v>1237.58797</v>
      </c>
      <c r="G188" s="8">
        <v>0</v>
      </c>
      <c r="H188" s="8">
        <v>0</v>
      </c>
      <c r="I188" s="8">
        <v>0</v>
      </c>
      <c r="J188" s="119"/>
      <c r="K188" s="119"/>
      <c r="L188" s="124"/>
      <c r="M188" s="35" t="s">
        <v>1741</v>
      </c>
    </row>
    <row r="189" spans="1:13" ht="13.5" customHeight="1" outlineLevel="1" x14ac:dyDescent="0.25">
      <c r="A189" s="117"/>
      <c r="B189" s="118"/>
      <c r="C189" s="119"/>
      <c r="D189" s="36">
        <v>2024</v>
      </c>
      <c r="E189" s="8">
        <f t="shared" si="20"/>
        <v>2106.6570000000002</v>
      </c>
      <c r="F189" s="8">
        <v>2106.6570000000002</v>
      </c>
      <c r="G189" s="8">
        <v>0</v>
      </c>
      <c r="H189" s="8">
        <v>0</v>
      </c>
      <c r="I189" s="8">
        <v>0</v>
      </c>
      <c r="J189" s="119"/>
      <c r="K189" s="119"/>
      <c r="L189" s="124"/>
    </row>
    <row r="190" spans="1:13" ht="13.5" customHeight="1" outlineLevel="1" x14ac:dyDescent="0.25">
      <c r="A190" s="117"/>
      <c r="B190" s="118"/>
      <c r="C190" s="119"/>
      <c r="D190" s="36">
        <v>2025</v>
      </c>
      <c r="E190" s="8">
        <f t="shared" si="20"/>
        <v>2106.567</v>
      </c>
      <c r="F190" s="8">
        <v>2106.567</v>
      </c>
      <c r="G190" s="8">
        <f>+G196+G202+G208+G232</f>
        <v>0</v>
      </c>
      <c r="H190" s="8">
        <v>0</v>
      </c>
      <c r="I190" s="8">
        <v>0</v>
      </c>
      <c r="J190" s="119"/>
      <c r="K190" s="119"/>
      <c r="L190" s="124"/>
    </row>
    <row r="191" spans="1:13" ht="26.25" customHeight="1" outlineLevel="1" x14ac:dyDescent="0.25">
      <c r="A191" s="117" t="s">
        <v>63</v>
      </c>
      <c r="B191" s="118" t="s">
        <v>1133</v>
      </c>
      <c r="C191" s="119" t="s">
        <v>14</v>
      </c>
      <c r="D191" s="36" t="s">
        <v>8</v>
      </c>
      <c r="E191" s="8">
        <f t="shared" ref="E191:E254" si="27">SUM(F191:I191)</f>
        <v>224763.99966</v>
      </c>
      <c r="F191" s="8">
        <f>SUM(F192:F196)</f>
        <v>224763.99966</v>
      </c>
      <c r="G191" s="8">
        <f>SUM(G192:G196)</f>
        <v>0</v>
      </c>
      <c r="H191" s="8">
        <f>SUM(H192:H196)</f>
        <v>0</v>
      </c>
      <c r="I191" s="8">
        <f>SUM(I192:I196)</f>
        <v>0</v>
      </c>
      <c r="J191" s="119" t="s">
        <v>521</v>
      </c>
      <c r="K191" s="119" t="s">
        <v>484</v>
      </c>
    </row>
    <row r="192" spans="1:13" ht="22.5" customHeight="1" outlineLevel="1" x14ac:dyDescent="0.25">
      <c r="A192" s="117"/>
      <c r="B192" s="118"/>
      <c r="C192" s="119"/>
      <c r="D192" s="36">
        <v>2021</v>
      </c>
      <c r="E192" s="8">
        <f t="shared" si="27"/>
        <v>456</v>
      </c>
      <c r="F192" s="8">
        <v>456</v>
      </c>
      <c r="G192" s="8">
        <v>0</v>
      </c>
      <c r="H192" s="8">
        <v>0</v>
      </c>
      <c r="I192" s="8">
        <v>0</v>
      </c>
      <c r="J192" s="119"/>
      <c r="K192" s="119"/>
    </row>
    <row r="193" spans="1:11" ht="21.75" customHeight="1" outlineLevel="1" x14ac:dyDescent="0.25">
      <c r="A193" s="117"/>
      <c r="B193" s="118"/>
      <c r="C193" s="119"/>
      <c r="D193" s="36">
        <v>2022</v>
      </c>
      <c r="E193" s="8">
        <f t="shared" si="27"/>
        <v>52700</v>
      </c>
      <c r="F193" s="8">
        <v>52700</v>
      </c>
      <c r="G193" s="8">
        <v>0</v>
      </c>
      <c r="H193" s="8">
        <v>0</v>
      </c>
      <c r="I193" s="8">
        <v>0</v>
      </c>
      <c r="J193" s="119"/>
      <c r="K193" s="119"/>
    </row>
    <row r="194" spans="1:11" ht="24" customHeight="1" outlineLevel="1" x14ac:dyDescent="0.25">
      <c r="A194" s="117"/>
      <c r="B194" s="118"/>
      <c r="C194" s="119"/>
      <c r="D194" s="36">
        <v>2023</v>
      </c>
      <c r="E194" s="8">
        <f t="shared" si="27"/>
        <v>67599.999660000001</v>
      </c>
      <c r="F194" s="8">
        <f>52004+7490.67866+8105.321</f>
        <v>67599.999660000001</v>
      </c>
      <c r="G194" s="8">
        <v>0</v>
      </c>
      <c r="H194" s="8">
        <v>0</v>
      </c>
      <c r="I194" s="8">
        <v>0</v>
      </c>
      <c r="J194" s="119"/>
      <c r="K194" s="119"/>
    </row>
    <row r="195" spans="1:11" ht="24.75" customHeight="1" outlineLevel="1" x14ac:dyDescent="0.25">
      <c r="A195" s="117"/>
      <c r="B195" s="118"/>
      <c r="C195" s="119"/>
      <c r="D195" s="36">
        <v>2024</v>
      </c>
      <c r="E195" s="8">
        <f t="shared" si="27"/>
        <v>52004</v>
      </c>
      <c r="F195" s="8">
        <v>52004</v>
      </c>
      <c r="G195" s="8">
        <v>0</v>
      </c>
      <c r="H195" s="8">
        <v>0</v>
      </c>
      <c r="I195" s="8">
        <v>0</v>
      </c>
      <c r="J195" s="119"/>
      <c r="K195" s="119"/>
    </row>
    <row r="196" spans="1:11" ht="24" customHeight="1" outlineLevel="1" x14ac:dyDescent="0.25">
      <c r="A196" s="117"/>
      <c r="B196" s="118"/>
      <c r="C196" s="119"/>
      <c r="D196" s="36">
        <v>2025</v>
      </c>
      <c r="E196" s="8">
        <f t="shared" si="27"/>
        <v>52004</v>
      </c>
      <c r="F196" s="8">
        <v>52004</v>
      </c>
      <c r="G196" s="8">
        <v>0</v>
      </c>
      <c r="H196" s="8">
        <v>0</v>
      </c>
      <c r="I196" s="8">
        <v>0</v>
      </c>
      <c r="J196" s="119"/>
      <c r="K196" s="119"/>
    </row>
    <row r="197" spans="1:11" ht="15.75" customHeight="1" outlineLevel="1" x14ac:dyDescent="0.25">
      <c r="A197" s="117" t="s">
        <v>66</v>
      </c>
      <c r="B197" s="118" t="s">
        <v>67</v>
      </c>
      <c r="C197" s="119" t="s">
        <v>14</v>
      </c>
      <c r="D197" s="36" t="s">
        <v>8</v>
      </c>
      <c r="E197" s="8">
        <f t="shared" si="27"/>
        <v>123.97999999999999</v>
      </c>
      <c r="F197" s="8">
        <f>SUM(F198:F202)</f>
        <v>123.97999999999999</v>
      </c>
      <c r="G197" s="8">
        <f>SUM(G198:G202)</f>
        <v>0</v>
      </c>
      <c r="H197" s="8">
        <f>SUM(H198:H202)</f>
        <v>0</v>
      </c>
      <c r="I197" s="8">
        <f>SUM(I198:I202)</f>
        <v>0</v>
      </c>
      <c r="J197" s="119" t="s">
        <v>522</v>
      </c>
      <c r="K197" s="119" t="s">
        <v>1134</v>
      </c>
    </row>
    <row r="198" spans="1:11" ht="15.75" customHeight="1" outlineLevel="1" x14ac:dyDescent="0.25">
      <c r="A198" s="117"/>
      <c r="B198" s="118"/>
      <c r="C198" s="119"/>
      <c r="D198" s="36">
        <v>2021</v>
      </c>
      <c r="E198" s="8">
        <f t="shared" si="27"/>
        <v>27.77</v>
      </c>
      <c r="F198" s="8">
        <f>27770/1000</f>
        <v>27.77</v>
      </c>
      <c r="G198" s="8">
        <v>0</v>
      </c>
      <c r="H198" s="8">
        <v>0</v>
      </c>
      <c r="I198" s="8">
        <v>0</v>
      </c>
      <c r="J198" s="119"/>
      <c r="K198" s="119"/>
    </row>
    <row r="199" spans="1:11" ht="15.75" customHeight="1" outlineLevel="1" x14ac:dyDescent="0.25">
      <c r="A199" s="117"/>
      <c r="B199" s="118"/>
      <c r="C199" s="119"/>
      <c r="D199" s="36">
        <v>2022</v>
      </c>
      <c r="E199" s="8">
        <f t="shared" si="27"/>
        <v>0</v>
      </c>
      <c r="F199" s="8">
        <v>0</v>
      </c>
      <c r="G199" s="8">
        <v>0</v>
      </c>
      <c r="H199" s="8">
        <v>0</v>
      </c>
      <c r="I199" s="8">
        <v>0</v>
      </c>
      <c r="J199" s="119"/>
      <c r="K199" s="119"/>
    </row>
    <row r="200" spans="1:11" ht="15.75" customHeight="1" outlineLevel="1" x14ac:dyDescent="0.25">
      <c r="A200" s="117"/>
      <c r="B200" s="118"/>
      <c r="C200" s="119"/>
      <c r="D200" s="36">
        <v>2023</v>
      </c>
      <c r="E200" s="8">
        <f t="shared" si="27"/>
        <v>32.07</v>
      </c>
      <c r="F200" s="8">
        <v>32.07</v>
      </c>
      <c r="G200" s="8">
        <v>0</v>
      </c>
      <c r="H200" s="8">
        <v>0</v>
      </c>
      <c r="I200" s="8">
        <v>0</v>
      </c>
      <c r="J200" s="119"/>
      <c r="K200" s="119"/>
    </row>
    <row r="201" spans="1:11" ht="15.75" customHeight="1" outlineLevel="1" x14ac:dyDescent="0.25">
      <c r="A201" s="117"/>
      <c r="B201" s="118"/>
      <c r="C201" s="119"/>
      <c r="D201" s="36">
        <v>2024</v>
      </c>
      <c r="E201" s="8">
        <f t="shared" si="27"/>
        <v>32.07</v>
      </c>
      <c r="F201" s="8">
        <v>32.07</v>
      </c>
      <c r="G201" s="8">
        <v>0</v>
      </c>
      <c r="H201" s="8">
        <v>0</v>
      </c>
      <c r="I201" s="8">
        <v>0</v>
      </c>
      <c r="J201" s="119"/>
      <c r="K201" s="119"/>
    </row>
    <row r="202" spans="1:11" ht="15.75" customHeight="1" outlineLevel="1" x14ac:dyDescent="0.25">
      <c r="A202" s="117"/>
      <c r="B202" s="118"/>
      <c r="C202" s="119"/>
      <c r="D202" s="36">
        <v>2025</v>
      </c>
      <c r="E202" s="8">
        <f t="shared" si="27"/>
        <v>32.07</v>
      </c>
      <c r="F202" s="8">
        <v>32.07</v>
      </c>
      <c r="G202" s="8">
        <v>0</v>
      </c>
      <c r="H202" s="8">
        <v>0</v>
      </c>
      <c r="I202" s="8">
        <v>0</v>
      </c>
      <c r="J202" s="119"/>
      <c r="K202" s="119"/>
    </row>
    <row r="203" spans="1:11" ht="13.5" customHeight="1" outlineLevel="1" x14ac:dyDescent="0.25">
      <c r="A203" s="117" t="s">
        <v>70</v>
      </c>
      <c r="B203" s="118" t="s">
        <v>71</v>
      </c>
      <c r="C203" s="119" t="s">
        <v>14</v>
      </c>
      <c r="D203" s="36" t="s">
        <v>8</v>
      </c>
      <c r="E203" s="8">
        <f t="shared" si="27"/>
        <v>4289859.1152999997</v>
      </c>
      <c r="F203" s="8">
        <f>SUM(F204:F208)</f>
        <v>4289859.1152999997</v>
      </c>
      <c r="G203" s="8">
        <f>SUM(G204:G208)</f>
        <v>0</v>
      </c>
      <c r="H203" s="8">
        <f>SUM(H204:H208)</f>
        <v>0</v>
      </c>
      <c r="I203" s="8">
        <f>SUM(I204:I208)</f>
        <v>0</v>
      </c>
      <c r="J203" s="119" t="s">
        <v>72</v>
      </c>
      <c r="K203" s="119" t="s">
        <v>836</v>
      </c>
    </row>
    <row r="204" spans="1:11" ht="13.5" customHeight="1" outlineLevel="1" x14ac:dyDescent="0.25">
      <c r="A204" s="117"/>
      <c r="B204" s="118"/>
      <c r="C204" s="119"/>
      <c r="D204" s="36">
        <v>2021</v>
      </c>
      <c r="E204" s="8">
        <f t="shared" si="27"/>
        <v>766375.9</v>
      </c>
      <c r="F204" s="8">
        <v>766375.9</v>
      </c>
      <c r="G204" s="8">
        <v>0</v>
      </c>
      <c r="H204" s="8">
        <v>0</v>
      </c>
      <c r="I204" s="8">
        <v>0</v>
      </c>
      <c r="J204" s="119"/>
      <c r="K204" s="119"/>
    </row>
    <row r="205" spans="1:11" ht="13.5" customHeight="1" outlineLevel="1" x14ac:dyDescent="0.25">
      <c r="A205" s="117"/>
      <c r="B205" s="118"/>
      <c r="C205" s="119"/>
      <c r="D205" s="36">
        <v>2022</v>
      </c>
      <c r="E205" s="8">
        <f t="shared" si="27"/>
        <v>914197.98699999996</v>
      </c>
      <c r="F205" s="8">
        <f>879682.2+21426+13089.787</f>
        <v>914197.98699999996</v>
      </c>
      <c r="G205" s="8">
        <v>0</v>
      </c>
      <c r="H205" s="8">
        <v>0</v>
      </c>
      <c r="I205" s="8">
        <v>0</v>
      </c>
      <c r="J205" s="119"/>
      <c r="K205" s="119"/>
    </row>
    <row r="206" spans="1:11" ht="13.5" customHeight="1" outlineLevel="1" x14ac:dyDescent="0.25">
      <c r="A206" s="117"/>
      <c r="B206" s="118"/>
      <c r="C206" s="119"/>
      <c r="D206" s="36">
        <v>2023</v>
      </c>
      <c r="E206" s="8">
        <f t="shared" si="27"/>
        <v>905061.93929999997</v>
      </c>
      <c r="F206" s="11">
        <f>850537.551+27982.345+11890.5953+14651.448</f>
        <v>905061.93929999997</v>
      </c>
      <c r="G206" s="8">
        <v>0</v>
      </c>
      <c r="H206" s="8">
        <v>0</v>
      </c>
      <c r="I206" s="8">
        <v>0</v>
      </c>
      <c r="J206" s="119"/>
      <c r="K206" s="119"/>
    </row>
    <row r="207" spans="1:11" ht="13.5" customHeight="1" outlineLevel="1" x14ac:dyDescent="0.25">
      <c r="A207" s="117"/>
      <c r="B207" s="118"/>
      <c r="C207" s="119"/>
      <c r="D207" s="36">
        <v>2024</v>
      </c>
      <c r="E207" s="8">
        <f t="shared" si="27"/>
        <v>851469.41899999999</v>
      </c>
      <c r="F207" s="8">
        <v>851469.41899999999</v>
      </c>
      <c r="G207" s="8">
        <v>0</v>
      </c>
      <c r="H207" s="8">
        <v>0</v>
      </c>
      <c r="I207" s="8">
        <v>0</v>
      </c>
      <c r="J207" s="119"/>
      <c r="K207" s="119"/>
    </row>
    <row r="208" spans="1:11" ht="13.5" customHeight="1" outlineLevel="1" x14ac:dyDescent="0.25">
      <c r="A208" s="117"/>
      <c r="B208" s="118"/>
      <c r="C208" s="119"/>
      <c r="D208" s="36">
        <v>2025</v>
      </c>
      <c r="E208" s="8">
        <f t="shared" si="27"/>
        <v>852753.87</v>
      </c>
      <c r="F208" s="8">
        <v>852753.87</v>
      </c>
      <c r="G208" s="8">
        <v>0</v>
      </c>
      <c r="H208" s="8">
        <v>0</v>
      </c>
      <c r="I208" s="8">
        <v>0</v>
      </c>
      <c r="J208" s="119"/>
      <c r="K208" s="119"/>
    </row>
    <row r="209" spans="1:11" ht="18.75" customHeight="1" outlineLevel="1" x14ac:dyDescent="0.25">
      <c r="A209" s="117" t="s">
        <v>74</v>
      </c>
      <c r="B209" s="118" t="s">
        <v>75</v>
      </c>
      <c r="C209" s="119" t="s">
        <v>14</v>
      </c>
      <c r="D209" s="36" t="s">
        <v>8</v>
      </c>
      <c r="E209" s="8">
        <f t="shared" si="27"/>
        <v>20589.341</v>
      </c>
      <c r="F209" s="8">
        <f>SUM(F210:F214)</f>
        <v>20589.341</v>
      </c>
      <c r="G209" s="8">
        <f>SUM(G210:G214)</f>
        <v>0</v>
      </c>
      <c r="H209" s="8">
        <f>SUM(H210:H214)</f>
        <v>0</v>
      </c>
      <c r="I209" s="8">
        <f>SUM(I210:I214)</f>
        <v>0</v>
      </c>
      <c r="J209" s="119" t="s">
        <v>1135</v>
      </c>
      <c r="K209" s="119" t="s">
        <v>836</v>
      </c>
    </row>
    <row r="210" spans="1:11" ht="18.75" customHeight="1" outlineLevel="1" x14ac:dyDescent="0.25">
      <c r="A210" s="117"/>
      <c r="B210" s="118"/>
      <c r="C210" s="119"/>
      <c r="D210" s="36">
        <v>2021</v>
      </c>
      <c r="E210" s="8">
        <f t="shared" si="27"/>
        <v>3811.2820000000002</v>
      </c>
      <c r="F210" s="8">
        <v>3811.2820000000002</v>
      </c>
      <c r="G210" s="8">
        <v>0</v>
      </c>
      <c r="H210" s="8">
        <v>0</v>
      </c>
      <c r="I210" s="8">
        <v>0</v>
      </c>
      <c r="J210" s="119"/>
      <c r="K210" s="119"/>
    </row>
    <row r="211" spans="1:11" ht="18.75" customHeight="1" outlineLevel="1" x14ac:dyDescent="0.25">
      <c r="A211" s="117"/>
      <c r="B211" s="118"/>
      <c r="C211" s="119"/>
      <c r="D211" s="36">
        <v>2022</v>
      </c>
      <c r="E211" s="8">
        <f t="shared" si="27"/>
        <v>3588.2230000000004</v>
      </c>
      <c r="F211" s="8">
        <f>3561.3+109.88-82.957</f>
        <v>3588.2230000000004</v>
      </c>
      <c r="G211" s="8">
        <v>0</v>
      </c>
      <c r="H211" s="8">
        <v>0</v>
      </c>
      <c r="I211" s="8">
        <v>0</v>
      </c>
      <c r="J211" s="119"/>
      <c r="K211" s="119"/>
    </row>
    <row r="212" spans="1:11" ht="18.75" customHeight="1" outlineLevel="1" x14ac:dyDescent="0.25">
      <c r="A212" s="117"/>
      <c r="B212" s="118"/>
      <c r="C212" s="119"/>
      <c r="D212" s="36">
        <v>2023</v>
      </c>
      <c r="E212" s="8">
        <f t="shared" si="27"/>
        <v>6067.2359999999999</v>
      </c>
      <c r="F212" s="11">
        <f>3561.3+2000+118.878+82.077+300+4.981</f>
        <v>6067.2359999999999</v>
      </c>
      <c r="G212" s="8">
        <v>0</v>
      </c>
      <c r="H212" s="8">
        <v>0</v>
      </c>
      <c r="I212" s="8">
        <v>0</v>
      </c>
      <c r="J212" s="119"/>
      <c r="K212" s="119"/>
    </row>
    <row r="213" spans="1:11" ht="18.75" customHeight="1" outlineLevel="1" x14ac:dyDescent="0.25">
      <c r="A213" s="117"/>
      <c r="B213" s="118"/>
      <c r="C213" s="119"/>
      <c r="D213" s="36">
        <v>2024</v>
      </c>
      <c r="E213" s="8">
        <f t="shared" si="27"/>
        <v>3561.3</v>
      </c>
      <c r="F213" s="8">
        <v>3561.3</v>
      </c>
      <c r="G213" s="8">
        <v>0</v>
      </c>
      <c r="H213" s="8">
        <v>0</v>
      </c>
      <c r="I213" s="8">
        <v>0</v>
      </c>
      <c r="J213" s="119"/>
      <c r="K213" s="119"/>
    </row>
    <row r="214" spans="1:11" ht="18.75" customHeight="1" outlineLevel="1" x14ac:dyDescent="0.25">
      <c r="A214" s="117"/>
      <c r="B214" s="118"/>
      <c r="C214" s="119"/>
      <c r="D214" s="36">
        <v>2025</v>
      </c>
      <c r="E214" s="8">
        <f t="shared" si="27"/>
        <v>3561.3</v>
      </c>
      <c r="F214" s="8">
        <v>3561.3</v>
      </c>
      <c r="G214" s="8">
        <v>0</v>
      </c>
      <c r="H214" s="8">
        <v>0</v>
      </c>
      <c r="I214" s="8">
        <v>0</v>
      </c>
      <c r="J214" s="119"/>
      <c r="K214" s="119"/>
    </row>
    <row r="215" spans="1:11" ht="14.25" customHeight="1" outlineLevel="1" x14ac:dyDescent="0.25">
      <c r="A215" s="117" t="s">
        <v>524</v>
      </c>
      <c r="B215" s="118" t="s">
        <v>525</v>
      </c>
      <c r="C215" s="119" t="s">
        <v>14</v>
      </c>
      <c r="D215" s="36" t="s">
        <v>8</v>
      </c>
      <c r="E215" s="8">
        <f t="shared" si="27"/>
        <v>26988.080000000002</v>
      </c>
      <c r="F215" s="8">
        <f>SUM(F216:F220)</f>
        <v>26988.080000000002</v>
      </c>
      <c r="G215" s="8">
        <f>SUM(G216:G220)</f>
        <v>0</v>
      </c>
      <c r="H215" s="8">
        <f>SUM(H216:H220)</f>
        <v>0</v>
      </c>
      <c r="I215" s="8">
        <f>SUM(I216:I220)</f>
        <v>0</v>
      </c>
      <c r="J215" s="119" t="s">
        <v>526</v>
      </c>
      <c r="K215" s="119" t="s">
        <v>837</v>
      </c>
    </row>
    <row r="216" spans="1:11" ht="13.5" customHeight="1" outlineLevel="1" x14ac:dyDescent="0.25">
      <c r="A216" s="117"/>
      <c r="B216" s="118"/>
      <c r="C216" s="119"/>
      <c r="D216" s="36">
        <v>2021</v>
      </c>
      <c r="E216" s="8">
        <f t="shared" si="27"/>
        <v>26988.080000000002</v>
      </c>
      <c r="F216" s="8">
        <v>26988.080000000002</v>
      </c>
      <c r="G216" s="8">
        <v>0</v>
      </c>
      <c r="H216" s="8">
        <v>0</v>
      </c>
      <c r="I216" s="8">
        <v>0</v>
      </c>
      <c r="J216" s="119"/>
      <c r="K216" s="119"/>
    </row>
    <row r="217" spans="1:11" ht="13.5" customHeight="1" outlineLevel="1" x14ac:dyDescent="0.25">
      <c r="A217" s="117"/>
      <c r="B217" s="118"/>
      <c r="C217" s="119"/>
      <c r="D217" s="36">
        <v>2022</v>
      </c>
      <c r="E217" s="8">
        <f t="shared" si="27"/>
        <v>0</v>
      </c>
      <c r="F217" s="8">
        <v>0</v>
      </c>
      <c r="G217" s="8">
        <v>0</v>
      </c>
      <c r="H217" s="8">
        <v>0</v>
      </c>
      <c r="I217" s="8">
        <v>0</v>
      </c>
      <c r="J217" s="119"/>
      <c r="K217" s="119"/>
    </row>
    <row r="218" spans="1:11" ht="13.5" customHeight="1" outlineLevel="1" x14ac:dyDescent="0.25">
      <c r="A218" s="117"/>
      <c r="B218" s="118"/>
      <c r="C218" s="119"/>
      <c r="D218" s="36">
        <v>2023</v>
      </c>
      <c r="E218" s="8">
        <f t="shared" si="27"/>
        <v>0</v>
      </c>
      <c r="F218" s="8">
        <v>0</v>
      </c>
      <c r="G218" s="8">
        <v>0</v>
      </c>
      <c r="H218" s="8">
        <v>0</v>
      </c>
      <c r="I218" s="8">
        <v>0</v>
      </c>
      <c r="J218" s="119"/>
      <c r="K218" s="119"/>
    </row>
    <row r="219" spans="1:11" ht="13.5" customHeight="1" outlineLevel="1" x14ac:dyDescent="0.25">
      <c r="A219" s="117"/>
      <c r="B219" s="118"/>
      <c r="C219" s="119"/>
      <c r="D219" s="36">
        <v>2024</v>
      </c>
      <c r="E219" s="8">
        <f t="shared" si="27"/>
        <v>0</v>
      </c>
      <c r="F219" s="8">
        <v>0</v>
      </c>
      <c r="G219" s="8">
        <v>0</v>
      </c>
      <c r="H219" s="8">
        <v>0</v>
      </c>
      <c r="I219" s="8">
        <v>0</v>
      </c>
      <c r="J219" s="119"/>
      <c r="K219" s="119"/>
    </row>
    <row r="220" spans="1:11" ht="19.5" customHeight="1" outlineLevel="1" x14ac:dyDescent="0.25">
      <c r="A220" s="117"/>
      <c r="B220" s="118"/>
      <c r="C220" s="119"/>
      <c r="D220" s="36">
        <v>2025</v>
      </c>
      <c r="E220" s="8">
        <f t="shared" si="27"/>
        <v>0</v>
      </c>
      <c r="F220" s="8">
        <v>0</v>
      </c>
      <c r="G220" s="8">
        <v>0</v>
      </c>
      <c r="H220" s="8">
        <v>0</v>
      </c>
      <c r="I220" s="8">
        <v>0</v>
      </c>
      <c r="J220" s="119"/>
      <c r="K220" s="119"/>
    </row>
    <row r="221" spans="1:11" ht="14.25" customHeight="1" outlineLevel="1" x14ac:dyDescent="0.25">
      <c r="A221" s="117" t="s">
        <v>528</v>
      </c>
      <c r="B221" s="118" t="s">
        <v>1136</v>
      </c>
      <c r="C221" s="119" t="s">
        <v>14</v>
      </c>
      <c r="D221" s="36" t="s">
        <v>8</v>
      </c>
      <c r="E221" s="8">
        <f t="shared" si="27"/>
        <v>0</v>
      </c>
      <c r="F221" s="8">
        <f>SUM(F222:F226)</f>
        <v>0</v>
      </c>
      <c r="G221" s="8">
        <f>SUM(G222:G226)</f>
        <v>0</v>
      </c>
      <c r="H221" s="8">
        <f>SUM(H222:H226)</f>
        <v>0</v>
      </c>
      <c r="I221" s="8">
        <f>SUM(I222:I226)</f>
        <v>0</v>
      </c>
      <c r="J221" s="119" t="s">
        <v>530</v>
      </c>
      <c r="K221" s="119" t="s">
        <v>531</v>
      </c>
    </row>
    <row r="222" spans="1:11" ht="13.5" customHeight="1" outlineLevel="1" x14ac:dyDescent="0.25">
      <c r="A222" s="117"/>
      <c r="B222" s="118"/>
      <c r="C222" s="119"/>
      <c r="D222" s="36">
        <v>2021</v>
      </c>
      <c r="E222" s="8">
        <f t="shared" si="27"/>
        <v>0</v>
      </c>
      <c r="F222" s="8">
        <v>0</v>
      </c>
      <c r="G222" s="8">
        <v>0</v>
      </c>
      <c r="H222" s="8">
        <v>0</v>
      </c>
      <c r="I222" s="8">
        <v>0</v>
      </c>
      <c r="J222" s="119"/>
      <c r="K222" s="119"/>
    </row>
    <row r="223" spans="1:11" ht="13.5" customHeight="1" outlineLevel="1" x14ac:dyDescent="0.25">
      <c r="A223" s="117"/>
      <c r="B223" s="118"/>
      <c r="C223" s="119"/>
      <c r="D223" s="36">
        <v>2022</v>
      </c>
      <c r="E223" s="8">
        <f t="shared" si="27"/>
        <v>0</v>
      </c>
      <c r="F223" s="8">
        <v>0</v>
      </c>
      <c r="G223" s="8">
        <v>0</v>
      </c>
      <c r="H223" s="8">
        <v>0</v>
      </c>
      <c r="I223" s="8">
        <v>0</v>
      </c>
      <c r="J223" s="119"/>
      <c r="K223" s="119"/>
    </row>
    <row r="224" spans="1:11" ht="13.5" customHeight="1" outlineLevel="1" x14ac:dyDescent="0.25">
      <c r="A224" s="117"/>
      <c r="B224" s="118"/>
      <c r="C224" s="119"/>
      <c r="D224" s="36">
        <v>2023</v>
      </c>
      <c r="E224" s="8">
        <f t="shared" si="27"/>
        <v>0</v>
      </c>
      <c r="F224" s="8">
        <v>0</v>
      </c>
      <c r="G224" s="8">
        <v>0</v>
      </c>
      <c r="H224" s="8">
        <v>0</v>
      </c>
      <c r="I224" s="8">
        <v>0</v>
      </c>
      <c r="J224" s="119"/>
      <c r="K224" s="119"/>
    </row>
    <row r="225" spans="1:13" ht="13.5" customHeight="1" outlineLevel="1" x14ac:dyDescent="0.25">
      <c r="A225" s="117"/>
      <c r="B225" s="118"/>
      <c r="C225" s="119"/>
      <c r="D225" s="36">
        <v>2024</v>
      </c>
      <c r="E225" s="8">
        <f t="shared" si="27"/>
        <v>0</v>
      </c>
      <c r="F225" s="8">
        <v>0</v>
      </c>
      <c r="G225" s="8">
        <v>0</v>
      </c>
      <c r="H225" s="8">
        <v>0</v>
      </c>
      <c r="I225" s="8">
        <v>0</v>
      </c>
      <c r="J225" s="119"/>
      <c r="K225" s="119"/>
    </row>
    <row r="226" spans="1:13" ht="19.5" customHeight="1" outlineLevel="1" x14ac:dyDescent="0.25">
      <c r="A226" s="117"/>
      <c r="B226" s="118"/>
      <c r="C226" s="119"/>
      <c r="D226" s="36">
        <v>2025</v>
      </c>
      <c r="E226" s="8">
        <f t="shared" si="27"/>
        <v>0</v>
      </c>
      <c r="F226" s="8">
        <v>0</v>
      </c>
      <c r="G226" s="8">
        <v>0</v>
      </c>
      <c r="H226" s="8">
        <v>0</v>
      </c>
      <c r="I226" s="8">
        <v>0</v>
      </c>
      <c r="J226" s="119"/>
      <c r="K226" s="119"/>
    </row>
    <row r="227" spans="1:13" ht="14.25" customHeight="1" outlineLevel="1" x14ac:dyDescent="0.25">
      <c r="A227" s="117" t="s">
        <v>532</v>
      </c>
      <c r="B227" s="118" t="s">
        <v>533</v>
      </c>
      <c r="C227" s="119" t="s">
        <v>14</v>
      </c>
      <c r="D227" s="36" t="s">
        <v>8</v>
      </c>
      <c r="E227" s="8">
        <f t="shared" si="27"/>
        <v>368.27599999999995</v>
      </c>
      <c r="F227" s="8">
        <f>SUM(F228:F232)</f>
        <v>368.27599999999995</v>
      </c>
      <c r="G227" s="8">
        <f>SUM(G228:G232)</f>
        <v>0</v>
      </c>
      <c r="H227" s="8">
        <f>SUM(H228:H232)</f>
        <v>0</v>
      </c>
      <c r="I227" s="8">
        <f>SUM(I228:I232)</f>
        <v>0</v>
      </c>
      <c r="J227" s="119" t="s">
        <v>534</v>
      </c>
      <c r="K227" s="119" t="s">
        <v>92</v>
      </c>
    </row>
    <row r="228" spans="1:13" ht="13.5" customHeight="1" outlineLevel="1" x14ac:dyDescent="0.25">
      <c r="A228" s="117"/>
      <c r="B228" s="118"/>
      <c r="C228" s="119"/>
      <c r="D228" s="36">
        <v>2021</v>
      </c>
      <c r="E228" s="8">
        <f t="shared" si="27"/>
        <v>150.887</v>
      </c>
      <c r="F228" s="8">
        <v>150.887</v>
      </c>
      <c r="G228" s="8">
        <v>0</v>
      </c>
      <c r="H228" s="8">
        <v>0</v>
      </c>
      <c r="I228" s="8">
        <v>0</v>
      </c>
      <c r="J228" s="119"/>
      <c r="K228" s="119"/>
    </row>
    <row r="229" spans="1:13" ht="13.5" customHeight="1" outlineLevel="1" x14ac:dyDescent="0.25">
      <c r="A229" s="117"/>
      <c r="B229" s="118"/>
      <c r="C229" s="119"/>
      <c r="D229" s="36">
        <v>2022</v>
      </c>
      <c r="E229" s="8">
        <f t="shared" si="27"/>
        <v>82.956999999999994</v>
      </c>
      <c r="F229" s="8">
        <v>82.956999999999994</v>
      </c>
      <c r="G229" s="8">
        <v>0</v>
      </c>
      <c r="H229" s="8">
        <v>0</v>
      </c>
      <c r="I229" s="8">
        <v>0</v>
      </c>
      <c r="J229" s="119"/>
      <c r="K229" s="119"/>
    </row>
    <row r="230" spans="1:13" ht="13.5" customHeight="1" outlineLevel="1" x14ac:dyDescent="0.25">
      <c r="A230" s="117"/>
      <c r="B230" s="118"/>
      <c r="C230" s="119"/>
      <c r="D230" s="36">
        <v>2023</v>
      </c>
      <c r="E230" s="8">
        <f t="shared" si="27"/>
        <v>134.43199999999999</v>
      </c>
      <c r="F230" s="8">
        <v>134.43199999999999</v>
      </c>
      <c r="G230" s="8">
        <v>0</v>
      </c>
      <c r="H230" s="8">
        <v>0</v>
      </c>
      <c r="I230" s="8">
        <v>0</v>
      </c>
      <c r="J230" s="119"/>
      <c r="K230" s="119"/>
      <c r="M230" s="35" t="s">
        <v>1742</v>
      </c>
    </row>
    <row r="231" spans="1:13" ht="13.5" customHeight="1" outlineLevel="1" x14ac:dyDescent="0.25">
      <c r="A231" s="117"/>
      <c r="B231" s="118"/>
      <c r="C231" s="119"/>
      <c r="D231" s="36">
        <v>2024</v>
      </c>
      <c r="E231" s="8">
        <f t="shared" si="27"/>
        <v>0</v>
      </c>
      <c r="F231" s="8">
        <v>0</v>
      </c>
      <c r="G231" s="8">
        <v>0</v>
      </c>
      <c r="H231" s="8">
        <v>0</v>
      </c>
      <c r="I231" s="8">
        <v>0</v>
      </c>
      <c r="J231" s="119"/>
      <c r="K231" s="119"/>
    </row>
    <row r="232" spans="1:13" ht="19.5" customHeight="1" outlineLevel="1" x14ac:dyDescent="0.25">
      <c r="A232" s="117"/>
      <c r="B232" s="118"/>
      <c r="C232" s="119"/>
      <c r="D232" s="36">
        <v>2025</v>
      </c>
      <c r="E232" s="8">
        <f t="shared" si="27"/>
        <v>0</v>
      </c>
      <c r="F232" s="8">
        <v>0</v>
      </c>
      <c r="G232" s="8">
        <v>0</v>
      </c>
      <c r="H232" s="8">
        <v>0</v>
      </c>
      <c r="I232" s="8">
        <v>0</v>
      </c>
      <c r="J232" s="119"/>
      <c r="K232" s="119"/>
    </row>
    <row r="233" spans="1:13" ht="16.5" customHeight="1" outlineLevel="1" x14ac:dyDescent="0.25">
      <c r="A233" s="117" t="s">
        <v>535</v>
      </c>
      <c r="B233" s="118" t="s">
        <v>536</v>
      </c>
      <c r="C233" s="119" t="s">
        <v>14</v>
      </c>
      <c r="D233" s="36" t="s">
        <v>8</v>
      </c>
      <c r="E233" s="8">
        <f t="shared" si="27"/>
        <v>595</v>
      </c>
      <c r="F233" s="8">
        <f>SUM(F234:F238)</f>
        <v>595</v>
      </c>
      <c r="G233" s="8">
        <f>SUM(G234:G238)</f>
        <v>0</v>
      </c>
      <c r="H233" s="8">
        <f>SUM(H234:H238)</f>
        <v>0</v>
      </c>
      <c r="I233" s="8">
        <f>SUM(I234:I238)</f>
        <v>0</v>
      </c>
      <c r="J233" s="119" t="s">
        <v>838</v>
      </c>
      <c r="K233" s="119" t="s">
        <v>531</v>
      </c>
    </row>
    <row r="234" spans="1:13" ht="16.5" customHeight="1" outlineLevel="1" x14ac:dyDescent="0.25">
      <c r="A234" s="117"/>
      <c r="B234" s="118"/>
      <c r="C234" s="119"/>
      <c r="D234" s="36">
        <v>2021</v>
      </c>
      <c r="E234" s="8">
        <f t="shared" si="27"/>
        <v>595</v>
      </c>
      <c r="F234" s="8">
        <v>595</v>
      </c>
      <c r="G234" s="8">
        <v>0</v>
      </c>
      <c r="H234" s="8">
        <v>0</v>
      </c>
      <c r="I234" s="8">
        <v>0</v>
      </c>
      <c r="J234" s="119"/>
      <c r="K234" s="119"/>
    </row>
    <row r="235" spans="1:13" ht="16.5" customHeight="1" outlineLevel="1" x14ac:dyDescent="0.25">
      <c r="A235" s="117"/>
      <c r="B235" s="118"/>
      <c r="C235" s="119"/>
      <c r="D235" s="36">
        <v>2022</v>
      </c>
      <c r="E235" s="8">
        <f t="shared" si="27"/>
        <v>0</v>
      </c>
      <c r="F235" s="8">
        <v>0</v>
      </c>
      <c r="G235" s="8">
        <v>0</v>
      </c>
      <c r="H235" s="8">
        <v>0</v>
      </c>
      <c r="I235" s="8">
        <v>0</v>
      </c>
      <c r="J235" s="119"/>
      <c r="K235" s="119"/>
    </row>
    <row r="236" spans="1:13" ht="16.5" customHeight="1" outlineLevel="1" x14ac:dyDescent="0.25">
      <c r="A236" s="117"/>
      <c r="B236" s="118"/>
      <c r="C236" s="119"/>
      <c r="D236" s="36">
        <v>2023</v>
      </c>
      <c r="E236" s="8">
        <f t="shared" si="27"/>
        <v>0</v>
      </c>
      <c r="F236" s="8">
        <v>0</v>
      </c>
      <c r="G236" s="8">
        <v>0</v>
      </c>
      <c r="H236" s="8">
        <v>0</v>
      </c>
      <c r="I236" s="8">
        <v>0</v>
      </c>
      <c r="J236" s="119"/>
      <c r="K236" s="119"/>
    </row>
    <row r="237" spans="1:13" ht="16.5" customHeight="1" outlineLevel="1" x14ac:dyDescent="0.25">
      <c r="A237" s="117"/>
      <c r="B237" s="118"/>
      <c r="C237" s="119"/>
      <c r="D237" s="36">
        <v>2024</v>
      </c>
      <c r="E237" s="8">
        <f t="shared" si="27"/>
        <v>0</v>
      </c>
      <c r="F237" s="8">
        <v>0</v>
      </c>
      <c r="G237" s="8">
        <v>0</v>
      </c>
      <c r="H237" s="8">
        <v>0</v>
      </c>
      <c r="I237" s="8">
        <v>0</v>
      </c>
      <c r="J237" s="119"/>
      <c r="K237" s="119"/>
    </row>
    <row r="238" spans="1:13" ht="16.5" customHeight="1" outlineLevel="1" x14ac:dyDescent="0.25">
      <c r="A238" s="117"/>
      <c r="B238" s="118"/>
      <c r="C238" s="119"/>
      <c r="D238" s="36">
        <v>2025</v>
      </c>
      <c r="E238" s="8">
        <f t="shared" si="27"/>
        <v>0</v>
      </c>
      <c r="F238" s="8">
        <v>0</v>
      </c>
      <c r="G238" s="8">
        <v>0</v>
      </c>
      <c r="H238" s="8">
        <v>0</v>
      </c>
      <c r="I238" s="8">
        <v>0</v>
      </c>
      <c r="J238" s="119"/>
      <c r="K238" s="119"/>
    </row>
    <row r="239" spans="1:13" ht="16.5" customHeight="1" outlineLevel="1" x14ac:dyDescent="0.25">
      <c r="A239" s="117" t="s">
        <v>609</v>
      </c>
      <c r="B239" s="118" t="s">
        <v>610</v>
      </c>
      <c r="C239" s="119" t="s">
        <v>14</v>
      </c>
      <c r="D239" s="36" t="s">
        <v>8</v>
      </c>
      <c r="E239" s="8">
        <f t="shared" si="27"/>
        <v>8626</v>
      </c>
      <c r="F239" s="8">
        <f>SUM(F240:F244)</f>
        <v>8626</v>
      </c>
      <c r="G239" s="8">
        <f>SUM(G240:G244)</f>
        <v>0</v>
      </c>
      <c r="H239" s="8">
        <f>SUM(H240:H244)</f>
        <v>0</v>
      </c>
      <c r="I239" s="8">
        <f>SUM(I240:I244)</f>
        <v>0</v>
      </c>
      <c r="J239" s="119" t="s">
        <v>611</v>
      </c>
      <c r="K239" s="119" t="s">
        <v>563</v>
      </c>
    </row>
    <row r="240" spans="1:13" ht="16.5" customHeight="1" outlineLevel="1" x14ac:dyDescent="0.25">
      <c r="A240" s="117"/>
      <c r="B240" s="118"/>
      <c r="C240" s="119"/>
      <c r="D240" s="36">
        <v>2021</v>
      </c>
      <c r="E240" s="8">
        <f t="shared" si="27"/>
        <v>8626</v>
      </c>
      <c r="F240" s="8">
        <v>8626</v>
      </c>
      <c r="G240" s="8">
        <v>0</v>
      </c>
      <c r="H240" s="8">
        <v>0</v>
      </c>
      <c r="I240" s="8">
        <v>0</v>
      </c>
      <c r="J240" s="119"/>
      <c r="K240" s="119"/>
    </row>
    <row r="241" spans="1:11" ht="16.5" customHeight="1" outlineLevel="1" x14ac:dyDescent="0.25">
      <c r="A241" s="117"/>
      <c r="B241" s="118"/>
      <c r="C241" s="119"/>
      <c r="D241" s="36">
        <v>2022</v>
      </c>
      <c r="E241" s="8">
        <f t="shared" si="27"/>
        <v>0</v>
      </c>
      <c r="F241" s="8">
        <v>0</v>
      </c>
      <c r="G241" s="8">
        <v>0</v>
      </c>
      <c r="H241" s="8">
        <v>0</v>
      </c>
      <c r="I241" s="8">
        <v>0</v>
      </c>
      <c r="J241" s="119"/>
      <c r="K241" s="119"/>
    </row>
    <row r="242" spans="1:11" ht="16.5" customHeight="1" outlineLevel="1" x14ac:dyDescent="0.25">
      <c r="A242" s="117"/>
      <c r="B242" s="118"/>
      <c r="C242" s="119"/>
      <c r="D242" s="36">
        <v>2023</v>
      </c>
      <c r="E242" s="8">
        <f t="shared" si="27"/>
        <v>0</v>
      </c>
      <c r="F242" s="8">
        <v>0</v>
      </c>
      <c r="G242" s="8">
        <v>0</v>
      </c>
      <c r="H242" s="8">
        <v>0</v>
      </c>
      <c r="I242" s="8">
        <v>0</v>
      </c>
      <c r="J242" s="119"/>
      <c r="K242" s="119"/>
    </row>
    <row r="243" spans="1:11" ht="16.5" customHeight="1" outlineLevel="1" x14ac:dyDescent="0.25">
      <c r="A243" s="117"/>
      <c r="B243" s="118"/>
      <c r="C243" s="119"/>
      <c r="D243" s="36">
        <v>2024</v>
      </c>
      <c r="E243" s="8">
        <f t="shared" si="27"/>
        <v>0</v>
      </c>
      <c r="F243" s="8">
        <v>0</v>
      </c>
      <c r="G243" s="8">
        <v>0</v>
      </c>
      <c r="H243" s="8">
        <v>0</v>
      </c>
      <c r="I243" s="8">
        <v>0</v>
      </c>
      <c r="J243" s="119"/>
      <c r="K243" s="119"/>
    </row>
    <row r="244" spans="1:11" ht="16.5" customHeight="1" outlineLevel="1" x14ac:dyDescent="0.25">
      <c r="A244" s="117"/>
      <c r="B244" s="118"/>
      <c r="C244" s="119"/>
      <c r="D244" s="36">
        <v>2025</v>
      </c>
      <c r="E244" s="8">
        <f t="shared" si="27"/>
        <v>0</v>
      </c>
      <c r="F244" s="8">
        <v>0</v>
      </c>
      <c r="G244" s="8">
        <v>0</v>
      </c>
      <c r="H244" s="8">
        <v>0</v>
      </c>
      <c r="I244" s="8">
        <v>0</v>
      </c>
      <c r="J244" s="119"/>
      <c r="K244" s="119"/>
    </row>
    <row r="245" spans="1:11" ht="16.5" customHeight="1" outlineLevel="1" x14ac:dyDescent="0.25">
      <c r="A245" s="117" t="s">
        <v>839</v>
      </c>
      <c r="B245" s="118" t="s">
        <v>1137</v>
      </c>
      <c r="C245" s="119" t="s">
        <v>14</v>
      </c>
      <c r="D245" s="36" t="s">
        <v>8</v>
      </c>
      <c r="E245" s="8">
        <f t="shared" si="27"/>
        <v>35337.443999999996</v>
      </c>
      <c r="F245" s="8">
        <f>SUM(F246:F250)</f>
        <v>35337.443999999996</v>
      </c>
      <c r="G245" s="8">
        <f>SUM(G246:G250)</f>
        <v>0</v>
      </c>
      <c r="H245" s="8">
        <f>SUM(H246:H250)</f>
        <v>0</v>
      </c>
      <c r="I245" s="8">
        <f>SUM(I246:I250)</f>
        <v>0</v>
      </c>
      <c r="J245" s="119" t="s">
        <v>1138</v>
      </c>
      <c r="K245" s="119" t="s">
        <v>1139</v>
      </c>
    </row>
    <row r="246" spans="1:11" ht="16.5" customHeight="1" outlineLevel="1" x14ac:dyDescent="0.25">
      <c r="A246" s="117"/>
      <c r="B246" s="118"/>
      <c r="C246" s="119"/>
      <c r="D246" s="36">
        <v>2021</v>
      </c>
      <c r="E246" s="8">
        <f t="shared" si="27"/>
        <v>0</v>
      </c>
      <c r="F246" s="8">
        <v>0</v>
      </c>
      <c r="G246" s="8">
        <v>0</v>
      </c>
      <c r="H246" s="8">
        <v>0</v>
      </c>
      <c r="I246" s="8">
        <v>0</v>
      </c>
      <c r="J246" s="119"/>
      <c r="K246" s="119"/>
    </row>
    <row r="247" spans="1:11" ht="16.5" customHeight="1" outlineLevel="1" x14ac:dyDescent="0.25">
      <c r="A247" s="117"/>
      <c r="B247" s="118"/>
      <c r="C247" s="119"/>
      <c r="D247" s="36">
        <v>2022</v>
      </c>
      <c r="E247" s="8">
        <f t="shared" si="27"/>
        <v>35337.442999999999</v>
      </c>
      <c r="F247" s="8">
        <f>22000+1017.443+12000+13089.787+320-13089.787</f>
        <v>35337.442999999999</v>
      </c>
      <c r="G247" s="8">
        <v>0</v>
      </c>
      <c r="H247" s="8">
        <v>0</v>
      </c>
      <c r="I247" s="8">
        <v>0</v>
      </c>
      <c r="J247" s="119"/>
      <c r="K247" s="119"/>
    </row>
    <row r="248" spans="1:11" ht="16.5" customHeight="1" outlineLevel="1" x14ac:dyDescent="0.25">
      <c r="A248" s="117"/>
      <c r="B248" s="118"/>
      <c r="C248" s="119"/>
      <c r="D248" s="36">
        <v>2023</v>
      </c>
      <c r="E248" s="8">
        <f t="shared" si="27"/>
        <v>9.9999999991950972E-4</v>
      </c>
      <c r="F248" s="11">
        <f>5000-4863.17-136.829</f>
        <v>9.9999999991950972E-4</v>
      </c>
      <c r="G248" s="8">
        <v>0</v>
      </c>
      <c r="H248" s="8">
        <v>0</v>
      </c>
      <c r="I248" s="8">
        <v>0</v>
      </c>
      <c r="J248" s="119"/>
      <c r="K248" s="119"/>
    </row>
    <row r="249" spans="1:11" ht="16.5" customHeight="1" outlineLevel="1" x14ac:dyDescent="0.25">
      <c r="A249" s="117"/>
      <c r="B249" s="118"/>
      <c r="C249" s="119"/>
      <c r="D249" s="36">
        <v>2024</v>
      </c>
      <c r="E249" s="8">
        <f t="shared" si="27"/>
        <v>0</v>
      </c>
      <c r="F249" s="8">
        <v>0</v>
      </c>
      <c r="G249" s="8">
        <v>0</v>
      </c>
      <c r="H249" s="8">
        <v>0</v>
      </c>
      <c r="I249" s="8">
        <v>0</v>
      </c>
      <c r="J249" s="119"/>
      <c r="K249" s="119"/>
    </row>
    <row r="250" spans="1:11" ht="16.5" customHeight="1" outlineLevel="1" x14ac:dyDescent="0.25">
      <c r="A250" s="117"/>
      <c r="B250" s="118"/>
      <c r="C250" s="119"/>
      <c r="D250" s="36">
        <v>2025</v>
      </c>
      <c r="E250" s="8">
        <f t="shared" si="27"/>
        <v>0</v>
      </c>
      <c r="F250" s="8">
        <v>0</v>
      </c>
      <c r="G250" s="8">
        <v>0</v>
      </c>
      <c r="H250" s="8">
        <v>0</v>
      </c>
      <c r="I250" s="8">
        <v>0</v>
      </c>
      <c r="J250" s="119"/>
      <c r="K250" s="119"/>
    </row>
    <row r="251" spans="1:11" ht="16.5" customHeight="1" outlineLevel="1" x14ac:dyDescent="0.25">
      <c r="A251" s="117" t="s">
        <v>843</v>
      </c>
      <c r="B251" s="118" t="s">
        <v>844</v>
      </c>
      <c r="C251" s="119" t="s">
        <v>14</v>
      </c>
      <c r="D251" s="36" t="s">
        <v>8</v>
      </c>
      <c r="E251" s="8">
        <f t="shared" si="27"/>
        <v>534</v>
      </c>
      <c r="F251" s="8">
        <f>SUM(F252:F256)</f>
        <v>534</v>
      </c>
      <c r="G251" s="8">
        <f>SUM(G252:G256)</f>
        <v>0</v>
      </c>
      <c r="H251" s="8">
        <f>SUM(H252:H256)</f>
        <v>0</v>
      </c>
      <c r="I251" s="8">
        <f>SUM(I252:I256)</f>
        <v>0</v>
      </c>
      <c r="J251" s="119" t="s">
        <v>845</v>
      </c>
      <c r="K251" s="119" t="s">
        <v>1140</v>
      </c>
    </row>
    <row r="252" spans="1:11" ht="16.5" customHeight="1" outlineLevel="1" x14ac:dyDescent="0.25">
      <c r="A252" s="117"/>
      <c r="B252" s="118"/>
      <c r="C252" s="119"/>
      <c r="D252" s="36">
        <v>2021</v>
      </c>
      <c r="E252" s="8">
        <f t="shared" si="27"/>
        <v>534</v>
      </c>
      <c r="F252" s="8">
        <v>534</v>
      </c>
      <c r="G252" s="8">
        <v>0</v>
      </c>
      <c r="H252" s="8">
        <v>0</v>
      </c>
      <c r="I252" s="8">
        <v>0</v>
      </c>
      <c r="J252" s="119"/>
      <c r="K252" s="119"/>
    </row>
    <row r="253" spans="1:11" ht="16.5" customHeight="1" outlineLevel="1" x14ac:dyDescent="0.25">
      <c r="A253" s="117"/>
      <c r="B253" s="118"/>
      <c r="C253" s="119"/>
      <c r="D253" s="36">
        <v>2022</v>
      </c>
      <c r="E253" s="8">
        <f t="shared" si="27"/>
        <v>0</v>
      </c>
      <c r="F253" s="8">
        <v>0</v>
      </c>
      <c r="G253" s="8">
        <v>0</v>
      </c>
      <c r="H253" s="8">
        <v>0</v>
      </c>
      <c r="I253" s="8">
        <v>0</v>
      </c>
      <c r="J253" s="119"/>
      <c r="K253" s="119"/>
    </row>
    <row r="254" spans="1:11" ht="16.5" customHeight="1" outlineLevel="1" x14ac:dyDescent="0.25">
      <c r="A254" s="117"/>
      <c r="B254" s="118"/>
      <c r="C254" s="119"/>
      <c r="D254" s="36">
        <v>2023</v>
      </c>
      <c r="E254" s="8">
        <f t="shared" si="27"/>
        <v>0</v>
      </c>
      <c r="F254" s="8">
        <v>0</v>
      </c>
      <c r="G254" s="8">
        <v>0</v>
      </c>
      <c r="H254" s="8">
        <v>0</v>
      </c>
      <c r="I254" s="8">
        <v>0</v>
      </c>
      <c r="J254" s="119"/>
      <c r="K254" s="119"/>
    </row>
    <row r="255" spans="1:11" ht="16.5" customHeight="1" outlineLevel="1" x14ac:dyDescent="0.25">
      <c r="A255" s="117"/>
      <c r="B255" s="118"/>
      <c r="C255" s="119"/>
      <c r="D255" s="36">
        <v>2024</v>
      </c>
      <c r="E255" s="8">
        <f t="shared" ref="E255:E316" si="28">SUM(F255:I255)</f>
        <v>0</v>
      </c>
      <c r="F255" s="8">
        <v>0</v>
      </c>
      <c r="G255" s="8">
        <v>0</v>
      </c>
      <c r="H255" s="8">
        <v>0</v>
      </c>
      <c r="I255" s="8">
        <v>0</v>
      </c>
      <c r="J255" s="119"/>
      <c r="K255" s="119"/>
    </row>
    <row r="256" spans="1:11" ht="16.5" customHeight="1" outlineLevel="1" x14ac:dyDescent="0.25">
      <c r="A256" s="117"/>
      <c r="B256" s="118"/>
      <c r="C256" s="119"/>
      <c r="D256" s="36">
        <v>2025</v>
      </c>
      <c r="E256" s="8">
        <f t="shared" si="28"/>
        <v>0</v>
      </c>
      <c r="F256" s="8">
        <v>0</v>
      </c>
      <c r="G256" s="8">
        <v>0</v>
      </c>
      <c r="H256" s="8">
        <v>0</v>
      </c>
      <c r="I256" s="8">
        <v>0</v>
      </c>
      <c r="J256" s="119"/>
      <c r="K256" s="119"/>
    </row>
    <row r="257" spans="1:11" ht="16.5" customHeight="1" outlineLevel="1" x14ac:dyDescent="0.25">
      <c r="A257" s="117" t="s">
        <v>846</v>
      </c>
      <c r="B257" s="118" t="s">
        <v>847</v>
      </c>
      <c r="C257" s="119" t="s">
        <v>14</v>
      </c>
      <c r="D257" s="36" t="s">
        <v>8</v>
      </c>
      <c r="E257" s="8">
        <f t="shared" si="28"/>
        <v>194</v>
      </c>
      <c r="F257" s="8">
        <f>SUM(F258:F262)</f>
        <v>194</v>
      </c>
      <c r="G257" s="8">
        <f>SUM(G258:G262)</f>
        <v>0</v>
      </c>
      <c r="H257" s="8">
        <f>SUM(H258:H262)</f>
        <v>0</v>
      </c>
      <c r="I257" s="8">
        <f>SUM(I258:I262)</f>
        <v>0</v>
      </c>
      <c r="J257" s="119" t="s">
        <v>848</v>
      </c>
      <c r="K257" s="119" t="s">
        <v>484</v>
      </c>
    </row>
    <row r="258" spans="1:11" ht="16.5" customHeight="1" outlineLevel="1" x14ac:dyDescent="0.25">
      <c r="A258" s="117"/>
      <c r="B258" s="118"/>
      <c r="C258" s="119"/>
      <c r="D258" s="36">
        <v>2021</v>
      </c>
      <c r="E258" s="8">
        <f t="shared" si="28"/>
        <v>194</v>
      </c>
      <c r="F258" s="8">
        <v>194</v>
      </c>
      <c r="G258" s="8">
        <v>0</v>
      </c>
      <c r="H258" s="8">
        <v>0</v>
      </c>
      <c r="I258" s="8">
        <v>0</v>
      </c>
      <c r="J258" s="119"/>
      <c r="K258" s="119"/>
    </row>
    <row r="259" spans="1:11" ht="16.5" customHeight="1" outlineLevel="1" x14ac:dyDescent="0.25">
      <c r="A259" s="117"/>
      <c r="B259" s="118"/>
      <c r="C259" s="119"/>
      <c r="D259" s="36">
        <v>2022</v>
      </c>
      <c r="E259" s="8">
        <f t="shared" si="28"/>
        <v>0</v>
      </c>
      <c r="F259" s="8">
        <v>0</v>
      </c>
      <c r="G259" s="8">
        <v>0</v>
      </c>
      <c r="H259" s="8">
        <v>0</v>
      </c>
      <c r="I259" s="8">
        <v>0</v>
      </c>
      <c r="J259" s="119"/>
      <c r="K259" s="119"/>
    </row>
    <row r="260" spans="1:11" ht="16.5" customHeight="1" outlineLevel="1" x14ac:dyDescent="0.25">
      <c r="A260" s="117"/>
      <c r="B260" s="118"/>
      <c r="C260" s="119"/>
      <c r="D260" s="36">
        <v>2023</v>
      </c>
      <c r="E260" s="8">
        <f t="shared" si="28"/>
        <v>0</v>
      </c>
      <c r="F260" s="8">
        <v>0</v>
      </c>
      <c r="G260" s="8">
        <v>0</v>
      </c>
      <c r="H260" s="8">
        <v>0</v>
      </c>
      <c r="I260" s="8">
        <v>0</v>
      </c>
      <c r="J260" s="119"/>
      <c r="K260" s="119"/>
    </row>
    <row r="261" spans="1:11" ht="16.5" customHeight="1" outlineLevel="1" x14ac:dyDescent="0.25">
      <c r="A261" s="117"/>
      <c r="B261" s="118"/>
      <c r="C261" s="119"/>
      <c r="D261" s="36">
        <v>2024</v>
      </c>
      <c r="E261" s="8">
        <f t="shared" si="28"/>
        <v>0</v>
      </c>
      <c r="F261" s="8">
        <v>0</v>
      </c>
      <c r="G261" s="8">
        <v>0</v>
      </c>
      <c r="H261" s="8">
        <v>0</v>
      </c>
      <c r="I261" s="8">
        <v>0</v>
      </c>
      <c r="J261" s="119"/>
      <c r="K261" s="119"/>
    </row>
    <row r="262" spans="1:11" ht="16.5" customHeight="1" outlineLevel="1" x14ac:dyDescent="0.25">
      <c r="A262" s="117"/>
      <c r="B262" s="118"/>
      <c r="C262" s="119"/>
      <c r="D262" s="36">
        <v>2025</v>
      </c>
      <c r="E262" s="8">
        <f t="shared" si="28"/>
        <v>0</v>
      </c>
      <c r="F262" s="8">
        <v>0</v>
      </c>
      <c r="G262" s="8">
        <v>0</v>
      </c>
      <c r="H262" s="8">
        <v>0</v>
      </c>
      <c r="I262" s="8">
        <v>0</v>
      </c>
      <c r="J262" s="119"/>
      <c r="K262" s="119"/>
    </row>
    <row r="263" spans="1:11" ht="16.5" customHeight="1" outlineLevel="1" x14ac:dyDescent="0.25">
      <c r="A263" s="117" t="s">
        <v>849</v>
      </c>
      <c r="B263" s="118" t="s">
        <v>850</v>
      </c>
      <c r="C263" s="119" t="s">
        <v>1113</v>
      </c>
      <c r="D263" s="36" t="s">
        <v>8</v>
      </c>
      <c r="E263" s="8">
        <f t="shared" si="28"/>
        <v>1800</v>
      </c>
      <c r="F263" s="8">
        <f>SUM(F264:F268)</f>
        <v>1800</v>
      </c>
      <c r="G263" s="8">
        <f>SUM(G264:G268)</f>
        <v>0</v>
      </c>
      <c r="H263" s="8">
        <f>SUM(H264:H268)</f>
        <v>0</v>
      </c>
      <c r="I263" s="8">
        <f>SUM(I264:I268)</f>
        <v>0</v>
      </c>
      <c r="J263" s="119" t="s">
        <v>1141</v>
      </c>
      <c r="K263" s="119" t="s">
        <v>484</v>
      </c>
    </row>
    <row r="264" spans="1:11" ht="16.5" customHeight="1" outlineLevel="1" x14ac:dyDescent="0.25">
      <c r="A264" s="117"/>
      <c r="B264" s="118"/>
      <c r="C264" s="119"/>
      <c r="D264" s="36">
        <v>2021</v>
      </c>
      <c r="E264" s="8">
        <f t="shared" si="28"/>
        <v>0</v>
      </c>
      <c r="F264" s="8">
        <v>0</v>
      </c>
      <c r="G264" s="8">
        <v>0</v>
      </c>
      <c r="H264" s="8">
        <v>0</v>
      </c>
      <c r="I264" s="8">
        <v>0</v>
      </c>
      <c r="J264" s="119"/>
      <c r="K264" s="119"/>
    </row>
    <row r="265" spans="1:11" ht="16.5" customHeight="1" outlineLevel="1" x14ac:dyDescent="0.25">
      <c r="A265" s="117"/>
      <c r="B265" s="118"/>
      <c r="C265" s="119"/>
      <c r="D265" s="36">
        <v>2022</v>
      </c>
      <c r="E265" s="8">
        <v>900</v>
      </c>
      <c r="F265" s="8">
        <v>900</v>
      </c>
      <c r="G265" s="8">
        <v>0</v>
      </c>
      <c r="H265" s="8">
        <v>0</v>
      </c>
      <c r="I265" s="8">
        <v>0</v>
      </c>
      <c r="J265" s="119"/>
      <c r="K265" s="119"/>
    </row>
    <row r="266" spans="1:11" ht="16.5" customHeight="1" outlineLevel="1" x14ac:dyDescent="0.25">
      <c r="A266" s="117"/>
      <c r="B266" s="118"/>
      <c r="C266" s="119"/>
      <c r="D266" s="36">
        <v>2023</v>
      </c>
      <c r="E266" s="8">
        <f t="shared" si="28"/>
        <v>900</v>
      </c>
      <c r="F266" s="11">
        <v>900</v>
      </c>
      <c r="G266" s="8">
        <v>0</v>
      </c>
      <c r="H266" s="8">
        <v>0</v>
      </c>
      <c r="I266" s="8">
        <v>0</v>
      </c>
      <c r="J266" s="119"/>
      <c r="K266" s="119"/>
    </row>
    <row r="267" spans="1:11" ht="16.5" customHeight="1" outlineLevel="1" x14ac:dyDescent="0.25">
      <c r="A267" s="117"/>
      <c r="B267" s="118"/>
      <c r="C267" s="119"/>
      <c r="D267" s="36">
        <v>2024</v>
      </c>
      <c r="E267" s="8">
        <f t="shared" si="28"/>
        <v>0</v>
      </c>
      <c r="F267" s="8">
        <v>0</v>
      </c>
      <c r="G267" s="8">
        <v>0</v>
      </c>
      <c r="H267" s="8">
        <v>0</v>
      </c>
      <c r="I267" s="8">
        <v>0</v>
      </c>
      <c r="J267" s="119"/>
      <c r="K267" s="119"/>
    </row>
    <row r="268" spans="1:11" ht="16.5" customHeight="1" outlineLevel="1" x14ac:dyDescent="0.25">
      <c r="A268" s="117"/>
      <c r="B268" s="118"/>
      <c r="C268" s="119"/>
      <c r="D268" s="36">
        <v>2025</v>
      </c>
      <c r="E268" s="8">
        <f t="shared" si="28"/>
        <v>0</v>
      </c>
      <c r="F268" s="8">
        <v>0</v>
      </c>
      <c r="G268" s="8">
        <v>0</v>
      </c>
      <c r="H268" s="8">
        <v>0</v>
      </c>
      <c r="I268" s="8">
        <v>0</v>
      </c>
      <c r="J268" s="119"/>
      <c r="K268" s="119"/>
    </row>
    <row r="269" spans="1:11" ht="16.5" customHeight="1" outlineLevel="1" x14ac:dyDescent="0.25">
      <c r="A269" s="117" t="s">
        <v>852</v>
      </c>
      <c r="B269" s="118" t="s">
        <v>1142</v>
      </c>
      <c r="C269" s="119" t="s">
        <v>1113</v>
      </c>
      <c r="D269" s="36" t="s">
        <v>8</v>
      </c>
      <c r="E269" s="8">
        <f t="shared" si="28"/>
        <v>117456.592</v>
      </c>
      <c r="F269" s="8">
        <f>SUM(F270:F274)</f>
        <v>117456.592</v>
      </c>
      <c r="G269" s="8">
        <f>SUM(G270:G274)</f>
        <v>0</v>
      </c>
      <c r="H269" s="8">
        <f>SUM(H270:H274)</f>
        <v>0</v>
      </c>
      <c r="I269" s="8">
        <f>SUM(I270:I274)</f>
        <v>0</v>
      </c>
      <c r="J269" s="119" t="s">
        <v>1142</v>
      </c>
      <c r="K269" s="119" t="s">
        <v>597</v>
      </c>
    </row>
    <row r="270" spans="1:11" ht="16.5" customHeight="1" outlineLevel="1" x14ac:dyDescent="0.25">
      <c r="A270" s="117"/>
      <c r="B270" s="118"/>
      <c r="C270" s="119"/>
      <c r="D270" s="36">
        <v>2021</v>
      </c>
      <c r="E270" s="8">
        <f t="shared" si="28"/>
        <v>0</v>
      </c>
      <c r="F270" s="8">
        <v>0</v>
      </c>
      <c r="G270" s="8">
        <v>0</v>
      </c>
      <c r="H270" s="8">
        <v>0</v>
      </c>
      <c r="I270" s="8">
        <v>0</v>
      </c>
      <c r="J270" s="119"/>
      <c r="K270" s="119"/>
    </row>
    <row r="271" spans="1:11" ht="16.5" customHeight="1" outlineLevel="1" x14ac:dyDescent="0.25">
      <c r="A271" s="117"/>
      <c r="B271" s="118"/>
      <c r="C271" s="119"/>
      <c r="D271" s="36">
        <v>2022</v>
      </c>
      <c r="E271" s="8">
        <f t="shared" si="28"/>
        <v>24779.228999999999</v>
      </c>
      <c r="F271" s="8">
        <v>24779.228999999999</v>
      </c>
      <c r="G271" s="8">
        <v>0</v>
      </c>
      <c r="H271" s="8">
        <v>0</v>
      </c>
      <c r="I271" s="8">
        <v>0</v>
      </c>
      <c r="J271" s="119"/>
      <c r="K271" s="119"/>
    </row>
    <row r="272" spans="1:11" ht="16.5" customHeight="1" outlineLevel="1" x14ac:dyDescent="0.25">
      <c r="A272" s="117"/>
      <c r="B272" s="118"/>
      <c r="C272" s="119"/>
      <c r="D272" s="36">
        <v>2023</v>
      </c>
      <c r="E272" s="8">
        <f t="shared" si="28"/>
        <v>35051.025000000001</v>
      </c>
      <c r="F272" s="8">
        <f>25184.8+5003.055+4863.17</f>
        <v>35051.025000000001</v>
      </c>
      <c r="G272" s="8">
        <v>0</v>
      </c>
      <c r="H272" s="8">
        <v>0</v>
      </c>
      <c r="I272" s="8">
        <v>0</v>
      </c>
      <c r="J272" s="119"/>
      <c r="K272" s="119"/>
    </row>
    <row r="273" spans="1:11" ht="16.5" customHeight="1" outlineLevel="1" x14ac:dyDescent="0.25">
      <c r="A273" s="117"/>
      <c r="B273" s="118"/>
      <c r="C273" s="119"/>
      <c r="D273" s="36">
        <v>2024</v>
      </c>
      <c r="E273" s="8">
        <f t="shared" si="28"/>
        <v>28813.169000000002</v>
      </c>
      <c r="F273" s="8">
        <v>28813.169000000002</v>
      </c>
      <c r="G273" s="8">
        <v>0</v>
      </c>
      <c r="H273" s="8">
        <v>0</v>
      </c>
      <c r="I273" s="8">
        <v>0</v>
      </c>
      <c r="J273" s="119"/>
      <c r="K273" s="119"/>
    </row>
    <row r="274" spans="1:11" ht="16.5" customHeight="1" outlineLevel="1" x14ac:dyDescent="0.25">
      <c r="A274" s="117"/>
      <c r="B274" s="118"/>
      <c r="C274" s="119"/>
      <c r="D274" s="36">
        <v>2025</v>
      </c>
      <c r="E274" s="8">
        <f t="shared" si="28"/>
        <v>28813.169000000002</v>
      </c>
      <c r="F274" s="8">
        <v>28813.169000000002</v>
      </c>
      <c r="G274" s="8">
        <v>0</v>
      </c>
      <c r="H274" s="8">
        <v>0</v>
      </c>
      <c r="I274" s="8">
        <v>0</v>
      </c>
      <c r="J274" s="119"/>
      <c r="K274" s="119"/>
    </row>
    <row r="275" spans="1:11" ht="16.5" customHeight="1" outlineLevel="1" x14ac:dyDescent="0.25">
      <c r="A275" s="117" t="s">
        <v>1143</v>
      </c>
      <c r="B275" s="118" t="s">
        <v>1144</v>
      </c>
      <c r="C275" s="119">
        <v>2022</v>
      </c>
      <c r="D275" s="36" t="s">
        <v>8</v>
      </c>
      <c r="E275" s="8">
        <f t="shared" si="28"/>
        <v>0</v>
      </c>
      <c r="F275" s="8">
        <f>SUM(F276:F280)</f>
        <v>0</v>
      </c>
      <c r="G275" s="8">
        <f>SUM(G276:G280)</f>
        <v>0</v>
      </c>
      <c r="H275" s="8">
        <f>SUM(H276:H280)</f>
        <v>0</v>
      </c>
      <c r="I275" s="8">
        <f>SUM(I276:I280)</f>
        <v>0</v>
      </c>
      <c r="J275" s="119" t="s">
        <v>1145</v>
      </c>
      <c r="K275" s="119" t="s">
        <v>1146</v>
      </c>
    </row>
    <row r="276" spans="1:11" ht="16.5" customHeight="1" outlineLevel="1" x14ac:dyDescent="0.25">
      <c r="A276" s="117"/>
      <c r="B276" s="118"/>
      <c r="C276" s="119"/>
      <c r="D276" s="36">
        <v>2021</v>
      </c>
      <c r="E276" s="8">
        <f t="shared" si="28"/>
        <v>0</v>
      </c>
      <c r="F276" s="8">
        <v>0</v>
      </c>
      <c r="G276" s="8">
        <v>0</v>
      </c>
      <c r="H276" s="8">
        <v>0</v>
      </c>
      <c r="I276" s="8">
        <v>0</v>
      </c>
      <c r="J276" s="119"/>
      <c r="K276" s="119"/>
    </row>
    <row r="277" spans="1:11" ht="16.5" customHeight="1" outlineLevel="1" x14ac:dyDescent="0.25">
      <c r="A277" s="117"/>
      <c r="B277" s="118"/>
      <c r="C277" s="119"/>
      <c r="D277" s="36">
        <v>2022</v>
      </c>
      <c r="E277" s="8">
        <f t="shared" si="28"/>
        <v>0</v>
      </c>
      <c r="F277" s="8">
        <v>0</v>
      </c>
      <c r="G277" s="8">
        <v>0</v>
      </c>
      <c r="H277" s="8">
        <v>0</v>
      </c>
      <c r="I277" s="8">
        <v>0</v>
      </c>
      <c r="J277" s="119"/>
      <c r="K277" s="119"/>
    </row>
    <row r="278" spans="1:11" ht="16.5" customHeight="1" outlineLevel="1" x14ac:dyDescent="0.25">
      <c r="A278" s="117"/>
      <c r="B278" s="118"/>
      <c r="C278" s="119"/>
      <c r="D278" s="36">
        <v>2023</v>
      </c>
      <c r="E278" s="8">
        <f t="shared" si="28"/>
        <v>0</v>
      </c>
      <c r="F278" s="8">
        <v>0</v>
      </c>
      <c r="G278" s="8">
        <v>0</v>
      </c>
      <c r="H278" s="8">
        <v>0</v>
      </c>
      <c r="I278" s="8">
        <v>0</v>
      </c>
      <c r="J278" s="119"/>
      <c r="K278" s="119"/>
    </row>
    <row r="279" spans="1:11" ht="16.5" customHeight="1" outlineLevel="1" x14ac:dyDescent="0.25">
      <c r="A279" s="117"/>
      <c r="B279" s="118"/>
      <c r="C279" s="119"/>
      <c r="D279" s="36">
        <v>2024</v>
      </c>
      <c r="E279" s="8">
        <f t="shared" si="28"/>
        <v>0</v>
      </c>
      <c r="F279" s="8">
        <v>0</v>
      </c>
      <c r="G279" s="8">
        <v>0</v>
      </c>
      <c r="H279" s="8">
        <v>0</v>
      </c>
      <c r="I279" s="8">
        <v>0</v>
      </c>
      <c r="J279" s="119"/>
      <c r="K279" s="119"/>
    </row>
    <row r="280" spans="1:11" ht="16.5" customHeight="1" outlineLevel="1" x14ac:dyDescent="0.25">
      <c r="A280" s="117"/>
      <c r="B280" s="118"/>
      <c r="C280" s="119"/>
      <c r="D280" s="36">
        <v>2025</v>
      </c>
      <c r="E280" s="8">
        <f t="shared" si="28"/>
        <v>0</v>
      </c>
      <c r="F280" s="8">
        <v>0</v>
      </c>
      <c r="G280" s="8">
        <v>0</v>
      </c>
      <c r="H280" s="8">
        <v>0</v>
      </c>
      <c r="I280" s="8">
        <v>0</v>
      </c>
      <c r="J280" s="119"/>
      <c r="K280" s="119"/>
    </row>
    <row r="281" spans="1:11" ht="15.75" customHeight="1" outlineLevel="1" x14ac:dyDescent="0.25">
      <c r="A281" s="117" t="s">
        <v>1147</v>
      </c>
      <c r="B281" s="118" t="s">
        <v>1148</v>
      </c>
      <c r="C281" s="119">
        <v>2022</v>
      </c>
      <c r="D281" s="36" t="s">
        <v>8</v>
      </c>
      <c r="E281" s="8">
        <f t="shared" si="28"/>
        <v>17927.877</v>
      </c>
      <c r="F281" s="8">
        <f>SUM(F282:F286)</f>
        <v>17927.877</v>
      </c>
      <c r="G281" s="8">
        <f>SUM(G282:G286)</f>
        <v>0</v>
      </c>
      <c r="H281" s="8">
        <f>SUM(H282:H286)</f>
        <v>0</v>
      </c>
      <c r="I281" s="8">
        <f>SUM(I282:I286)</f>
        <v>0</v>
      </c>
      <c r="J281" s="119" t="s">
        <v>1149</v>
      </c>
      <c r="K281" s="119" t="s">
        <v>1150</v>
      </c>
    </row>
    <row r="282" spans="1:11" outlineLevel="1" x14ac:dyDescent="0.25">
      <c r="A282" s="117"/>
      <c r="B282" s="118"/>
      <c r="C282" s="119"/>
      <c r="D282" s="36">
        <v>2021</v>
      </c>
      <c r="E282" s="8">
        <f t="shared" si="28"/>
        <v>0</v>
      </c>
      <c r="F282" s="8">
        <v>0</v>
      </c>
      <c r="G282" s="8">
        <v>0</v>
      </c>
      <c r="H282" s="8">
        <v>0</v>
      </c>
      <c r="I282" s="8">
        <v>0</v>
      </c>
      <c r="J282" s="119"/>
      <c r="K282" s="119"/>
    </row>
    <row r="283" spans="1:11" outlineLevel="1" x14ac:dyDescent="0.25">
      <c r="A283" s="117"/>
      <c r="B283" s="118"/>
      <c r="C283" s="119"/>
      <c r="D283" s="36">
        <v>2022</v>
      </c>
      <c r="E283" s="8">
        <f t="shared" si="28"/>
        <v>17927.877</v>
      </c>
      <c r="F283" s="8">
        <v>17927.877</v>
      </c>
      <c r="G283" s="8">
        <v>0</v>
      </c>
      <c r="H283" s="8">
        <v>0</v>
      </c>
      <c r="I283" s="8">
        <v>0</v>
      </c>
      <c r="J283" s="119"/>
      <c r="K283" s="119"/>
    </row>
    <row r="284" spans="1:11" outlineLevel="1" x14ac:dyDescent="0.25">
      <c r="A284" s="117"/>
      <c r="B284" s="118"/>
      <c r="C284" s="119"/>
      <c r="D284" s="36">
        <v>2023</v>
      </c>
      <c r="E284" s="8">
        <f t="shared" si="28"/>
        <v>0</v>
      </c>
      <c r="F284" s="8">
        <v>0</v>
      </c>
      <c r="G284" s="8">
        <v>0</v>
      </c>
      <c r="H284" s="8">
        <v>0</v>
      </c>
      <c r="I284" s="8">
        <v>0</v>
      </c>
      <c r="J284" s="119"/>
      <c r="K284" s="119"/>
    </row>
    <row r="285" spans="1:11" outlineLevel="1" x14ac:dyDescent="0.25">
      <c r="A285" s="117"/>
      <c r="B285" s="118"/>
      <c r="C285" s="119"/>
      <c r="D285" s="36">
        <v>2024</v>
      </c>
      <c r="E285" s="8">
        <f t="shared" si="28"/>
        <v>0</v>
      </c>
      <c r="F285" s="8">
        <v>0</v>
      </c>
      <c r="G285" s="8">
        <v>0</v>
      </c>
      <c r="H285" s="8">
        <v>0</v>
      </c>
      <c r="I285" s="8">
        <v>0</v>
      </c>
      <c r="J285" s="119"/>
      <c r="K285" s="119"/>
    </row>
    <row r="286" spans="1:11" outlineLevel="1" x14ac:dyDescent="0.25">
      <c r="A286" s="117"/>
      <c r="B286" s="118"/>
      <c r="C286" s="119"/>
      <c r="D286" s="36">
        <v>2025</v>
      </c>
      <c r="E286" s="8">
        <f t="shared" si="28"/>
        <v>0</v>
      </c>
      <c r="F286" s="8">
        <v>0</v>
      </c>
      <c r="G286" s="8">
        <v>0</v>
      </c>
      <c r="H286" s="8">
        <v>0</v>
      </c>
      <c r="I286" s="8">
        <v>0</v>
      </c>
      <c r="J286" s="119"/>
      <c r="K286" s="119"/>
    </row>
    <row r="287" spans="1:11" ht="15.75" customHeight="1" outlineLevel="1" x14ac:dyDescent="0.25">
      <c r="A287" s="117" t="s">
        <v>1151</v>
      </c>
      <c r="B287" s="118" t="s">
        <v>1152</v>
      </c>
      <c r="C287" s="119">
        <v>2022</v>
      </c>
      <c r="D287" s="36" t="s">
        <v>8</v>
      </c>
      <c r="E287" s="8">
        <f t="shared" si="28"/>
        <v>82491</v>
      </c>
      <c r="F287" s="8">
        <f>SUM(F288:F292)</f>
        <v>82491</v>
      </c>
      <c r="G287" s="8">
        <f>SUM(G288:G292)</f>
        <v>0</v>
      </c>
      <c r="H287" s="8">
        <f>SUM(H288:H292)</f>
        <v>0</v>
      </c>
      <c r="I287" s="8">
        <f>SUM(I288:I292)</f>
        <v>0</v>
      </c>
      <c r="J287" s="119" t="s">
        <v>1153</v>
      </c>
      <c r="K287" s="119" t="s">
        <v>597</v>
      </c>
    </row>
    <row r="288" spans="1:11" ht="15" customHeight="1" outlineLevel="1" x14ac:dyDescent="0.25">
      <c r="A288" s="117"/>
      <c r="B288" s="118"/>
      <c r="C288" s="119"/>
      <c r="D288" s="36">
        <v>2021</v>
      </c>
      <c r="E288" s="8">
        <f t="shared" si="28"/>
        <v>0</v>
      </c>
      <c r="F288" s="8">
        <v>0</v>
      </c>
      <c r="G288" s="8">
        <v>0</v>
      </c>
      <c r="H288" s="8">
        <v>0</v>
      </c>
      <c r="I288" s="8">
        <v>0</v>
      </c>
      <c r="J288" s="119"/>
      <c r="K288" s="119"/>
    </row>
    <row r="289" spans="1:11" ht="15" customHeight="1" outlineLevel="1" x14ac:dyDescent="0.25">
      <c r="A289" s="117"/>
      <c r="B289" s="118"/>
      <c r="C289" s="119"/>
      <c r="D289" s="36">
        <v>2022</v>
      </c>
      <c r="E289" s="8">
        <f t="shared" si="28"/>
        <v>82491</v>
      </c>
      <c r="F289" s="8">
        <f>56859.756+25631.244</f>
        <v>82491</v>
      </c>
      <c r="G289" s="8">
        <v>0</v>
      </c>
      <c r="H289" s="8">
        <v>0</v>
      </c>
      <c r="I289" s="8">
        <v>0</v>
      </c>
      <c r="J289" s="119"/>
      <c r="K289" s="119"/>
    </row>
    <row r="290" spans="1:11" ht="15" customHeight="1" outlineLevel="1" x14ac:dyDescent="0.25">
      <c r="A290" s="117"/>
      <c r="B290" s="118"/>
      <c r="C290" s="119"/>
      <c r="D290" s="36">
        <v>2023</v>
      </c>
      <c r="E290" s="8">
        <f t="shared" si="28"/>
        <v>0</v>
      </c>
      <c r="F290" s="8">
        <v>0</v>
      </c>
      <c r="G290" s="8">
        <v>0</v>
      </c>
      <c r="H290" s="8">
        <v>0</v>
      </c>
      <c r="I290" s="8">
        <v>0</v>
      </c>
      <c r="J290" s="119"/>
      <c r="K290" s="119"/>
    </row>
    <row r="291" spans="1:11" ht="15" customHeight="1" outlineLevel="1" x14ac:dyDescent="0.25">
      <c r="A291" s="117"/>
      <c r="B291" s="118"/>
      <c r="C291" s="119"/>
      <c r="D291" s="36">
        <v>2024</v>
      </c>
      <c r="E291" s="8">
        <f t="shared" si="28"/>
        <v>0</v>
      </c>
      <c r="F291" s="8">
        <v>0</v>
      </c>
      <c r="G291" s="8">
        <v>0</v>
      </c>
      <c r="H291" s="8">
        <v>0</v>
      </c>
      <c r="I291" s="8">
        <v>0</v>
      </c>
      <c r="J291" s="119"/>
      <c r="K291" s="119"/>
    </row>
    <row r="292" spans="1:11" ht="15" customHeight="1" outlineLevel="1" x14ac:dyDescent="0.25">
      <c r="A292" s="117"/>
      <c r="B292" s="118"/>
      <c r="C292" s="119"/>
      <c r="D292" s="36">
        <v>2025</v>
      </c>
      <c r="E292" s="8">
        <f t="shared" si="28"/>
        <v>0</v>
      </c>
      <c r="F292" s="8">
        <v>0</v>
      </c>
      <c r="G292" s="8">
        <v>0</v>
      </c>
      <c r="H292" s="8">
        <v>0</v>
      </c>
      <c r="I292" s="8">
        <v>0</v>
      </c>
      <c r="J292" s="119"/>
      <c r="K292" s="119"/>
    </row>
    <row r="293" spans="1:11" outlineLevel="1" x14ac:dyDescent="0.25">
      <c r="A293" s="117" t="s">
        <v>1154</v>
      </c>
      <c r="B293" s="118" t="s">
        <v>1155</v>
      </c>
      <c r="C293" s="119">
        <v>2022</v>
      </c>
      <c r="D293" s="36" t="s">
        <v>8</v>
      </c>
      <c r="E293" s="8">
        <f t="shared" si="28"/>
        <v>0</v>
      </c>
      <c r="F293" s="8">
        <f>SUM(F294:F298)</f>
        <v>0</v>
      </c>
      <c r="G293" s="8">
        <f>SUM(G294:G298)</f>
        <v>0</v>
      </c>
      <c r="H293" s="8">
        <f>SUM(H294:H298)</f>
        <v>0</v>
      </c>
      <c r="I293" s="8">
        <f>SUM(I294:I298)</f>
        <v>0</v>
      </c>
      <c r="J293" s="119" t="s">
        <v>1156</v>
      </c>
      <c r="K293" s="119" t="s">
        <v>597</v>
      </c>
    </row>
    <row r="294" spans="1:11" outlineLevel="1" x14ac:dyDescent="0.25">
      <c r="A294" s="117"/>
      <c r="B294" s="118"/>
      <c r="C294" s="119"/>
      <c r="D294" s="36">
        <v>2021</v>
      </c>
      <c r="E294" s="8">
        <f t="shared" si="28"/>
        <v>0</v>
      </c>
      <c r="F294" s="8">
        <v>0</v>
      </c>
      <c r="G294" s="8">
        <v>0</v>
      </c>
      <c r="H294" s="8">
        <v>0</v>
      </c>
      <c r="I294" s="8">
        <v>0</v>
      </c>
      <c r="J294" s="119"/>
      <c r="K294" s="119"/>
    </row>
    <row r="295" spans="1:11" outlineLevel="1" x14ac:dyDescent="0.25">
      <c r="A295" s="117"/>
      <c r="B295" s="118"/>
      <c r="C295" s="119"/>
      <c r="D295" s="36">
        <v>2022</v>
      </c>
      <c r="E295" s="8">
        <f t="shared" si="28"/>
        <v>0</v>
      </c>
      <c r="F295" s="8">
        <v>0</v>
      </c>
      <c r="G295" s="8">
        <v>0</v>
      </c>
      <c r="H295" s="8">
        <v>0</v>
      </c>
      <c r="I295" s="8">
        <v>0</v>
      </c>
      <c r="J295" s="119"/>
      <c r="K295" s="119"/>
    </row>
    <row r="296" spans="1:11" outlineLevel="1" x14ac:dyDescent="0.25">
      <c r="A296" s="117"/>
      <c r="B296" s="118"/>
      <c r="C296" s="119"/>
      <c r="D296" s="36">
        <v>2023</v>
      </c>
      <c r="E296" s="8">
        <f t="shared" si="28"/>
        <v>0</v>
      </c>
      <c r="F296" s="8">
        <v>0</v>
      </c>
      <c r="G296" s="8">
        <v>0</v>
      </c>
      <c r="H296" s="8">
        <v>0</v>
      </c>
      <c r="I296" s="8">
        <v>0</v>
      </c>
      <c r="J296" s="119"/>
      <c r="K296" s="119"/>
    </row>
    <row r="297" spans="1:11" outlineLevel="1" x14ac:dyDescent="0.25">
      <c r="A297" s="117"/>
      <c r="B297" s="118"/>
      <c r="C297" s="119"/>
      <c r="D297" s="36">
        <v>2024</v>
      </c>
      <c r="E297" s="8">
        <f t="shared" si="28"/>
        <v>0</v>
      </c>
      <c r="F297" s="8">
        <v>0</v>
      </c>
      <c r="G297" s="8">
        <v>0</v>
      </c>
      <c r="H297" s="8">
        <v>0</v>
      </c>
      <c r="I297" s="8">
        <v>0</v>
      </c>
      <c r="J297" s="119"/>
      <c r="K297" s="119"/>
    </row>
    <row r="298" spans="1:11" outlineLevel="1" x14ac:dyDescent="0.25">
      <c r="A298" s="117"/>
      <c r="B298" s="118"/>
      <c r="C298" s="119"/>
      <c r="D298" s="36">
        <v>2025</v>
      </c>
      <c r="E298" s="8">
        <f t="shared" si="28"/>
        <v>0</v>
      </c>
      <c r="F298" s="8">
        <v>0</v>
      </c>
      <c r="G298" s="8">
        <v>0</v>
      </c>
      <c r="H298" s="8">
        <v>0</v>
      </c>
      <c r="I298" s="8">
        <v>0</v>
      </c>
      <c r="J298" s="119"/>
      <c r="K298" s="119"/>
    </row>
    <row r="299" spans="1:11" outlineLevel="1" x14ac:dyDescent="0.25">
      <c r="A299" s="117" t="s">
        <v>1157</v>
      </c>
      <c r="B299" s="118" t="s">
        <v>1158</v>
      </c>
      <c r="C299" s="119">
        <v>2022</v>
      </c>
      <c r="D299" s="36" t="s">
        <v>8</v>
      </c>
      <c r="E299" s="8">
        <f t="shared" si="28"/>
        <v>8470.5329999999994</v>
      </c>
      <c r="F299" s="8">
        <f>SUM(F300:F304)</f>
        <v>8470.5329999999994</v>
      </c>
      <c r="G299" s="8">
        <f>SUM(G300:G304)</f>
        <v>0</v>
      </c>
      <c r="H299" s="8">
        <f>SUM(H300:H304)</f>
        <v>0</v>
      </c>
      <c r="I299" s="8">
        <f>SUM(I300:I304)</f>
        <v>0</v>
      </c>
      <c r="J299" s="119" t="s">
        <v>1159</v>
      </c>
      <c r="K299" s="119" t="s">
        <v>597</v>
      </c>
    </row>
    <row r="300" spans="1:11" outlineLevel="1" x14ac:dyDescent="0.25">
      <c r="A300" s="117"/>
      <c r="B300" s="118"/>
      <c r="C300" s="119"/>
      <c r="D300" s="36">
        <v>2021</v>
      </c>
      <c r="E300" s="8">
        <f t="shared" si="28"/>
        <v>0</v>
      </c>
      <c r="F300" s="8">
        <v>0</v>
      </c>
      <c r="G300" s="8">
        <v>0</v>
      </c>
      <c r="H300" s="8">
        <v>0</v>
      </c>
      <c r="I300" s="8">
        <v>0</v>
      </c>
      <c r="J300" s="119"/>
      <c r="K300" s="119"/>
    </row>
    <row r="301" spans="1:11" outlineLevel="1" x14ac:dyDescent="0.25">
      <c r="A301" s="117"/>
      <c r="B301" s="118"/>
      <c r="C301" s="119"/>
      <c r="D301" s="36">
        <v>2022</v>
      </c>
      <c r="E301" s="8">
        <f t="shared" si="28"/>
        <v>3486.1039999999998</v>
      </c>
      <c r="F301" s="8">
        <f>1682.37+32.07+1771.664</f>
        <v>3486.1039999999998</v>
      </c>
      <c r="G301" s="8">
        <v>0</v>
      </c>
      <c r="H301" s="8">
        <v>0</v>
      </c>
      <c r="I301" s="8">
        <v>0</v>
      </c>
      <c r="J301" s="119"/>
      <c r="K301" s="119"/>
    </row>
    <row r="302" spans="1:11" outlineLevel="1" x14ac:dyDescent="0.25">
      <c r="A302" s="117"/>
      <c r="B302" s="118"/>
      <c r="C302" s="119"/>
      <c r="D302" s="36">
        <v>2023</v>
      </c>
      <c r="E302" s="8">
        <f t="shared" si="28"/>
        <v>4984.4290000000001</v>
      </c>
      <c r="F302" s="11">
        <f>3628.395+1356.034</f>
        <v>4984.4290000000001</v>
      </c>
      <c r="G302" s="8">
        <v>0</v>
      </c>
      <c r="H302" s="8">
        <v>0</v>
      </c>
      <c r="I302" s="8">
        <v>0</v>
      </c>
      <c r="J302" s="119"/>
      <c r="K302" s="119"/>
    </row>
    <row r="303" spans="1:11" outlineLevel="1" x14ac:dyDescent="0.25">
      <c r="A303" s="117"/>
      <c r="B303" s="118"/>
      <c r="C303" s="119"/>
      <c r="D303" s="36">
        <v>2024</v>
      </c>
      <c r="E303" s="8">
        <f t="shared" si="28"/>
        <v>0</v>
      </c>
      <c r="F303" s="8">
        <v>0</v>
      </c>
      <c r="G303" s="8">
        <v>0</v>
      </c>
      <c r="H303" s="8">
        <v>0</v>
      </c>
      <c r="I303" s="8">
        <v>0</v>
      </c>
      <c r="J303" s="119"/>
      <c r="K303" s="119"/>
    </row>
    <row r="304" spans="1:11" outlineLevel="1" x14ac:dyDescent="0.25">
      <c r="A304" s="117"/>
      <c r="B304" s="118"/>
      <c r="C304" s="119"/>
      <c r="D304" s="36">
        <v>2025</v>
      </c>
      <c r="E304" s="8">
        <f t="shared" si="28"/>
        <v>0</v>
      </c>
      <c r="F304" s="8">
        <v>0</v>
      </c>
      <c r="G304" s="8">
        <v>0</v>
      </c>
      <c r="H304" s="8">
        <v>0</v>
      </c>
      <c r="I304" s="8">
        <v>0</v>
      </c>
      <c r="J304" s="119"/>
      <c r="K304" s="119"/>
    </row>
    <row r="305" spans="1:11" ht="20.100000000000001" customHeight="1" outlineLevel="1" x14ac:dyDescent="0.25">
      <c r="A305" s="117" t="s">
        <v>1160</v>
      </c>
      <c r="B305" s="118" t="s">
        <v>1737</v>
      </c>
      <c r="C305" s="119" t="s">
        <v>14</v>
      </c>
      <c r="D305" s="36" t="s">
        <v>8</v>
      </c>
      <c r="E305" s="8">
        <f>SUM(E306:E310)</f>
        <v>13037.137999999999</v>
      </c>
      <c r="F305" s="8">
        <f>SUM(F306:F310)</f>
        <v>13037.137999999999</v>
      </c>
      <c r="G305" s="8">
        <f>SUM(G306:G310)</f>
        <v>0</v>
      </c>
      <c r="H305" s="8">
        <f>SUM(H306:H310)</f>
        <v>0</v>
      </c>
      <c r="I305" s="8">
        <f>SUM(I306:I310)</f>
        <v>0</v>
      </c>
      <c r="J305" s="119" t="s">
        <v>1161</v>
      </c>
      <c r="K305" s="119" t="s">
        <v>1162</v>
      </c>
    </row>
    <row r="306" spans="1:11" ht="20.100000000000001" customHeight="1" outlineLevel="1" x14ac:dyDescent="0.25">
      <c r="A306" s="117"/>
      <c r="B306" s="118"/>
      <c r="C306" s="119"/>
      <c r="D306" s="36">
        <v>2021</v>
      </c>
      <c r="E306" s="8">
        <f t="shared" ref="E306:E310" si="29">SUM(F306:I306)</f>
        <v>0</v>
      </c>
      <c r="F306" s="8">
        <v>0</v>
      </c>
      <c r="G306" s="8">
        <v>0</v>
      </c>
      <c r="H306" s="8">
        <v>0</v>
      </c>
      <c r="I306" s="8">
        <v>0</v>
      </c>
      <c r="J306" s="119"/>
      <c r="K306" s="119"/>
    </row>
    <row r="307" spans="1:11" ht="20.100000000000001" customHeight="1" outlineLevel="1" x14ac:dyDescent="0.25">
      <c r="A307" s="117"/>
      <c r="B307" s="118"/>
      <c r="C307" s="119"/>
      <c r="D307" s="36">
        <v>2022</v>
      </c>
      <c r="E307" s="8">
        <f t="shared" si="29"/>
        <v>0</v>
      </c>
      <c r="F307" s="8">
        <v>0</v>
      </c>
      <c r="G307" s="8">
        <v>0</v>
      </c>
      <c r="H307" s="8">
        <v>0</v>
      </c>
      <c r="I307" s="8">
        <v>0</v>
      </c>
      <c r="J307" s="119"/>
      <c r="K307" s="119"/>
    </row>
    <row r="308" spans="1:11" ht="20.100000000000001" customHeight="1" outlineLevel="1" x14ac:dyDescent="0.25">
      <c r="A308" s="117"/>
      <c r="B308" s="118"/>
      <c r="C308" s="119"/>
      <c r="D308" s="36">
        <v>2023</v>
      </c>
      <c r="E308" s="8">
        <f t="shared" si="29"/>
        <v>13037.137999999999</v>
      </c>
      <c r="F308" s="11">
        <f>16200.622-1807.45-1356.034</f>
        <v>13037.137999999999</v>
      </c>
      <c r="G308" s="8">
        <v>0</v>
      </c>
      <c r="H308" s="8">
        <v>0</v>
      </c>
      <c r="I308" s="8">
        <v>0</v>
      </c>
      <c r="J308" s="119"/>
      <c r="K308" s="119"/>
    </row>
    <row r="309" spans="1:11" ht="20.100000000000001" customHeight="1" outlineLevel="1" x14ac:dyDescent="0.25">
      <c r="A309" s="117"/>
      <c r="B309" s="118"/>
      <c r="C309" s="119"/>
      <c r="D309" s="36">
        <v>2024</v>
      </c>
      <c r="E309" s="8">
        <f t="shared" si="29"/>
        <v>0</v>
      </c>
      <c r="F309" s="8">
        <v>0</v>
      </c>
      <c r="G309" s="8">
        <v>0</v>
      </c>
      <c r="H309" s="8">
        <v>0</v>
      </c>
      <c r="I309" s="8">
        <v>0</v>
      </c>
      <c r="J309" s="119"/>
      <c r="K309" s="119"/>
    </row>
    <row r="310" spans="1:11" ht="20.100000000000001" customHeight="1" outlineLevel="1" x14ac:dyDescent="0.25">
      <c r="A310" s="117"/>
      <c r="B310" s="118"/>
      <c r="C310" s="119"/>
      <c r="D310" s="36">
        <v>2025</v>
      </c>
      <c r="E310" s="8">
        <f t="shared" si="29"/>
        <v>0</v>
      </c>
      <c r="F310" s="8">
        <v>0</v>
      </c>
      <c r="G310" s="8">
        <v>0</v>
      </c>
      <c r="H310" s="8">
        <v>0</v>
      </c>
      <c r="I310" s="8">
        <v>0</v>
      </c>
      <c r="J310" s="119"/>
      <c r="K310" s="119"/>
    </row>
    <row r="311" spans="1:11" ht="36.75" customHeight="1" outlineLevel="1" x14ac:dyDescent="0.25">
      <c r="A311" s="117" t="s">
        <v>78</v>
      </c>
      <c r="B311" s="118" t="s">
        <v>538</v>
      </c>
      <c r="C311" s="119" t="s">
        <v>14</v>
      </c>
      <c r="D311" s="36" t="s">
        <v>8</v>
      </c>
      <c r="E311" s="8">
        <f t="shared" si="28"/>
        <v>305334.17021000001</v>
      </c>
      <c r="F311" s="8">
        <f>SUM(F312:F316)</f>
        <v>219800</v>
      </c>
      <c r="G311" s="8">
        <f>SUM(G312:G316)</f>
        <v>0</v>
      </c>
      <c r="H311" s="8">
        <f>SUM(H312:H316)</f>
        <v>85534.170209999997</v>
      </c>
      <c r="I311" s="8">
        <f>SUM(I312:I316)</f>
        <v>0</v>
      </c>
      <c r="J311" s="119" t="s">
        <v>539</v>
      </c>
      <c r="K311" s="119" t="s">
        <v>515</v>
      </c>
    </row>
    <row r="312" spans="1:11" ht="30.75" customHeight="1" outlineLevel="1" x14ac:dyDescent="0.25">
      <c r="A312" s="117"/>
      <c r="B312" s="118"/>
      <c r="C312" s="119"/>
      <c r="D312" s="36">
        <v>2021</v>
      </c>
      <c r="E312" s="8">
        <f t="shared" si="28"/>
        <v>54717.700210000003</v>
      </c>
      <c r="F312" s="8">
        <f t="shared" ref="F312:I316" si="30">F324+F318</f>
        <v>41400</v>
      </c>
      <c r="G312" s="8">
        <f t="shared" si="30"/>
        <v>0</v>
      </c>
      <c r="H312" s="8">
        <f t="shared" si="30"/>
        <v>13317.700210000001</v>
      </c>
      <c r="I312" s="8">
        <f t="shared" si="30"/>
        <v>0</v>
      </c>
      <c r="J312" s="119"/>
      <c r="K312" s="119"/>
    </row>
    <row r="313" spans="1:11" ht="40.5" customHeight="1" outlineLevel="1" x14ac:dyDescent="0.25">
      <c r="A313" s="117"/>
      <c r="B313" s="118"/>
      <c r="C313" s="119"/>
      <c r="D313" s="36">
        <v>2022</v>
      </c>
      <c r="E313" s="8">
        <f t="shared" si="28"/>
        <v>67577.179999999993</v>
      </c>
      <c r="F313" s="8">
        <f t="shared" si="30"/>
        <v>47800</v>
      </c>
      <c r="G313" s="8">
        <f t="shared" si="30"/>
        <v>0</v>
      </c>
      <c r="H313" s="8">
        <f t="shared" si="30"/>
        <v>19777.18</v>
      </c>
      <c r="I313" s="8">
        <f t="shared" si="30"/>
        <v>0</v>
      </c>
      <c r="J313" s="119"/>
      <c r="K313" s="119"/>
    </row>
    <row r="314" spans="1:11" ht="35.25" customHeight="1" outlineLevel="1" x14ac:dyDescent="0.25">
      <c r="A314" s="117"/>
      <c r="B314" s="118"/>
      <c r="C314" s="119"/>
      <c r="D314" s="36">
        <v>2023</v>
      </c>
      <c r="E314" s="8">
        <f t="shared" si="28"/>
        <v>67577.23</v>
      </c>
      <c r="F314" s="8">
        <f t="shared" si="30"/>
        <v>47800</v>
      </c>
      <c r="G314" s="8">
        <f t="shared" si="30"/>
        <v>0</v>
      </c>
      <c r="H314" s="8">
        <f t="shared" si="30"/>
        <v>19777.23</v>
      </c>
      <c r="I314" s="8">
        <f t="shared" si="30"/>
        <v>0</v>
      </c>
      <c r="J314" s="119"/>
      <c r="K314" s="119"/>
    </row>
    <row r="315" spans="1:11" ht="30" customHeight="1" outlineLevel="1" x14ac:dyDescent="0.25">
      <c r="A315" s="117"/>
      <c r="B315" s="118"/>
      <c r="C315" s="119"/>
      <c r="D315" s="36">
        <v>2024</v>
      </c>
      <c r="E315" s="8">
        <f t="shared" si="28"/>
        <v>57731.03</v>
      </c>
      <c r="F315" s="8">
        <f t="shared" si="30"/>
        <v>41400</v>
      </c>
      <c r="G315" s="8">
        <f t="shared" si="30"/>
        <v>0</v>
      </c>
      <c r="H315" s="8">
        <f t="shared" si="30"/>
        <v>16331.03</v>
      </c>
      <c r="I315" s="8">
        <f t="shared" si="30"/>
        <v>0</v>
      </c>
      <c r="J315" s="119"/>
      <c r="K315" s="119"/>
    </row>
    <row r="316" spans="1:11" ht="33.75" customHeight="1" outlineLevel="1" x14ac:dyDescent="0.25">
      <c r="A316" s="117"/>
      <c r="B316" s="118"/>
      <c r="C316" s="119"/>
      <c r="D316" s="36">
        <v>2025</v>
      </c>
      <c r="E316" s="8">
        <f t="shared" si="28"/>
        <v>57731.03</v>
      </c>
      <c r="F316" s="8">
        <f t="shared" si="30"/>
        <v>41400</v>
      </c>
      <c r="G316" s="8">
        <f t="shared" si="30"/>
        <v>0</v>
      </c>
      <c r="H316" s="8">
        <f t="shared" si="30"/>
        <v>16331.03</v>
      </c>
      <c r="I316" s="8">
        <f t="shared" si="30"/>
        <v>0</v>
      </c>
      <c r="J316" s="119"/>
      <c r="K316" s="119"/>
    </row>
    <row r="317" spans="1:11" ht="17.100000000000001" customHeight="1" outlineLevel="1" x14ac:dyDescent="0.25">
      <c r="A317" s="117" t="s">
        <v>81</v>
      </c>
      <c r="B317" s="118" t="s">
        <v>82</v>
      </c>
      <c r="C317" s="119">
        <v>2021</v>
      </c>
      <c r="D317" s="36" t="s">
        <v>8</v>
      </c>
      <c r="E317" s="8">
        <f>SUM(E318:E322)</f>
        <v>29493.268840000001</v>
      </c>
      <c r="F317" s="8">
        <f>SUM(F318:F322)</f>
        <v>19200</v>
      </c>
      <c r="G317" s="8">
        <f>SUM(G318:G322)</f>
        <v>0</v>
      </c>
      <c r="H317" s="8">
        <f>SUM(H318:H322)</f>
        <v>10293.268840000001</v>
      </c>
      <c r="I317" s="8">
        <f>SUM(I318:I322)</f>
        <v>0</v>
      </c>
      <c r="J317" s="119" t="s">
        <v>83</v>
      </c>
      <c r="K317" s="119" t="s">
        <v>515</v>
      </c>
    </row>
    <row r="318" spans="1:11" ht="27" customHeight="1" outlineLevel="1" x14ac:dyDescent="0.25">
      <c r="A318" s="117"/>
      <c r="B318" s="118"/>
      <c r="C318" s="119"/>
      <c r="D318" s="36">
        <v>2021</v>
      </c>
      <c r="E318" s="8">
        <f t="shared" ref="E318:E322" si="31">SUM(F318:I318)</f>
        <v>9800.9188400000003</v>
      </c>
      <c r="F318" s="8">
        <v>6400</v>
      </c>
      <c r="G318" s="8">
        <v>0</v>
      </c>
      <c r="H318" s="8">
        <v>3400.9188399999998</v>
      </c>
      <c r="I318" s="8">
        <v>0</v>
      </c>
      <c r="J318" s="119"/>
      <c r="K318" s="119"/>
    </row>
    <row r="319" spans="1:11" ht="23.25" customHeight="1" outlineLevel="1" x14ac:dyDescent="0.25">
      <c r="A319" s="117"/>
      <c r="B319" s="118"/>
      <c r="C319" s="119"/>
      <c r="D319" s="36">
        <v>2022</v>
      </c>
      <c r="E319" s="8">
        <f t="shared" si="31"/>
        <v>9846.15</v>
      </c>
      <c r="F319" s="8">
        <v>6400</v>
      </c>
      <c r="G319" s="8">
        <v>0</v>
      </c>
      <c r="H319" s="8">
        <v>3446.15</v>
      </c>
      <c r="I319" s="8">
        <v>0</v>
      </c>
      <c r="J319" s="119"/>
      <c r="K319" s="119"/>
    </row>
    <row r="320" spans="1:11" ht="25.5" customHeight="1" outlineLevel="1" x14ac:dyDescent="0.25">
      <c r="A320" s="117"/>
      <c r="B320" s="118"/>
      <c r="C320" s="119"/>
      <c r="D320" s="36">
        <v>2023</v>
      </c>
      <c r="E320" s="8">
        <f t="shared" si="31"/>
        <v>9846.2000000000007</v>
      </c>
      <c r="F320" s="8">
        <v>6400</v>
      </c>
      <c r="G320" s="8">
        <v>0</v>
      </c>
      <c r="H320" s="8">
        <v>3446.2</v>
      </c>
      <c r="I320" s="8">
        <v>0</v>
      </c>
      <c r="J320" s="119"/>
      <c r="K320" s="119"/>
    </row>
    <row r="321" spans="1:11" ht="25.5" customHeight="1" outlineLevel="1" x14ac:dyDescent="0.25">
      <c r="A321" s="117"/>
      <c r="B321" s="118"/>
      <c r="C321" s="119"/>
      <c r="D321" s="36">
        <v>2024</v>
      </c>
      <c r="E321" s="8">
        <f t="shared" si="31"/>
        <v>0</v>
      </c>
      <c r="F321" s="8">
        <v>0</v>
      </c>
      <c r="G321" s="8">
        <v>0</v>
      </c>
      <c r="H321" s="8">
        <v>0</v>
      </c>
      <c r="I321" s="8">
        <v>0</v>
      </c>
      <c r="J321" s="119"/>
      <c r="K321" s="119"/>
    </row>
    <row r="322" spans="1:11" ht="21.75" customHeight="1" outlineLevel="1" x14ac:dyDescent="0.25">
      <c r="A322" s="117"/>
      <c r="B322" s="118"/>
      <c r="C322" s="119"/>
      <c r="D322" s="36">
        <v>2025</v>
      </c>
      <c r="E322" s="8">
        <f t="shared" si="31"/>
        <v>0</v>
      </c>
      <c r="F322" s="8">
        <v>0</v>
      </c>
      <c r="G322" s="8">
        <v>0</v>
      </c>
      <c r="H322" s="8">
        <v>0</v>
      </c>
      <c r="I322" s="8">
        <v>0</v>
      </c>
      <c r="J322" s="119"/>
      <c r="K322" s="119"/>
    </row>
    <row r="323" spans="1:11" ht="20.100000000000001" customHeight="1" outlineLevel="1" x14ac:dyDescent="0.25">
      <c r="A323" s="117" t="s">
        <v>540</v>
      </c>
      <c r="B323" s="118" t="s">
        <v>541</v>
      </c>
      <c r="C323" s="119" t="s">
        <v>14</v>
      </c>
      <c r="D323" s="36" t="s">
        <v>8</v>
      </c>
      <c r="E323" s="8">
        <f>SUM(E324:E328)</f>
        <v>275840.90136999998</v>
      </c>
      <c r="F323" s="8">
        <f>SUM(F324:F328)</f>
        <v>200600</v>
      </c>
      <c r="G323" s="8">
        <f>SUM(G324:G328)</f>
        <v>0</v>
      </c>
      <c r="H323" s="8">
        <f>SUM(H324:H328)</f>
        <v>75240.901370000007</v>
      </c>
      <c r="I323" s="8">
        <f>SUM(I324:I328)</f>
        <v>0</v>
      </c>
      <c r="J323" s="119" t="s">
        <v>542</v>
      </c>
      <c r="K323" s="119" t="s">
        <v>515</v>
      </c>
    </row>
    <row r="324" spans="1:11" ht="20.100000000000001" customHeight="1" outlineLevel="1" x14ac:dyDescent="0.25">
      <c r="A324" s="117"/>
      <c r="B324" s="118"/>
      <c r="C324" s="119"/>
      <c r="D324" s="36">
        <v>2021</v>
      </c>
      <c r="E324" s="8">
        <f t="shared" ref="E324:E358" si="32">SUM(F324:I324)</f>
        <v>44916.781369999997</v>
      </c>
      <c r="F324" s="8">
        <v>35000</v>
      </c>
      <c r="G324" s="8">
        <v>0</v>
      </c>
      <c r="H324" s="8">
        <v>9916.7813700000006</v>
      </c>
      <c r="I324" s="8">
        <v>0</v>
      </c>
      <c r="J324" s="119"/>
      <c r="K324" s="119"/>
    </row>
    <row r="325" spans="1:11" ht="20.100000000000001" customHeight="1" outlineLevel="1" x14ac:dyDescent="0.25">
      <c r="A325" s="117"/>
      <c r="B325" s="118"/>
      <c r="C325" s="119"/>
      <c r="D325" s="36">
        <v>2022</v>
      </c>
      <c r="E325" s="8">
        <f t="shared" si="32"/>
        <v>57731.03</v>
      </c>
      <c r="F325" s="8">
        <v>41400</v>
      </c>
      <c r="G325" s="8">
        <v>0</v>
      </c>
      <c r="H325" s="8">
        <v>16331.03</v>
      </c>
      <c r="I325" s="8">
        <v>0</v>
      </c>
      <c r="J325" s="119"/>
      <c r="K325" s="119"/>
    </row>
    <row r="326" spans="1:11" ht="20.100000000000001" customHeight="1" outlineLevel="1" x14ac:dyDescent="0.25">
      <c r="A326" s="117"/>
      <c r="B326" s="118"/>
      <c r="C326" s="119"/>
      <c r="D326" s="36">
        <v>2023</v>
      </c>
      <c r="E326" s="8">
        <f t="shared" si="32"/>
        <v>57731.03</v>
      </c>
      <c r="F326" s="8">
        <v>41400</v>
      </c>
      <c r="G326" s="8">
        <v>0</v>
      </c>
      <c r="H326" s="8">
        <v>16331.03</v>
      </c>
      <c r="I326" s="8">
        <v>0</v>
      </c>
      <c r="J326" s="119"/>
      <c r="K326" s="119"/>
    </row>
    <row r="327" spans="1:11" ht="20.100000000000001" customHeight="1" outlineLevel="1" x14ac:dyDescent="0.25">
      <c r="A327" s="117"/>
      <c r="B327" s="118"/>
      <c r="C327" s="119"/>
      <c r="D327" s="36">
        <v>2024</v>
      </c>
      <c r="E327" s="8">
        <f t="shared" si="32"/>
        <v>57731.03</v>
      </c>
      <c r="F327" s="8">
        <v>41400</v>
      </c>
      <c r="G327" s="8">
        <v>0</v>
      </c>
      <c r="H327" s="8">
        <v>16331.03</v>
      </c>
      <c r="I327" s="8">
        <v>0</v>
      </c>
      <c r="J327" s="119"/>
      <c r="K327" s="119"/>
    </row>
    <row r="328" spans="1:11" ht="20.100000000000001" customHeight="1" outlineLevel="1" x14ac:dyDescent="0.25">
      <c r="A328" s="117"/>
      <c r="B328" s="118"/>
      <c r="C328" s="119"/>
      <c r="D328" s="36">
        <v>2025</v>
      </c>
      <c r="E328" s="8">
        <f t="shared" si="32"/>
        <v>57731.03</v>
      </c>
      <c r="F328" s="8">
        <v>41400</v>
      </c>
      <c r="G328" s="8">
        <v>0</v>
      </c>
      <c r="H328" s="8">
        <v>16331.03</v>
      </c>
      <c r="I328" s="8">
        <v>0</v>
      </c>
      <c r="J328" s="119"/>
      <c r="K328" s="119"/>
    </row>
    <row r="329" spans="1:11" ht="15.75" customHeight="1" outlineLevel="1" x14ac:dyDescent="0.25">
      <c r="A329" s="117" t="s">
        <v>84</v>
      </c>
      <c r="B329" s="118" t="s">
        <v>40</v>
      </c>
      <c r="C329" s="119" t="s">
        <v>41</v>
      </c>
      <c r="D329" s="36" t="s">
        <v>8</v>
      </c>
      <c r="E329" s="8">
        <f t="shared" si="32"/>
        <v>80809.751939999987</v>
      </c>
      <c r="F329" s="8">
        <f>SUM(F330:F334)</f>
        <v>9396.9685700000009</v>
      </c>
      <c r="G329" s="8">
        <f>SUM(G330:G334)</f>
        <v>71412.78336999999</v>
      </c>
      <c r="H329" s="8">
        <f>SUM(H330:H334)</f>
        <v>0</v>
      </c>
      <c r="I329" s="8">
        <f>SUM(I330:I334)</f>
        <v>0</v>
      </c>
      <c r="J329" s="119" t="s">
        <v>85</v>
      </c>
      <c r="K329" s="119" t="s">
        <v>486</v>
      </c>
    </row>
    <row r="330" spans="1:11" outlineLevel="1" x14ac:dyDescent="0.25">
      <c r="A330" s="117"/>
      <c r="B330" s="118"/>
      <c r="C330" s="119"/>
      <c r="D330" s="36">
        <v>2021</v>
      </c>
      <c r="E330" s="8">
        <f t="shared" si="32"/>
        <v>27296.712679999997</v>
      </c>
      <c r="F330" s="8">
        <f t="shared" ref="F330:I334" si="33">F336+F342</f>
        <v>3105.6126800000002</v>
      </c>
      <c r="G330" s="8">
        <f t="shared" si="33"/>
        <v>24191.1</v>
      </c>
      <c r="H330" s="8">
        <f t="shared" si="33"/>
        <v>0</v>
      </c>
      <c r="I330" s="8">
        <f t="shared" si="33"/>
        <v>0</v>
      </c>
      <c r="J330" s="119"/>
      <c r="K330" s="119"/>
    </row>
    <row r="331" spans="1:11" outlineLevel="1" x14ac:dyDescent="0.25">
      <c r="A331" s="117"/>
      <c r="B331" s="118"/>
      <c r="C331" s="119"/>
      <c r="D331" s="36">
        <v>2022</v>
      </c>
      <c r="E331" s="8">
        <f t="shared" si="32"/>
        <v>18900.377</v>
      </c>
      <c r="F331" s="8">
        <f t="shared" si="33"/>
        <v>2711.0770000000002</v>
      </c>
      <c r="G331" s="8">
        <f t="shared" si="33"/>
        <v>16189.3</v>
      </c>
      <c r="H331" s="8">
        <f t="shared" si="33"/>
        <v>0</v>
      </c>
      <c r="I331" s="8">
        <f t="shared" si="33"/>
        <v>0</v>
      </c>
      <c r="J331" s="119"/>
      <c r="K331" s="119"/>
    </row>
    <row r="332" spans="1:11" outlineLevel="1" x14ac:dyDescent="0.25">
      <c r="A332" s="117"/>
      <c r="B332" s="118"/>
      <c r="C332" s="119"/>
      <c r="D332" s="36">
        <v>2023</v>
      </c>
      <c r="E332" s="8">
        <f t="shared" si="32"/>
        <v>11802.74826</v>
      </c>
      <c r="F332" s="8">
        <f t="shared" si="33"/>
        <v>708.16489000000001</v>
      </c>
      <c r="G332" s="8">
        <f t="shared" si="33"/>
        <v>11094.58337</v>
      </c>
      <c r="H332" s="8">
        <f t="shared" si="33"/>
        <v>0</v>
      </c>
      <c r="I332" s="8">
        <f t="shared" si="33"/>
        <v>0</v>
      </c>
      <c r="J332" s="119"/>
      <c r="K332" s="119"/>
    </row>
    <row r="333" spans="1:11" outlineLevel="1" x14ac:dyDescent="0.25">
      <c r="A333" s="117"/>
      <c r="B333" s="118"/>
      <c r="C333" s="119"/>
      <c r="D333" s="36">
        <v>2024</v>
      </c>
      <c r="E333" s="8">
        <f t="shared" si="32"/>
        <v>22809.914000000001</v>
      </c>
      <c r="F333" s="8">
        <f t="shared" si="33"/>
        <v>2872.114</v>
      </c>
      <c r="G333" s="8">
        <f t="shared" si="33"/>
        <v>19937.8</v>
      </c>
      <c r="H333" s="8">
        <f t="shared" si="33"/>
        <v>0</v>
      </c>
      <c r="I333" s="8">
        <f t="shared" si="33"/>
        <v>0</v>
      </c>
      <c r="J333" s="119"/>
      <c r="K333" s="119"/>
    </row>
    <row r="334" spans="1:11" outlineLevel="1" x14ac:dyDescent="0.25">
      <c r="A334" s="117"/>
      <c r="B334" s="118"/>
      <c r="C334" s="119"/>
      <c r="D334" s="36">
        <v>2025</v>
      </c>
      <c r="E334" s="8">
        <f t="shared" si="32"/>
        <v>0</v>
      </c>
      <c r="F334" s="8">
        <f t="shared" si="33"/>
        <v>0</v>
      </c>
      <c r="G334" s="8">
        <f t="shared" si="33"/>
        <v>0</v>
      </c>
      <c r="H334" s="8">
        <f t="shared" si="33"/>
        <v>0</v>
      </c>
      <c r="I334" s="8">
        <f t="shared" si="33"/>
        <v>0</v>
      </c>
      <c r="J334" s="119"/>
      <c r="K334" s="119"/>
    </row>
    <row r="335" spans="1:11" ht="19.5" customHeight="1" outlineLevel="1" x14ac:dyDescent="0.25">
      <c r="A335" s="117" t="s">
        <v>86</v>
      </c>
      <c r="B335" s="118" t="s">
        <v>87</v>
      </c>
      <c r="C335" s="119" t="s">
        <v>41</v>
      </c>
      <c r="D335" s="36" t="s">
        <v>8</v>
      </c>
      <c r="E335" s="8">
        <f t="shared" si="32"/>
        <v>56905.539389999998</v>
      </c>
      <c r="F335" s="8">
        <f>SUM(F336:F340)</f>
        <v>3414.2560199999998</v>
      </c>
      <c r="G335" s="8">
        <f>SUM(G336:G340)</f>
        <v>53491.283369999997</v>
      </c>
      <c r="H335" s="8">
        <f>SUM(H336:H340)</f>
        <v>0</v>
      </c>
      <c r="I335" s="8">
        <f>SUM(I336:I340)</f>
        <v>0</v>
      </c>
      <c r="J335" s="119" t="s">
        <v>1746</v>
      </c>
      <c r="K335" s="119" t="s">
        <v>515</v>
      </c>
    </row>
    <row r="336" spans="1:11" ht="15" customHeight="1" outlineLevel="1" x14ac:dyDescent="0.25">
      <c r="A336" s="117"/>
      <c r="B336" s="118"/>
      <c r="C336" s="119"/>
      <c r="D336" s="36">
        <v>2021</v>
      </c>
      <c r="E336" s="8">
        <f t="shared" si="32"/>
        <v>20914.599999999999</v>
      </c>
      <c r="F336" s="8">
        <v>1254.8</v>
      </c>
      <c r="G336" s="8">
        <v>19659.8</v>
      </c>
      <c r="H336" s="8">
        <v>0</v>
      </c>
      <c r="I336" s="8">
        <v>0</v>
      </c>
      <c r="J336" s="119"/>
      <c r="K336" s="119"/>
    </row>
    <row r="337" spans="1:11" ht="16.5" customHeight="1" outlineLevel="1" x14ac:dyDescent="0.25">
      <c r="A337" s="117"/>
      <c r="B337" s="118"/>
      <c r="C337" s="119"/>
      <c r="D337" s="36">
        <v>2022</v>
      </c>
      <c r="E337" s="8">
        <f t="shared" si="32"/>
        <v>12043.617</v>
      </c>
      <c r="F337" s="8">
        <v>722.61699999999996</v>
      </c>
      <c r="G337" s="8">
        <v>11321</v>
      </c>
      <c r="H337" s="8">
        <v>0</v>
      </c>
      <c r="I337" s="8">
        <v>0</v>
      </c>
      <c r="J337" s="119"/>
      <c r="K337" s="119"/>
    </row>
    <row r="338" spans="1:11" ht="14.25" customHeight="1" outlineLevel="1" x14ac:dyDescent="0.25">
      <c r="A338" s="117"/>
      <c r="B338" s="118"/>
      <c r="C338" s="119"/>
      <c r="D338" s="36">
        <v>2023</v>
      </c>
      <c r="E338" s="8">
        <f t="shared" si="32"/>
        <v>7674.45039</v>
      </c>
      <c r="F338" s="8">
        <v>460.46701999999999</v>
      </c>
      <c r="G338" s="8">
        <v>7213.9833699999999</v>
      </c>
      <c r="H338" s="8">
        <v>0</v>
      </c>
      <c r="I338" s="8">
        <v>0</v>
      </c>
      <c r="J338" s="119"/>
      <c r="K338" s="119"/>
    </row>
    <row r="339" spans="1:11" ht="12.75" customHeight="1" outlineLevel="1" x14ac:dyDescent="0.25">
      <c r="A339" s="117"/>
      <c r="B339" s="118"/>
      <c r="C339" s="119"/>
      <c r="D339" s="36">
        <v>2024</v>
      </c>
      <c r="E339" s="8">
        <f t="shared" si="32"/>
        <v>16272.871999999999</v>
      </c>
      <c r="F339" s="8">
        <v>976.37199999999996</v>
      </c>
      <c r="G339" s="8">
        <v>15296.5</v>
      </c>
      <c r="H339" s="8">
        <v>0</v>
      </c>
      <c r="I339" s="8">
        <v>0</v>
      </c>
      <c r="J339" s="119"/>
      <c r="K339" s="119"/>
    </row>
    <row r="340" spans="1:11" ht="14.25" customHeight="1" outlineLevel="1" x14ac:dyDescent="0.25">
      <c r="A340" s="117"/>
      <c r="B340" s="118"/>
      <c r="C340" s="119"/>
      <c r="D340" s="36">
        <v>2025</v>
      </c>
      <c r="E340" s="8">
        <f t="shared" si="32"/>
        <v>0</v>
      </c>
      <c r="F340" s="8">
        <v>0</v>
      </c>
      <c r="G340" s="8">
        <v>0</v>
      </c>
      <c r="H340" s="8">
        <v>0</v>
      </c>
      <c r="I340" s="8">
        <v>0</v>
      </c>
      <c r="J340" s="119"/>
      <c r="K340" s="119"/>
    </row>
    <row r="341" spans="1:11" ht="15.95" customHeight="1" x14ac:dyDescent="0.25">
      <c r="A341" s="117" t="s">
        <v>855</v>
      </c>
      <c r="B341" s="118" t="s">
        <v>90</v>
      </c>
      <c r="C341" s="119" t="s">
        <v>41</v>
      </c>
      <c r="D341" s="36" t="s">
        <v>8</v>
      </c>
      <c r="E341" s="8">
        <f t="shared" si="32"/>
        <v>23904.21255</v>
      </c>
      <c r="F341" s="8">
        <f>SUM(F342:F346)</f>
        <v>5982.7125500000002</v>
      </c>
      <c r="G341" s="8">
        <f>SUM(G342:G346)</f>
        <v>17921.5</v>
      </c>
      <c r="H341" s="8">
        <f>SUM(H342:H346)</f>
        <v>0</v>
      </c>
      <c r="I341" s="8">
        <f>SUM(I342:I346)</f>
        <v>0</v>
      </c>
      <c r="J341" s="119" t="s">
        <v>544</v>
      </c>
      <c r="K341" s="119" t="s">
        <v>486</v>
      </c>
    </row>
    <row r="342" spans="1:11" ht="15.95" customHeight="1" x14ac:dyDescent="0.25">
      <c r="A342" s="117"/>
      <c r="B342" s="118"/>
      <c r="C342" s="119"/>
      <c r="D342" s="36">
        <v>2021</v>
      </c>
      <c r="E342" s="8">
        <f t="shared" si="32"/>
        <v>6382.1126800000002</v>
      </c>
      <c r="F342" s="8">
        <v>1850.81268</v>
      </c>
      <c r="G342" s="8">
        <v>4531.3</v>
      </c>
      <c r="H342" s="8">
        <v>0</v>
      </c>
      <c r="I342" s="8">
        <v>0</v>
      </c>
      <c r="J342" s="119"/>
      <c r="K342" s="119"/>
    </row>
    <row r="343" spans="1:11" ht="15.95" customHeight="1" x14ac:dyDescent="0.25">
      <c r="A343" s="117"/>
      <c r="B343" s="118"/>
      <c r="C343" s="119"/>
      <c r="D343" s="36">
        <v>2022</v>
      </c>
      <c r="E343" s="8">
        <f t="shared" si="32"/>
        <v>6856.76</v>
      </c>
      <c r="F343" s="8">
        <v>1988.46</v>
      </c>
      <c r="G343" s="8">
        <v>4868.3</v>
      </c>
      <c r="H343" s="8">
        <v>0</v>
      </c>
      <c r="I343" s="8">
        <v>0</v>
      </c>
      <c r="J343" s="119"/>
      <c r="K343" s="119"/>
    </row>
    <row r="344" spans="1:11" ht="15.95" customHeight="1" x14ac:dyDescent="0.25">
      <c r="A344" s="117"/>
      <c r="B344" s="118"/>
      <c r="C344" s="119"/>
      <c r="D344" s="36">
        <v>2023</v>
      </c>
      <c r="E344" s="8">
        <f t="shared" si="32"/>
        <v>4128.2978700000003</v>
      </c>
      <c r="F344" s="8">
        <f>1812.41254-1564.71467</f>
        <v>247.69786999999997</v>
      </c>
      <c r="G344" s="8">
        <v>3880.6</v>
      </c>
      <c r="H344" s="8">
        <v>0</v>
      </c>
      <c r="I344" s="8">
        <v>0</v>
      </c>
      <c r="J344" s="119"/>
      <c r="K344" s="119"/>
    </row>
    <row r="345" spans="1:11" ht="15.95" customHeight="1" x14ac:dyDescent="0.25">
      <c r="A345" s="117"/>
      <c r="B345" s="118"/>
      <c r="C345" s="119"/>
      <c r="D345" s="36">
        <v>2024</v>
      </c>
      <c r="E345" s="8">
        <f t="shared" si="32"/>
        <v>6537.0420000000004</v>
      </c>
      <c r="F345" s="8">
        <v>1895.742</v>
      </c>
      <c r="G345" s="8">
        <v>4641.3</v>
      </c>
      <c r="H345" s="8">
        <v>0</v>
      </c>
      <c r="I345" s="8">
        <v>0</v>
      </c>
      <c r="J345" s="119"/>
      <c r="K345" s="119"/>
    </row>
    <row r="346" spans="1:11" ht="15.95" customHeight="1" x14ac:dyDescent="0.25">
      <c r="A346" s="117"/>
      <c r="B346" s="118"/>
      <c r="C346" s="119"/>
      <c r="D346" s="36">
        <v>2025</v>
      </c>
      <c r="E346" s="8">
        <f t="shared" si="32"/>
        <v>0</v>
      </c>
      <c r="F346" s="8">
        <v>0</v>
      </c>
      <c r="G346" s="8">
        <v>0</v>
      </c>
      <c r="H346" s="8">
        <v>0</v>
      </c>
      <c r="I346" s="8">
        <v>0</v>
      </c>
      <c r="J346" s="119"/>
      <c r="K346" s="119"/>
    </row>
    <row r="347" spans="1:11" ht="15" customHeight="1" outlineLevel="1" x14ac:dyDescent="0.25">
      <c r="A347" s="117" t="s">
        <v>93</v>
      </c>
      <c r="B347" s="118" t="s">
        <v>94</v>
      </c>
      <c r="C347" s="119" t="s">
        <v>14</v>
      </c>
      <c r="D347" s="36" t="s">
        <v>8</v>
      </c>
      <c r="E347" s="8">
        <f>SUM(F347:I347)</f>
        <v>4803601.9561147513</v>
      </c>
      <c r="F347" s="8">
        <f>SUM(F348:F352)</f>
        <v>3601732.4744899999</v>
      </c>
      <c r="G347" s="8">
        <f>SUM(G348:G352)</f>
        <v>1089688.432</v>
      </c>
      <c r="H347" s="8">
        <f>SUM(H348:H352)</f>
        <v>112181.04962475087</v>
      </c>
      <c r="I347" s="8">
        <v>0</v>
      </c>
      <c r="J347" s="119"/>
      <c r="K347" s="119" t="s">
        <v>1735</v>
      </c>
    </row>
    <row r="348" spans="1:11" outlineLevel="1" x14ac:dyDescent="0.25">
      <c r="A348" s="117"/>
      <c r="B348" s="118"/>
      <c r="C348" s="119"/>
      <c r="D348" s="36">
        <v>2021</v>
      </c>
      <c r="E348" s="8">
        <f t="shared" si="32"/>
        <v>542284.02945165033</v>
      </c>
      <c r="F348" s="8">
        <f>F354+F474+F732+F678+F690+F714</f>
        <v>254674.71701999998</v>
      </c>
      <c r="G348" s="8">
        <f t="shared" ref="G348:H348" si="34">G354+G474+G732+G678+G690+G714</f>
        <v>257488.69899999999</v>
      </c>
      <c r="H348" s="8">
        <f t="shared" si="34"/>
        <v>30120.613431650385</v>
      </c>
      <c r="I348" s="8">
        <f t="shared" ref="I348:I352" si="35">I354+I474+I732+I678+I690</f>
        <v>0</v>
      </c>
      <c r="J348" s="119"/>
      <c r="K348" s="119"/>
    </row>
    <row r="349" spans="1:11" outlineLevel="1" x14ac:dyDescent="0.25">
      <c r="A349" s="117"/>
      <c r="B349" s="118"/>
      <c r="C349" s="119"/>
      <c r="D349" s="36">
        <v>2022</v>
      </c>
      <c r="E349" s="8">
        <f t="shared" si="32"/>
        <v>1321007.9192131003</v>
      </c>
      <c r="F349" s="8">
        <f t="shared" ref="F349:H352" si="36">F355+F475+F733+F679+F691+F715</f>
        <v>1034922.16776</v>
      </c>
      <c r="G349" s="8">
        <f t="shared" si="36"/>
        <v>225488.99299999999</v>
      </c>
      <c r="H349" s="8">
        <f t="shared" si="36"/>
        <v>60596.75845310052</v>
      </c>
      <c r="I349" s="8">
        <f t="shared" si="35"/>
        <v>0</v>
      </c>
      <c r="J349" s="119"/>
      <c r="K349" s="119"/>
    </row>
    <row r="350" spans="1:11" outlineLevel="1" x14ac:dyDescent="0.25">
      <c r="A350" s="117"/>
      <c r="B350" s="118"/>
      <c r="C350" s="119"/>
      <c r="D350" s="36">
        <v>2023</v>
      </c>
      <c r="E350" s="8">
        <f t="shared" si="32"/>
        <v>689220.44319999998</v>
      </c>
      <c r="F350" s="8">
        <f t="shared" si="36"/>
        <v>255347.42546</v>
      </c>
      <c r="G350" s="8">
        <f t="shared" si="36"/>
        <v>424710.74</v>
      </c>
      <c r="H350" s="8">
        <f t="shared" si="36"/>
        <v>9162.2777399999759</v>
      </c>
      <c r="I350" s="8">
        <f t="shared" si="35"/>
        <v>0</v>
      </c>
      <c r="J350" s="119"/>
      <c r="K350" s="119"/>
    </row>
    <row r="351" spans="1:11" outlineLevel="1" x14ac:dyDescent="0.25">
      <c r="A351" s="117"/>
      <c r="B351" s="118"/>
      <c r="C351" s="119"/>
      <c r="D351" s="36">
        <v>2024</v>
      </c>
      <c r="E351" s="8">
        <f t="shared" si="32"/>
        <v>1522297.1272499999</v>
      </c>
      <c r="F351" s="8">
        <f t="shared" si="36"/>
        <v>1432784.72725</v>
      </c>
      <c r="G351" s="8">
        <f t="shared" si="36"/>
        <v>78000</v>
      </c>
      <c r="H351" s="8">
        <f t="shared" si="36"/>
        <v>11512.4</v>
      </c>
      <c r="I351" s="8">
        <f t="shared" si="35"/>
        <v>0</v>
      </c>
      <c r="J351" s="119"/>
      <c r="K351" s="119"/>
    </row>
    <row r="352" spans="1:11" outlineLevel="1" x14ac:dyDescent="0.25">
      <c r="A352" s="117"/>
      <c r="B352" s="118"/>
      <c r="C352" s="119"/>
      <c r="D352" s="36">
        <v>2025</v>
      </c>
      <c r="E352" s="8">
        <f t="shared" si="32"/>
        <v>728792.43700000003</v>
      </c>
      <c r="F352" s="8">
        <f>F358+F478+F736+F682+F694+F718</f>
        <v>624003.43700000003</v>
      </c>
      <c r="G352" s="8">
        <f t="shared" si="36"/>
        <v>104000</v>
      </c>
      <c r="H352" s="8">
        <f t="shared" si="36"/>
        <v>789</v>
      </c>
      <c r="I352" s="8">
        <f t="shared" si="35"/>
        <v>0</v>
      </c>
      <c r="J352" s="119"/>
      <c r="K352" s="119"/>
    </row>
    <row r="353" spans="1:12" ht="14.25" customHeight="1" outlineLevel="1" x14ac:dyDescent="0.25">
      <c r="A353" s="117" t="s">
        <v>96</v>
      </c>
      <c r="B353" s="118" t="s">
        <v>97</v>
      </c>
      <c r="C353" s="119" t="s">
        <v>14</v>
      </c>
      <c r="D353" s="36" t="s">
        <v>8</v>
      </c>
      <c r="E353" s="8">
        <f t="shared" si="32"/>
        <v>281420.94170292461</v>
      </c>
      <c r="F353" s="8">
        <f>SUM(F354:F358)</f>
        <v>236674.3248</v>
      </c>
      <c r="G353" s="8">
        <f>SUM(G354:G358)</f>
        <v>0</v>
      </c>
      <c r="H353" s="8">
        <f>SUM(H354:H358)</f>
        <v>44746.61690292463</v>
      </c>
      <c r="I353" s="8">
        <v>0</v>
      </c>
      <c r="J353" s="119" t="s">
        <v>98</v>
      </c>
      <c r="K353" s="119" t="s">
        <v>546</v>
      </c>
    </row>
    <row r="354" spans="1:12" ht="14.25" customHeight="1" outlineLevel="1" x14ac:dyDescent="0.25">
      <c r="A354" s="117"/>
      <c r="B354" s="118"/>
      <c r="C354" s="119"/>
      <c r="D354" s="36">
        <v>2021</v>
      </c>
      <c r="E354" s="8">
        <f t="shared" si="32"/>
        <v>69576.494685752899</v>
      </c>
      <c r="F354" s="8">
        <f>F360+F366+F372+F378+F384+F390+F396+F402+F408+F414+F420+F426+F432+F438+F444+F450+F456</f>
        <v>55989.257299999997</v>
      </c>
      <c r="G354" s="8">
        <f t="shared" ref="F354:H358" si="37">G360+G366+G372+G378+G384+G390+G396+G402+G408+G414+G420+G426+G432+G438+G444+G450+G456</f>
        <v>0</v>
      </c>
      <c r="H354" s="8">
        <f t="shared" si="37"/>
        <v>13587.237385752907</v>
      </c>
      <c r="I354" s="8">
        <v>0</v>
      </c>
      <c r="J354" s="119"/>
      <c r="K354" s="119"/>
    </row>
    <row r="355" spans="1:12" ht="14.25" customHeight="1" outlineLevel="1" x14ac:dyDescent="0.25">
      <c r="A355" s="117"/>
      <c r="B355" s="118"/>
      <c r="C355" s="119"/>
      <c r="D355" s="36">
        <v>2022</v>
      </c>
      <c r="E355" s="8">
        <f t="shared" si="32"/>
        <v>199844.44701717171</v>
      </c>
      <c r="F355" s="8">
        <f>F361+F367+F373+F379+F385+F391+F397+F403+F409+F415+F421+F427+F433+F439+F445+F451+F457+F463</f>
        <v>171685.0675</v>
      </c>
      <c r="G355" s="8">
        <f t="shared" si="37"/>
        <v>0</v>
      </c>
      <c r="H355" s="8">
        <f>H361+H367+H373+H379+H385+H391+H397+H403+H409+H415+H421+H427+H433+H439+H445+H451+H457+H463</f>
        <v>28159.379517171721</v>
      </c>
      <c r="I355" s="8">
        <v>0</v>
      </c>
      <c r="J355" s="119"/>
      <c r="K355" s="119"/>
      <c r="L355" s="35" t="s">
        <v>858</v>
      </c>
    </row>
    <row r="356" spans="1:12" ht="14.25" customHeight="1" outlineLevel="1" x14ac:dyDescent="0.25">
      <c r="A356" s="117"/>
      <c r="B356" s="118"/>
      <c r="C356" s="119"/>
      <c r="D356" s="36">
        <v>2023</v>
      </c>
      <c r="E356" s="8">
        <f t="shared" si="32"/>
        <v>12000</v>
      </c>
      <c r="F356" s="8">
        <f t="shared" si="37"/>
        <v>9000</v>
      </c>
      <c r="G356" s="8">
        <f>G362+G368+G374+G380+G386+G392+G398+G404+G410+G416+G422+G428+G434+G440+G446+G452+G458+G470</f>
        <v>0</v>
      </c>
      <c r="H356" s="8">
        <f t="shared" si="37"/>
        <v>3000</v>
      </c>
      <c r="I356" s="8">
        <v>0</v>
      </c>
      <c r="J356" s="119"/>
      <c r="K356" s="119"/>
    </row>
    <row r="357" spans="1:12" ht="14.25" customHeight="1" outlineLevel="1" x14ac:dyDescent="0.25">
      <c r="A357" s="117"/>
      <c r="B357" s="118"/>
      <c r="C357" s="119"/>
      <c r="D357" s="36">
        <v>2024</v>
      </c>
      <c r="E357" s="8">
        <f t="shared" si="32"/>
        <v>0</v>
      </c>
      <c r="F357" s="8">
        <f t="shared" si="37"/>
        <v>0</v>
      </c>
      <c r="G357" s="8">
        <f t="shared" si="37"/>
        <v>0</v>
      </c>
      <c r="H357" s="8">
        <f t="shared" si="37"/>
        <v>0</v>
      </c>
      <c r="I357" s="8">
        <v>0</v>
      </c>
      <c r="J357" s="119"/>
      <c r="K357" s="119"/>
    </row>
    <row r="358" spans="1:12" ht="14.25" customHeight="1" outlineLevel="1" x14ac:dyDescent="0.25">
      <c r="A358" s="117"/>
      <c r="B358" s="118"/>
      <c r="C358" s="119"/>
      <c r="D358" s="36">
        <v>2025</v>
      </c>
      <c r="E358" s="8">
        <f t="shared" si="32"/>
        <v>0</v>
      </c>
      <c r="F358" s="8">
        <f t="shared" si="37"/>
        <v>0</v>
      </c>
      <c r="G358" s="8">
        <f t="shared" si="37"/>
        <v>0</v>
      </c>
      <c r="H358" s="8">
        <f t="shared" si="37"/>
        <v>0</v>
      </c>
      <c r="I358" s="8">
        <v>0</v>
      </c>
      <c r="J358" s="119"/>
      <c r="K358" s="119"/>
    </row>
    <row r="359" spans="1:12" ht="12" customHeight="1" outlineLevel="1" x14ac:dyDescent="0.25">
      <c r="A359" s="117" t="s">
        <v>100</v>
      </c>
      <c r="B359" s="118" t="s">
        <v>101</v>
      </c>
      <c r="C359" s="119" t="s">
        <v>19</v>
      </c>
      <c r="D359" s="36" t="s">
        <v>8</v>
      </c>
      <c r="E359" s="8">
        <f>SUM(E360:E364)</f>
        <v>6584.2777657004835</v>
      </c>
      <c r="F359" s="8">
        <f>SUM(F360:F364)</f>
        <v>5451.7819900000004</v>
      </c>
      <c r="G359" s="8">
        <f>SUM(G360:G364)</f>
        <v>0</v>
      </c>
      <c r="H359" s="8">
        <f>SUM(H360:H364)</f>
        <v>1132.4957757004834</v>
      </c>
      <c r="I359" s="8">
        <f>SUM(I360:I364)</f>
        <v>0</v>
      </c>
      <c r="J359" s="119" t="s">
        <v>102</v>
      </c>
      <c r="K359" s="119" t="s">
        <v>547</v>
      </c>
    </row>
    <row r="360" spans="1:12" ht="12" customHeight="1" outlineLevel="1" x14ac:dyDescent="0.25">
      <c r="A360" s="117"/>
      <c r="B360" s="118"/>
      <c r="C360" s="119"/>
      <c r="D360" s="36">
        <v>2021</v>
      </c>
      <c r="E360" s="8">
        <f t="shared" ref="E360:E364" si="38">SUM(F360:I360)</f>
        <v>6584.2777657004835</v>
      </c>
      <c r="F360" s="8">
        <v>5451.7819900000004</v>
      </c>
      <c r="G360" s="8">
        <v>0</v>
      </c>
      <c r="H360" s="8">
        <f>F360/82.8*17.2</f>
        <v>1132.4957757004834</v>
      </c>
      <c r="I360" s="8">
        <v>0</v>
      </c>
      <c r="J360" s="119"/>
      <c r="K360" s="119"/>
    </row>
    <row r="361" spans="1:12" ht="12" customHeight="1" outlineLevel="1" x14ac:dyDescent="0.25">
      <c r="A361" s="117"/>
      <c r="B361" s="118"/>
      <c r="C361" s="119"/>
      <c r="D361" s="36">
        <v>2022</v>
      </c>
      <c r="E361" s="8">
        <f t="shared" si="38"/>
        <v>0</v>
      </c>
      <c r="F361" s="8">
        <v>0</v>
      </c>
      <c r="G361" s="8">
        <v>0</v>
      </c>
      <c r="H361" s="8">
        <v>0</v>
      </c>
      <c r="I361" s="8">
        <v>0</v>
      </c>
      <c r="J361" s="119"/>
      <c r="K361" s="119"/>
      <c r="L361" s="35" t="s">
        <v>858</v>
      </c>
    </row>
    <row r="362" spans="1:12" ht="12" customHeight="1" outlineLevel="1" x14ac:dyDescent="0.25">
      <c r="A362" s="117"/>
      <c r="B362" s="118"/>
      <c r="C362" s="119"/>
      <c r="D362" s="36">
        <v>2023</v>
      </c>
      <c r="E362" s="8">
        <f t="shared" si="38"/>
        <v>0</v>
      </c>
      <c r="F362" s="8">
        <v>0</v>
      </c>
      <c r="G362" s="8">
        <v>0</v>
      </c>
      <c r="H362" s="8">
        <v>0</v>
      </c>
      <c r="I362" s="8">
        <v>0</v>
      </c>
      <c r="J362" s="119"/>
      <c r="K362" s="119"/>
    </row>
    <row r="363" spans="1:12" ht="12" customHeight="1" outlineLevel="1" x14ac:dyDescent="0.25">
      <c r="A363" s="117"/>
      <c r="B363" s="118"/>
      <c r="C363" s="119"/>
      <c r="D363" s="36">
        <v>2024</v>
      </c>
      <c r="E363" s="8">
        <f t="shared" si="38"/>
        <v>0</v>
      </c>
      <c r="F363" s="8">
        <v>0</v>
      </c>
      <c r="G363" s="8">
        <v>0</v>
      </c>
      <c r="H363" s="8">
        <v>0</v>
      </c>
      <c r="I363" s="8">
        <v>0</v>
      </c>
      <c r="J363" s="119"/>
      <c r="K363" s="119"/>
    </row>
    <row r="364" spans="1:12" ht="12" customHeight="1" outlineLevel="1" x14ac:dyDescent="0.25">
      <c r="A364" s="117"/>
      <c r="B364" s="118"/>
      <c r="C364" s="119"/>
      <c r="D364" s="36">
        <v>2025</v>
      </c>
      <c r="E364" s="8">
        <f t="shared" si="38"/>
        <v>0</v>
      </c>
      <c r="F364" s="8">
        <v>0</v>
      </c>
      <c r="G364" s="8">
        <v>0</v>
      </c>
      <c r="H364" s="8">
        <v>0</v>
      </c>
      <c r="I364" s="8">
        <v>0</v>
      </c>
      <c r="J364" s="119"/>
      <c r="K364" s="119"/>
    </row>
    <row r="365" spans="1:12" ht="15" customHeight="1" outlineLevel="1" x14ac:dyDescent="0.25">
      <c r="A365" s="117" t="s">
        <v>548</v>
      </c>
      <c r="B365" s="118" t="s">
        <v>442</v>
      </c>
      <c r="C365" s="119">
        <v>2021</v>
      </c>
      <c r="D365" s="36" t="s">
        <v>8</v>
      </c>
      <c r="E365" s="8">
        <f>SUM(E366:E370)</f>
        <v>42104.816920052421</v>
      </c>
      <c r="F365" s="8">
        <f>SUM(F366:F370)</f>
        <v>32125.975309999998</v>
      </c>
      <c r="G365" s="8">
        <f>SUM(G366:G370)</f>
        <v>0</v>
      </c>
      <c r="H365" s="8">
        <f>SUM(H366:H370)</f>
        <v>9978.8416100524246</v>
      </c>
      <c r="I365" s="8">
        <f>SUM(I366:I370)</f>
        <v>0</v>
      </c>
      <c r="J365" s="119" t="s">
        <v>549</v>
      </c>
      <c r="K365" s="119" t="s">
        <v>547</v>
      </c>
    </row>
    <row r="366" spans="1:12" ht="15" customHeight="1" outlineLevel="1" x14ac:dyDescent="0.25">
      <c r="A366" s="117"/>
      <c r="B366" s="118"/>
      <c r="C366" s="119"/>
      <c r="D366" s="36">
        <v>2021</v>
      </c>
      <c r="E366" s="8">
        <f t="shared" ref="E366:E429" si="39">SUM(F366:I366)</f>
        <v>42104.816920052421</v>
      </c>
      <c r="F366" s="8">
        <f>32125975.31/1000</f>
        <v>32125.975309999998</v>
      </c>
      <c r="G366" s="8">
        <v>0</v>
      </c>
      <c r="H366" s="8">
        <f>F366/76.3*23.7</f>
        <v>9978.8416100524246</v>
      </c>
      <c r="I366" s="8">
        <v>0</v>
      </c>
      <c r="J366" s="119"/>
      <c r="K366" s="119"/>
    </row>
    <row r="367" spans="1:12" outlineLevel="1" x14ac:dyDescent="0.25">
      <c r="A367" s="117"/>
      <c r="B367" s="118"/>
      <c r="C367" s="119"/>
      <c r="D367" s="36">
        <v>2022</v>
      </c>
      <c r="E367" s="8">
        <f t="shared" si="39"/>
        <v>0</v>
      </c>
      <c r="F367" s="8">
        <v>0</v>
      </c>
      <c r="G367" s="8">
        <v>0</v>
      </c>
      <c r="H367" s="8">
        <v>0</v>
      </c>
      <c r="I367" s="8">
        <v>0</v>
      </c>
      <c r="J367" s="119"/>
      <c r="K367" s="119"/>
    </row>
    <row r="368" spans="1:12" outlineLevel="1" x14ac:dyDescent="0.25">
      <c r="A368" s="117"/>
      <c r="B368" s="118"/>
      <c r="C368" s="119"/>
      <c r="D368" s="36">
        <v>2023</v>
      </c>
      <c r="E368" s="8">
        <f t="shared" si="39"/>
        <v>0</v>
      </c>
      <c r="F368" s="8">
        <v>0</v>
      </c>
      <c r="G368" s="8">
        <v>0</v>
      </c>
      <c r="H368" s="8">
        <v>0</v>
      </c>
      <c r="I368" s="8">
        <v>0</v>
      </c>
      <c r="J368" s="119"/>
      <c r="K368" s="119"/>
    </row>
    <row r="369" spans="1:12" outlineLevel="1" x14ac:dyDescent="0.25">
      <c r="A369" s="117"/>
      <c r="B369" s="118"/>
      <c r="C369" s="119"/>
      <c r="D369" s="36">
        <v>2024</v>
      </c>
      <c r="E369" s="8">
        <f t="shared" si="39"/>
        <v>0</v>
      </c>
      <c r="F369" s="8">
        <v>0</v>
      </c>
      <c r="G369" s="8">
        <v>0</v>
      </c>
      <c r="H369" s="8">
        <v>0</v>
      </c>
      <c r="I369" s="8">
        <v>0</v>
      </c>
      <c r="J369" s="119"/>
      <c r="K369" s="119"/>
    </row>
    <row r="370" spans="1:12" ht="14.25" customHeight="1" outlineLevel="1" x14ac:dyDescent="0.25">
      <c r="A370" s="117"/>
      <c r="B370" s="118"/>
      <c r="C370" s="119"/>
      <c r="D370" s="36">
        <v>2025</v>
      </c>
      <c r="E370" s="8">
        <f t="shared" si="39"/>
        <v>0</v>
      </c>
      <c r="F370" s="8">
        <v>0</v>
      </c>
      <c r="G370" s="8">
        <v>0</v>
      </c>
      <c r="H370" s="8">
        <v>0</v>
      </c>
      <c r="I370" s="8">
        <v>0</v>
      </c>
      <c r="J370" s="119"/>
      <c r="K370" s="119"/>
    </row>
    <row r="371" spans="1:12" ht="18" customHeight="1" outlineLevel="1" x14ac:dyDescent="0.25">
      <c r="A371" s="117" t="s">
        <v>550</v>
      </c>
      <c r="B371" s="118" t="s">
        <v>766</v>
      </c>
      <c r="C371" s="119">
        <v>2021</v>
      </c>
      <c r="D371" s="36" t="s">
        <v>8</v>
      </c>
      <c r="E371" s="8">
        <f t="shared" si="39"/>
        <v>1505.5</v>
      </c>
      <c r="F371" s="8">
        <f>SUM(F372:F376)</f>
        <v>1505.5</v>
      </c>
      <c r="G371" s="8">
        <f>SUM(G372:G376)</f>
        <v>0</v>
      </c>
      <c r="H371" s="8">
        <f>SUM(H372:H376)</f>
        <v>0</v>
      </c>
      <c r="I371" s="8">
        <f>SUM(I372:I376)</f>
        <v>0</v>
      </c>
      <c r="J371" s="119" t="s">
        <v>552</v>
      </c>
      <c r="K371" s="119" t="s">
        <v>553</v>
      </c>
    </row>
    <row r="372" spans="1:12" ht="16.5" customHeight="1" outlineLevel="1" x14ac:dyDescent="0.25">
      <c r="A372" s="117"/>
      <c r="B372" s="118"/>
      <c r="C372" s="119"/>
      <c r="D372" s="36">
        <v>2021</v>
      </c>
      <c r="E372" s="8">
        <f t="shared" si="39"/>
        <v>1505.5</v>
      </c>
      <c r="F372" s="8">
        <v>1505.5</v>
      </c>
      <c r="G372" s="8">
        <v>0</v>
      </c>
      <c r="H372" s="8">
        <v>0</v>
      </c>
      <c r="I372" s="8">
        <v>0</v>
      </c>
      <c r="J372" s="119"/>
      <c r="K372" s="119"/>
    </row>
    <row r="373" spans="1:12" ht="15.75" customHeight="1" outlineLevel="1" x14ac:dyDescent="0.25">
      <c r="A373" s="117"/>
      <c r="B373" s="118"/>
      <c r="C373" s="119"/>
      <c r="D373" s="36">
        <v>2022</v>
      </c>
      <c r="E373" s="8">
        <f t="shared" si="39"/>
        <v>0</v>
      </c>
      <c r="F373" s="8">
        <v>0</v>
      </c>
      <c r="G373" s="8">
        <v>0</v>
      </c>
      <c r="H373" s="8">
        <v>0</v>
      </c>
      <c r="I373" s="8">
        <v>0</v>
      </c>
      <c r="J373" s="119"/>
      <c r="K373" s="119"/>
    </row>
    <row r="374" spans="1:12" ht="14.25" customHeight="1" outlineLevel="1" x14ac:dyDescent="0.25">
      <c r="A374" s="117"/>
      <c r="B374" s="118"/>
      <c r="C374" s="119"/>
      <c r="D374" s="36">
        <v>2023</v>
      </c>
      <c r="E374" s="8">
        <f t="shared" si="39"/>
        <v>0</v>
      </c>
      <c r="F374" s="8">
        <v>0</v>
      </c>
      <c r="G374" s="8">
        <v>0</v>
      </c>
      <c r="H374" s="8">
        <v>0</v>
      </c>
      <c r="I374" s="8">
        <v>0</v>
      </c>
      <c r="J374" s="119"/>
      <c r="K374" s="119"/>
    </row>
    <row r="375" spans="1:12" ht="15" customHeight="1" outlineLevel="1" x14ac:dyDescent="0.25">
      <c r="A375" s="117"/>
      <c r="B375" s="118"/>
      <c r="C375" s="119"/>
      <c r="D375" s="36">
        <v>2024</v>
      </c>
      <c r="E375" s="8">
        <f t="shared" si="39"/>
        <v>0</v>
      </c>
      <c r="F375" s="8">
        <v>0</v>
      </c>
      <c r="G375" s="8">
        <v>0</v>
      </c>
      <c r="H375" s="8">
        <v>0</v>
      </c>
      <c r="I375" s="8">
        <v>0</v>
      </c>
      <c r="J375" s="119"/>
      <c r="K375" s="119"/>
    </row>
    <row r="376" spans="1:12" ht="15.75" customHeight="1" outlineLevel="1" x14ac:dyDescent="0.25">
      <c r="A376" s="117"/>
      <c r="B376" s="118"/>
      <c r="C376" s="119"/>
      <c r="D376" s="36">
        <v>2025</v>
      </c>
      <c r="E376" s="8">
        <f t="shared" si="39"/>
        <v>0</v>
      </c>
      <c r="F376" s="8">
        <v>0</v>
      </c>
      <c r="G376" s="8">
        <v>0</v>
      </c>
      <c r="H376" s="8">
        <v>0</v>
      </c>
      <c r="I376" s="8">
        <v>0</v>
      </c>
      <c r="J376" s="119"/>
      <c r="K376" s="119"/>
    </row>
    <row r="377" spans="1:12" ht="15" customHeight="1" outlineLevel="1" x14ac:dyDescent="0.25">
      <c r="A377" s="117" t="s">
        <v>554</v>
      </c>
      <c r="B377" s="118" t="s">
        <v>555</v>
      </c>
      <c r="C377" s="119">
        <v>2021</v>
      </c>
      <c r="D377" s="36" t="s">
        <v>8</v>
      </c>
      <c r="E377" s="8">
        <f t="shared" si="39"/>
        <v>0</v>
      </c>
      <c r="F377" s="8">
        <f>SUM(F378:F382)</f>
        <v>0</v>
      </c>
      <c r="G377" s="8">
        <f>SUM(G378:G382)</f>
        <v>0</v>
      </c>
      <c r="H377" s="8">
        <f>SUM(H378:H382)</f>
        <v>0</v>
      </c>
      <c r="I377" s="8">
        <f>SUM(I378:I382)</f>
        <v>0</v>
      </c>
      <c r="J377" s="119" t="s">
        <v>556</v>
      </c>
      <c r="K377" s="119" t="s">
        <v>515</v>
      </c>
      <c r="L377" s="35" t="s">
        <v>860</v>
      </c>
    </row>
    <row r="378" spans="1:12" ht="15" customHeight="1" outlineLevel="1" x14ac:dyDescent="0.25">
      <c r="A378" s="117"/>
      <c r="B378" s="118"/>
      <c r="C378" s="119"/>
      <c r="D378" s="36">
        <v>2021</v>
      </c>
      <c r="E378" s="8">
        <f t="shared" si="39"/>
        <v>0</v>
      </c>
      <c r="F378" s="8">
        <v>0</v>
      </c>
      <c r="G378" s="8">
        <v>0</v>
      </c>
      <c r="H378" s="8">
        <v>0</v>
      </c>
      <c r="I378" s="8">
        <v>0</v>
      </c>
      <c r="J378" s="119"/>
      <c r="K378" s="119"/>
    </row>
    <row r="379" spans="1:12" ht="15" customHeight="1" outlineLevel="1" x14ac:dyDescent="0.25">
      <c r="A379" s="117"/>
      <c r="B379" s="118"/>
      <c r="C379" s="119"/>
      <c r="D379" s="36">
        <v>2022</v>
      </c>
      <c r="E379" s="8">
        <f t="shared" si="39"/>
        <v>0</v>
      </c>
      <c r="F379" s="8">
        <v>0</v>
      </c>
      <c r="G379" s="8">
        <v>0</v>
      </c>
      <c r="H379" s="8">
        <v>0</v>
      </c>
      <c r="I379" s="8">
        <v>0</v>
      </c>
      <c r="J379" s="119"/>
      <c r="K379" s="119"/>
    </row>
    <row r="380" spans="1:12" ht="15" customHeight="1" outlineLevel="1" x14ac:dyDescent="0.25">
      <c r="A380" s="117"/>
      <c r="B380" s="118"/>
      <c r="C380" s="119"/>
      <c r="D380" s="36">
        <v>2023</v>
      </c>
      <c r="E380" s="8">
        <f t="shared" si="39"/>
        <v>0</v>
      </c>
      <c r="F380" s="8">
        <v>0</v>
      </c>
      <c r="G380" s="8">
        <v>0</v>
      </c>
      <c r="H380" s="8">
        <v>0</v>
      </c>
      <c r="I380" s="8">
        <v>0</v>
      </c>
      <c r="J380" s="119"/>
      <c r="K380" s="119"/>
    </row>
    <row r="381" spans="1:12" ht="15" customHeight="1" outlineLevel="1" x14ac:dyDescent="0.25">
      <c r="A381" s="117"/>
      <c r="B381" s="118"/>
      <c r="C381" s="119"/>
      <c r="D381" s="36">
        <v>2024</v>
      </c>
      <c r="E381" s="8">
        <f t="shared" si="39"/>
        <v>0</v>
      </c>
      <c r="F381" s="8">
        <v>0</v>
      </c>
      <c r="G381" s="8">
        <v>0</v>
      </c>
      <c r="H381" s="8">
        <v>0</v>
      </c>
      <c r="I381" s="8">
        <v>0</v>
      </c>
      <c r="J381" s="119"/>
      <c r="K381" s="119"/>
    </row>
    <row r="382" spans="1:12" ht="15" customHeight="1" outlineLevel="1" x14ac:dyDescent="0.25">
      <c r="A382" s="117"/>
      <c r="B382" s="118"/>
      <c r="C382" s="119"/>
      <c r="D382" s="36">
        <v>2025</v>
      </c>
      <c r="E382" s="8">
        <f t="shared" si="39"/>
        <v>0</v>
      </c>
      <c r="F382" s="8">
        <v>0</v>
      </c>
      <c r="G382" s="8">
        <v>0</v>
      </c>
      <c r="H382" s="8">
        <v>0</v>
      </c>
      <c r="I382" s="8">
        <v>0</v>
      </c>
      <c r="J382" s="119"/>
      <c r="K382" s="119"/>
    </row>
    <row r="383" spans="1:12" ht="15" customHeight="1" outlineLevel="1" x14ac:dyDescent="0.25">
      <c r="A383" s="117" t="s">
        <v>557</v>
      </c>
      <c r="B383" s="118" t="s">
        <v>558</v>
      </c>
      <c r="C383" s="119" t="s">
        <v>19</v>
      </c>
      <c r="D383" s="36" t="s">
        <v>8</v>
      </c>
      <c r="E383" s="8">
        <f t="shared" si="39"/>
        <v>131225.81</v>
      </c>
      <c r="F383" s="8">
        <f>SUM(F384:F388)</f>
        <v>98555.157500000001</v>
      </c>
      <c r="G383" s="8">
        <f>SUM(G384:G388)</f>
        <v>0</v>
      </c>
      <c r="H383" s="8">
        <f>SUM(H384:H388)</f>
        <v>32670.652500000004</v>
      </c>
      <c r="I383" s="8">
        <f>SUM(I384:I388)</f>
        <v>0</v>
      </c>
      <c r="J383" s="119" t="s">
        <v>1762</v>
      </c>
      <c r="K383" s="119" t="s">
        <v>547</v>
      </c>
    </row>
    <row r="384" spans="1:12" ht="15" customHeight="1" outlineLevel="1" x14ac:dyDescent="0.25">
      <c r="A384" s="117"/>
      <c r="B384" s="118"/>
      <c r="C384" s="119"/>
      <c r="D384" s="36">
        <v>2021</v>
      </c>
      <c r="E384" s="8">
        <f t="shared" si="39"/>
        <v>10446.799999999999</v>
      </c>
      <c r="F384" s="8">
        <v>7970.9</v>
      </c>
      <c r="G384" s="8">
        <v>0</v>
      </c>
      <c r="H384" s="8">
        <v>2475.9</v>
      </c>
      <c r="I384" s="8">
        <v>0</v>
      </c>
      <c r="J384" s="119"/>
      <c r="K384" s="119"/>
    </row>
    <row r="385" spans="1:12" ht="15" customHeight="1" outlineLevel="1" x14ac:dyDescent="0.25">
      <c r="A385" s="117"/>
      <c r="B385" s="118"/>
      <c r="C385" s="119"/>
      <c r="D385" s="36">
        <v>2022</v>
      </c>
      <c r="E385" s="8">
        <f t="shared" si="39"/>
        <v>108779.01000000001</v>
      </c>
      <c r="F385" s="8">
        <v>81584.257500000007</v>
      </c>
      <c r="G385" s="8">
        <v>0</v>
      </c>
      <c r="H385" s="8">
        <f>F385/75*25</f>
        <v>27194.752500000002</v>
      </c>
      <c r="I385" s="8">
        <v>0</v>
      </c>
      <c r="J385" s="119"/>
      <c r="K385" s="119"/>
    </row>
    <row r="386" spans="1:12" ht="15" customHeight="1" outlineLevel="1" x14ac:dyDescent="0.25">
      <c r="A386" s="117"/>
      <c r="B386" s="118"/>
      <c r="C386" s="119"/>
      <c r="D386" s="36">
        <v>2023</v>
      </c>
      <c r="E386" s="8">
        <f t="shared" si="39"/>
        <v>12000</v>
      </c>
      <c r="F386" s="8">
        <v>9000</v>
      </c>
      <c r="G386" s="8">
        <v>0</v>
      </c>
      <c r="H386" s="8">
        <v>3000</v>
      </c>
      <c r="I386" s="8">
        <v>0</v>
      </c>
      <c r="J386" s="119"/>
      <c r="K386" s="119"/>
    </row>
    <row r="387" spans="1:12" ht="15" customHeight="1" outlineLevel="1" x14ac:dyDescent="0.25">
      <c r="A387" s="117"/>
      <c r="B387" s="118"/>
      <c r="C387" s="119"/>
      <c r="D387" s="36">
        <v>2024</v>
      </c>
      <c r="E387" s="8">
        <f t="shared" si="39"/>
        <v>0</v>
      </c>
      <c r="F387" s="8">
        <v>0</v>
      </c>
      <c r="G387" s="8">
        <v>0</v>
      </c>
      <c r="H387" s="8">
        <v>0</v>
      </c>
      <c r="I387" s="8">
        <v>0</v>
      </c>
      <c r="J387" s="119"/>
      <c r="K387" s="119"/>
    </row>
    <row r="388" spans="1:12" ht="15" customHeight="1" outlineLevel="1" x14ac:dyDescent="0.25">
      <c r="A388" s="117"/>
      <c r="B388" s="118"/>
      <c r="C388" s="119"/>
      <c r="D388" s="36">
        <v>2025</v>
      </c>
      <c r="E388" s="8">
        <f t="shared" si="39"/>
        <v>0</v>
      </c>
      <c r="F388" s="8">
        <v>0</v>
      </c>
      <c r="G388" s="8">
        <v>0</v>
      </c>
      <c r="H388" s="8">
        <v>0</v>
      </c>
      <c r="I388" s="8">
        <v>0</v>
      </c>
      <c r="J388" s="119"/>
      <c r="K388" s="119"/>
    </row>
    <row r="389" spans="1:12" ht="15" customHeight="1" outlineLevel="1" x14ac:dyDescent="0.25">
      <c r="A389" s="117" t="s">
        <v>560</v>
      </c>
      <c r="B389" s="118" t="s">
        <v>561</v>
      </c>
      <c r="C389" s="119">
        <v>2021</v>
      </c>
      <c r="D389" s="36" t="s">
        <v>8</v>
      </c>
      <c r="E389" s="8">
        <f t="shared" si="39"/>
        <v>8935.1</v>
      </c>
      <c r="F389" s="8">
        <f>SUM(F390:F394)</f>
        <v>8935.1</v>
      </c>
      <c r="G389" s="8">
        <f>SUM(G390:G394)</f>
        <v>0</v>
      </c>
      <c r="H389" s="8">
        <f>SUM(H390:H394)</f>
        <v>0</v>
      </c>
      <c r="I389" s="8">
        <f>SUM(I390:I394)</f>
        <v>0</v>
      </c>
      <c r="J389" s="119" t="s">
        <v>562</v>
      </c>
      <c r="K389" s="119" t="s">
        <v>563</v>
      </c>
      <c r="L389" s="124" t="s">
        <v>865</v>
      </c>
    </row>
    <row r="390" spans="1:12" ht="15" customHeight="1" outlineLevel="1" x14ac:dyDescent="0.25">
      <c r="A390" s="117"/>
      <c r="B390" s="118"/>
      <c r="C390" s="119"/>
      <c r="D390" s="36">
        <v>2021</v>
      </c>
      <c r="E390" s="8">
        <f t="shared" si="39"/>
        <v>8935.1</v>
      </c>
      <c r="F390" s="8">
        <v>8935.1</v>
      </c>
      <c r="G390" s="8">
        <v>0</v>
      </c>
      <c r="H390" s="8">
        <v>0</v>
      </c>
      <c r="I390" s="8">
        <v>0</v>
      </c>
      <c r="J390" s="119"/>
      <c r="K390" s="119"/>
      <c r="L390" s="124"/>
    </row>
    <row r="391" spans="1:12" ht="15" customHeight="1" outlineLevel="1" x14ac:dyDescent="0.25">
      <c r="A391" s="117"/>
      <c r="B391" s="118"/>
      <c r="C391" s="119"/>
      <c r="D391" s="36">
        <v>2022</v>
      </c>
      <c r="E391" s="8">
        <f t="shared" si="39"/>
        <v>0</v>
      </c>
      <c r="F391" s="8">
        <v>0</v>
      </c>
      <c r="G391" s="8">
        <v>0</v>
      </c>
      <c r="H391" s="8">
        <v>0</v>
      </c>
      <c r="I391" s="8">
        <v>0</v>
      </c>
      <c r="J391" s="119"/>
      <c r="K391" s="119"/>
      <c r="L391" s="124"/>
    </row>
    <row r="392" spans="1:12" ht="15" customHeight="1" outlineLevel="1" x14ac:dyDescent="0.25">
      <c r="A392" s="117"/>
      <c r="B392" s="118"/>
      <c r="C392" s="119"/>
      <c r="D392" s="36">
        <v>2023</v>
      </c>
      <c r="E392" s="8">
        <f t="shared" si="39"/>
        <v>0</v>
      </c>
      <c r="F392" s="8">
        <v>0</v>
      </c>
      <c r="G392" s="8">
        <v>0</v>
      </c>
      <c r="H392" s="8">
        <v>0</v>
      </c>
      <c r="I392" s="8">
        <v>0</v>
      </c>
      <c r="J392" s="119"/>
      <c r="K392" s="119"/>
      <c r="L392" s="124"/>
    </row>
    <row r="393" spans="1:12" ht="15" customHeight="1" outlineLevel="1" x14ac:dyDescent="0.25">
      <c r="A393" s="117"/>
      <c r="B393" s="118"/>
      <c r="C393" s="119"/>
      <c r="D393" s="36">
        <v>2024</v>
      </c>
      <c r="E393" s="8">
        <f t="shared" si="39"/>
        <v>0</v>
      </c>
      <c r="F393" s="8">
        <v>0</v>
      </c>
      <c r="G393" s="8">
        <v>0</v>
      </c>
      <c r="H393" s="8">
        <v>0</v>
      </c>
      <c r="I393" s="8">
        <v>0</v>
      </c>
      <c r="J393" s="119"/>
      <c r="K393" s="119"/>
      <c r="L393" s="124"/>
    </row>
    <row r="394" spans="1:12" ht="15" customHeight="1" outlineLevel="1" x14ac:dyDescent="0.25">
      <c r="A394" s="117"/>
      <c r="B394" s="118"/>
      <c r="C394" s="119"/>
      <c r="D394" s="36">
        <v>2025</v>
      </c>
      <c r="E394" s="8">
        <f t="shared" si="39"/>
        <v>0</v>
      </c>
      <c r="F394" s="8">
        <v>0</v>
      </c>
      <c r="G394" s="8">
        <v>0</v>
      </c>
      <c r="H394" s="8">
        <v>0</v>
      </c>
      <c r="I394" s="8">
        <v>0</v>
      </c>
      <c r="J394" s="119"/>
      <c r="K394" s="119"/>
      <c r="L394" s="124"/>
    </row>
    <row r="395" spans="1:12" ht="15" customHeight="1" outlineLevel="1" x14ac:dyDescent="0.25">
      <c r="A395" s="117" t="s">
        <v>861</v>
      </c>
      <c r="B395" s="118" t="s">
        <v>862</v>
      </c>
      <c r="C395" s="119">
        <v>2022</v>
      </c>
      <c r="D395" s="36" t="s">
        <v>8</v>
      </c>
      <c r="E395" s="8">
        <f t="shared" si="39"/>
        <v>0</v>
      </c>
      <c r="F395" s="8">
        <f>SUM(F396:F400)</f>
        <v>0</v>
      </c>
      <c r="G395" s="8">
        <f>SUM(G396:G400)</f>
        <v>0</v>
      </c>
      <c r="H395" s="8">
        <f>SUM(H396:H400)</f>
        <v>0</v>
      </c>
      <c r="I395" s="8">
        <f>SUM(I396:I400)</f>
        <v>0</v>
      </c>
      <c r="J395" s="119" t="s">
        <v>863</v>
      </c>
      <c r="K395" s="119" t="s">
        <v>547</v>
      </c>
      <c r="L395" s="124" t="s">
        <v>871</v>
      </c>
    </row>
    <row r="396" spans="1:12" ht="15" customHeight="1" outlineLevel="1" x14ac:dyDescent="0.25">
      <c r="A396" s="117"/>
      <c r="B396" s="118"/>
      <c r="C396" s="119"/>
      <c r="D396" s="36">
        <v>2021</v>
      </c>
      <c r="E396" s="8">
        <f t="shared" si="39"/>
        <v>0</v>
      </c>
      <c r="F396" s="8">
        <v>0</v>
      </c>
      <c r="G396" s="8">
        <v>0</v>
      </c>
      <c r="H396" s="8">
        <v>0</v>
      </c>
      <c r="I396" s="8">
        <v>0</v>
      </c>
      <c r="J396" s="119"/>
      <c r="K396" s="119"/>
      <c r="L396" s="124"/>
    </row>
    <row r="397" spans="1:12" ht="15" customHeight="1" outlineLevel="1" x14ac:dyDescent="0.25">
      <c r="A397" s="117"/>
      <c r="B397" s="118"/>
      <c r="C397" s="119"/>
      <c r="D397" s="36">
        <v>2022</v>
      </c>
      <c r="E397" s="8">
        <f t="shared" si="39"/>
        <v>0</v>
      </c>
      <c r="F397" s="8">
        <v>0</v>
      </c>
      <c r="G397" s="8">
        <v>0</v>
      </c>
      <c r="H397" s="8">
        <v>0</v>
      </c>
      <c r="I397" s="8">
        <v>0</v>
      </c>
      <c r="J397" s="119"/>
      <c r="K397" s="119"/>
      <c r="L397" s="124"/>
    </row>
    <row r="398" spans="1:12" ht="15" customHeight="1" outlineLevel="1" x14ac:dyDescent="0.25">
      <c r="A398" s="117"/>
      <c r="B398" s="118"/>
      <c r="C398" s="119"/>
      <c r="D398" s="36">
        <v>2023</v>
      </c>
      <c r="E398" s="8">
        <f t="shared" si="39"/>
        <v>0</v>
      </c>
      <c r="F398" s="8">
        <v>0</v>
      </c>
      <c r="G398" s="8">
        <v>0</v>
      </c>
      <c r="H398" s="8">
        <v>0</v>
      </c>
      <c r="I398" s="8">
        <v>0</v>
      </c>
      <c r="J398" s="119"/>
      <c r="K398" s="119"/>
      <c r="L398" s="124"/>
    </row>
    <row r="399" spans="1:12" ht="15" customHeight="1" outlineLevel="1" x14ac:dyDescent="0.25">
      <c r="A399" s="117"/>
      <c r="B399" s="118"/>
      <c r="C399" s="119"/>
      <c r="D399" s="36">
        <v>2024</v>
      </c>
      <c r="E399" s="8">
        <f t="shared" si="39"/>
        <v>0</v>
      </c>
      <c r="F399" s="8">
        <v>0</v>
      </c>
      <c r="G399" s="8">
        <v>0</v>
      </c>
      <c r="H399" s="8">
        <v>0</v>
      </c>
      <c r="I399" s="8">
        <v>0</v>
      </c>
      <c r="J399" s="119"/>
      <c r="K399" s="119"/>
      <c r="L399" s="124"/>
    </row>
    <row r="400" spans="1:12" ht="15" customHeight="1" outlineLevel="1" x14ac:dyDescent="0.25">
      <c r="A400" s="117"/>
      <c r="B400" s="118"/>
      <c r="C400" s="119"/>
      <c r="D400" s="36">
        <v>2025</v>
      </c>
      <c r="E400" s="8">
        <f t="shared" si="39"/>
        <v>0</v>
      </c>
      <c r="F400" s="8">
        <v>0</v>
      </c>
      <c r="G400" s="8">
        <v>0</v>
      </c>
      <c r="H400" s="8">
        <v>0</v>
      </c>
      <c r="I400" s="8">
        <v>0</v>
      </c>
      <c r="J400" s="119"/>
      <c r="K400" s="119"/>
      <c r="L400" s="124"/>
    </row>
    <row r="401" spans="1:12" ht="15" customHeight="1" outlineLevel="1" x14ac:dyDescent="0.25">
      <c r="A401" s="117" t="s">
        <v>868</v>
      </c>
      <c r="B401" s="118" t="s">
        <v>1163</v>
      </c>
      <c r="C401" s="119">
        <v>2023</v>
      </c>
      <c r="D401" s="36" t="s">
        <v>8</v>
      </c>
      <c r="E401" s="8">
        <f t="shared" si="39"/>
        <v>0</v>
      </c>
      <c r="F401" s="8">
        <f>SUM(F402:F406)</f>
        <v>0</v>
      </c>
      <c r="G401" s="8">
        <f>SUM(G402:G406)</f>
        <v>0</v>
      </c>
      <c r="H401" s="8">
        <f>SUM(H402:H406)</f>
        <v>0</v>
      </c>
      <c r="I401" s="8">
        <f>SUM(I402:I406)</f>
        <v>0</v>
      </c>
      <c r="J401" s="119" t="s">
        <v>1164</v>
      </c>
      <c r="K401" s="119" t="s">
        <v>907</v>
      </c>
      <c r="L401" s="124" t="s">
        <v>871</v>
      </c>
    </row>
    <row r="402" spans="1:12" ht="15" customHeight="1" outlineLevel="1" x14ac:dyDescent="0.25">
      <c r="A402" s="117"/>
      <c r="B402" s="118"/>
      <c r="C402" s="119"/>
      <c r="D402" s="36">
        <v>2021</v>
      </c>
      <c r="E402" s="8">
        <f t="shared" si="39"/>
        <v>0</v>
      </c>
      <c r="F402" s="8">
        <v>0</v>
      </c>
      <c r="G402" s="8">
        <v>0</v>
      </c>
      <c r="H402" s="8">
        <v>0</v>
      </c>
      <c r="I402" s="8">
        <v>0</v>
      </c>
      <c r="J402" s="119"/>
      <c r="K402" s="119"/>
      <c r="L402" s="124"/>
    </row>
    <row r="403" spans="1:12" ht="15" customHeight="1" outlineLevel="1" x14ac:dyDescent="0.25">
      <c r="A403" s="117"/>
      <c r="B403" s="118"/>
      <c r="C403" s="119"/>
      <c r="D403" s="36">
        <v>2022</v>
      </c>
      <c r="E403" s="8">
        <f t="shared" si="39"/>
        <v>0</v>
      </c>
      <c r="F403" s="8">
        <v>0</v>
      </c>
      <c r="G403" s="8">
        <v>0</v>
      </c>
      <c r="H403" s="8">
        <v>0</v>
      </c>
      <c r="I403" s="8">
        <v>0</v>
      </c>
      <c r="J403" s="119"/>
      <c r="K403" s="119"/>
      <c r="L403" s="124"/>
    </row>
    <row r="404" spans="1:12" ht="15" customHeight="1" outlineLevel="1" x14ac:dyDescent="0.25">
      <c r="A404" s="117"/>
      <c r="B404" s="118"/>
      <c r="C404" s="119"/>
      <c r="D404" s="36">
        <v>2023</v>
      </c>
      <c r="E404" s="8">
        <f t="shared" si="39"/>
        <v>0</v>
      </c>
      <c r="F404" s="8">
        <v>0</v>
      </c>
      <c r="G404" s="8">
        <v>0</v>
      </c>
      <c r="H404" s="8">
        <v>0</v>
      </c>
      <c r="I404" s="8">
        <v>0</v>
      </c>
      <c r="J404" s="119"/>
      <c r="K404" s="119"/>
      <c r="L404" s="124"/>
    </row>
    <row r="405" spans="1:12" ht="15" customHeight="1" outlineLevel="1" x14ac:dyDescent="0.25">
      <c r="A405" s="117"/>
      <c r="B405" s="118"/>
      <c r="C405" s="119"/>
      <c r="D405" s="36">
        <v>2024</v>
      </c>
      <c r="E405" s="8">
        <f t="shared" si="39"/>
        <v>0</v>
      </c>
      <c r="F405" s="8">
        <v>0</v>
      </c>
      <c r="G405" s="8">
        <v>0</v>
      </c>
      <c r="H405" s="8">
        <v>0</v>
      </c>
      <c r="I405" s="8">
        <v>0</v>
      </c>
      <c r="J405" s="119"/>
      <c r="K405" s="119"/>
      <c r="L405" s="124"/>
    </row>
    <row r="406" spans="1:12" ht="15" customHeight="1" outlineLevel="1" x14ac:dyDescent="0.25">
      <c r="A406" s="117"/>
      <c r="B406" s="118"/>
      <c r="C406" s="119"/>
      <c r="D406" s="36">
        <v>2025</v>
      </c>
      <c r="E406" s="8">
        <f t="shared" si="39"/>
        <v>0</v>
      </c>
      <c r="F406" s="8">
        <v>0</v>
      </c>
      <c r="G406" s="8">
        <v>0</v>
      </c>
      <c r="H406" s="8">
        <v>0</v>
      </c>
      <c r="I406" s="8">
        <v>0</v>
      </c>
      <c r="J406" s="119"/>
      <c r="K406" s="119"/>
      <c r="L406" s="124"/>
    </row>
    <row r="407" spans="1:12" ht="15" customHeight="1" outlineLevel="1" x14ac:dyDescent="0.25">
      <c r="A407" s="117" t="s">
        <v>873</v>
      </c>
      <c r="B407" s="118" t="s">
        <v>874</v>
      </c>
      <c r="C407" s="119">
        <v>2022</v>
      </c>
      <c r="D407" s="36" t="s">
        <v>8</v>
      </c>
      <c r="E407" s="8">
        <f t="shared" si="39"/>
        <v>0</v>
      </c>
      <c r="F407" s="8">
        <f>SUM(F408:F412)</f>
        <v>0</v>
      </c>
      <c r="G407" s="8">
        <f>SUM(G408:G412)</f>
        <v>0</v>
      </c>
      <c r="H407" s="8">
        <f>SUM(H408:H412)</f>
        <v>0</v>
      </c>
      <c r="I407" s="8">
        <f>SUM(I408:I412)</f>
        <v>0</v>
      </c>
      <c r="J407" s="119" t="s">
        <v>875</v>
      </c>
      <c r="K407" s="119" t="s">
        <v>955</v>
      </c>
    </row>
    <row r="408" spans="1:12" ht="15" customHeight="1" outlineLevel="1" x14ac:dyDescent="0.25">
      <c r="A408" s="117"/>
      <c r="B408" s="118"/>
      <c r="C408" s="119"/>
      <c r="D408" s="36">
        <v>2021</v>
      </c>
      <c r="E408" s="8">
        <f t="shared" si="39"/>
        <v>0</v>
      </c>
      <c r="F408" s="8">
        <v>0</v>
      </c>
      <c r="G408" s="8">
        <v>0</v>
      </c>
      <c r="H408" s="8">
        <v>0</v>
      </c>
      <c r="I408" s="8">
        <v>0</v>
      </c>
      <c r="J408" s="119"/>
      <c r="K408" s="119"/>
    </row>
    <row r="409" spans="1:12" ht="15" customHeight="1" outlineLevel="1" x14ac:dyDescent="0.25">
      <c r="A409" s="117"/>
      <c r="B409" s="118"/>
      <c r="C409" s="119"/>
      <c r="D409" s="36">
        <v>2022</v>
      </c>
      <c r="E409" s="8">
        <f t="shared" si="39"/>
        <v>0</v>
      </c>
      <c r="F409" s="8">
        <f>6000-6000</f>
        <v>0</v>
      </c>
      <c r="G409" s="8">
        <v>0</v>
      </c>
      <c r="H409" s="8">
        <v>0</v>
      </c>
      <c r="I409" s="8">
        <v>0</v>
      </c>
      <c r="J409" s="119"/>
      <c r="K409" s="119"/>
    </row>
    <row r="410" spans="1:12" ht="15" customHeight="1" outlineLevel="1" x14ac:dyDescent="0.25">
      <c r="A410" s="117"/>
      <c r="B410" s="118"/>
      <c r="C410" s="119"/>
      <c r="D410" s="36">
        <v>2023</v>
      </c>
      <c r="E410" s="8">
        <f t="shared" si="39"/>
        <v>0</v>
      </c>
      <c r="F410" s="8">
        <v>0</v>
      </c>
      <c r="G410" s="8">
        <v>0</v>
      </c>
      <c r="H410" s="8">
        <v>0</v>
      </c>
      <c r="I410" s="8">
        <v>0</v>
      </c>
      <c r="J410" s="119"/>
      <c r="K410" s="119"/>
    </row>
    <row r="411" spans="1:12" ht="15" customHeight="1" outlineLevel="1" x14ac:dyDescent="0.25">
      <c r="A411" s="117"/>
      <c r="B411" s="118"/>
      <c r="C411" s="119"/>
      <c r="D411" s="36">
        <v>2024</v>
      </c>
      <c r="E411" s="8">
        <f t="shared" si="39"/>
        <v>0</v>
      </c>
      <c r="F411" s="8">
        <v>0</v>
      </c>
      <c r="G411" s="8">
        <v>0</v>
      </c>
      <c r="H411" s="8">
        <v>0</v>
      </c>
      <c r="I411" s="8">
        <v>0</v>
      </c>
      <c r="J411" s="119"/>
      <c r="K411" s="119"/>
    </row>
    <row r="412" spans="1:12" ht="15" customHeight="1" outlineLevel="1" x14ac:dyDescent="0.25">
      <c r="A412" s="117"/>
      <c r="B412" s="118"/>
      <c r="C412" s="119"/>
      <c r="D412" s="36">
        <v>2025</v>
      </c>
      <c r="E412" s="8">
        <f t="shared" si="39"/>
        <v>0</v>
      </c>
      <c r="F412" s="8">
        <v>0</v>
      </c>
      <c r="G412" s="8">
        <v>0</v>
      </c>
      <c r="H412" s="8">
        <v>0</v>
      </c>
      <c r="I412" s="8">
        <v>0</v>
      </c>
      <c r="J412" s="119"/>
      <c r="K412" s="119"/>
    </row>
    <row r="413" spans="1:12" ht="15" customHeight="1" outlineLevel="1" x14ac:dyDescent="0.25">
      <c r="A413" s="117" t="s">
        <v>879</v>
      </c>
      <c r="B413" s="118" t="s">
        <v>880</v>
      </c>
      <c r="C413" s="119">
        <v>2022</v>
      </c>
      <c r="D413" s="36" t="s">
        <v>8</v>
      </c>
      <c r="E413" s="8">
        <f t="shared" si="39"/>
        <v>5000</v>
      </c>
      <c r="F413" s="8">
        <f>SUM(F414:F418)</f>
        <v>4750</v>
      </c>
      <c r="G413" s="8">
        <f>SUM(G414:G418)</f>
        <v>0</v>
      </c>
      <c r="H413" s="8">
        <f>SUM(H414:H418)</f>
        <v>250</v>
      </c>
      <c r="I413" s="8">
        <f>SUM(I414:I418)</f>
        <v>0</v>
      </c>
      <c r="J413" s="119" t="s">
        <v>881</v>
      </c>
      <c r="K413" s="119" t="s">
        <v>547</v>
      </c>
    </row>
    <row r="414" spans="1:12" ht="15" customHeight="1" outlineLevel="1" x14ac:dyDescent="0.25">
      <c r="A414" s="117"/>
      <c r="B414" s="118"/>
      <c r="C414" s="119"/>
      <c r="D414" s="36">
        <v>2021</v>
      </c>
      <c r="E414" s="8">
        <f t="shared" si="39"/>
        <v>0</v>
      </c>
      <c r="F414" s="8">
        <v>0</v>
      </c>
      <c r="G414" s="8">
        <v>0</v>
      </c>
      <c r="H414" s="8">
        <v>0</v>
      </c>
      <c r="I414" s="8">
        <v>0</v>
      </c>
      <c r="J414" s="119"/>
      <c r="K414" s="119"/>
    </row>
    <row r="415" spans="1:12" ht="15" customHeight="1" outlineLevel="1" x14ac:dyDescent="0.25">
      <c r="A415" s="117"/>
      <c r="B415" s="118"/>
      <c r="C415" s="119"/>
      <c r="D415" s="36">
        <v>2022</v>
      </c>
      <c r="E415" s="8">
        <f t="shared" si="39"/>
        <v>5000</v>
      </c>
      <c r="F415" s="8">
        <f>4750000/1000</f>
        <v>4750</v>
      </c>
      <c r="G415" s="8">
        <v>0</v>
      </c>
      <c r="H415" s="8">
        <f>F415*5%/95%</f>
        <v>250</v>
      </c>
      <c r="I415" s="8">
        <v>0</v>
      </c>
      <c r="J415" s="119"/>
      <c r="K415" s="119"/>
    </row>
    <row r="416" spans="1:12" ht="15" customHeight="1" outlineLevel="1" x14ac:dyDescent="0.25">
      <c r="A416" s="117"/>
      <c r="B416" s="118"/>
      <c r="C416" s="119"/>
      <c r="D416" s="36">
        <v>2023</v>
      </c>
      <c r="E416" s="8">
        <f t="shared" si="39"/>
        <v>0</v>
      </c>
      <c r="F416" s="8">
        <v>0</v>
      </c>
      <c r="G416" s="8">
        <v>0</v>
      </c>
      <c r="H416" s="8">
        <v>0</v>
      </c>
      <c r="I416" s="8">
        <v>0</v>
      </c>
      <c r="J416" s="119"/>
      <c r="K416" s="119"/>
    </row>
    <row r="417" spans="1:12" ht="15" customHeight="1" outlineLevel="1" x14ac:dyDescent="0.25">
      <c r="A417" s="117"/>
      <c r="B417" s="118"/>
      <c r="C417" s="119"/>
      <c r="D417" s="36">
        <v>2024</v>
      </c>
      <c r="E417" s="8">
        <f t="shared" si="39"/>
        <v>0</v>
      </c>
      <c r="F417" s="8">
        <v>0</v>
      </c>
      <c r="G417" s="8">
        <v>0</v>
      </c>
      <c r="H417" s="8">
        <v>0</v>
      </c>
      <c r="I417" s="8">
        <v>0</v>
      </c>
      <c r="J417" s="119"/>
      <c r="K417" s="119"/>
    </row>
    <row r="418" spans="1:12" ht="15" customHeight="1" outlineLevel="1" x14ac:dyDescent="0.25">
      <c r="A418" s="117"/>
      <c r="B418" s="118"/>
      <c r="C418" s="119"/>
      <c r="D418" s="36">
        <v>2025</v>
      </c>
      <c r="E418" s="8">
        <f t="shared" si="39"/>
        <v>0</v>
      </c>
      <c r="F418" s="8">
        <v>0</v>
      </c>
      <c r="G418" s="8">
        <v>0</v>
      </c>
      <c r="H418" s="8">
        <v>0</v>
      </c>
      <c r="I418" s="8">
        <v>0</v>
      </c>
      <c r="J418" s="119"/>
      <c r="K418" s="119"/>
    </row>
    <row r="419" spans="1:12" ht="15" customHeight="1" outlineLevel="1" x14ac:dyDescent="0.25">
      <c r="A419" s="117" t="s">
        <v>882</v>
      </c>
      <c r="B419" s="118" t="s">
        <v>1165</v>
      </c>
      <c r="C419" s="119">
        <v>2022</v>
      </c>
      <c r="D419" s="36" t="s">
        <v>8</v>
      </c>
      <c r="E419" s="8">
        <f t="shared" si="39"/>
        <v>0</v>
      </c>
      <c r="F419" s="8">
        <f>SUM(F420:F424)</f>
        <v>0</v>
      </c>
      <c r="G419" s="8">
        <f t="shared" ref="G419:G449" si="40">SUM(G420:G424)</f>
        <v>0</v>
      </c>
      <c r="H419" s="8">
        <f>SUM(H420:H424)</f>
        <v>0</v>
      </c>
      <c r="I419" s="8">
        <f t="shared" ref="I419:I467" si="41">SUM(I420:I424)</f>
        <v>0</v>
      </c>
      <c r="J419" s="119" t="s">
        <v>884</v>
      </c>
      <c r="K419" s="119" t="s">
        <v>547</v>
      </c>
    </row>
    <row r="420" spans="1:12" ht="15" customHeight="1" outlineLevel="1" x14ac:dyDescent="0.25">
      <c r="A420" s="117"/>
      <c r="B420" s="118"/>
      <c r="C420" s="119"/>
      <c r="D420" s="36">
        <v>2021</v>
      </c>
      <c r="E420" s="8">
        <f t="shared" si="39"/>
        <v>0</v>
      </c>
      <c r="F420" s="8">
        <v>0</v>
      </c>
      <c r="G420" s="8">
        <f t="shared" si="40"/>
        <v>0</v>
      </c>
      <c r="H420" s="8">
        <v>0</v>
      </c>
      <c r="I420" s="8">
        <f t="shared" si="41"/>
        <v>0</v>
      </c>
      <c r="J420" s="119"/>
      <c r="K420" s="119"/>
    </row>
    <row r="421" spans="1:12" ht="15" customHeight="1" outlineLevel="1" x14ac:dyDescent="0.25">
      <c r="A421" s="117"/>
      <c r="B421" s="118"/>
      <c r="C421" s="119"/>
      <c r="D421" s="36">
        <v>2022</v>
      </c>
      <c r="E421" s="8">
        <f t="shared" si="39"/>
        <v>0</v>
      </c>
      <c r="F421" s="8">
        <v>0</v>
      </c>
      <c r="G421" s="8">
        <f t="shared" si="40"/>
        <v>0</v>
      </c>
      <c r="H421" s="8">
        <v>0</v>
      </c>
      <c r="I421" s="8">
        <f t="shared" si="41"/>
        <v>0</v>
      </c>
      <c r="J421" s="119"/>
      <c r="K421" s="119"/>
    </row>
    <row r="422" spans="1:12" ht="15" customHeight="1" outlineLevel="1" x14ac:dyDescent="0.25">
      <c r="A422" s="117"/>
      <c r="B422" s="118"/>
      <c r="C422" s="119"/>
      <c r="D422" s="36">
        <v>2023</v>
      </c>
      <c r="E422" s="8">
        <f t="shared" si="39"/>
        <v>0</v>
      </c>
      <c r="F422" s="8">
        <v>0</v>
      </c>
      <c r="G422" s="8">
        <f t="shared" si="40"/>
        <v>0</v>
      </c>
      <c r="H422" s="8">
        <v>0</v>
      </c>
      <c r="I422" s="8">
        <f t="shared" si="41"/>
        <v>0</v>
      </c>
      <c r="J422" s="119"/>
      <c r="K422" s="119"/>
    </row>
    <row r="423" spans="1:12" ht="15" customHeight="1" outlineLevel="1" x14ac:dyDescent="0.25">
      <c r="A423" s="117"/>
      <c r="B423" s="118"/>
      <c r="C423" s="119"/>
      <c r="D423" s="36">
        <v>2024</v>
      </c>
      <c r="E423" s="8">
        <f t="shared" si="39"/>
        <v>0</v>
      </c>
      <c r="F423" s="8">
        <v>0</v>
      </c>
      <c r="G423" s="8">
        <f t="shared" si="40"/>
        <v>0</v>
      </c>
      <c r="H423" s="8">
        <v>0</v>
      </c>
      <c r="I423" s="8">
        <f t="shared" si="41"/>
        <v>0</v>
      </c>
      <c r="J423" s="119"/>
      <c r="K423" s="119"/>
    </row>
    <row r="424" spans="1:12" ht="15" customHeight="1" outlineLevel="1" x14ac:dyDescent="0.25">
      <c r="A424" s="117"/>
      <c r="B424" s="118"/>
      <c r="C424" s="119"/>
      <c r="D424" s="36">
        <v>2025</v>
      </c>
      <c r="E424" s="8">
        <f t="shared" si="39"/>
        <v>0</v>
      </c>
      <c r="F424" s="8">
        <v>0</v>
      </c>
      <c r="G424" s="8">
        <f t="shared" si="40"/>
        <v>0</v>
      </c>
      <c r="H424" s="8">
        <v>0</v>
      </c>
      <c r="I424" s="8">
        <f t="shared" si="41"/>
        <v>0</v>
      </c>
      <c r="J424" s="119"/>
      <c r="K424" s="119"/>
    </row>
    <row r="425" spans="1:12" ht="15" customHeight="1" outlineLevel="1" x14ac:dyDescent="0.25">
      <c r="A425" s="117" t="s">
        <v>885</v>
      </c>
      <c r="B425" s="118" t="s">
        <v>1166</v>
      </c>
      <c r="C425" s="119">
        <v>2022</v>
      </c>
      <c r="D425" s="36" t="s">
        <v>8</v>
      </c>
      <c r="E425" s="8">
        <f t="shared" si="39"/>
        <v>6815.7889999999998</v>
      </c>
      <c r="F425" s="8">
        <f>SUM(F426:F430)</f>
        <v>6475</v>
      </c>
      <c r="G425" s="8">
        <f t="shared" si="40"/>
        <v>0</v>
      </c>
      <c r="H425" s="8">
        <f>SUM(H426:H430)</f>
        <v>340.78899999999999</v>
      </c>
      <c r="I425" s="8">
        <f t="shared" si="41"/>
        <v>0</v>
      </c>
      <c r="J425" s="119" t="s">
        <v>1167</v>
      </c>
      <c r="K425" s="119" t="s">
        <v>547</v>
      </c>
    </row>
    <row r="426" spans="1:12" ht="15" customHeight="1" outlineLevel="1" x14ac:dyDescent="0.25">
      <c r="A426" s="117"/>
      <c r="B426" s="118"/>
      <c r="C426" s="119"/>
      <c r="D426" s="36">
        <v>2021</v>
      </c>
      <c r="E426" s="8">
        <f t="shared" si="39"/>
        <v>0</v>
      </c>
      <c r="F426" s="8">
        <v>0</v>
      </c>
      <c r="G426" s="8">
        <v>0</v>
      </c>
      <c r="H426" s="8">
        <v>0</v>
      </c>
      <c r="I426" s="8">
        <f t="shared" si="41"/>
        <v>0</v>
      </c>
      <c r="J426" s="119"/>
      <c r="K426" s="119"/>
    </row>
    <row r="427" spans="1:12" ht="15" customHeight="1" outlineLevel="1" x14ac:dyDescent="0.25">
      <c r="A427" s="117"/>
      <c r="B427" s="118"/>
      <c r="C427" s="119"/>
      <c r="D427" s="36">
        <v>2022</v>
      </c>
      <c r="E427" s="8">
        <f t="shared" si="39"/>
        <v>6815.7889999999998</v>
      </c>
      <c r="F427" s="8">
        <v>6475</v>
      </c>
      <c r="G427" s="8">
        <v>0</v>
      </c>
      <c r="H427" s="8">
        <v>340.78899999999999</v>
      </c>
      <c r="I427" s="8">
        <f t="shared" si="41"/>
        <v>0</v>
      </c>
      <c r="J427" s="119"/>
      <c r="K427" s="119"/>
    </row>
    <row r="428" spans="1:12" ht="15" customHeight="1" outlineLevel="1" x14ac:dyDescent="0.25">
      <c r="A428" s="117"/>
      <c r="B428" s="118"/>
      <c r="C428" s="119"/>
      <c r="D428" s="36">
        <v>2023</v>
      </c>
      <c r="E428" s="8">
        <f t="shared" si="39"/>
        <v>0</v>
      </c>
      <c r="F428" s="8">
        <v>0</v>
      </c>
      <c r="G428" s="8">
        <v>0</v>
      </c>
      <c r="H428" s="8">
        <v>0</v>
      </c>
      <c r="I428" s="8">
        <f t="shared" si="41"/>
        <v>0</v>
      </c>
      <c r="J428" s="119"/>
      <c r="K428" s="119"/>
    </row>
    <row r="429" spans="1:12" ht="15" customHeight="1" outlineLevel="1" x14ac:dyDescent="0.25">
      <c r="A429" s="117"/>
      <c r="B429" s="118"/>
      <c r="C429" s="119"/>
      <c r="D429" s="36">
        <v>2024</v>
      </c>
      <c r="E429" s="8">
        <f t="shared" si="39"/>
        <v>0</v>
      </c>
      <c r="F429" s="8">
        <v>0</v>
      </c>
      <c r="G429" s="8">
        <v>0</v>
      </c>
      <c r="H429" s="8">
        <v>0</v>
      </c>
      <c r="I429" s="8">
        <f t="shared" si="41"/>
        <v>0</v>
      </c>
      <c r="J429" s="119"/>
      <c r="K429" s="119"/>
    </row>
    <row r="430" spans="1:12" ht="15" customHeight="1" outlineLevel="1" x14ac:dyDescent="0.25">
      <c r="A430" s="117"/>
      <c r="B430" s="118"/>
      <c r="C430" s="119"/>
      <c r="D430" s="36">
        <v>2025</v>
      </c>
      <c r="E430" s="8">
        <f t="shared" ref="E430:E493" si="42">SUM(F430:I430)</f>
        <v>0</v>
      </c>
      <c r="F430" s="8">
        <v>0</v>
      </c>
      <c r="G430" s="8">
        <v>0</v>
      </c>
      <c r="H430" s="8">
        <v>0</v>
      </c>
      <c r="I430" s="8">
        <f t="shared" si="41"/>
        <v>0</v>
      </c>
      <c r="J430" s="119"/>
      <c r="K430" s="119"/>
    </row>
    <row r="431" spans="1:12" ht="15" customHeight="1" outlineLevel="1" x14ac:dyDescent="0.25">
      <c r="A431" s="117" t="s">
        <v>888</v>
      </c>
      <c r="B431" s="118" t="s">
        <v>889</v>
      </c>
      <c r="C431" s="119">
        <v>2022</v>
      </c>
      <c r="D431" s="36" t="s">
        <v>8</v>
      </c>
      <c r="E431" s="8">
        <f t="shared" si="42"/>
        <v>6717.1717171717173</v>
      </c>
      <c r="F431" s="8">
        <f>SUM(F432:F436)</f>
        <v>6650</v>
      </c>
      <c r="G431" s="8">
        <v>0</v>
      </c>
      <c r="H431" s="8">
        <f>SUM(H432:H436)</f>
        <v>67.171717171717177</v>
      </c>
      <c r="I431" s="8">
        <f t="shared" si="41"/>
        <v>0</v>
      </c>
      <c r="J431" s="119" t="s">
        <v>890</v>
      </c>
      <c r="K431" s="119" t="s">
        <v>547</v>
      </c>
      <c r="L431" s="124" t="s">
        <v>871</v>
      </c>
    </row>
    <row r="432" spans="1:12" ht="15" customHeight="1" outlineLevel="1" x14ac:dyDescent="0.25">
      <c r="A432" s="117"/>
      <c r="B432" s="118"/>
      <c r="C432" s="119"/>
      <c r="D432" s="36">
        <v>2021</v>
      </c>
      <c r="E432" s="8">
        <f t="shared" si="42"/>
        <v>0</v>
      </c>
      <c r="F432" s="8">
        <v>0</v>
      </c>
      <c r="G432" s="8">
        <v>0</v>
      </c>
      <c r="H432" s="8">
        <v>0</v>
      </c>
      <c r="I432" s="8">
        <f t="shared" si="41"/>
        <v>0</v>
      </c>
      <c r="J432" s="119"/>
      <c r="K432" s="119"/>
      <c r="L432" s="124"/>
    </row>
    <row r="433" spans="1:12" ht="15" customHeight="1" outlineLevel="1" x14ac:dyDescent="0.25">
      <c r="A433" s="117"/>
      <c r="B433" s="118"/>
      <c r="C433" s="119"/>
      <c r="D433" s="36">
        <v>2022</v>
      </c>
      <c r="E433" s="8">
        <f t="shared" si="42"/>
        <v>6717.1717171717173</v>
      </c>
      <c r="F433" s="8">
        <v>6650</v>
      </c>
      <c r="G433" s="8">
        <v>0</v>
      </c>
      <c r="H433" s="8">
        <f>F433/99*1</f>
        <v>67.171717171717177</v>
      </c>
      <c r="I433" s="8">
        <f t="shared" si="41"/>
        <v>0</v>
      </c>
      <c r="J433" s="119"/>
      <c r="K433" s="119"/>
      <c r="L433" s="124"/>
    </row>
    <row r="434" spans="1:12" ht="15" customHeight="1" outlineLevel="1" x14ac:dyDescent="0.25">
      <c r="A434" s="117"/>
      <c r="B434" s="118"/>
      <c r="C434" s="119"/>
      <c r="D434" s="36">
        <v>2023</v>
      </c>
      <c r="E434" s="8">
        <f t="shared" si="42"/>
        <v>0</v>
      </c>
      <c r="F434" s="8">
        <v>0</v>
      </c>
      <c r="G434" s="8">
        <v>0</v>
      </c>
      <c r="H434" s="8">
        <v>0</v>
      </c>
      <c r="I434" s="8">
        <f t="shared" si="41"/>
        <v>0</v>
      </c>
      <c r="J434" s="119"/>
      <c r="K434" s="119"/>
      <c r="L434" s="124"/>
    </row>
    <row r="435" spans="1:12" ht="15" customHeight="1" outlineLevel="1" x14ac:dyDescent="0.25">
      <c r="A435" s="117"/>
      <c r="B435" s="118"/>
      <c r="C435" s="119"/>
      <c r="D435" s="36">
        <v>2024</v>
      </c>
      <c r="E435" s="8">
        <f t="shared" si="42"/>
        <v>0</v>
      </c>
      <c r="F435" s="8">
        <v>0</v>
      </c>
      <c r="G435" s="8">
        <v>0</v>
      </c>
      <c r="H435" s="8">
        <v>0</v>
      </c>
      <c r="I435" s="8">
        <f t="shared" si="41"/>
        <v>0</v>
      </c>
      <c r="J435" s="119"/>
      <c r="K435" s="119"/>
      <c r="L435" s="124"/>
    </row>
    <row r="436" spans="1:12" ht="15" customHeight="1" outlineLevel="1" x14ac:dyDescent="0.25">
      <c r="A436" s="117"/>
      <c r="B436" s="118"/>
      <c r="C436" s="119"/>
      <c r="D436" s="36">
        <v>2025</v>
      </c>
      <c r="E436" s="8">
        <f t="shared" si="42"/>
        <v>0</v>
      </c>
      <c r="F436" s="8">
        <v>0</v>
      </c>
      <c r="G436" s="8">
        <v>0</v>
      </c>
      <c r="H436" s="8">
        <v>0</v>
      </c>
      <c r="I436" s="8">
        <f t="shared" si="41"/>
        <v>0</v>
      </c>
      <c r="J436" s="119"/>
      <c r="K436" s="119"/>
      <c r="L436" s="124"/>
    </row>
    <row r="437" spans="1:12" ht="17.25" customHeight="1" outlineLevel="1" x14ac:dyDescent="0.25">
      <c r="A437" s="117" t="s">
        <v>891</v>
      </c>
      <c r="B437" s="118" t="s">
        <v>892</v>
      </c>
      <c r="C437" s="119">
        <v>2023</v>
      </c>
      <c r="D437" s="36" t="s">
        <v>8</v>
      </c>
      <c r="E437" s="8">
        <f t="shared" si="42"/>
        <v>0</v>
      </c>
      <c r="F437" s="8">
        <f>SUM(F438:F442)</f>
        <v>0</v>
      </c>
      <c r="G437" s="8">
        <v>0</v>
      </c>
      <c r="H437" s="8">
        <f>SUM(H438:H442)</f>
        <v>0</v>
      </c>
      <c r="I437" s="8">
        <f t="shared" si="41"/>
        <v>0</v>
      </c>
      <c r="J437" s="119" t="s">
        <v>1168</v>
      </c>
      <c r="K437" s="119" t="s">
        <v>907</v>
      </c>
    </row>
    <row r="438" spans="1:12" ht="17.25" customHeight="1" outlineLevel="1" x14ac:dyDescent="0.25">
      <c r="A438" s="117"/>
      <c r="B438" s="118"/>
      <c r="C438" s="119"/>
      <c r="D438" s="36">
        <v>2021</v>
      </c>
      <c r="E438" s="8">
        <f t="shared" si="42"/>
        <v>0</v>
      </c>
      <c r="F438" s="8">
        <v>0</v>
      </c>
      <c r="G438" s="8">
        <v>0</v>
      </c>
      <c r="H438" s="8">
        <v>0</v>
      </c>
      <c r="I438" s="8">
        <v>0</v>
      </c>
      <c r="J438" s="119"/>
      <c r="K438" s="119"/>
    </row>
    <row r="439" spans="1:12" ht="17.25" customHeight="1" outlineLevel="1" x14ac:dyDescent="0.25">
      <c r="A439" s="117"/>
      <c r="B439" s="118"/>
      <c r="C439" s="119"/>
      <c r="D439" s="36">
        <v>2022</v>
      </c>
      <c r="E439" s="8">
        <f t="shared" si="42"/>
        <v>0</v>
      </c>
      <c r="F439" s="8">
        <v>0</v>
      </c>
      <c r="G439" s="8">
        <v>0</v>
      </c>
      <c r="H439" s="8">
        <v>0</v>
      </c>
      <c r="I439" s="8">
        <v>0</v>
      </c>
      <c r="J439" s="119"/>
      <c r="K439" s="119"/>
    </row>
    <row r="440" spans="1:12" ht="17.25" customHeight="1" outlineLevel="1" x14ac:dyDescent="0.25">
      <c r="A440" s="117"/>
      <c r="B440" s="118"/>
      <c r="C440" s="119"/>
      <c r="D440" s="36">
        <v>2023</v>
      </c>
      <c r="E440" s="8">
        <f t="shared" si="42"/>
        <v>0</v>
      </c>
      <c r="F440" s="8">
        <v>0</v>
      </c>
      <c r="G440" s="8">
        <v>0</v>
      </c>
      <c r="H440" s="8">
        <v>0</v>
      </c>
      <c r="I440" s="8">
        <v>0</v>
      </c>
      <c r="J440" s="119"/>
      <c r="K440" s="119"/>
    </row>
    <row r="441" spans="1:12" ht="17.25" customHeight="1" outlineLevel="1" x14ac:dyDescent="0.25">
      <c r="A441" s="117"/>
      <c r="B441" s="118"/>
      <c r="C441" s="119"/>
      <c r="D441" s="36">
        <v>2024</v>
      </c>
      <c r="E441" s="8">
        <f t="shared" si="42"/>
        <v>0</v>
      </c>
      <c r="F441" s="8">
        <v>0</v>
      </c>
      <c r="G441" s="8">
        <v>0</v>
      </c>
      <c r="H441" s="8">
        <v>0</v>
      </c>
      <c r="I441" s="8">
        <v>0</v>
      </c>
      <c r="J441" s="119"/>
      <c r="K441" s="119"/>
    </row>
    <row r="442" spans="1:12" ht="17.25" customHeight="1" outlineLevel="1" x14ac:dyDescent="0.25">
      <c r="A442" s="117"/>
      <c r="B442" s="118"/>
      <c r="C442" s="119"/>
      <c r="D442" s="36">
        <v>2025</v>
      </c>
      <c r="E442" s="8">
        <f t="shared" si="42"/>
        <v>0</v>
      </c>
      <c r="F442" s="8">
        <v>0</v>
      </c>
      <c r="G442" s="8">
        <v>0</v>
      </c>
      <c r="H442" s="8">
        <v>0</v>
      </c>
      <c r="I442" s="8">
        <v>0</v>
      </c>
      <c r="J442" s="119"/>
      <c r="K442" s="119"/>
    </row>
    <row r="443" spans="1:12" ht="15" customHeight="1" outlineLevel="1" x14ac:dyDescent="0.25">
      <c r="A443" s="117" t="s">
        <v>894</v>
      </c>
      <c r="B443" s="118" t="s">
        <v>793</v>
      </c>
      <c r="C443" s="119">
        <v>2022</v>
      </c>
      <c r="D443" s="36" t="s">
        <v>8</v>
      </c>
      <c r="E443" s="8">
        <f t="shared" si="42"/>
        <v>0</v>
      </c>
      <c r="F443" s="8">
        <f>SUM(F444:F448)</f>
        <v>0</v>
      </c>
      <c r="G443" s="8">
        <f t="shared" si="40"/>
        <v>0</v>
      </c>
      <c r="H443" s="8">
        <f>SUM(H444:H448)</f>
        <v>0</v>
      </c>
      <c r="I443" s="8">
        <f t="shared" si="41"/>
        <v>0</v>
      </c>
      <c r="J443" s="119" t="s">
        <v>895</v>
      </c>
      <c r="K443" s="119" t="s">
        <v>547</v>
      </c>
      <c r="L443" s="124"/>
    </row>
    <row r="444" spans="1:12" ht="15" customHeight="1" outlineLevel="1" x14ac:dyDescent="0.25">
      <c r="A444" s="117"/>
      <c r="B444" s="118"/>
      <c r="C444" s="119"/>
      <c r="D444" s="36">
        <v>2021</v>
      </c>
      <c r="E444" s="8">
        <f t="shared" si="42"/>
        <v>0</v>
      </c>
      <c r="F444" s="8">
        <v>0</v>
      </c>
      <c r="G444" s="8">
        <v>0</v>
      </c>
      <c r="H444" s="8">
        <v>0</v>
      </c>
      <c r="I444" s="8">
        <v>0</v>
      </c>
      <c r="J444" s="119"/>
      <c r="K444" s="119"/>
      <c r="L444" s="124"/>
    </row>
    <row r="445" spans="1:12" ht="15" customHeight="1" outlineLevel="1" x14ac:dyDescent="0.25">
      <c r="A445" s="117"/>
      <c r="B445" s="118"/>
      <c r="C445" s="119"/>
      <c r="D445" s="36">
        <v>2022</v>
      </c>
      <c r="E445" s="8">
        <f t="shared" si="42"/>
        <v>0</v>
      </c>
      <c r="F445" s="8">
        <v>0</v>
      </c>
      <c r="G445" s="8">
        <v>0</v>
      </c>
      <c r="H445" s="8">
        <v>0</v>
      </c>
      <c r="I445" s="8">
        <v>0</v>
      </c>
      <c r="J445" s="119"/>
      <c r="K445" s="119"/>
      <c r="L445" s="124"/>
    </row>
    <row r="446" spans="1:12" ht="15" customHeight="1" outlineLevel="1" x14ac:dyDescent="0.25">
      <c r="A446" s="117"/>
      <c r="B446" s="118"/>
      <c r="C446" s="119"/>
      <c r="D446" s="36">
        <v>2023</v>
      </c>
      <c r="E446" s="8">
        <f t="shared" si="42"/>
        <v>0</v>
      </c>
      <c r="F446" s="8">
        <v>0</v>
      </c>
      <c r="G446" s="8">
        <v>0</v>
      </c>
      <c r="H446" s="8">
        <v>0</v>
      </c>
      <c r="I446" s="8">
        <v>0</v>
      </c>
      <c r="J446" s="119"/>
      <c r="K446" s="119"/>
      <c r="L446" s="124"/>
    </row>
    <row r="447" spans="1:12" ht="15" customHeight="1" outlineLevel="1" x14ac:dyDescent="0.25">
      <c r="A447" s="117"/>
      <c r="B447" s="118"/>
      <c r="C447" s="119"/>
      <c r="D447" s="36">
        <v>2024</v>
      </c>
      <c r="E447" s="8">
        <f t="shared" si="42"/>
        <v>0</v>
      </c>
      <c r="F447" s="8">
        <v>0</v>
      </c>
      <c r="G447" s="8">
        <v>0</v>
      </c>
      <c r="H447" s="8">
        <v>0</v>
      </c>
      <c r="I447" s="8">
        <v>0</v>
      </c>
      <c r="J447" s="119"/>
      <c r="K447" s="119"/>
      <c r="L447" s="124"/>
    </row>
    <row r="448" spans="1:12" ht="15" customHeight="1" outlineLevel="1" x14ac:dyDescent="0.25">
      <c r="A448" s="117"/>
      <c r="B448" s="118"/>
      <c r="C448" s="119"/>
      <c r="D448" s="36">
        <v>2025</v>
      </c>
      <c r="E448" s="8">
        <f t="shared" si="42"/>
        <v>0</v>
      </c>
      <c r="F448" s="8">
        <v>0</v>
      </c>
      <c r="G448" s="8">
        <v>0</v>
      </c>
      <c r="H448" s="8">
        <v>0</v>
      </c>
      <c r="I448" s="8">
        <v>0</v>
      </c>
      <c r="J448" s="119"/>
      <c r="K448" s="119"/>
      <c r="L448" s="124"/>
    </row>
    <row r="449" spans="1:12" ht="15" customHeight="1" outlineLevel="1" x14ac:dyDescent="0.25">
      <c r="A449" s="117" t="s">
        <v>904</v>
      </c>
      <c r="B449" s="118" t="s">
        <v>905</v>
      </c>
      <c r="C449" s="119" t="s">
        <v>1169</v>
      </c>
      <c r="D449" s="36" t="s">
        <v>8</v>
      </c>
      <c r="E449" s="8">
        <f t="shared" si="42"/>
        <v>66399.149999999994</v>
      </c>
      <c r="F449" s="8">
        <f>SUM(F450:F454)</f>
        <v>66399.149999999994</v>
      </c>
      <c r="G449" s="8">
        <f t="shared" si="40"/>
        <v>0</v>
      </c>
      <c r="H449" s="8">
        <f>SUM(H450:H454)</f>
        <v>0</v>
      </c>
      <c r="I449" s="8">
        <f t="shared" si="41"/>
        <v>0</v>
      </c>
      <c r="J449" s="119" t="s">
        <v>906</v>
      </c>
      <c r="K449" s="119" t="s">
        <v>907</v>
      </c>
    </row>
    <row r="450" spans="1:12" ht="15" customHeight="1" outlineLevel="1" x14ac:dyDescent="0.25">
      <c r="A450" s="117"/>
      <c r="B450" s="118"/>
      <c r="C450" s="119"/>
      <c r="D450" s="36">
        <v>2021</v>
      </c>
      <c r="E450" s="8">
        <f t="shared" si="42"/>
        <v>0</v>
      </c>
      <c r="F450" s="8">
        <v>0</v>
      </c>
      <c r="G450" s="8">
        <v>0</v>
      </c>
      <c r="H450" s="8">
        <v>0</v>
      </c>
      <c r="I450" s="8">
        <v>0</v>
      </c>
      <c r="J450" s="119"/>
      <c r="K450" s="119"/>
    </row>
    <row r="451" spans="1:12" ht="15" customHeight="1" outlineLevel="1" x14ac:dyDescent="0.25">
      <c r="A451" s="117"/>
      <c r="B451" s="118"/>
      <c r="C451" s="119"/>
      <c r="D451" s="36">
        <v>2022</v>
      </c>
      <c r="E451" s="8">
        <f t="shared" si="42"/>
        <v>66399.149999999994</v>
      </c>
      <c r="F451" s="8">
        <f>200000-21582.6-112018.25</f>
        <v>66399.149999999994</v>
      </c>
      <c r="G451" s="8">
        <v>0</v>
      </c>
      <c r="H451" s="8">
        <v>0</v>
      </c>
      <c r="I451" s="8">
        <v>0</v>
      </c>
      <c r="J451" s="119"/>
      <c r="K451" s="119"/>
    </row>
    <row r="452" spans="1:12" ht="15" customHeight="1" outlineLevel="1" x14ac:dyDescent="0.25">
      <c r="A452" s="117"/>
      <c r="B452" s="118"/>
      <c r="C452" s="119"/>
      <c r="D452" s="36">
        <v>2023</v>
      </c>
      <c r="E452" s="8">
        <f t="shared" si="42"/>
        <v>0</v>
      </c>
      <c r="F452" s="8">
        <v>0</v>
      </c>
      <c r="G452" s="8">
        <v>0</v>
      </c>
      <c r="H452" s="8">
        <v>0</v>
      </c>
      <c r="I452" s="8">
        <v>0</v>
      </c>
      <c r="J452" s="119"/>
      <c r="K452" s="119"/>
    </row>
    <row r="453" spans="1:12" ht="15" customHeight="1" outlineLevel="1" x14ac:dyDescent="0.25">
      <c r="A453" s="117"/>
      <c r="B453" s="118"/>
      <c r="C453" s="119"/>
      <c r="D453" s="36">
        <v>2024</v>
      </c>
      <c r="E453" s="8">
        <f t="shared" si="42"/>
        <v>0</v>
      </c>
      <c r="F453" s="8">
        <v>0</v>
      </c>
      <c r="G453" s="8">
        <v>0</v>
      </c>
      <c r="H453" s="8">
        <v>0</v>
      </c>
      <c r="I453" s="8">
        <v>0</v>
      </c>
      <c r="J453" s="119"/>
      <c r="K453" s="119"/>
    </row>
    <row r="454" spans="1:12" ht="15" customHeight="1" outlineLevel="1" x14ac:dyDescent="0.25">
      <c r="A454" s="117"/>
      <c r="B454" s="118"/>
      <c r="C454" s="119"/>
      <c r="D454" s="36">
        <v>2025</v>
      </c>
      <c r="E454" s="8">
        <f t="shared" si="42"/>
        <v>0</v>
      </c>
      <c r="F454" s="8">
        <v>0</v>
      </c>
      <c r="G454" s="8">
        <v>0</v>
      </c>
      <c r="H454" s="8">
        <v>0</v>
      </c>
      <c r="I454" s="8">
        <v>0</v>
      </c>
      <c r="J454" s="119"/>
      <c r="K454" s="119"/>
    </row>
    <row r="455" spans="1:12" ht="15" customHeight="1" outlineLevel="1" x14ac:dyDescent="0.25">
      <c r="A455" s="117" t="s">
        <v>909</v>
      </c>
      <c r="B455" s="118" t="s">
        <v>910</v>
      </c>
      <c r="C455" s="119">
        <v>2022</v>
      </c>
      <c r="D455" s="36" t="s">
        <v>8</v>
      </c>
      <c r="E455" s="8">
        <f t="shared" si="42"/>
        <v>0</v>
      </c>
      <c r="F455" s="8">
        <f t="shared" ref="F455:H467" si="43">SUM(F456:F460)</f>
        <v>0</v>
      </c>
      <c r="G455" s="8">
        <f t="shared" si="43"/>
        <v>0</v>
      </c>
      <c r="H455" s="8">
        <f t="shared" si="43"/>
        <v>0</v>
      </c>
      <c r="I455" s="8">
        <f t="shared" si="41"/>
        <v>0</v>
      </c>
      <c r="J455" s="119" t="s">
        <v>911</v>
      </c>
      <c r="K455" s="119" t="s">
        <v>547</v>
      </c>
    </row>
    <row r="456" spans="1:12" ht="15" customHeight="1" outlineLevel="1" x14ac:dyDescent="0.25">
      <c r="A456" s="117"/>
      <c r="B456" s="118"/>
      <c r="C456" s="119"/>
      <c r="D456" s="36">
        <v>2021</v>
      </c>
      <c r="E456" s="8">
        <f t="shared" si="42"/>
        <v>0</v>
      </c>
      <c r="F456" s="8">
        <v>0</v>
      </c>
      <c r="G456" s="8">
        <v>0</v>
      </c>
      <c r="H456" s="8">
        <v>0</v>
      </c>
      <c r="I456" s="8">
        <v>0</v>
      </c>
      <c r="J456" s="119"/>
      <c r="K456" s="119"/>
    </row>
    <row r="457" spans="1:12" ht="15" customHeight="1" outlineLevel="1" x14ac:dyDescent="0.25">
      <c r="A457" s="117"/>
      <c r="B457" s="118"/>
      <c r="C457" s="119"/>
      <c r="D457" s="36">
        <v>2022</v>
      </c>
      <c r="E457" s="8">
        <f t="shared" si="42"/>
        <v>0</v>
      </c>
      <c r="F457" s="8">
        <v>0</v>
      </c>
      <c r="G457" s="8">
        <v>0</v>
      </c>
      <c r="H457" s="8">
        <v>0</v>
      </c>
      <c r="I457" s="8">
        <v>0</v>
      </c>
      <c r="J457" s="119"/>
      <c r="K457" s="119"/>
    </row>
    <row r="458" spans="1:12" ht="15" customHeight="1" outlineLevel="1" x14ac:dyDescent="0.25">
      <c r="A458" s="117"/>
      <c r="B458" s="118"/>
      <c r="C458" s="119"/>
      <c r="D458" s="36">
        <v>2023</v>
      </c>
      <c r="E458" s="8">
        <f t="shared" si="42"/>
        <v>0</v>
      </c>
      <c r="F458" s="8">
        <v>0</v>
      </c>
      <c r="G458" s="8">
        <v>0</v>
      </c>
      <c r="H458" s="8">
        <v>0</v>
      </c>
      <c r="I458" s="8">
        <v>0</v>
      </c>
      <c r="J458" s="119"/>
      <c r="K458" s="119"/>
    </row>
    <row r="459" spans="1:12" ht="15" customHeight="1" outlineLevel="1" x14ac:dyDescent="0.25">
      <c r="A459" s="117"/>
      <c r="B459" s="118"/>
      <c r="C459" s="119"/>
      <c r="D459" s="36">
        <v>2024</v>
      </c>
      <c r="E459" s="8">
        <f t="shared" si="42"/>
        <v>0</v>
      </c>
      <c r="F459" s="8">
        <v>0</v>
      </c>
      <c r="G459" s="8">
        <v>0</v>
      </c>
      <c r="H459" s="8">
        <v>0</v>
      </c>
      <c r="I459" s="8">
        <v>0</v>
      </c>
      <c r="J459" s="119"/>
      <c r="K459" s="119"/>
    </row>
    <row r="460" spans="1:12" ht="15" customHeight="1" outlineLevel="1" x14ac:dyDescent="0.25">
      <c r="A460" s="117"/>
      <c r="B460" s="118"/>
      <c r="C460" s="119"/>
      <c r="D460" s="36">
        <v>2025</v>
      </c>
      <c r="E460" s="8">
        <f t="shared" si="42"/>
        <v>0</v>
      </c>
      <c r="F460" s="8">
        <v>0</v>
      </c>
      <c r="G460" s="8">
        <v>0</v>
      </c>
      <c r="H460" s="8">
        <v>0</v>
      </c>
      <c r="I460" s="8">
        <v>0</v>
      </c>
      <c r="J460" s="119"/>
      <c r="K460" s="119"/>
    </row>
    <row r="461" spans="1:12" ht="15" customHeight="1" outlineLevel="1" x14ac:dyDescent="0.25">
      <c r="A461" s="117" t="s">
        <v>1170</v>
      </c>
      <c r="B461" s="118" t="s">
        <v>1171</v>
      </c>
      <c r="C461" s="119">
        <v>2022</v>
      </c>
      <c r="D461" s="36" t="s">
        <v>8</v>
      </c>
      <c r="E461" s="8">
        <f t="shared" si="42"/>
        <v>6133.3262999999997</v>
      </c>
      <c r="F461" s="8">
        <f t="shared" si="43"/>
        <v>5826.66</v>
      </c>
      <c r="G461" s="8">
        <v>0</v>
      </c>
      <c r="H461" s="8">
        <f t="shared" si="43"/>
        <v>306.66629999999998</v>
      </c>
      <c r="I461" s="8">
        <f t="shared" si="41"/>
        <v>0</v>
      </c>
      <c r="J461" s="119" t="s">
        <v>1172</v>
      </c>
      <c r="K461" s="119" t="s">
        <v>547</v>
      </c>
      <c r="L461" s="124"/>
    </row>
    <row r="462" spans="1:12" outlineLevel="1" x14ac:dyDescent="0.25">
      <c r="A462" s="117"/>
      <c r="B462" s="118"/>
      <c r="C462" s="119"/>
      <c r="D462" s="36">
        <v>2021</v>
      </c>
      <c r="E462" s="8">
        <f t="shared" si="42"/>
        <v>0</v>
      </c>
      <c r="F462" s="8">
        <v>0</v>
      </c>
      <c r="G462" s="8">
        <v>0</v>
      </c>
      <c r="H462" s="8">
        <v>0</v>
      </c>
      <c r="I462" s="8">
        <v>0</v>
      </c>
      <c r="J462" s="119"/>
      <c r="K462" s="119"/>
      <c r="L462" s="124"/>
    </row>
    <row r="463" spans="1:12" outlineLevel="1" x14ac:dyDescent="0.25">
      <c r="A463" s="117"/>
      <c r="B463" s="118"/>
      <c r="C463" s="119"/>
      <c r="D463" s="36">
        <v>2022</v>
      </c>
      <c r="E463" s="8">
        <f t="shared" si="42"/>
        <v>6133.3262999999997</v>
      </c>
      <c r="F463" s="8">
        <v>5826.66</v>
      </c>
      <c r="G463" s="8">
        <v>0</v>
      </c>
      <c r="H463" s="8">
        <v>306.66629999999998</v>
      </c>
      <c r="I463" s="8">
        <v>0</v>
      </c>
      <c r="J463" s="119"/>
      <c r="K463" s="119"/>
      <c r="L463" s="124"/>
    </row>
    <row r="464" spans="1:12" outlineLevel="1" x14ac:dyDescent="0.25">
      <c r="A464" s="117"/>
      <c r="B464" s="118"/>
      <c r="C464" s="119"/>
      <c r="D464" s="36">
        <v>2023</v>
      </c>
      <c r="E464" s="8">
        <f t="shared" si="42"/>
        <v>0</v>
      </c>
      <c r="F464" s="8">
        <v>0</v>
      </c>
      <c r="G464" s="8">
        <v>0</v>
      </c>
      <c r="H464" s="8">
        <v>0</v>
      </c>
      <c r="I464" s="8">
        <v>0</v>
      </c>
      <c r="J464" s="119"/>
      <c r="K464" s="119"/>
    </row>
    <row r="465" spans="1:11" outlineLevel="1" x14ac:dyDescent="0.25">
      <c r="A465" s="117"/>
      <c r="B465" s="118"/>
      <c r="C465" s="119"/>
      <c r="D465" s="36">
        <v>2024</v>
      </c>
      <c r="E465" s="8">
        <f t="shared" si="42"/>
        <v>0</v>
      </c>
      <c r="F465" s="8">
        <v>0</v>
      </c>
      <c r="G465" s="8">
        <v>0</v>
      </c>
      <c r="H465" s="8">
        <v>0</v>
      </c>
      <c r="I465" s="8">
        <v>0</v>
      </c>
      <c r="J465" s="119"/>
      <c r="K465" s="119"/>
    </row>
    <row r="466" spans="1:11" outlineLevel="1" x14ac:dyDescent="0.25">
      <c r="A466" s="117"/>
      <c r="B466" s="118"/>
      <c r="C466" s="119"/>
      <c r="D466" s="36">
        <v>2025</v>
      </c>
      <c r="E466" s="8">
        <f t="shared" si="42"/>
        <v>0</v>
      </c>
      <c r="F466" s="8">
        <v>0</v>
      </c>
      <c r="G466" s="8">
        <v>0</v>
      </c>
      <c r="H466" s="8">
        <v>0</v>
      </c>
      <c r="I466" s="8">
        <v>0</v>
      </c>
      <c r="J466" s="119"/>
      <c r="K466" s="119"/>
    </row>
    <row r="467" spans="1:11" outlineLevel="1" x14ac:dyDescent="0.25">
      <c r="A467" s="117" t="s">
        <v>1173</v>
      </c>
      <c r="B467" s="118" t="s">
        <v>1174</v>
      </c>
      <c r="C467" s="119">
        <v>2023</v>
      </c>
      <c r="D467" s="36" t="s">
        <v>8</v>
      </c>
      <c r="E467" s="8">
        <f t="shared" si="42"/>
        <v>0</v>
      </c>
      <c r="F467" s="8">
        <f t="shared" si="43"/>
        <v>0</v>
      </c>
      <c r="G467" s="8">
        <f t="shared" si="43"/>
        <v>0</v>
      </c>
      <c r="H467" s="8">
        <f t="shared" si="43"/>
        <v>0</v>
      </c>
      <c r="I467" s="8">
        <f t="shared" si="41"/>
        <v>0</v>
      </c>
      <c r="J467" s="119" t="s">
        <v>1175</v>
      </c>
      <c r="K467" s="119" t="s">
        <v>484</v>
      </c>
    </row>
    <row r="468" spans="1:11" outlineLevel="1" x14ac:dyDescent="0.25">
      <c r="A468" s="117"/>
      <c r="B468" s="118"/>
      <c r="C468" s="119"/>
      <c r="D468" s="36">
        <v>2021</v>
      </c>
      <c r="E468" s="8">
        <f t="shared" si="42"/>
        <v>0</v>
      </c>
      <c r="F468" s="8">
        <v>0</v>
      </c>
      <c r="G468" s="8">
        <v>0</v>
      </c>
      <c r="H468" s="8">
        <v>0</v>
      </c>
      <c r="I468" s="8">
        <v>0</v>
      </c>
      <c r="J468" s="119"/>
      <c r="K468" s="119"/>
    </row>
    <row r="469" spans="1:11" outlineLevel="1" x14ac:dyDescent="0.25">
      <c r="A469" s="117"/>
      <c r="B469" s="118"/>
      <c r="C469" s="119"/>
      <c r="D469" s="36">
        <v>2022</v>
      </c>
      <c r="E469" s="8">
        <f t="shared" si="42"/>
        <v>0</v>
      </c>
      <c r="F469" s="8">
        <v>0</v>
      </c>
      <c r="G469" s="8">
        <v>0</v>
      </c>
      <c r="H469" s="8">
        <v>0</v>
      </c>
      <c r="I469" s="8">
        <v>0</v>
      </c>
      <c r="J469" s="119"/>
      <c r="K469" s="119"/>
    </row>
    <row r="470" spans="1:11" outlineLevel="1" x14ac:dyDescent="0.25">
      <c r="A470" s="117"/>
      <c r="B470" s="118"/>
      <c r="C470" s="119"/>
      <c r="D470" s="36">
        <v>2023</v>
      </c>
      <c r="E470" s="8">
        <f t="shared" si="42"/>
        <v>0</v>
      </c>
      <c r="F470" s="8">
        <v>0</v>
      </c>
      <c r="G470" s="8">
        <v>0</v>
      </c>
      <c r="H470" s="8">
        <v>0</v>
      </c>
      <c r="I470" s="8">
        <v>0</v>
      </c>
      <c r="J470" s="119"/>
      <c r="K470" s="119"/>
    </row>
    <row r="471" spans="1:11" outlineLevel="1" x14ac:dyDescent="0.25">
      <c r="A471" s="117"/>
      <c r="B471" s="118"/>
      <c r="C471" s="119"/>
      <c r="D471" s="36">
        <v>2024</v>
      </c>
      <c r="E471" s="8">
        <f t="shared" si="42"/>
        <v>0</v>
      </c>
      <c r="F471" s="8">
        <v>0</v>
      </c>
      <c r="G471" s="8">
        <v>0</v>
      </c>
      <c r="H471" s="8">
        <v>0</v>
      </c>
      <c r="I471" s="8">
        <v>0</v>
      </c>
      <c r="J471" s="119"/>
      <c r="K471" s="119"/>
    </row>
    <row r="472" spans="1:11" outlineLevel="1" x14ac:dyDescent="0.25">
      <c r="A472" s="117"/>
      <c r="B472" s="118"/>
      <c r="C472" s="119"/>
      <c r="D472" s="36">
        <v>2025</v>
      </c>
      <c r="E472" s="8">
        <f t="shared" si="42"/>
        <v>0</v>
      </c>
      <c r="F472" s="8">
        <v>0</v>
      </c>
      <c r="G472" s="8">
        <v>0</v>
      </c>
      <c r="H472" s="8">
        <v>0</v>
      </c>
      <c r="I472" s="8">
        <v>0</v>
      </c>
      <c r="J472" s="119"/>
      <c r="K472" s="119"/>
    </row>
    <row r="473" spans="1:11" ht="17.100000000000001" customHeight="1" outlineLevel="1" x14ac:dyDescent="0.25">
      <c r="A473" s="117" t="s">
        <v>104</v>
      </c>
      <c r="B473" s="118" t="s">
        <v>105</v>
      </c>
      <c r="C473" s="119" t="s">
        <v>14</v>
      </c>
      <c r="D473" s="36" t="s">
        <v>8</v>
      </c>
      <c r="E473" s="8">
        <f t="shared" si="42"/>
        <v>712855.56776182621</v>
      </c>
      <c r="F473" s="8">
        <f t="shared" ref="F473" si="44">SUM(F474:F478)</f>
        <v>677870.77304999996</v>
      </c>
      <c r="G473" s="8">
        <f>SUM(G474:G478)</f>
        <v>0</v>
      </c>
      <c r="H473" s="8">
        <f>SUM(H474:H478)</f>
        <v>34984.794711826275</v>
      </c>
      <c r="I473" s="8">
        <f t="shared" ref="I473:I475" si="45">SUM(I480:I484)</f>
        <v>0</v>
      </c>
      <c r="J473" s="119" t="s">
        <v>106</v>
      </c>
      <c r="K473" s="119" t="s">
        <v>1176</v>
      </c>
    </row>
    <row r="474" spans="1:11" ht="17.100000000000001" customHeight="1" outlineLevel="1" x14ac:dyDescent="0.25">
      <c r="A474" s="117"/>
      <c r="B474" s="118"/>
      <c r="C474" s="119"/>
      <c r="D474" s="36">
        <v>2021</v>
      </c>
      <c r="E474" s="8">
        <f t="shared" si="42"/>
        <v>195224.35576589749</v>
      </c>
      <c r="F474" s="8">
        <f>SUM(F480+F486+F492+F498+F504+F510+F516+F522+F528+F534+F540+F546+F552+F558+F564+F570+F576+F582+F588+F594+F600+F606+F612+F618+F624+F630+F636+F642+F648)</f>
        <v>179524.59972</v>
      </c>
      <c r="G474" s="8">
        <f t="shared" ref="G474:I478" si="46">SUM(G480+G486+G492+G498+G504+G510+G516+G522+G528+G534+G540+G546+G552+G558+G564+G570+G576+G582+G588+G594+G600+G606+G612+G618+G624+G630+G636+G642+G648)</f>
        <v>0</v>
      </c>
      <c r="H474" s="8">
        <f>SUM(H480+H486+H492+H498+H504+H510+H516+H522+H528+H534+H540+H546+H552+H558+H564+H570+H576+H582+H588+H594+H600+H606+H612+H618+H624+H630+H636+H642+H648)</f>
        <v>15699.756045897479</v>
      </c>
      <c r="I474" s="8">
        <f t="shared" si="45"/>
        <v>0</v>
      </c>
      <c r="J474" s="119"/>
      <c r="K474" s="119"/>
    </row>
    <row r="475" spans="1:11" ht="17.100000000000001" customHeight="1" outlineLevel="1" x14ac:dyDescent="0.25">
      <c r="A475" s="117"/>
      <c r="B475" s="118"/>
      <c r="C475" s="119"/>
      <c r="D475" s="36">
        <v>2022</v>
      </c>
      <c r="E475" s="8">
        <f t="shared" si="42"/>
        <v>369218.75899592874</v>
      </c>
      <c r="F475" s="8">
        <f>SUM(F481+F487+F493+F499+F505+F511+F517+F523+F529+F535+F541+F547+F553+F559+F565+F571+F577+F583+F589+F595+F601+F607+F613+F619+F625+F631+F637+F643+F649+F655+F661+F667+F673)</f>
        <v>355399.40232999995</v>
      </c>
      <c r="G475" s="8">
        <f t="shared" si="46"/>
        <v>0</v>
      </c>
      <c r="H475" s="8">
        <f>SUM(H481+H487+H493+H499+H505+H511+H517+H523+H529+H535+H541+H547+H553+H559+H565+H571+H577+H583+H589+H595+H601+H607+H613+H619+H625+H631+H637+H643+H649+H655+H661+H667+H673)</f>
        <v>13819.356665928797</v>
      </c>
      <c r="I475" s="8">
        <f t="shared" si="45"/>
        <v>0</v>
      </c>
      <c r="J475" s="119"/>
      <c r="K475" s="119"/>
    </row>
    <row r="476" spans="1:11" ht="17.100000000000001" customHeight="1" outlineLevel="1" x14ac:dyDescent="0.25">
      <c r="A476" s="117"/>
      <c r="B476" s="118"/>
      <c r="C476" s="119"/>
      <c r="D476" s="36">
        <v>2023</v>
      </c>
      <c r="E476" s="8">
        <f t="shared" si="42"/>
        <v>127612.45300000001</v>
      </c>
      <c r="F476" s="8">
        <f t="shared" ref="F476:F478" si="47">SUM(F482+F488+F494+F500+F506+F512+F518+F524+F530+F536+F542+F548+F554+F560+F566+F572+F578+F584+F590+F596+F602+F608+F614+F620+F626+F632+F638+F644+F650)</f>
        <v>122146.77100000001</v>
      </c>
      <c r="G476" s="8">
        <f t="shared" si="46"/>
        <v>0</v>
      </c>
      <c r="H476" s="8">
        <f t="shared" si="46"/>
        <v>5465.6819999999998</v>
      </c>
      <c r="I476" s="8">
        <f t="shared" si="46"/>
        <v>0</v>
      </c>
      <c r="J476" s="119"/>
      <c r="K476" s="119"/>
    </row>
    <row r="477" spans="1:11" outlineLevel="1" x14ac:dyDescent="0.25">
      <c r="A477" s="117"/>
      <c r="B477" s="118"/>
      <c r="C477" s="119"/>
      <c r="D477" s="36">
        <v>2024</v>
      </c>
      <c r="E477" s="8">
        <f t="shared" si="42"/>
        <v>10400</v>
      </c>
      <c r="F477" s="8">
        <f t="shared" si="47"/>
        <v>10400</v>
      </c>
      <c r="G477" s="8">
        <f t="shared" si="46"/>
        <v>0</v>
      </c>
      <c r="H477" s="8">
        <f t="shared" si="46"/>
        <v>0</v>
      </c>
      <c r="I477" s="8">
        <f t="shared" si="46"/>
        <v>0</v>
      </c>
      <c r="J477" s="119"/>
      <c r="K477" s="119"/>
    </row>
    <row r="478" spans="1:11" outlineLevel="1" x14ac:dyDescent="0.25">
      <c r="A478" s="117"/>
      <c r="B478" s="118"/>
      <c r="C478" s="119"/>
      <c r="D478" s="36">
        <v>2025</v>
      </c>
      <c r="E478" s="8">
        <f t="shared" si="42"/>
        <v>10400</v>
      </c>
      <c r="F478" s="8">
        <f t="shared" si="47"/>
        <v>10400</v>
      </c>
      <c r="G478" s="8">
        <f t="shared" si="46"/>
        <v>0</v>
      </c>
      <c r="H478" s="8">
        <f t="shared" si="46"/>
        <v>0</v>
      </c>
      <c r="I478" s="8">
        <f t="shared" si="46"/>
        <v>0</v>
      </c>
      <c r="J478" s="119"/>
      <c r="K478" s="119"/>
    </row>
    <row r="479" spans="1:11" ht="17.100000000000001" customHeight="1" outlineLevel="1" x14ac:dyDescent="0.25">
      <c r="A479" s="117" t="s">
        <v>108</v>
      </c>
      <c r="B479" s="118" t="s">
        <v>109</v>
      </c>
      <c r="C479" s="119" t="s">
        <v>19</v>
      </c>
      <c r="D479" s="36" t="s">
        <v>8</v>
      </c>
      <c r="E479" s="8">
        <f t="shared" si="42"/>
        <v>54408.455999999998</v>
      </c>
      <c r="F479" s="8">
        <f>SUM(F480:F484)</f>
        <v>50810.661</v>
      </c>
      <c r="G479" s="8">
        <f>SUM(G480:G484)</f>
        <v>0</v>
      </c>
      <c r="H479" s="8">
        <f>SUM(H480:H484)</f>
        <v>3597.7950000000001</v>
      </c>
      <c r="I479" s="8">
        <f>SUM(I480:I484)</f>
        <v>0</v>
      </c>
      <c r="J479" s="161" t="s">
        <v>1766</v>
      </c>
      <c r="K479" s="119" t="s">
        <v>566</v>
      </c>
    </row>
    <row r="480" spans="1:11" ht="17.100000000000001" customHeight="1" outlineLevel="1" x14ac:dyDescent="0.25">
      <c r="A480" s="117"/>
      <c r="B480" s="118"/>
      <c r="C480" s="119"/>
      <c r="D480" s="36">
        <v>2021</v>
      </c>
      <c r="E480" s="8">
        <f t="shared" si="42"/>
        <v>27027.03</v>
      </c>
      <c r="F480" s="8">
        <v>25000</v>
      </c>
      <c r="G480" s="8">
        <v>0</v>
      </c>
      <c r="H480" s="8">
        <v>2027.03</v>
      </c>
      <c r="I480" s="8">
        <v>0</v>
      </c>
      <c r="J480" s="162"/>
      <c r="K480" s="119"/>
    </row>
    <row r="481" spans="1:11" ht="17.100000000000001" customHeight="1" outlineLevel="1" x14ac:dyDescent="0.25">
      <c r="A481" s="117"/>
      <c r="B481" s="118"/>
      <c r="C481" s="119"/>
      <c r="D481" s="36">
        <v>2022</v>
      </c>
      <c r="E481" s="8">
        <f t="shared" si="42"/>
        <v>8067.7860000000001</v>
      </c>
      <c r="F481" s="8">
        <v>7462.7030000000004</v>
      </c>
      <c r="G481" s="8">
        <v>0</v>
      </c>
      <c r="H481" s="8">
        <v>605.08299999999997</v>
      </c>
      <c r="I481" s="8">
        <v>0</v>
      </c>
      <c r="J481" s="162"/>
      <c r="K481" s="119"/>
    </row>
    <row r="482" spans="1:11" ht="17.100000000000001" customHeight="1" outlineLevel="1" x14ac:dyDescent="0.25">
      <c r="A482" s="117"/>
      <c r="B482" s="118"/>
      <c r="C482" s="119"/>
      <c r="D482" s="36">
        <v>2023</v>
      </c>
      <c r="E482" s="8">
        <f t="shared" si="42"/>
        <v>19313.64</v>
      </c>
      <c r="F482" s="8">
        <f>24463.944-6115.986</f>
        <v>18347.957999999999</v>
      </c>
      <c r="G482" s="8">
        <v>0</v>
      </c>
      <c r="H482" s="8">
        <v>965.68200000000002</v>
      </c>
      <c r="I482" s="8">
        <v>0</v>
      </c>
      <c r="J482" s="162"/>
      <c r="K482" s="119"/>
    </row>
    <row r="483" spans="1:11" outlineLevel="1" x14ac:dyDescent="0.25">
      <c r="A483" s="117"/>
      <c r="B483" s="118"/>
      <c r="C483" s="119"/>
      <c r="D483" s="36">
        <v>2024</v>
      </c>
      <c r="E483" s="8">
        <f t="shared" si="42"/>
        <v>0</v>
      </c>
      <c r="F483" s="8">
        <v>0</v>
      </c>
      <c r="G483" s="8">
        <v>0</v>
      </c>
      <c r="H483" s="8">
        <v>0</v>
      </c>
      <c r="I483" s="8">
        <f>'962-ПП'!Q90</f>
        <v>0</v>
      </c>
      <c r="J483" s="162"/>
      <c r="K483" s="119"/>
    </row>
    <row r="484" spans="1:11" outlineLevel="1" x14ac:dyDescent="0.25">
      <c r="A484" s="117"/>
      <c r="B484" s="118"/>
      <c r="C484" s="119"/>
      <c r="D484" s="36">
        <v>2025</v>
      </c>
      <c r="E484" s="8">
        <f t="shared" si="42"/>
        <v>0</v>
      </c>
      <c r="F484" s="8">
        <v>0</v>
      </c>
      <c r="G484" s="8">
        <v>0</v>
      </c>
      <c r="H484" s="8">
        <v>0</v>
      </c>
      <c r="I484" s="8">
        <v>0</v>
      </c>
      <c r="J484" s="163"/>
      <c r="K484" s="119"/>
    </row>
    <row r="485" spans="1:11" ht="17.100000000000001" customHeight="1" outlineLevel="1" x14ac:dyDescent="0.25">
      <c r="A485" s="117" t="s">
        <v>112</v>
      </c>
      <c r="B485" s="118" t="s">
        <v>113</v>
      </c>
      <c r="C485" s="119" t="s">
        <v>14</v>
      </c>
      <c r="D485" s="36" t="s">
        <v>8</v>
      </c>
      <c r="E485" s="8">
        <f t="shared" si="42"/>
        <v>72406.856999999989</v>
      </c>
      <c r="F485" s="8">
        <f>SUM(F486:F490)</f>
        <v>72406.856999999989</v>
      </c>
      <c r="G485" s="8">
        <f>SUM(G486:G490)</f>
        <v>0</v>
      </c>
      <c r="H485" s="8">
        <f>SUM(H486:H490)</f>
        <v>0</v>
      </c>
      <c r="I485" s="8">
        <f>SUM(I486:I490)</f>
        <v>0</v>
      </c>
      <c r="J485" s="119" t="s">
        <v>567</v>
      </c>
      <c r="K485" s="119" t="s">
        <v>563</v>
      </c>
    </row>
    <row r="486" spans="1:11" ht="17.100000000000001" customHeight="1" outlineLevel="1" x14ac:dyDescent="0.25">
      <c r="A486" s="117"/>
      <c r="B486" s="118"/>
      <c r="C486" s="119"/>
      <c r="D486" s="36">
        <v>2021</v>
      </c>
      <c r="E486" s="8">
        <f t="shared" si="42"/>
        <v>6000</v>
      </c>
      <c r="F486" s="8">
        <v>6000</v>
      </c>
      <c r="G486" s="8">
        <v>0</v>
      </c>
      <c r="H486" s="8">
        <v>0</v>
      </c>
      <c r="I486" s="8">
        <v>0</v>
      </c>
      <c r="J486" s="119"/>
      <c r="K486" s="119"/>
    </row>
    <row r="487" spans="1:11" ht="17.100000000000001" customHeight="1" outlineLevel="1" x14ac:dyDescent="0.25">
      <c r="A487" s="117"/>
      <c r="B487" s="118"/>
      <c r="C487" s="119"/>
      <c r="D487" s="36">
        <v>2022</v>
      </c>
      <c r="E487" s="8">
        <f t="shared" si="42"/>
        <v>42479.56</v>
      </c>
      <c r="F487" s="8">
        <v>42479.56</v>
      </c>
      <c r="G487" s="8">
        <v>0</v>
      </c>
      <c r="H487" s="8">
        <v>0</v>
      </c>
      <c r="I487" s="8">
        <v>0</v>
      </c>
      <c r="J487" s="119"/>
      <c r="K487" s="119"/>
    </row>
    <row r="488" spans="1:11" ht="17.100000000000001" customHeight="1" outlineLevel="1" x14ac:dyDescent="0.25">
      <c r="A488" s="117"/>
      <c r="B488" s="118"/>
      <c r="C488" s="119"/>
      <c r="D488" s="36">
        <v>2023</v>
      </c>
      <c r="E488" s="8">
        <f t="shared" si="42"/>
        <v>11927.296999999999</v>
      </c>
      <c r="F488" s="11">
        <f>6000+5927.297</f>
        <v>11927.296999999999</v>
      </c>
      <c r="G488" s="8">
        <v>0</v>
      </c>
      <c r="H488" s="8">
        <v>0</v>
      </c>
      <c r="I488" s="8">
        <v>0</v>
      </c>
      <c r="J488" s="119"/>
      <c r="K488" s="119"/>
    </row>
    <row r="489" spans="1:11" outlineLevel="1" x14ac:dyDescent="0.25">
      <c r="A489" s="117"/>
      <c r="B489" s="118"/>
      <c r="C489" s="119"/>
      <c r="D489" s="36">
        <v>2024</v>
      </c>
      <c r="E489" s="8">
        <f t="shared" si="42"/>
        <v>6000</v>
      </c>
      <c r="F489" s="12">
        <f>6000</f>
        <v>6000</v>
      </c>
      <c r="G489" s="8">
        <v>0</v>
      </c>
      <c r="H489" s="8">
        <v>0</v>
      </c>
      <c r="I489" s="8">
        <v>0</v>
      </c>
      <c r="J489" s="119"/>
      <c r="K489" s="119"/>
    </row>
    <row r="490" spans="1:11" outlineLevel="1" x14ac:dyDescent="0.25">
      <c r="A490" s="117"/>
      <c r="B490" s="118"/>
      <c r="C490" s="119"/>
      <c r="D490" s="36">
        <v>2025</v>
      </c>
      <c r="E490" s="8">
        <f t="shared" si="42"/>
        <v>6000</v>
      </c>
      <c r="F490" s="8">
        <v>6000</v>
      </c>
      <c r="G490" s="8">
        <v>0</v>
      </c>
      <c r="H490" s="8">
        <v>0</v>
      </c>
      <c r="I490" s="8">
        <v>0</v>
      </c>
      <c r="J490" s="119"/>
      <c r="K490" s="119"/>
    </row>
    <row r="491" spans="1:11" ht="17.100000000000001" customHeight="1" outlineLevel="1" x14ac:dyDescent="0.25">
      <c r="A491" s="117" t="s">
        <v>568</v>
      </c>
      <c r="B491" s="118" t="s">
        <v>569</v>
      </c>
      <c r="C491" s="119" t="s">
        <v>124</v>
      </c>
      <c r="D491" s="36" t="s">
        <v>8</v>
      </c>
      <c r="E491" s="8">
        <f t="shared" si="42"/>
        <v>31683.69587</v>
      </c>
      <c r="F491" s="8">
        <f>SUM(F492:F496)</f>
        <v>31683.69587</v>
      </c>
      <c r="G491" s="8">
        <f>SUM(G492:G496)</f>
        <v>0</v>
      </c>
      <c r="H491" s="8">
        <f>SUM(H492:H496)</f>
        <v>0</v>
      </c>
      <c r="I491" s="8">
        <f>SUM(I492:I496)</f>
        <v>0</v>
      </c>
      <c r="J491" s="119" t="s">
        <v>570</v>
      </c>
      <c r="K491" s="119" t="s">
        <v>486</v>
      </c>
    </row>
    <row r="492" spans="1:11" ht="17.100000000000001" customHeight="1" outlineLevel="1" x14ac:dyDescent="0.25">
      <c r="A492" s="117"/>
      <c r="B492" s="118"/>
      <c r="C492" s="119"/>
      <c r="D492" s="36">
        <v>2021</v>
      </c>
      <c r="E492" s="8">
        <f t="shared" si="42"/>
        <v>3963.1770000000001</v>
      </c>
      <c r="F492" s="8">
        <f>3963177/1000</f>
        <v>3963.1770000000001</v>
      </c>
      <c r="G492" s="8">
        <v>0</v>
      </c>
      <c r="H492" s="8">
        <v>0</v>
      </c>
      <c r="I492" s="8">
        <v>0</v>
      </c>
      <c r="J492" s="119"/>
      <c r="K492" s="119"/>
    </row>
    <row r="493" spans="1:11" ht="17.100000000000001" customHeight="1" outlineLevel="1" x14ac:dyDescent="0.25">
      <c r="A493" s="117"/>
      <c r="B493" s="118"/>
      <c r="C493" s="119"/>
      <c r="D493" s="36">
        <v>2022</v>
      </c>
      <c r="E493" s="8">
        <f t="shared" si="42"/>
        <v>25913.068869999999</v>
      </c>
      <c r="F493" s="8">
        <f>32144.3+6312.158-13089.787+546.39787</f>
        <v>25913.068869999999</v>
      </c>
      <c r="G493" s="8">
        <v>0</v>
      </c>
      <c r="H493" s="8">
        <v>0</v>
      </c>
      <c r="I493" s="8">
        <v>0</v>
      </c>
      <c r="J493" s="119"/>
      <c r="K493" s="119"/>
    </row>
    <row r="494" spans="1:11" ht="17.100000000000001" customHeight="1" outlineLevel="1" x14ac:dyDescent="0.25">
      <c r="A494" s="117"/>
      <c r="B494" s="118"/>
      <c r="C494" s="119"/>
      <c r="D494" s="36">
        <v>2023</v>
      </c>
      <c r="E494" s="8">
        <f t="shared" ref="E494:E557" si="48">SUM(F494:I494)</f>
        <v>1807.45</v>
      </c>
      <c r="F494" s="11">
        <v>1807.45</v>
      </c>
      <c r="G494" s="8">
        <v>0</v>
      </c>
      <c r="H494" s="8">
        <v>0</v>
      </c>
      <c r="I494" s="8">
        <v>0</v>
      </c>
      <c r="J494" s="119"/>
      <c r="K494" s="119"/>
    </row>
    <row r="495" spans="1:11" outlineLevel="1" x14ac:dyDescent="0.25">
      <c r="A495" s="117"/>
      <c r="B495" s="118"/>
      <c r="C495" s="119"/>
      <c r="D495" s="36">
        <v>2024</v>
      </c>
      <c r="E495" s="8">
        <f t="shared" si="48"/>
        <v>0</v>
      </c>
      <c r="F495" s="8">
        <v>0</v>
      </c>
      <c r="G495" s="8">
        <v>0</v>
      </c>
      <c r="H495" s="8">
        <v>0</v>
      </c>
      <c r="I495" s="8">
        <v>0</v>
      </c>
      <c r="J495" s="119"/>
      <c r="K495" s="119"/>
    </row>
    <row r="496" spans="1:11" outlineLevel="1" x14ac:dyDescent="0.25">
      <c r="A496" s="117"/>
      <c r="B496" s="118"/>
      <c r="C496" s="119"/>
      <c r="D496" s="36">
        <v>2025</v>
      </c>
      <c r="E496" s="8">
        <f t="shared" si="48"/>
        <v>0</v>
      </c>
      <c r="F496" s="8">
        <v>0</v>
      </c>
      <c r="G496" s="8">
        <v>0</v>
      </c>
      <c r="H496" s="8">
        <v>0</v>
      </c>
      <c r="I496" s="8">
        <v>0</v>
      </c>
      <c r="J496" s="119"/>
      <c r="K496" s="119"/>
    </row>
    <row r="497" spans="1:11" ht="17.100000000000001" customHeight="1" outlineLevel="1" x14ac:dyDescent="0.25">
      <c r="A497" s="117" t="s">
        <v>571</v>
      </c>
      <c r="B497" s="118" t="s">
        <v>572</v>
      </c>
      <c r="C497" s="119">
        <v>2021</v>
      </c>
      <c r="D497" s="36" t="s">
        <v>8</v>
      </c>
      <c r="E497" s="8">
        <f t="shared" si="48"/>
        <v>22778.260870000002</v>
      </c>
      <c r="F497" s="8">
        <f>SUM(F498:F502)</f>
        <v>18860.400000000001</v>
      </c>
      <c r="G497" s="8">
        <f>SUM(G498:G502)</f>
        <v>0</v>
      </c>
      <c r="H497" s="8">
        <f>SUM(H498:H502)</f>
        <v>3917.86087</v>
      </c>
      <c r="I497" s="8">
        <f>SUM(I498:I502)</f>
        <v>0</v>
      </c>
      <c r="J497" s="119" t="s">
        <v>573</v>
      </c>
      <c r="K497" s="119" t="s">
        <v>566</v>
      </c>
    </row>
    <row r="498" spans="1:11" ht="17.100000000000001" customHeight="1" outlineLevel="1" x14ac:dyDescent="0.25">
      <c r="A498" s="117"/>
      <c r="B498" s="118"/>
      <c r="C498" s="119"/>
      <c r="D498" s="36">
        <v>2021</v>
      </c>
      <c r="E498" s="8">
        <f t="shared" si="48"/>
        <v>22778.260870000002</v>
      </c>
      <c r="F498" s="8">
        <v>18860.400000000001</v>
      </c>
      <c r="G498" s="8">
        <v>0</v>
      </c>
      <c r="H498" s="8">
        <v>3917.86087</v>
      </c>
      <c r="I498" s="8">
        <v>0</v>
      </c>
      <c r="J498" s="119"/>
      <c r="K498" s="119"/>
    </row>
    <row r="499" spans="1:11" ht="17.100000000000001" customHeight="1" outlineLevel="1" x14ac:dyDescent="0.25">
      <c r="A499" s="117"/>
      <c r="B499" s="118"/>
      <c r="C499" s="119"/>
      <c r="D499" s="36">
        <v>2022</v>
      </c>
      <c r="E499" s="8">
        <v>0</v>
      </c>
      <c r="F499" s="8">
        <v>0</v>
      </c>
      <c r="G499" s="8">
        <v>0</v>
      </c>
      <c r="H499" s="8">
        <v>0</v>
      </c>
      <c r="I499" s="8">
        <v>0</v>
      </c>
      <c r="J499" s="119"/>
      <c r="K499" s="119"/>
    </row>
    <row r="500" spans="1:11" ht="17.100000000000001" customHeight="1" outlineLevel="1" x14ac:dyDescent="0.25">
      <c r="A500" s="117"/>
      <c r="B500" s="118"/>
      <c r="C500" s="119"/>
      <c r="D500" s="36">
        <v>2023</v>
      </c>
      <c r="E500" s="8">
        <v>0</v>
      </c>
      <c r="F500" s="8">
        <v>0</v>
      </c>
      <c r="G500" s="8">
        <v>0</v>
      </c>
      <c r="H500" s="8">
        <v>0</v>
      </c>
      <c r="I500" s="8">
        <v>0</v>
      </c>
      <c r="J500" s="119"/>
      <c r="K500" s="119"/>
    </row>
    <row r="501" spans="1:11" outlineLevel="1" x14ac:dyDescent="0.25">
      <c r="A501" s="117"/>
      <c r="B501" s="118"/>
      <c r="C501" s="119"/>
      <c r="D501" s="36">
        <v>2024</v>
      </c>
      <c r="E501" s="8">
        <v>0</v>
      </c>
      <c r="F501" s="8">
        <v>0</v>
      </c>
      <c r="G501" s="8">
        <v>0</v>
      </c>
      <c r="H501" s="8">
        <v>0</v>
      </c>
      <c r="I501" s="8">
        <v>0</v>
      </c>
      <c r="J501" s="119"/>
      <c r="K501" s="119"/>
    </row>
    <row r="502" spans="1:11" outlineLevel="1" x14ac:dyDescent="0.25">
      <c r="A502" s="117"/>
      <c r="B502" s="118"/>
      <c r="C502" s="119"/>
      <c r="D502" s="36">
        <v>2025</v>
      </c>
      <c r="E502" s="8">
        <v>0</v>
      </c>
      <c r="F502" s="8">
        <v>0</v>
      </c>
      <c r="G502" s="8">
        <v>0</v>
      </c>
      <c r="H502" s="8">
        <v>0</v>
      </c>
      <c r="I502" s="8">
        <v>0</v>
      </c>
      <c r="J502" s="119"/>
      <c r="K502" s="119"/>
    </row>
    <row r="503" spans="1:11" ht="17.100000000000001" customHeight="1" outlineLevel="1" x14ac:dyDescent="0.25">
      <c r="A503" s="117" t="s">
        <v>574</v>
      </c>
      <c r="B503" s="118" t="s">
        <v>575</v>
      </c>
      <c r="C503" s="119">
        <v>2021</v>
      </c>
      <c r="D503" s="36" t="s">
        <v>8</v>
      </c>
      <c r="E503" s="8">
        <f t="shared" si="48"/>
        <v>13210.697336842104</v>
      </c>
      <c r="F503" s="8">
        <f>SUM(F504:F508)</f>
        <v>12550.162469999999</v>
      </c>
      <c r="G503" s="8">
        <f>SUM(G504:G508)</f>
        <v>0</v>
      </c>
      <c r="H503" s="8">
        <f>SUM(H504:H508)</f>
        <v>660.5348668421052</v>
      </c>
      <c r="I503" s="8">
        <f>SUM(I504:I508)</f>
        <v>0</v>
      </c>
      <c r="J503" s="119" t="s">
        <v>576</v>
      </c>
      <c r="K503" s="119" t="s">
        <v>547</v>
      </c>
    </row>
    <row r="504" spans="1:11" ht="17.100000000000001" customHeight="1" outlineLevel="1" x14ac:dyDescent="0.25">
      <c r="A504" s="117"/>
      <c r="B504" s="118"/>
      <c r="C504" s="119"/>
      <c r="D504" s="36">
        <v>2021</v>
      </c>
      <c r="E504" s="8">
        <f t="shared" si="48"/>
        <v>13210.697336842104</v>
      </c>
      <c r="F504" s="8">
        <v>12550.162469999999</v>
      </c>
      <c r="G504" s="8">
        <v>0</v>
      </c>
      <c r="H504" s="8">
        <f>F504/95*5</f>
        <v>660.5348668421052</v>
      </c>
      <c r="I504" s="8">
        <v>0</v>
      </c>
      <c r="J504" s="119"/>
      <c r="K504" s="119"/>
    </row>
    <row r="505" spans="1:11" ht="17.100000000000001" customHeight="1" outlineLevel="1" x14ac:dyDescent="0.25">
      <c r="A505" s="117"/>
      <c r="B505" s="118"/>
      <c r="C505" s="119"/>
      <c r="D505" s="36">
        <v>2022</v>
      </c>
      <c r="E505" s="8">
        <v>0</v>
      </c>
      <c r="F505" s="8">
        <v>0</v>
      </c>
      <c r="G505" s="8">
        <v>0</v>
      </c>
      <c r="H505" s="8">
        <v>0</v>
      </c>
      <c r="I505" s="8">
        <v>0</v>
      </c>
      <c r="J505" s="119"/>
      <c r="K505" s="119"/>
    </row>
    <row r="506" spans="1:11" ht="17.100000000000001" customHeight="1" outlineLevel="1" x14ac:dyDescent="0.25">
      <c r="A506" s="117"/>
      <c r="B506" s="118"/>
      <c r="C506" s="119"/>
      <c r="D506" s="36">
        <v>2023</v>
      </c>
      <c r="E506" s="8">
        <v>0</v>
      </c>
      <c r="F506" s="8">
        <v>0</v>
      </c>
      <c r="G506" s="8">
        <v>0</v>
      </c>
      <c r="H506" s="8">
        <v>0</v>
      </c>
      <c r="I506" s="8">
        <v>0</v>
      </c>
      <c r="J506" s="119"/>
      <c r="K506" s="119"/>
    </row>
    <row r="507" spans="1:11" outlineLevel="1" x14ac:dyDescent="0.25">
      <c r="A507" s="117"/>
      <c r="B507" s="118"/>
      <c r="C507" s="119"/>
      <c r="D507" s="36">
        <v>2024</v>
      </c>
      <c r="E507" s="8">
        <v>0</v>
      </c>
      <c r="F507" s="8">
        <v>0</v>
      </c>
      <c r="G507" s="8">
        <v>0</v>
      </c>
      <c r="H507" s="8">
        <v>0</v>
      </c>
      <c r="I507" s="8">
        <v>0</v>
      </c>
      <c r="J507" s="119"/>
      <c r="K507" s="119"/>
    </row>
    <row r="508" spans="1:11" outlineLevel="1" x14ac:dyDescent="0.25">
      <c r="A508" s="117"/>
      <c r="B508" s="118"/>
      <c r="C508" s="119"/>
      <c r="D508" s="36">
        <v>2025</v>
      </c>
      <c r="E508" s="8">
        <v>0</v>
      </c>
      <c r="F508" s="8">
        <v>0</v>
      </c>
      <c r="G508" s="8">
        <v>0</v>
      </c>
      <c r="H508" s="8">
        <v>0</v>
      </c>
      <c r="I508" s="8">
        <v>0</v>
      </c>
      <c r="J508" s="119"/>
      <c r="K508" s="119"/>
    </row>
    <row r="509" spans="1:11" ht="17.100000000000001" customHeight="1" outlineLevel="1" x14ac:dyDescent="0.25">
      <c r="A509" s="117" t="s">
        <v>577</v>
      </c>
      <c r="B509" s="118" t="s">
        <v>578</v>
      </c>
      <c r="C509" s="119">
        <v>2021</v>
      </c>
      <c r="D509" s="36" t="s">
        <v>8</v>
      </c>
      <c r="E509" s="8">
        <f t="shared" si="48"/>
        <v>7451.59</v>
      </c>
      <c r="F509" s="8">
        <f>SUM(F510:F514)</f>
        <v>7079.0105000000003</v>
      </c>
      <c r="G509" s="8">
        <f>SUM(G510:G514)</f>
        <v>0</v>
      </c>
      <c r="H509" s="8">
        <f>SUM(H510:H514)</f>
        <v>372.5795</v>
      </c>
      <c r="I509" s="8">
        <f>SUM(I510:I514)</f>
        <v>0</v>
      </c>
      <c r="J509" s="119" t="s">
        <v>579</v>
      </c>
      <c r="K509" s="119" t="s">
        <v>547</v>
      </c>
    </row>
    <row r="510" spans="1:11" ht="17.100000000000001" customHeight="1" outlineLevel="1" x14ac:dyDescent="0.25">
      <c r="A510" s="117"/>
      <c r="B510" s="118"/>
      <c r="C510" s="119"/>
      <c r="D510" s="36">
        <v>2021</v>
      </c>
      <c r="E510" s="8">
        <f t="shared" si="48"/>
        <v>7451.59</v>
      </c>
      <c r="F510" s="8">
        <v>7079.0105000000003</v>
      </c>
      <c r="G510" s="8">
        <v>0</v>
      </c>
      <c r="H510" s="8">
        <f>F510/95*5</f>
        <v>372.5795</v>
      </c>
      <c r="I510" s="8">
        <v>0</v>
      </c>
      <c r="J510" s="119"/>
      <c r="K510" s="119"/>
    </row>
    <row r="511" spans="1:11" ht="17.100000000000001" customHeight="1" outlineLevel="1" x14ac:dyDescent="0.25">
      <c r="A511" s="117"/>
      <c r="B511" s="118"/>
      <c r="C511" s="119"/>
      <c r="D511" s="36">
        <v>2022</v>
      </c>
      <c r="E511" s="8">
        <v>0</v>
      </c>
      <c r="F511" s="8">
        <v>0</v>
      </c>
      <c r="G511" s="8">
        <v>0</v>
      </c>
      <c r="H511" s="8">
        <v>0</v>
      </c>
      <c r="I511" s="8">
        <v>0</v>
      </c>
      <c r="J511" s="119"/>
      <c r="K511" s="119"/>
    </row>
    <row r="512" spans="1:11" ht="17.100000000000001" customHeight="1" outlineLevel="1" x14ac:dyDescent="0.25">
      <c r="A512" s="117"/>
      <c r="B512" s="118"/>
      <c r="C512" s="119"/>
      <c r="D512" s="36">
        <v>2023</v>
      </c>
      <c r="E512" s="8">
        <v>0</v>
      </c>
      <c r="F512" s="8">
        <v>0</v>
      </c>
      <c r="G512" s="8">
        <v>0</v>
      </c>
      <c r="H512" s="8">
        <v>0</v>
      </c>
      <c r="I512" s="8">
        <v>0</v>
      </c>
      <c r="J512" s="119"/>
      <c r="K512" s="119"/>
    </row>
    <row r="513" spans="1:11" outlineLevel="1" x14ac:dyDescent="0.25">
      <c r="A513" s="117"/>
      <c r="B513" s="118"/>
      <c r="C513" s="119"/>
      <c r="D513" s="36">
        <v>2024</v>
      </c>
      <c r="E513" s="8">
        <v>0</v>
      </c>
      <c r="F513" s="8">
        <v>0</v>
      </c>
      <c r="G513" s="8">
        <v>0</v>
      </c>
      <c r="H513" s="8">
        <v>0</v>
      </c>
      <c r="I513" s="8">
        <v>0</v>
      </c>
      <c r="J513" s="119"/>
      <c r="K513" s="119"/>
    </row>
    <row r="514" spans="1:11" outlineLevel="1" x14ac:dyDescent="0.25">
      <c r="A514" s="117"/>
      <c r="B514" s="118"/>
      <c r="C514" s="119"/>
      <c r="D514" s="36">
        <v>2025</v>
      </c>
      <c r="E514" s="8">
        <v>0</v>
      </c>
      <c r="F514" s="8">
        <v>0</v>
      </c>
      <c r="G514" s="8">
        <v>0</v>
      </c>
      <c r="H514" s="8">
        <v>0</v>
      </c>
      <c r="I514" s="8">
        <v>0</v>
      </c>
      <c r="J514" s="119"/>
      <c r="K514" s="119"/>
    </row>
    <row r="515" spans="1:11" ht="17.100000000000001" customHeight="1" outlineLevel="1" x14ac:dyDescent="0.25">
      <c r="A515" s="117" t="s">
        <v>580</v>
      </c>
      <c r="B515" s="118" t="s">
        <v>416</v>
      </c>
      <c r="C515" s="119">
        <v>2021</v>
      </c>
      <c r="D515" s="36" t="s">
        <v>8</v>
      </c>
      <c r="E515" s="8">
        <f t="shared" si="48"/>
        <v>50013.516600000003</v>
      </c>
      <c r="F515" s="8">
        <f>SUM(F516:F520)</f>
        <v>47512.840770000003</v>
      </c>
      <c r="G515" s="8">
        <f>SUM(G516:G520)</f>
        <v>0</v>
      </c>
      <c r="H515" s="8">
        <f>SUM(H516:H520)</f>
        <v>2500.6758300000001</v>
      </c>
      <c r="I515" s="8">
        <f>SUM(I516:I520)</f>
        <v>0</v>
      </c>
      <c r="J515" s="119" t="s">
        <v>581</v>
      </c>
      <c r="K515" s="119" t="s">
        <v>547</v>
      </c>
    </row>
    <row r="516" spans="1:11" ht="17.100000000000001" customHeight="1" outlineLevel="1" x14ac:dyDescent="0.25">
      <c r="A516" s="117"/>
      <c r="B516" s="118"/>
      <c r="C516" s="119"/>
      <c r="D516" s="36">
        <v>2021</v>
      </c>
      <c r="E516" s="8">
        <f t="shared" si="48"/>
        <v>50013.516600000003</v>
      </c>
      <c r="F516" s="8">
        <v>47512.840770000003</v>
      </c>
      <c r="G516" s="8">
        <v>0</v>
      </c>
      <c r="H516" s="8">
        <f>F516/95*5</f>
        <v>2500.6758300000001</v>
      </c>
      <c r="I516" s="8">
        <v>0</v>
      </c>
      <c r="J516" s="119"/>
      <c r="K516" s="119"/>
    </row>
    <row r="517" spans="1:11" ht="17.100000000000001" customHeight="1" outlineLevel="1" x14ac:dyDescent="0.25">
      <c r="A517" s="117"/>
      <c r="B517" s="118"/>
      <c r="C517" s="119"/>
      <c r="D517" s="36">
        <v>2022</v>
      </c>
      <c r="E517" s="8">
        <v>0</v>
      </c>
      <c r="F517" s="8">
        <v>0</v>
      </c>
      <c r="G517" s="8">
        <v>0</v>
      </c>
      <c r="H517" s="8">
        <v>0</v>
      </c>
      <c r="I517" s="8">
        <v>0</v>
      </c>
      <c r="J517" s="119"/>
      <c r="K517" s="119"/>
    </row>
    <row r="518" spans="1:11" ht="17.100000000000001" customHeight="1" outlineLevel="1" x14ac:dyDescent="0.25">
      <c r="A518" s="117"/>
      <c r="B518" s="118"/>
      <c r="C518" s="119"/>
      <c r="D518" s="36">
        <v>2023</v>
      </c>
      <c r="E518" s="8">
        <v>0</v>
      </c>
      <c r="F518" s="8">
        <v>0</v>
      </c>
      <c r="G518" s="8">
        <v>0</v>
      </c>
      <c r="H518" s="8">
        <v>0</v>
      </c>
      <c r="I518" s="8">
        <v>0</v>
      </c>
      <c r="J518" s="119"/>
      <c r="K518" s="119"/>
    </row>
    <row r="519" spans="1:11" outlineLevel="1" x14ac:dyDescent="0.25">
      <c r="A519" s="117"/>
      <c r="B519" s="118"/>
      <c r="C519" s="119"/>
      <c r="D519" s="36">
        <v>2024</v>
      </c>
      <c r="E519" s="8">
        <v>0</v>
      </c>
      <c r="F519" s="8">
        <v>0</v>
      </c>
      <c r="G519" s="8">
        <v>0</v>
      </c>
      <c r="H519" s="8">
        <v>0</v>
      </c>
      <c r="I519" s="8">
        <v>0</v>
      </c>
      <c r="J519" s="119"/>
      <c r="K519" s="119"/>
    </row>
    <row r="520" spans="1:11" ht="20.25" customHeight="1" outlineLevel="1" x14ac:dyDescent="0.25">
      <c r="A520" s="117"/>
      <c r="B520" s="118"/>
      <c r="C520" s="119"/>
      <c r="D520" s="36">
        <v>2025</v>
      </c>
      <c r="E520" s="8">
        <v>0</v>
      </c>
      <c r="F520" s="8">
        <v>0</v>
      </c>
      <c r="G520" s="8">
        <v>0</v>
      </c>
      <c r="H520" s="8">
        <v>0</v>
      </c>
      <c r="I520" s="8">
        <v>0</v>
      </c>
      <c r="J520" s="119"/>
      <c r="K520" s="119"/>
    </row>
    <row r="521" spans="1:11" ht="16.5" customHeight="1" outlineLevel="1" x14ac:dyDescent="0.25">
      <c r="A521" s="117" t="s">
        <v>582</v>
      </c>
      <c r="B521" s="118" t="s">
        <v>419</v>
      </c>
      <c r="C521" s="119">
        <v>2021</v>
      </c>
      <c r="D521" s="36" t="s">
        <v>8</v>
      </c>
      <c r="E521" s="8">
        <f t="shared" si="48"/>
        <v>9928.3460643185299</v>
      </c>
      <c r="F521" s="8">
        <f>SUM(F522:F526)</f>
        <v>6483.2099799999996</v>
      </c>
      <c r="G521" s="8">
        <f>SUM(G522:G526)</f>
        <v>0</v>
      </c>
      <c r="H521" s="8">
        <f>SUM(H522:H526)</f>
        <v>3445.1360843185298</v>
      </c>
      <c r="I521" s="8">
        <f>SUM(I522:I526)</f>
        <v>0</v>
      </c>
      <c r="J521" s="119" t="s">
        <v>583</v>
      </c>
      <c r="K521" s="119" t="s">
        <v>547</v>
      </c>
    </row>
    <row r="522" spans="1:11" ht="21.75" customHeight="1" outlineLevel="1" x14ac:dyDescent="0.25">
      <c r="A522" s="117"/>
      <c r="B522" s="118"/>
      <c r="C522" s="119"/>
      <c r="D522" s="36">
        <v>2021</v>
      </c>
      <c r="E522" s="8">
        <f t="shared" si="48"/>
        <v>9928.3460643185299</v>
      </c>
      <c r="F522" s="8">
        <v>6483.2099799999996</v>
      </c>
      <c r="G522" s="8">
        <v>0</v>
      </c>
      <c r="H522" s="8">
        <f>F522/65.3*34.7</f>
        <v>3445.1360843185298</v>
      </c>
      <c r="I522" s="8">
        <v>0</v>
      </c>
      <c r="J522" s="119"/>
      <c r="K522" s="119"/>
    </row>
    <row r="523" spans="1:11" ht="26.25" customHeight="1" outlineLevel="1" x14ac:dyDescent="0.25">
      <c r="A523" s="117"/>
      <c r="B523" s="118"/>
      <c r="C523" s="119"/>
      <c r="D523" s="36">
        <v>2022</v>
      </c>
      <c r="E523" s="8">
        <v>0</v>
      </c>
      <c r="F523" s="8">
        <v>0</v>
      </c>
      <c r="G523" s="8">
        <v>0</v>
      </c>
      <c r="H523" s="8">
        <v>0</v>
      </c>
      <c r="I523" s="8">
        <v>0</v>
      </c>
      <c r="J523" s="119"/>
      <c r="K523" s="119"/>
    </row>
    <row r="524" spans="1:11" ht="20.25" customHeight="1" outlineLevel="1" x14ac:dyDescent="0.25">
      <c r="A524" s="117"/>
      <c r="B524" s="118"/>
      <c r="C524" s="119"/>
      <c r="D524" s="36">
        <v>2023</v>
      </c>
      <c r="E524" s="8">
        <v>0</v>
      </c>
      <c r="F524" s="8">
        <v>0</v>
      </c>
      <c r="G524" s="8">
        <v>0</v>
      </c>
      <c r="H524" s="8">
        <v>0</v>
      </c>
      <c r="I524" s="8">
        <v>0</v>
      </c>
      <c r="J524" s="119"/>
      <c r="K524" s="119"/>
    </row>
    <row r="525" spans="1:11" ht="20.25" customHeight="1" outlineLevel="1" x14ac:dyDescent="0.25">
      <c r="A525" s="117"/>
      <c r="B525" s="118"/>
      <c r="C525" s="119"/>
      <c r="D525" s="36">
        <v>2024</v>
      </c>
      <c r="E525" s="8">
        <v>0</v>
      </c>
      <c r="F525" s="8">
        <v>0</v>
      </c>
      <c r="G525" s="8">
        <v>0</v>
      </c>
      <c r="H525" s="8">
        <v>0</v>
      </c>
      <c r="I525" s="8">
        <v>0</v>
      </c>
      <c r="J525" s="119"/>
      <c r="K525" s="119"/>
    </row>
    <row r="526" spans="1:11" ht="18.75" customHeight="1" outlineLevel="1" x14ac:dyDescent="0.25">
      <c r="A526" s="117"/>
      <c r="B526" s="118"/>
      <c r="C526" s="119"/>
      <c r="D526" s="36">
        <v>2025</v>
      </c>
      <c r="E526" s="8">
        <v>0</v>
      </c>
      <c r="F526" s="8">
        <v>0</v>
      </c>
      <c r="G526" s="8">
        <v>0</v>
      </c>
      <c r="H526" s="8">
        <v>0</v>
      </c>
      <c r="I526" s="8">
        <v>0</v>
      </c>
      <c r="J526" s="119"/>
      <c r="K526" s="119"/>
    </row>
    <row r="527" spans="1:11" ht="15" customHeight="1" outlineLevel="1" x14ac:dyDescent="0.25">
      <c r="A527" s="117" t="s">
        <v>584</v>
      </c>
      <c r="B527" s="118" t="s">
        <v>424</v>
      </c>
      <c r="C527" s="119">
        <v>2021</v>
      </c>
      <c r="D527" s="36" t="s">
        <v>8</v>
      </c>
      <c r="E527" s="8">
        <f t="shared" si="48"/>
        <v>0</v>
      </c>
      <c r="F527" s="8">
        <f>SUM(F528:F532)</f>
        <v>0</v>
      </c>
      <c r="G527" s="8">
        <f>SUM(G528:G532)</f>
        <v>0</v>
      </c>
      <c r="H527" s="8">
        <f>SUM(H528:H532)</f>
        <v>0</v>
      </c>
      <c r="I527" s="8">
        <f>SUM(I528:I532)</f>
        <v>0</v>
      </c>
      <c r="J527" s="119" t="s">
        <v>585</v>
      </c>
      <c r="K527" s="119" t="s">
        <v>547</v>
      </c>
    </row>
    <row r="528" spans="1:11" ht="15" customHeight="1" outlineLevel="1" x14ac:dyDescent="0.25">
      <c r="A528" s="117"/>
      <c r="B528" s="118"/>
      <c r="C528" s="119"/>
      <c r="D528" s="36">
        <v>2021</v>
      </c>
      <c r="E528" s="8">
        <f t="shared" si="48"/>
        <v>0</v>
      </c>
      <c r="F528" s="8">
        <v>0</v>
      </c>
      <c r="G528" s="8">
        <v>0</v>
      </c>
      <c r="H528" s="8">
        <f>F528/95*5</f>
        <v>0</v>
      </c>
      <c r="I528" s="8">
        <v>0</v>
      </c>
      <c r="J528" s="119"/>
      <c r="K528" s="119"/>
    </row>
    <row r="529" spans="1:11" ht="15" customHeight="1" outlineLevel="1" x14ac:dyDescent="0.25">
      <c r="A529" s="117"/>
      <c r="B529" s="118"/>
      <c r="C529" s="119"/>
      <c r="D529" s="36">
        <v>2022</v>
      </c>
      <c r="E529" s="8">
        <v>0</v>
      </c>
      <c r="F529" s="8">
        <v>0</v>
      </c>
      <c r="G529" s="8">
        <v>0</v>
      </c>
      <c r="H529" s="8">
        <v>0</v>
      </c>
      <c r="I529" s="8">
        <v>0</v>
      </c>
      <c r="J529" s="119"/>
      <c r="K529" s="119"/>
    </row>
    <row r="530" spans="1:11" ht="15" customHeight="1" outlineLevel="1" x14ac:dyDescent="0.25">
      <c r="A530" s="117"/>
      <c r="B530" s="118"/>
      <c r="C530" s="119"/>
      <c r="D530" s="36">
        <v>2023</v>
      </c>
      <c r="E530" s="8">
        <v>0</v>
      </c>
      <c r="F530" s="8">
        <v>0</v>
      </c>
      <c r="G530" s="8">
        <v>0</v>
      </c>
      <c r="H530" s="8">
        <v>0</v>
      </c>
      <c r="I530" s="8">
        <v>0</v>
      </c>
      <c r="J530" s="119"/>
      <c r="K530" s="119"/>
    </row>
    <row r="531" spans="1:11" ht="15" customHeight="1" outlineLevel="1" x14ac:dyDescent="0.25">
      <c r="A531" s="117"/>
      <c r="B531" s="118"/>
      <c r="C531" s="119"/>
      <c r="D531" s="36">
        <v>2024</v>
      </c>
      <c r="E531" s="8">
        <v>0</v>
      </c>
      <c r="F531" s="8">
        <v>0</v>
      </c>
      <c r="G531" s="8">
        <v>0</v>
      </c>
      <c r="H531" s="8">
        <v>0</v>
      </c>
      <c r="I531" s="8">
        <v>0</v>
      </c>
      <c r="J531" s="119"/>
      <c r="K531" s="119"/>
    </row>
    <row r="532" spans="1:11" ht="15" customHeight="1" outlineLevel="1" x14ac:dyDescent="0.25">
      <c r="A532" s="117"/>
      <c r="B532" s="118"/>
      <c r="C532" s="119"/>
      <c r="D532" s="36">
        <v>2025</v>
      </c>
      <c r="E532" s="8">
        <v>0</v>
      </c>
      <c r="F532" s="8">
        <v>0</v>
      </c>
      <c r="G532" s="8">
        <v>0</v>
      </c>
      <c r="H532" s="8">
        <v>0</v>
      </c>
      <c r="I532" s="8">
        <v>0</v>
      </c>
      <c r="J532" s="119"/>
      <c r="K532" s="119"/>
    </row>
    <row r="533" spans="1:11" ht="15" customHeight="1" outlineLevel="1" x14ac:dyDescent="0.25">
      <c r="A533" s="117" t="s">
        <v>586</v>
      </c>
      <c r="B533" s="118" t="s">
        <v>587</v>
      </c>
      <c r="C533" s="119">
        <v>2021</v>
      </c>
      <c r="D533" s="36" t="s">
        <v>8</v>
      </c>
      <c r="E533" s="8">
        <f t="shared" si="48"/>
        <v>28829.676842105262</v>
      </c>
      <c r="F533" s="8">
        <f>SUM(F534:F538)</f>
        <v>27388.192999999999</v>
      </c>
      <c r="G533" s="8">
        <f>SUM(G534:G538)</f>
        <v>0</v>
      </c>
      <c r="H533" s="8">
        <f>SUM(H534:H538)</f>
        <v>1441.483842105263</v>
      </c>
      <c r="I533" s="8">
        <f>SUM(I534:I538)</f>
        <v>0</v>
      </c>
      <c r="J533" s="119" t="s">
        <v>588</v>
      </c>
      <c r="K533" s="119" t="s">
        <v>547</v>
      </c>
    </row>
    <row r="534" spans="1:11" ht="15" customHeight="1" outlineLevel="1" x14ac:dyDescent="0.25">
      <c r="A534" s="117"/>
      <c r="B534" s="118"/>
      <c r="C534" s="119"/>
      <c r="D534" s="36">
        <v>2021</v>
      </c>
      <c r="E534" s="8">
        <f t="shared" si="48"/>
        <v>28829.676842105262</v>
      </c>
      <c r="F534" s="8">
        <v>27388.192999999999</v>
      </c>
      <c r="G534" s="8">
        <v>0</v>
      </c>
      <c r="H534" s="8">
        <f>F534/95*5</f>
        <v>1441.483842105263</v>
      </c>
      <c r="I534" s="8">
        <v>0</v>
      </c>
      <c r="J534" s="119"/>
      <c r="K534" s="119"/>
    </row>
    <row r="535" spans="1:11" ht="15" customHeight="1" outlineLevel="1" x14ac:dyDescent="0.25">
      <c r="A535" s="117"/>
      <c r="B535" s="118"/>
      <c r="C535" s="119"/>
      <c r="D535" s="36">
        <v>2022</v>
      </c>
      <c r="E535" s="8">
        <v>0</v>
      </c>
      <c r="F535" s="8">
        <v>0</v>
      </c>
      <c r="G535" s="8">
        <v>0</v>
      </c>
      <c r="H535" s="8">
        <v>0</v>
      </c>
      <c r="I535" s="8">
        <v>0</v>
      </c>
      <c r="J535" s="119"/>
      <c r="K535" s="119"/>
    </row>
    <row r="536" spans="1:11" ht="15" customHeight="1" outlineLevel="1" x14ac:dyDescent="0.25">
      <c r="A536" s="117"/>
      <c r="B536" s="118"/>
      <c r="C536" s="119"/>
      <c r="D536" s="36">
        <v>2023</v>
      </c>
      <c r="E536" s="8">
        <v>0</v>
      </c>
      <c r="F536" s="8">
        <v>0</v>
      </c>
      <c r="G536" s="8">
        <v>0</v>
      </c>
      <c r="H536" s="8">
        <v>0</v>
      </c>
      <c r="I536" s="8">
        <v>0</v>
      </c>
      <c r="J536" s="119"/>
      <c r="K536" s="119"/>
    </row>
    <row r="537" spans="1:11" ht="15" customHeight="1" outlineLevel="1" x14ac:dyDescent="0.25">
      <c r="A537" s="117"/>
      <c r="B537" s="118"/>
      <c r="C537" s="119"/>
      <c r="D537" s="36">
        <v>2024</v>
      </c>
      <c r="E537" s="8">
        <v>0</v>
      </c>
      <c r="F537" s="8">
        <v>0</v>
      </c>
      <c r="G537" s="8">
        <v>0</v>
      </c>
      <c r="H537" s="8">
        <v>0</v>
      </c>
      <c r="I537" s="8">
        <v>0</v>
      </c>
      <c r="J537" s="119"/>
      <c r="K537" s="119"/>
    </row>
    <row r="538" spans="1:11" ht="13.5" customHeight="1" outlineLevel="1" x14ac:dyDescent="0.25">
      <c r="A538" s="117"/>
      <c r="B538" s="118"/>
      <c r="C538" s="119"/>
      <c r="D538" s="36">
        <v>2025</v>
      </c>
      <c r="E538" s="8">
        <v>0</v>
      </c>
      <c r="F538" s="8">
        <v>0</v>
      </c>
      <c r="G538" s="8">
        <v>0</v>
      </c>
      <c r="H538" s="8">
        <v>0</v>
      </c>
      <c r="I538" s="8">
        <v>0</v>
      </c>
      <c r="J538" s="119"/>
      <c r="K538" s="119"/>
    </row>
    <row r="539" spans="1:11" ht="16.5" customHeight="1" outlineLevel="1" x14ac:dyDescent="0.25">
      <c r="A539" s="117" t="s">
        <v>589</v>
      </c>
      <c r="B539" s="118" t="s">
        <v>590</v>
      </c>
      <c r="C539" s="119" t="s">
        <v>124</v>
      </c>
      <c r="D539" s="36" t="s">
        <v>8</v>
      </c>
      <c r="E539" s="8">
        <f t="shared" si="48"/>
        <v>4724.9217200000003</v>
      </c>
      <c r="F539" s="8">
        <f>SUM(F540:F544)</f>
        <v>4431.9217200000003</v>
      </c>
      <c r="G539" s="8">
        <f>SUM(G540:G544)</f>
        <v>0</v>
      </c>
      <c r="H539" s="8">
        <f>SUM(H540:H544)</f>
        <v>293</v>
      </c>
      <c r="I539" s="8">
        <f>SUM(I540:I544)</f>
        <v>0</v>
      </c>
      <c r="J539" s="119" t="s">
        <v>1178</v>
      </c>
      <c r="K539" s="119" t="s">
        <v>547</v>
      </c>
    </row>
    <row r="540" spans="1:11" ht="15" customHeight="1" outlineLevel="1" x14ac:dyDescent="0.25">
      <c r="A540" s="117"/>
      <c r="B540" s="118"/>
      <c r="C540" s="119"/>
      <c r="D540" s="36">
        <v>2021</v>
      </c>
      <c r="E540" s="8">
        <f t="shared" si="48"/>
        <v>2270.6600000000003</v>
      </c>
      <c r="F540" s="8">
        <v>2100.36</v>
      </c>
      <c r="G540" s="8">
        <v>0</v>
      </c>
      <c r="H540" s="8">
        <v>170.3</v>
      </c>
      <c r="I540" s="8">
        <v>0</v>
      </c>
      <c r="J540" s="119"/>
      <c r="K540" s="119"/>
    </row>
    <row r="541" spans="1:11" ht="18.75" customHeight="1" outlineLevel="1" x14ac:dyDescent="0.25">
      <c r="A541" s="117"/>
      <c r="B541" s="118"/>
      <c r="C541" s="119"/>
      <c r="D541" s="36">
        <v>2022</v>
      </c>
      <c r="E541" s="8">
        <f t="shared" si="48"/>
        <v>2454.26172</v>
      </c>
      <c r="F541" s="8">
        <v>2331.5617200000002</v>
      </c>
      <c r="G541" s="8">
        <v>0</v>
      </c>
      <c r="H541" s="8">
        <v>122.7</v>
      </c>
      <c r="I541" s="8">
        <v>0</v>
      </c>
      <c r="J541" s="119"/>
      <c r="K541" s="119"/>
    </row>
    <row r="542" spans="1:11" ht="17.25" customHeight="1" outlineLevel="1" x14ac:dyDescent="0.25">
      <c r="A542" s="117"/>
      <c r="B542" s="118"/>
      <c r="C542" s="119"/>
      <c r="D542" s="36">
        <v>2023</v>
      </c>
      <c r="E542" s="8">
        <f t="shared" si="48"/>
        <v>0</v>
      </c>
      <c r="F542" s="8">
        <v>0</v>
      </c>
      <c r="G542" s="8">
        <v>0</v>
      </c>
      <c r="H542" s="8">
        <v>0</v>
      </c>
      <c r="I542" s="8">
        <v>0</v>
      </c>
      <c r="J542" s="119"/>
      <c r="K542" s="119"/>
    </row>
    <row r="543" spans="1:11" ht="15" customHeight="1" outlineLevel="1" x14ac:dyDescent="0.25">
      <c r="A543" s="117"/>
      <c r="B543" s="118"/>
      <c r="C543" s="119"/>
      <c r="D543" s="36">
        <v>2024</v>
      </c>
      <c r="E543" s="8">
        <f t="shared" si="48"/>
        <v>0</v>
      </c>
      <c r="F543" s="8">
        <v>0</v>
      </c>
      <c r="G543" s="8">
        <v>0</v>
      </c>
      <c r="H543" s="8">
        <v>0</v>
      </c>
      <c r="I543" s="8">
        <v>0</v>
      </c>
      <c r="J543" s="119"/>
      <c r="K543" s="119"/>
    </row>
    <row r="544" spans="1:11" ht="14.25" customHeight="1" outlineLevel="1" x14ac:dyDescent="0.25">
      <c r="A544" s="117"/>
      <c r="B544" s="118"/>
      <c r="C544" s="119"/>
      <c r="D544" s="36">
        <v>2025</v>
      </c>
      <c r="E544" s="8">
        <f t="shared" si="48"/>
        <v>0</v>
      </c>
      <c r="F544" s="8">
        <v>0</v>
      </c>
      <c r="G544" s="8">
        <v>0</v>
      </c>
      <c r="H544" s="8">
        <v>0</v>
      </c>
      <c r="I544" s="8">
        <v>0</v>
      </c>
      <c r="J544" s="119"/>
      <c r="K544" s="119"/>
    </row>
    <row r="545" spans="1:11" ht="12.75" customHeight="1" outlineLevel="1" x14ac:dyDescent="0.25">
      <c r="A545" s="117" t="s">
        <v>592</v>
      </c>
      <c r="B545" s="118" t="s">
        <v>593</v>
      </c>
      <c r="C545" s="119">
        <v>2021</v>
      </c>
      <c r="D545" s="36" t="s">
        <v>8</v>
      </c>
      <c r="E545" s="8">
        <f t="shared" si="48"/>
        <v>0</v>
      </c>
      <c r="F545" s="8">
        <v>0</v>
      </c>
      <c r="G545" s="8">
        <v>0</v>
      </c>
      <c r="H545" s="8">
        <v>0</v>
      </c>
      <c r="I545" s="8">
        <v>0</v>
      </c>
      <c r="J545" s="119" t="s">
        <v>594</v>
      </c>
      <c r="K545" s="119" t="s">
        <v>103</v>
      </c>
    </row>
    <row r="546" spans="1:11" ht="12.75" customHeight="1" outlineLevel="1" x14ac:dyDescent="0.25">
      <c r="A546" s="117"/>
      <c r="B546" s="118"/>
      <c r="C546" s="119"/>
      <c r="D546" s="36">
        <v>2021</v>
      </c>
      <c r="E546" s="8">
        <f t="shared" si="48"/>
        <v>0</v>
      </c>
      <c r="F546" s="8">
        <v>0</v>
      </c>
      <c r="G546" s="8">
        <v>0</v>
      </c>
      <c r="H546" s="8">
        <v>0</v>
      </c>
      <c r="I546" s="8">
        <v>0</v>
      </c>
      <c r="J546" s="119"/>
      <c r="K546" s="119"/>
    </row>
    <row r="547" spans="1:11" ht="12.75" customHeight="1" outlineLevel="1" x14ac:dyDescent="0.25">
      <c r="A547" s="117"/>
      <c r="B547" s="118"/>
      <c r="C547" s="119"/>
      <c r="D547" s="36">
        <v>2022</v>
      </c>
      <c r="E547" s="8">
        <f t="shared" si="48"/>
        <v>0</v>
      </c>
      <c r="F547" s="8">
        <v>0</v>
      </c>
      <c r="G547" s="8">
        <v>0</v>
      </c>
      <c r="H547" s="8">
        <v>0</v>
      </c>
      <c r="I547" s="8">
        <v>0</v>
      </c>
      <c r="J547" s="119"/>
      <c r="K547" s="119"/>
    </row>
    <row r="548" spans="1:11" ht="12.75" customHeight="1" outlineLevel="1" x14ac:dyDescent="0.25">
      <c r="A548" s="117"/>
      <c r="B548" s="118"/>
      <c r="C548" s="119"/>
      <c r="D548" s="36">
        <v>2023</v>
      </c>
      <c r="E548" s="8">
        <f t="shared" si="48"/>
        <v>0</v>
      </c>
      <c r="F548" s="8">
        <v>0</v>
      </c>
      <c r="G548" s="8">
        <v>0</v>
      </c>
      <c r="H548" s="8">
        <v>0</v>
      </c>
      <c r="I548" s="8">
        <v>0</v>
      </c>
      <c r="J548" s="119"/>
      <c r="K548" s="119"/>
    </row>
    <row r="549" spans="1:11" ht="12.75" customHeight="1" outlineLevel="1" x14ac:dyDescent="0.25">
      <c r="A549" s="117"/>
      <c r="B549" s="118"/>
      <c r="C549" s="119"/>
      <c r="D549" s="36">
        <v>2024</v>
      </c>
      <c r="E549" s="8">
        <f t="shared" si="48"/>
        <v>0</v>
      </c>
      <c r="F549" s="8">
        <v>0</v>
      </c>
      <c r="G549" s="8">
        <v>0</v>
      </c>
      <c r="H549" s="8">
        <v>0</v>
      </c>
      <c r="I549" s="8">
        <v>0</v>
      </c>
      <c r="J549" s="119"/>
      <c r="K549" s="119"/>
    </row>
    <row r="550" spans="1:11" ht="12.75" customHeight="1" outlineLevel="1" x14ac:dyDescent="0.25">
      <c r="A550" s="117"/>
      <c r="B550" s="118"/>
      <c r="C550" s="119"/>
      <c r="D550" s="36">
        <v>2025</v>
      </c>
      <c r="E550" s="8">
        <f t="shared" si="48"/>
        <v>0</v>
      </c>
      <c r="F550" s="8">
        <v>0</v>
      </c>
      <c r="G550" s="8">
        <v>0</v>
      </c>
      <c r="H550" s="8">
        <v>0</v>
      </c>
      <c r="I550" s="8">
        <v>0</v>
      </c>
      <c r="J550" s="119"/>
      <c r="K550" s="119"/>
    </row>
    <row r="551" spans="1:11" ht="12.75" customHeight="1" outlineLevel="1" x14ac:dyDescent="0.25">
      <c r="A551" s="117" t="s">
        <v>722</v>
      </c>
      <c r="B551" s="118" t="s">
        <v>595</v>
      </c>
      <c r="C551" s="119">
        <v>2021</v>
      </c>
      <c r="D551" s="36" t="s">
        <v>8</v>
      </c>
      <c r="E551" s="8">
        <f t="shared" si="48"/>
        <v>468.3</v>
      </c>
      <c r="F551" s="8">
        <f>SUM(F552:F556)</f>
        <v>468.3</v>
      </c>
      <c r="G551" s="8">
        <f>SUM(G552:G556)</f>
        <v>0</v>
      </c>
      <c r="H551" s="8">
        <f>SUM(H552:H556)</f>
        <v>0</v>
      </c>
      <c r="I551" s="8">
        <f>SUM(I552:I556)</f>
        <v>0</v>
      </c>
      <c r="J551" s="119" t="s">
        <v>596</v>
      </c>
      <c r="K551" s="119" t="s">
        <v>597</v>
      </c>
    </row>
    <row r="552" spans="1:11" ht="12.75" customHeight="1" outlineLevel="1" x14ac:dyDescent="0.25">
      <c r="A552" s="117"/>
      <c r="B552" s="118"/>
      <c r="C552" s="119"/>
      <c r="D552" s="36">
        <v>2021</v>
      </c>
      <c r="E552" s="8">
        <f t="shared" si="48"/>
        <v>468.3</v>
      </c>
      <c r="F552" s="8">
        <v>468.3</v>
      </c>
      <c r="G552" s="8">
        <v>0</v>
      </c>
      <c r="H552" s="8">
        <v>0</v>
      </c>
      <c r="I552" s="8">
        <v>0</v>
      </c>
      <c r="J552" s="119"/>
      <c r="K552" s="119"/>
    </row>
    <row r="553" spans="1:11" ht="12.75" customHeight="1" outlineLevel="1" x14ac:dyDescent="0.25">
      <c r="A553" s="117"/>
      <c r="B553" s="118"/>
      <c r="C553" s="119"/>
      <c r="D553" s="36">
        <v>2022</v>
      </c>
      <c r="E553" s="8">
        <f t="shared" si="48"/>
        <v>0</v>
      </c>
      <c r="F553" s="8">
        <v>0</v>
      </c>
      <c r="G553" s="8">
        <v>0</v>
      </c>
      <c r="H553" s="8">
        <v>0</v>
      </c>
      <c r="I553" s="8">
        <v>0</v>
      </c>
      <c r="J553" s="119"/>
      <c r="K553" s="119"/>
    </row>
    <row r="554" spans="1:11" ht="12.75" customHeight="1" outlineLevel="1" x14ac:dyDescent="0.25">
      <c r="A554" s="117"/>
      <c r="B554" s="118"/>
      <c r="C554" s="119"/>
      <c r="D554" s="36">
        <v>2023</v>
      </c>
      <c r="E554" s="8">
        <f t="shared" si="48"/>
        <v>0</v>
      </c>
      <c r="F554" s="8">
        <v>0</v>
      </c>
      <c r="G554" s="8">
        <v>0</v>
      </c>
      <c r="H554" s="8">
        <v>0</v>
      </c>
      <c r="I554" s="8">
        <v>0</v>
      </c>
      <c r="J554" s="119"/>
      <c r="K554" s="119"/>
    </row>
    <row r="555" spans="1:11" ht="12.75" customHeight="1" outlineLevel="1" x14ac:dyDescent="0.25">
      <c r="A555" s="117"/>
      <c r="B555" s="118"/>
      <c r="C555" s="119"/>
      <c r="D555" s="36">
        <v>2024</v>
      </c>
      <c r="E555" s="8">
        <f t="shared" si="48"/>
        <v>0</v>
      </c>
      <c r="F555" s="8">
        <v>0</v>
      </c>
      <c r="G555" s="8">
        <v>0</v>
      </c>
      <c r="H555" s="8">
        <v>0</v>
      </c>
      <c r="I555" s="8">
        <v>0</v>
      </c>
      <c r="J555" s="119"/>
      <c r="K555" s="119"/>
    </row>
    <row r="556" spans="1:11" ht="12.75" customHeight="1" outlineLevel="1" x14ac:dyDescent="0.25">
      <c r="A556" s="117"/>
      <c r="B556" s="118"/>
      <c r="C556" s="119"/>
      <c r="D556" s="36">
        <v>2025</v>
      </c>
      <c r="E556" s="8">
        <f t="shared" si="48"/>
        <v>0</v>
      </c>
      <c r="F556" s="8">
        <v>0</v>
      </c>
      <c r="G556" s="8">
        <v>0</v>
      </c>
      <c r="H556" s="8">
        <v>0</v>
      </c>
      <c r="I556" s="8">
        <v>0</v>
      </c>
      <c r="J556" s="119"/>
      <c r="K556" s="119"/>
    </row>
    <row r="557" spans="1:11" ht="18" customHeight="1" outlineLevel="1" x14ac:dyDescent="0.25">
      <c r="A557" s="117" t="s">
        <v>1179</v>
      </c>
      <c r="B557" s="118" t="s">
        <v>599</v>
      </c>
      <c r="C557" s="119">
        <v>2021</v>
      </c>
      <c r="D557" s="36" t="s">
        <v>8</v>
      </c>
      <c r="E557" s="8">
        <f t="shared" si="48"/>
        <v>8226.4694736842102</v>
      </c>
      <c r="F557" s="8">
        <f>SUM(F558:F562)</f>
        <v>7815.1459999999997</v>
      </c>
      <c r="G557" s="8">
        <f>SUM(G558:G562)</f>
        <v>0</v>
      </c>
      <c r="H557" s="8">
        <f>SUM(H558:H562)</f>
        <v>411.32347368421051</v>
      </c>
      <c r="I557" s="8">
        <f>SUM(I558:I562)</f>
        <v>0</v>
      </c>
      <c r="J557" s="119" t="s">
        <v>600</v>
      </c>
      <c r="K557" s="119" t="s">
        <v>547</v>
      </c>
    </row>
    <row r="558" spans="1:11" ht="18" customHeight="1" outlineLevel="1" x14ac:dyDescent="0.25">
      <c r="A558" s="117"/>
      <c r="B558" s="118"/>
      <c r="C558" s="119"/>
      <c r="D558" s="36">
        <v>2021</v>
      </c>
      <c r="E558" s="8">
        <f t="shared" ref="E558:E621" si="49">SUM(F558:I558)</f>
        <v>8226.4694736842102</v>
      </c>
      <c r="F558" s="8">
        <v>7815.1459999999997</v>
      </c>
      <c r="G558" s="8">
        <v>0</v>
      </c>
      <c r="H558" s="8">
        <f t="shared" ref="H558:H559" si="50">F558/95*5</f>
        <v>411.32347368421051</v>
      </c>
      <c r="I558" s="8">
        <v>0</v>
      </c>
      <c r="J558" s="119"/>
      <c r="K558" s="119"/>
    </row>
    <row r="559" spans="1:11" ht="18" customHeight="1" outlineLevel="1" x14ac:dyDescent="0.25">
      <c r="A559" s="117"/>
      <c r="B559" s="118"/>
      <c r="C559" s="119"/>
      <c r="D559" s="36">
        <v>2022</v>
      </c>
      <c r="E559" s="8">
        <f t="shared" si="49"/>
        <v>0</v>
      </c>
      <c r="F559" s="8">
        <v>0</v>
      </c>
      <c r="G559" s="8">
        <v>0</v>
      </c>
      <c r="H559" s="8">
        <f t="shared" si="50"/>
        <v>0</v>
      </c>
      <c r="I559" s="8">
        <v>0</v>
      </c>
      <c r="J559" s="119"/>
      <c r="K559" s="119"/>
    </row>
    <row r="560" spans="1:11" ht="18" customHeight="1" outlineLevel="1" x14ac:dyDescent="0.25">
      <c r="A560" s="117"/>
      <c r="B560" s="118"/>
      <c r="C560" s="119"/>
      <c r="D560" s="36">
        <v>2023</v>
      </c>
      <c r="E560" s="8">
        <f t="shared" si="49"/>
        <v>0</v>
      </c>
      <c r="F560" s="8">
        <v>0</v>
      </c>
      <c r="G560" s="8">
        <v>0</v>
      </c>
      <c r="H560" s="8">
        <v>0</v>
      </c>
      <c r="I560" s="8">
        <v>0</v>
      </c>
      <c r="J560" s="119"/>
      <c r="K560" s="119"/>
    </row>
    <row r="561" spans="1:11" ht="18" customHeight="1" outlineLevel="1" x14ac:dyDescent="0.25">
      <c r="A561" s="117"/>
      <c r="B561" s="118"/>
      <c r="C561" s="119"/>
      <c r="D561" s="36">
        <v>2024</v>
      </c>
      <c r="E561" s="8">
        <f t="shared" si="49"/>
        <v>0</v>
      </c>
      <c r="F561" s="8">
        <v>0</v>
      </c>
      <c r="G561" s="8">
        <v>0</v>
      </c>
      <c r="H561" s="8">
        <v>0</v>
      </c>
      <c r="I561" s="8">
        <v>0</v>
      </c>
      <c r="J561" s="119"/>
      <c r="K561" s="119"/>
    </row>
    <row r="562" spans="1:11" ht="18" customHeight="1" outlineLevel="1" x14ac:dyDescent="0.25">
      <c r="A562" s="117"/>
      <c r="B562" s="118"/>
      <c r="C562" s="119"/>
      <c r="D562" s="36">
        <v>2025</v>
      </c>
      <c r="E562" s="8">
        <f t="shared" si="49"/>
        <v>0</v>
      </c>
      <c r="F562" s="8">
        <v>0</v>
      </c>
      <c r="G562" s="8">
        <v>0</v>
      </c>
      <c r="H562" s="8">
        <v>0</v>
      </c>
      <c r="I562" s="8">
        <v>0</v>
      </c>
      <c r="J562" s="119"/>
      <c r="K562" s="119"/>
    </row>
    <row r="563" spans="1:11" ht="18" customHeight="1" outlineLevel="1" x14ac:dyDescent="0.25">
      <c r="A563" s="117" t="s">
        <v>1180</v>
      </c>
      <c r="B563" s="118" t="s">
        <v>613</v>
      </c>
      <c r="C563" s="119">
        <v>2021</v>
      </c>
      <c r="D563" s="36" t="s">
        <v>8</v>
      </c>
      <c r="E563" s="8">
        <f t="shared" si="49"/>
        <v>15056.631578947368</v>
      </c>
      <c r="F563" s="8">
        <f>SUM(F564:F568)</f>
        <v>14303.8</v>
      </c>
      <c r="G563" s="8">
        <f>SUM(G564:G568)</f>
        <v>0</v>
      </c>
      <c r="H563" s="8">
        <f>SUM(H564:H568)</f>
        <v>752.83157894736837</v>
      </c>
      <c r="I563" s="8">
        <v>0</v>
      </c>
      <c r="J563" s="119" t="s">
        <v>614</v>
      </c>
      <c r="K563" s="119" t="s">
        <v>547</v>
      </c>
    </row>
    <row r="564" spans="1:11" ht="18" customHeight="1" outlineLevel="1" x14ac:dyDescent="0.25">
      <c r="A564" s="117"/>
      <c r="B564" s="118"/>
      <c r="C564" s="119"/>
      <c r="D564" s="36">
        <v>2021</v>
      </c>
      <c r="E564" s="8">
        <f t="shared" si="49"/>
        <v>15056.631578947368</v>
      </c>
      <c r="F564" s="8">
        <v>14303.8</v>
      </c>
      <c r="G564" s="8">
        <v>0</v>
      </c>
      <c r="H564" s="8">
        <f>F564/95*5</f>
        <v>752.83157894736837</v>
      </c>
      <c r="I564" s="8">
        <v>0</v>
      </c>
      <c r="J564" s="119"/>
      <c r="K564" s="119"/>
    </row>
    <row r="565" spans="1:11" ht="18" customHeight="1" outlineLevel="1" x14ac:dyDescent="0.25">
      <c r="A565" s="117"/>
      <c r="B565" s="118"/>
      <c r="C565" s="119"/>
      <c r="D565" s="36">
        <v>2022</v>
      </c>
      <c r="E565" s="8">
        <f t="shared" si="49"/>
        <v>0</v>
      </c>
      <c r="F565" s="8">
        <v>0</v>
      </c>
      <c r="G565" s="8">
        <v>0</v>
      </c>
      <c r="H565" s="8">
        <v>0</v>
      </c>
      <c r="I565" s="8">
        <v>0</v>
      </c>
      <c r="J565" s="119"/>
      <c r="K565" s="119"/>
    </row>
    <row r="566" spans="1:11" ht="18" customHeight="1" outlineLevel="1" x14ac:dyDescent="0.25">
      <c r="A566" s="117"/>
      <c r="B566" s="118"/>
      <c r="C566" s="119"/>
      <c r="D566" s="36">
        <v>2023</v>
      </c>
      <c r="E566" s="8">
        <f t="shared" si="49"/>
        <v>0</v>
      </c>
      <c r="F566" s="8">
        <v>0</v>
      </c>
      <c r="G566" s="8">
        <v>0</v>
      </c>
      <c r="H566" s="8">
        <v>0</v>
      </c>
      <c r="I566" s="8">
        <v>0</v>
      </c>
      <c r="J566" s="119"/>
      <c r="K566" s="119"/>
    </row>
    <row r="567" spans="1:11" ht="18" customHeight="1" outlineLevel="1" x14ac:dyDescent="0.25">
      <c r="A567" s="117"/>
      <c r="B567" s="118"/>
      <c r="C567" s="119"/>
      <c r="D567" s="36">
        <v>2024</v>
      </c>
      <c r="E567" s="8">
        <f t="shared" si="49"/>
        <v>0</v>
      </c>
      <c r="F567" s="8">
        <v>0</v>
      </c>
      <c r="G567" s="8">
        <v>0</v>
      </c>
      <c r="H567" s="8">
        <v>0</v>
      </c>
      <c r="I567" s="8">
        <v>0</v>
      </c>
      <c r="J567" s="119"/>
      <c r="K567" s="119"/>
    </row>
    <row r="568" spans="1:11" ht="18" customHeight="1" outlineLevel="1" x14ac:dyDescent="0.25">
      <c r="A568" s="117"/>
      <c r="B568" s="118"/>
      <c r="C568" s="119"/>
      <c r="D568" s="36">
        <v>2025</v>
      </c>
      <c r="E568" s="8">
        <f t="shared" si="49"/>
        <v>0</v>
      </c>
      <c r="F568" s="8">
        <v>0</v>
      </c>
      <c r="G568" s="8">
        <v>0</v>
      </c>
      <c r="H568" s="8">
        <v>0</v>
      </c>
      <c r="I568" s="8">
        <v>0</v>
      </c>
      <c r="J568" s="119"/>
      <c r="K568" s="119"/>
    </row>
    <row r="569" spans="1:11" ht="12.75" customHeight="1" outlineLevel="1" x14ac:dyDescent="0.25">
      <c r="A569" s="117" t="s">
        <v>916</v>
      </c>
      <c r="B569" s="118" t="s">
        <v>913</v>
      </c>
      <c r="C569" s="119">
        <v>2022</v>
      </c>
      <c r="D569" s="36" t="s">
        <v>8</v>
      </c>
      <c r="E569" s="8">
        <f t="shared" si="49"/>
        <v>20912.768100000001</v>
      </c>
      <c r="F569" s="8">
        <f>SUM(F570:F574)</f>
        <v>20912.768100000001</v>
      </c>
      <c r="G569" s="8">
        <f>SUM(G570:G574)</f>
        <v>0</v>
      </c>
      <c r="H569" s="8">
        <f>SUM(H570:H574)</f>
        <v>0</v>
      </c>
      <c r="I569" s="8">
        <f>SUM(I570:I574)</f>
        <v>0</v>
      </c>
      <c r="J569" s="119" t="s">
        <v>914</v>
      </c>
      <c r="K569" s="119" t="s">
        <v>915</v>
      </c>
    </row>
    <row r="570" spans="1:11" ht="12.75" customHeight="1" outlineLevel="1" x14ac:dyDescent="0.25">
      <c r="A570" s="117"/>
      <c r="B570" s="118"/>
      <c r="C570" s="119"/>
      <c r="D570" s="36">
        <v>2021</v>
      </c>
      <c r="E570" s="8">
        <f t="shared" si="49"/>
        <v>0</v>
      </c>
      <c r="F570" s="8">
        <v>0</v>
      </c>
      <c r="G570" s="8">
        <v>0</v>
      </c>
      <c r="H570" s="8">
        <v>0</v>
      </c>
      <c r="I570" s="8">
        <v>0</v>
      </c>
      <c r="J570" s="119"/>
      <c r="K570" s="119"/>
    </row>
    <row r="571" spans="1:11" ht="12.75" customHeight="1" outlineLevel="1" x14ac:dyDescent="0.25">
      <c r="A571" s="117"/>
      <c r="B571" s="118"/>
      <c r="C571" s="119"/>
      <c r="D571" s="36">
        <v>2022</v>
      </c>
      <c r="E571" s="8">
        <f t="shared" si="49"/>
        <v>20912.768100000001</v>
      </c>
      <c r="F571" s="8">
        <v>20912.768100000001</v>
      </c>
      <c r="G571" s="8">
        <v>0</v>
      </c>
      <c r="H571" s="8">
        <v>0</v>
      </c>
      <c r="I571" s="8">
        <v>0</v>
      </c>
      <c r="J571" s="119"/>
      <c r="K571" s="119"/>
    </row>
    <row r="572" spans="1:11" ht="12.75" customHeight="1" outlineLevel="1" x14ac:dyDescent="0.25">
      <c r="A572" s="117"/>
      <c r="B572" s="118"/>
      <c r="C572" s="119"/>
      <c r="D572" s="36">
        <v>2023</v>
      </c>
      <c r="E572" s="8">
        <f t="shared" si="49"/>
        <v>0</v>
      </c>
      <c r="F572" s="8">
        <v>0</v>
      </c>
      <c r="G572" s="8">
        <v>0</v>
      </c>
      <c r="H572" s="8">
        <v>0</v>
      </c>
      <c r="I572" s="8">
        <v>0</v>
      </c>
      <c r="J572" s="119"/>
      <c r="K572" s="119"/>
    </row>
    <row r="573" spans="1:11" ht="12.75" customHeight="1" outlineLevel="1" x14ac:dyDescent="0.25">
      <c r="A573" s="117"/>
      <c r="B573" s="118"/>
      <c r="C573" s="119"/>
      <c r="D573" s="36">
        <v>2024</v>
      </c>
      <c r="E573" s="8">
        <f t="shared" si="49"/>
        <v>0</v>
      </c>
      <c r="F573" s="8">
        <v>0</v>
      </c>
      <c r="G573" s="8">
        <v>0</v>
      </c>
      <c r="H573" s="8">
        <v>0</v>
      </c>
      <c r="I573" s="8">
        <v>0</v>
      </c>
      <c r="J573" s="119"/>
      <c r="K573" s="119"/>
    </row>
    <row r="574" spans="1:11" ht="12.75" customHeight="1" outlineLevel="1" x14ac:dyDescent="0.25">
      <c r="A574" s="117"/>
      <c r="B574" s="118"/>
      <c r="C574" s="119"/>
      <c r="D574" s="36">
        <v>2025</v>
      </c>
      <c r="E574" s="8">
        <f t="shared" si="49"/>
        <v>0</v>
      </c>
      <c r="F574" s="8">
        <v>0</v>
      </c>
      <c r="G574" s="8">
        <v>0</v>
      </c>
      <c r="H574" s="8">
        <v>0</v>
      </c>
      <c r="I574" s="8">
        <v>0</v>
      </c>
      <c r="J574" s="119"/>
      <c r="K574" s="119"/>
    </row>
    <row r="575" spans="1:11" ht="12.75" customHeight="1" outlineLevel="1" x14ac:dyDescent="0.25">
      <c r="A575" s="117" t="s">
        <v>1181</v>
      </c>
      <c r="B575" s="118" t="s">
        <v>917</v>
      </c>
      <c r="C575" s="119" t="s">
        <v>1169</v>
      </c>
      <c r="D575" s="36" t="s">
        <v>8</v>
      </c>
      <c r="E575" s="8">
        <f t="shared" si="49"/>
        <v>150000</v>
      </c>
      <c r="F575" s="8">
        <f>SUM(F576:F580)</f>
        <v>142500</v>
      </c>
      <c r="G575" s="8">
        <f>SUM(G576:G580)</f>
        <v>0</v>
      </c>
      <c r="H575" s="8">
        <f>SUM(H576:H580)</f>
        <v>7500</v>
      </c>
      <c r="I575" s="8">
        <f>SUM(I576:I580)</f>
        <v>0</v>
      </c>
      <c r="J575" s="119" t="s">
        <v>1182</v>
      </c>
      <c r="K575" s="119" t="s">
        <v>547</v>
      </c>
    </row>
    <row r="576" spans="1:11" ht="12.75" customHeight="1" outlineLevel="1" x14ac:dyDescent="0.25">
      <c r="A576" s="117"/>
      <c r="B576" s="118"/>
      <c r="C576" s="119"/>
      <c r="D576" s="36">
        <v>2021</v>
      </c>
      <c r="E576" s="8">
        <f t="shared" si="49"/>
        <v>0</v>
      </c>
      <c r="F576" s="8">
        <v>0</v>
      </c>
      <c r="G576" s="8">
        <v>0</v>
      </c>
      <c r="H576" s="8">
        <v>0</v>
      </c>
      <c r="I576" s="8">
        <v>0</v>
      </c>
      <c r="J576" s="119"/>
      <c r="K576" s="119"/>
    </row>
    <row r="577" spans="1:11" ht="12.75" customHeight="1" outlineLevel="1" x14ac:dyDescent="0.25">
      <c r="A577" s="117"/>
      <c r="B577" s="118"/>
      <c r="C577" s="119"/>
      <c r="D577" s="36">
        <v>2022</v>
      </c>
      <c r="E577" s="8">
        <f t="shared" si="49"/>
        <v>70000</v>
      </c>
      <c r="F577" s="8">
        <v>66500</v>
      </c>
      <c r="G577" s="8">
        <v>0</v>
      </c>
      <c r="H577" s="8">
        <v>3500</v>
      </c>
      <c r="I577" s="8">
        <v>0</v>
      </c>
      <c r="J577" s="119"/>
      <c r="K577" s="119"/>
    </row>
    <row r="578" spans="1:11" ht="12.75" customHeight="1" outlineLevel="1" x14ac:dyDescent="0.25">
      <c r="A578" s="117"/>
      <c r="B578" s="118"/>
      <c r="C578" s="119"/>
      <c r="D578" s="36">
        <v>2023</v>
      </c>
      <c r="E578" s="8">
        <f t="shared" si="49"/>
        <v>80000</v>
      </c>
      <c r="F578" s="8">
        <v>76000</v>
      </c>
      <c r="G578" s="8">
        <v>0</v>
      </c>
      <c r="H578" s="8">
        <v>4000</v>
      </c>
      <c r="I578" s="8">
        <v>0</v>
      </c>
      <c r="J578" s="119"/>
      <c r="K578" s="119"/>
    </row>
    <row r="579" spans="1:11" ht="12.75" customHeight="1" outlineLevel="1" x14ac:dyDescent="0.25">
      <c r="A579" s="117"/>
      <c r="B579" s="118"/>
      <c r="C579" s="119"/>
      <c r="D579" s="36">
        <v>2024</v>
      </c>
      <c r="E579" s="8">
        <f t="shared" si="49"/>
        <v>0</v>
      </c>
      <c r="F579" s="8">
        <v>0</v>
      </c>
      <c r="G579" s="8">
        <v>0</v>
      </c>
      <c r="H579" s="8">
        <v>0</v>
      </c>
      <c r="I579" s="8">
        <v>0</v>
      </c>
      <c r="J579" s="119"/>
      <c r="K579" s="119"/>
    </row>
    <row r="580" spans="1:11" outlineLevel="1" x14ac:dyDescent="0.25">
      <c r="A580" s="117"/>
      <c r="B580" s="118"/>
      <c r="C580" s="119"/>
      <c r="D580" s="36">
        <v>2025</v>
      </c>
      <c r="E580" s="8">
        <f t="shared" si="49"/>
        <v>0</v>
      </c>
      <c r="F580" s="8">
        <v>0</v>
      </c>
      <c r="G580" s="8">
        <v>0</v>
      </c>
      <c r="H580" s="8">
        <v>0</v>
      </c>
      <c r="I580" s="8">
        <v>0</v>
      </c>
      <c r="J580" s="119"/>
      <c r="K580" s="119"/>
    </row>
    <row r="581" spans="1:11" ht="14.25" customHeight="1" outlineLevel="1" x14ac:dyDescent="0.25">
      <c r="A581" s="117" t="s">
        <v>922</v>
      </c>
      <c r="B581" s="118" t="s">
        <v>920</v>
      </c>
      <c r="C581" s="119" t="s">
        <v>1113</v>
      </c>
      <c r="D581" s="36" t="s">
        <v>8</v>
      </c>
      <c r="E581" s="8">
        <f t="shared" si="49"/>
        <v>17600</v>
      </c>
      <c r="F581" s="8">
        <f>SUM(F582:F586)</f>
        <v>17600</v>
      </c>
      <c r="G581" s="8">
        <f>SUM(G582:G586)</f>
        <v>0</v>
      </c>
      <c r="H581" s="8">
        <f>SUM(H582:H586)</f>
        <v>0</v>
      </c>
      <c r="I581" s="8">
        <f>SUM(I582:I586)</f>
        <v>0</v>
      </c>
      <c r="J581" s="119" t="s">
        <v>921</v>
      </c>
      <c r="K581" s="119" t="s">
        <v>563</v>
      </c>
    </row>
    <row r="582" spans="1:11" ht="12.75" customHeight="1" outlineLevel="1" x14ac:dyDescent="0.25">
      <c r="A582" s="117"/>
      <c r="B582" s="118"/>
      <c r="C582" s="119"/>
      <c r="D582" s="36">
        <v>2021</v>
      </c>
      <c r="E582" s="8">
        <f t="shared" si="49"/>
        <v>0</v>
      </c>
      <c r="F582" s="8">
        <v>0</v>
      </c>
      <c r="G582" s="8">
        <v>0</v>
      </c>
      <c r="H582" s="8">
        <v>0</v>
      </c>
      <c r="I582" s="8">
        <v>0</v>
      </c>
      <c r="J582" s="119"/>
      <c r="K582" s="119"/>
    </row>
    <row r="583" spans="1:11" ht="14.25" customHeight="1" outlineLevel="1" x14ac:dyDescent="0.25">
      <c r="A583" s="117"/>
      <c r="B583" s="118"/>
      <c r="C583" s="119"/>
      <c r="D583" s="36">
        <v>2022</v>
      </c>
      <c r="E583" s="8">
        <f t="shared" si="49"/>
        <v>4400</v>
      </c>
      <c r="F583" s="8">
        <v>4400</v>
      </c>
      <c r="G583" s="8">
        <v>0</v>
      </c>
      <c r="H583" s="8">
        <v>0</v>
      </c>
      <c r="I583" s="8">
        <v>0</v>
      </c>
      <c r="J583" s="119"/>
      <c r="K583" s="119"/>
    </row>
    <row r="584" spans="1:11" ht="14.25" customHeight="1" outlineLevel="1" x14ac:dyDescent="0.25">
      <c r="A584" s="117"/>
      <c r="B584" s="118"/>
      <c r="C584" s="119"/>
      <c r="D584" s="36">
        <v>2023</v>
      </c>
      <c r="E584" s="8">
        <f t="shared" si="49"/>
        <v>4400</v>
      </c>
      <c r="F584" s="8">
        <v>4400</v>
      </c>
      <c r="G584" s="8">
        <v>0</v>
      </c>
      <c r="H584" s="8">
        <v>0</v>
      </c>
      <c r="I584" s="8">
        <v>0</v>
      </c>
      <c r="J584" s="119"/>
      <c r="K584" s="119"/>
    </row>
    <row r="585" spans="1:11" ht="12" customHeight="1" outlineLevel="1" x14ac:dyDescent="0.25">
      <c r="A585" s="117"/>
      <c r="B585" s="118"/>
      <c r="C585" s="119"/>
      <c r="D585" s="36">
        <v>2024</v>
      </c>
      <c r="E585" s="8">
        <f t="shared" si="49"/>
        <v>4400</v>
      </c>
      <c r="F585" s="8">
        <v>4400</v>
      </c>
      <c r="G585" s="8">
        <v>0</v>
      </c>
      <c r="H585" s="8">
        <v>0</v>
      </c>
      <c r="I585" s="8">
        <v>0</v>
      </c>
      <c r="J585" s="119"/>
      <c r="K585" s="119"/>
    </row>
    <row r="586" spans="1:11" ht="15" customHeight="1" outlineLevel="1" x14ac:dyDescent="0.25">
      <c r="A586" s="117"/>
      <c r="B586" s="118"/>
      <c r="C586" s="119"/>
      <c r="D586" s="36">
        <v>2025</v>
      </c>
      <c r="E586" s="8">
        <f t="shared" si="49"/>
        <v>4400</v>
      </c>
      <c r="F586" s="8">
        <v>4400</v>
      </c>
      <c r="G586" s="8">
        <v>0</v>
      </c>
      <c r="H586" s="8">
        <v>0</v>
      </c>
      <c r="I586" s="8">
        <v>0</v>
      </c>
      <c r="J586" s="119"/>
      <c r="K586" s="119"/>
    </row>
    <row r="587" spans="1:11" ht="12.75" customHeight="1" outlineLevel="1" x14ac:dyDescent="0.25">
      <c r="A587" s="117" t="s">
        <v>925</v>
      </c>
      <c r="B587" s="118" t="s">
        <v>926</v>
      </c>
      <c r="C587" s="119">
        <v>2022</v>
      </c>
      <c r="D587" s="36" t="s">
        <v>8</v>
      </c>
      <c r="E587" s="8">
        <f t="shared" si="49"/>
        <v>65500</v>
      </c>
      <c r="F587" s="8">
        <f>SUM(F588:F592)</f>
        <v>62225</v>
      </c>
      <c r="G587" s="8">
        <f>SUM(G588:G592)</f>
        <v>0</v>
      </c>
      <c r="H587" s="8">
        <f>SUM(H588:H592)</f>
        <v>3275</v>
      </c>
      <c r="I587" s="8">
        <f>SUM(I588:I592)</f>
        <v>0</v>
      </c>
      <c r="J587" s="119" t="s">
        <v>927</v>
      </c>
      <c r="K587" s="119" t="s">
        <v>547</v>
      </c>
    </row>
    <row r="588" spans="1:11" ht="12.75" customHeight="1" outlineLevel="1" x14ac:dyDescent="0.25">
      <c r="A588" s="117"/>
      <c r="B588" s="118"/>
      <c r="C588" s="119"/>
      <c r="D588" s="36">
        <v>2021</v>
      </c>
      <c r="E588" s="8">
        <f t="shared" si="49"/>
        <v>0</v>
      </c>
      <c r="F588" s="8">
        <v>0</v>
      </c>
      <c r="G588" s="8">
        <v>0</v>
      </c>
      <c r="H588" s="8">
        <v>0</v>
      </c>
      <c r="I588" s="8">
        <v>0</v>
      </c>
      <c r="J588" s="119"/>
      <c r="K588" s="119"/>
    </row>
    <row r="589" spans="1:11" ht="12.75" customHeight="1" outlineLevel="1" x14ac:dyDescent="0.25">
      <c r="A589" s="117"/>
      <c r="B589" s="118"/>
      <c r="C589" s="119"/>
      <c r="D589" s="36">
        <v>2022</v>
      </c>
      <c r="E589" s="8">
        <f t="shared" si="49"/>
        <v>65500</v>
      </c>
      <c r="F589" s="8">
        <v>62225</v>
      </c>
      <c r="G589" s="8">
        <v>0</v>
      </c>
      <c r="H589" s="8">
        <v>3275</v>
      </c>
      <c r="I589" s="8">
        <v>0</v>
      </c>
      <c r="J589" s="119"/>
      <c r="K589" s="119"/>
    </row>
    <row r="590" spans="1:11" ht="12.75" customHeight="1" outlineLevel="1" x14ac:dyDescent="0.25">
      <c r="A590" s="117"/>
      <c r="B590" s="118"/>
      <c r="C590" s="119"/>
      <c r="D590" s="36">
        <v>2023</v>
      </c>
      <c r="E590" s="8">
        <f t="shared" si="49"/>
        <v>0</v>
      </c>
      <c r="F590" s="8">
        <v>0</v>
      </c>
      <c r="G590" s="8">
        <v>0</v>
      </c>
      <c r="H590" s="8">
        <v>0</v>
      </c>
      <c r="I590" s="8">
        <v>0</v>
      </c>
      <c r="J590" s="119"/>
      <c r="K590" s="119"/>
    </row>
    <row r="591" spans="1:11" ht="12.75" customHeight="1" outlineLevel="1" x14ac:dyDescent="0.25">
      <c r="A591" s="117"/>
      <c r="B591" s="118"/>
      <c r="C591" s="119"/>
      <c r="D591" s="36">
        <v>2024</v>
      </c>
      <c r="E591" s="8">
        <f t="shared" si="49"/>
        <v>0</v>
      </c>
      <c r="F591" s="8">
        <v>0</v>
      </c>
      <c r="G591" s="8">
        <v>0</v>
      </c>
      <c r="H591" s="8">
        <v>0</v>
      </c>
      <c r="I591" s="8">
        <v>0</v>
      </c>
      <c r="J591" s="119"/>
      <c r="K591" s="119"/>
    </row>
    <row r="592" spans="1:11" ht="12.75" customHeight="1" outlineLevel="1" x14ac:dyDescent="0.25">
      <c r="A592" s="117"/>
      <c r="B592" s="118"/>
      <c r="C592" s="119"/>
      <c r="D592" s="36">
        <v>2025</v>
      </c>
      <c r="E592" s="8">
        <f t="shared" si="49"/>
        <v>0</v>
      </c>
      <c r="F592" s="8">
        <v>0</v>
      </c>
      <c r="G592" s="8">
        <v>0</v>
      </c>
      <c r="H592" s="8">
        <v>0</v>
      </c>
      <c r="I592" s="8">
        <v>0</v>
      </c>
      <c r="J592" s="119"/>
      <c r="K592" s="119"/>
    </row>
    <row r="593" spans="1:11" ht="12.75" customHeight="1" outlineLevel="1" x14ac:dyDescent="0.25">
      <c r="A593" s="117" t="s">
        <v>928</v>
      </c>
      <c r="B593" s="118" t="s">
        <v>1183</v>
      </c>
      <c r="C593" s="119">
        <v>2022</v>
      </c>
      <c r="D593" s="36" t="s">
        <v>8</v>
      </c>
      <c r="E593" s="8">
        <f t="shared" si="49"/>
        <v>3010.9325454545456</v>
      </c>
      <c r="F593" s="8">
        <f>SUM(F594:F598)</f>
        <v>2980.8232200000002</v>
      </c>
      <c r="G593" s="8">
        <f t="shared" ref="G593:G635" si="51">SUM(G594:G598)</f>
        <v>0</v>
      </c>
      <c r="H593" s="8">
        <f>SUM(H594:H598)</f>
        <v>30.109325454545456</v>
      </c>
      <c r="I593" s="8">
        <f t="shared" ref="I593:I629" si="52">SUM(I594:I598)</f>
        <v>0</v>
      </c>
      <c r="J593" s="119" t="s">
        <v>930</v>
      </c>
      <c r="K593" s="119" t="s">
        <v>547</v>
      </c>
    </row>
    <row r="594" spans="1:11" ht="12.75" customHeight="1" outlineLevel="1" x14ac:dyDescent="0.25">
      <c r="A594" s="117"/>
      <c r="B594" s="118"/>
      <c r="C594" s="119"/>
      <c r="D594" s="36">
        <v>2021</v>
      </c>
      <c r="E594" s="8">
        <f t="shared" si="49"/>
        <v>0</v>
      </c>
      <c r="F594" s="8"/>
      <c r="G594" s="8">
        <f t="shared" si="51"/>
        <v>0</v>
      </c>
      <c r="H594" s="8"/>
      <c r="I594" s="8">
        <f t="shared" si="52"/>
        <v>0</v>
      </c>
      <c r="J594" s="119"/>
      <c r="K594" s="119"/>
    </row>
    <row r="595" spans="1:11" ht="12.75" customHeight="1" outlineLevel="1" x14ac:dyDescent="0.25">
      <c r="A595" s="117"/>
      <c r="B595" s="118"/>
      <c r="C595" s="119"/>
      <c r="D595" s="36">
        <v>2022</v>
      </c>
      <c r="E595" s="8">
        <f t="shared" si="49"/>
        <v>3010.9325454545456</v>
      </c>
      <c r="F595" s="8">
        <v>2980.8232200000002</v>
      </c>
      <c r="G595" s="8">
        <f t="shared" si="51"/>
        <v>0</v>
      </c>
      <c r="H595" s="8">
        <f>F595/99*1</f>
        <v>30.109325454545456</v>
      </c>
      <c r="I595" s="8">
        <f t="shared" si="52"/>
        <v>0</v>
      </c>
      <c r="J595" s="119"/>
      <c r="K595" s="119"/>
    </row>
    <row r="596" spans="1:11" ht="12.75" customHeight="1" outlineLevel="1" x14ac:dyDescent="0.25">
      <c r="A596" s="117"/>
      <c r="B596" s="118"/>
      <c r="C596" s="119"/>
      <c r="D596" s="36">
        <v>2023</v>
      </c>
      <c r="E596" s="8">
        <f t="shared" si="49"/>
        <v>0</v>
      </c>
      <c r="F596" s="8"/>
      <c r="G596" s="8">
        <f t="shared" si="51"/>
        <v>0</v>
      </c>
      <c r="H596" s="8"/>
      <c r="I596" s="8">
        <f t="shared" si="52"/>
        <v>0</v>
      </c>
      <c r="J596" s="119"/>
      <c r="K596" s="119"/>
    </row>
    <row r="597" spans="1:11" ht="12.75" customHeight="1" outlineLevel="1" x14ac:dyDescent="0.25">
      <c r="A597" s="117"/>
      <c r="B597" s="118"/>
      <c r="C597" s="119"/>
      <c r="D597" s="36">
        <v>2024</v>
      </c>
      <c r="E597" s="8">
        <f t="shared" si="49"/>
        <v>0</v>
      </c>
      <c r="F597" s="8"/>
      <c r="G597" s="8">
        <f t="shared" si="51"/>
        <v>0</v>
      </c>
      <c r="H597" s="8"/>
      <c r="I597" s="8">
        <f t="shared" si="52"/>
        <v>0</v>
      </c>
      <c r="J597" s="119"/>
      <c r="K597" s="119"/>
    </row>
    <row r="598" spans="1:11" ht="12.75" customHeight="1" outlineLevel="1" x14ac:dyDescent="0.25">
      <c r="A598" s="117"/>
      <c r="B598" s="118"/>
      <c r="C598" s="119"/>
      <c r="D598" s="36">
        <v>2025</v>
      </c>
      <c r="E598" s="8">
        <f t="shared" si="49"/>
        <v>0</v>
      </c>
      <c r="F598" s="8"/>
      <c r="G598" s="8">
        <f t="shared" si="51"/>
        <v>0</v>
      </c>
      <c r="H598" s="8"/>
      <c r="I598" s="8">
        <f t="shared" si="52"/>
        <v>0</v>
      </c>
      <c r="J598" s="119"/>
      <c r="K598" s="119"/>
    </row>
    <row r="599" spans="1:11" ht="12.75" customHeight="1" outlineLevel="1" x14ac:dyDescent="0.25">
      <c r="A599" s="117" t="s">
        <v>931</v>
      </c>
      <c r="B599" s="118" t="s">
        <v>932</v>
      </c>
      <c r="C599" s="119">
        <v>2022</v>
      </c>
      <c r="D599" s="36" t="s">
        <v>8</v>
      </c>
      <c r="E599" s="8">
        <f t="shared" si="49"/>
        <v>9956.0763399999996</v>
      </c>
      <c r="F599" s="8">
        <f>SUM(F600:F604)</f>
        <v>9458.2733399999997</v>
      </c>
      <c r="G599" s="8">
        <f t="shared" si="51"/>
        <v>0</v>
      </c>
      <c r="H599" s="8">
        <f>SUM(H600:H604)</f>
        <v>497.803</v>
      </c>
      <c r="I599" s="8">
        <f t="shared" si="52"/>
        <v>0</v>
      </c>
      <c r="J599" s="119" t="s">
        <v>933</v>
      </c>
      <c r="K599" s="119" t="s">
        <v>547</v>
      </c>
    </row>
    <row r="600" spans="1:11" ht="12.75" customHeight="1" outlineLevel="1" x14ac:dyDescent="0.25">
      <c r="A600" s="117"/>
      <c r="B600" s="118"/>
      <c r="C600" s="119"/>
      <c r="D600" s="36">
        <v>2021</v>
      </c>
      <c r="E600" s="8">
        <f t="shared" si="49"/>
        <v>0</v>
      </c>
      <c r="F600" s="8">
        <v>0</v>
      </c>
      <c r="G600" s="8">
        <f t="shared" si="51"/>
        <v>0</v>
      </c>
      <c r="H600" s="8">
        <v>0</v>
      </c>
      <c r="I600" s="8">
        <f t="shared" si="52"/>
        <v>0</v>
      </c>
      <c r="J600" s="119"/>
      <c r="K600" s="119"/>
    </row>
    <row r="601" spans="1:11" ht="12.75" customHeight="1" outlineLevel="1" x14ac:dyDescent="0.25">
      <c r="A601" s="117"/>
      <c r="B601" s="118"/>
      <c r="C601" s="119"/>
      <c r="D601" s="36">
        <v>2022</v>
      </c>
      <c r="E601" s="8">
        <f t="shared" si="49"/>
        <v>9956.0763399999996</v>
      </c>
      <c r="F601" s="8">
        <v>9458.2733399999997</v>
      </c>
      <c r="G601" s="8">
        <f t="shared" si="51"/>
        <v>0</v>
      </c>
      <c r="H601" s="8">
        <v>497.803</v>
      </c>
      <c r="I601" s="8">
        <f t="shared" si="52"/>
        <v>0</v>
      </c>
      <c r="J601" s="119"/>
      <c r="K601" s="119"/>
    </row>
    <row r="602" spans="1:11" ht="12.75" customHeight="1" outlineLevel="1" x14ac:dyDescent="0.25">
      <c r="A602" s="117"/>
      <c r="B602" s="118"/>
      <c r="C602" s="119"/>
      <c r="D602" s="36">
        <v>2023</v>
      </c>
      <c r="E602" s="8">
        <f t="shared" si="49"/>
        <v>0</v>
      </c>
      <c r="F602" s="8">
        <v>0</v>
      </c>
      <c r="G602" s="8">
        <f t="shared" si="51"/>
        <v>0</v>
      </c>
      <c r="H602" s="8">
        <v>0</v>
      </c>
      <c r="I602" s="8">
        <f t="shared" si="52"/>
        <v>0</v>
      </c>
      <c r="J602" s="119"/>
      <c r="K602" s="119"/>
    </row>
    <row r="603" spans="1:11" ht="12.75" customHeight="1" outlineLevel="1" x14ac:dyDescent="0.25">
      <c r="A603" s="117"/>
      <c r="B603" s="118"/>
      <c r="C603" s="119"/>
      <c r="D603" s="36">
        <v>2024</v>
      </c>
      <c r="E603" s="8">
        <f t="shared" si="49"/>
        <v>0</v>
      </c>
      <c r="F603" s="8">
        <v>0</v>
      </c>
      <c r="G603" s="8">
        <f t="shared" si="51"/>
        <v>0</v>
      </c>
      <c r="H603" s="8">
        <v>0</v>
      </c>
      <c r="I603" s="8">
        <f t="shared" si="52"/>
        <v>0</v>
      </c>
      <c r="J603" s="119"/>
      <c r="K603" s="119"/>
    </row>
    <row r="604" spans="1:11" ht="12.75" customHeight="1" outlineLevel="1" x14ac:dyDescent="0.25">
      <c r="A604" s="117"/>
      <c r="B604" s="118"/>
      <c r="C604" s="119"/>
      <c r="D604" s="36">
        <v>2025</v>
      </c>
      <c r="E604" s="8">
        <f t="shared" si="49"/>
        <v>0</v>
      </c>
      <c r="F604" s="8">
        <v>0</v>
      </c>
      <c r="G604" s="8">
        <f t="shared" si="51"/>
        <v>0</v>
      </c>
      <c r="H604" s="8">
        <v>0</v>
      </c>
      <c r="I604" s="8">
        <f t="shared" si="52"/>
        <v>0</v>
      </c>
      <c r="J604" s="119"/>
      <c r="K604" s="119"/>
    </row>
    <row r="605" spans="1:11" ht="12.75" customHeight="1" outlineLevel="1" x14ac:dyDescent="0.25">
      <c r="A605" s="117" t="s">
        <v>934</v>
      </c>
      <c r="B605" s="118" t="s">
        <v>1184</v>
      </c>
      <c r="C605" s="119">
        <v>2022</v>
      </c>
      <c r="D605" s="36" t="s">
        <v>8</v>
      </c>
      <c r="E605" s="8">
        <f t="shared" si="49"/>
        <v>3320.7358421052631</v>
      </c>
      <c r="F605" s="8">
        <f>SUM(F606:F610)</f>
        <v>3154.6990500000002</v>
      </c>
      <c r="G605" s="8">
        <f t="shared" si="51"/>
        <v>0</v>
      </c>
      <c r="H605" s="8">
        <f>SUM(H606:H610)</f>
        <v>166.03679210526315</v>
      </c>
      <c r="I605" s="8">
        <f t="shared" si="52"/>
        <v>0</v>
      </c>
      <c r="J605" s="119" t="s">
        <v>1185</v>
      </c>
      <c r="K605" s="119" t="s">
        <v>547</v>
      </c>
    </row>
    <row r="606" spans="1:11" ht="12.75" customHeight="1" outlineLevel="1" x14ac:dyDescent="0.25">
      <c r="A606" s="117"/>
      <c r="B606" s="118"/>
      <c r="C606" s="119"/>
      <c r="D606" s="36">
        <v>2021</v>
      </c>
      <c r="E606" s="8">
        <f t="shared" si="49"/>
        <v>0</v>
      </c>
      <c r="F606" s="8">
        <v>0</v>
      </c>
      <c r="G606" s="8">
        <f t="shared" si="51"/>
        <v>0</v>
      </c>
      <c r="H606" s="8">
        <v>0</v>
      </c>
      <c r="I606" s="8">
        <f t="shared" si="52"/>
        <v>0</v>
      </c>
      <c r="J606" s="119"/>
      <c r="K606" s="119"/>
    </row>
    <row r="607" spans="1:11" ht="12.75" customHeight="1" outlineLevel="1" x14ac:dyDescent="0.25">
      <c r="A607" s="117"/>
      <c r="B607" s="118"/>
      <c r="C607" s="119"/>
      <c r="D607" s="36">
        <v>2022</v>
      </c>
      <c r="E607" s="8">
        <f t="shared" si="49"/>
        <v>3320.7358421052631</v>
      </c>
      <c r="F607" s="8">
        <v>3154.6990500000002</v>
      </c>
      <c r="G607" s="8">
        <f t="shared" si="51"/>
        <v>0</v>
      </c>
      <c r="H607" s="8">
        <f>F607/95*5</f>
        <v>166.03679210526315</v>
      </c>
      <c r="I607" s="8">
        <f t="shared" si="52"/>
        <v>0</v>
      </c>
      <c r="J607" s="119"/>
      <c r="K607" s="119"/>
    </row>
    <row r="608" spans="1:11" ht="12.75" customHeight="1" outlineLevel="1" x14ac:dyDescent="0.25">
      <c r="A608" s="117"/>
      <c r="B608" s="118"/>
      <c r="C608" s="119"/>
      <c r="D608" s="36">
        <v>2023</v>
      </c>
      <c r="E608" s="8">
        <f t="shared" si="49"/>
        <v>0</v>
      </c>
      <c r="F608" s="8">
        <v>0</v>
      </c>
      <c r="G608" s="8">
        <f t="shared" si="51"/>
        <v>0</v>
      </c>
      <c r="H608" s="8">
        <v>0</v>
      </c>
      <c r="I608" s="8">
        <f t="shared" si="52"/>
        <v>0</v>
      </c>
      <c r="J608" s="119"/>
      <c r="K608" s="119"/>
    </row>
    <row r="609" spans="1:11" ht="12.75" customHeight="1" outlineLevel="1" x14ac:dyDescent="0.25">
      <c r="A609" s="117"/>
      <c r="B609" s="118"/>
      <c r="C609" s="119"/>
      <c r="D609" s="36">
        <v>2024</v>
      </c>
      <c r="E609" s="8">
        <f t="shared" si="49"/>
        <v>0</v>
      </c>
      <c r="F609" s="8">
        <v>0</v>
      </c>
      <c r="G609" s="8">
        <f t="shared" si="51"/>
        <v>0</v>
      </c>
      <c r="H609" s="8">
        <v>0</v>
      </c>
      <c r="I609" s="8">
        <f t="shared" si="52"/>
        <v>0</v>
      </c>
      <c r="J609" s="119"/>
      <c r="K609" s="119"/>
    </row>
    <row r="610" spans="1:11" ht="12.75" customHeight="1" outlineLevel="1" x14ac:dyDescent="0.25">
      <c r="A610" s="117"/>
      <c r="B610" s="118"/>
      <c r="C610" s="119"/>
      <c r="D610" s="36">
        <v>2025</v>
      </c>
      <c r="E610" s="8">
        <f t="shared" si="49"/>
        <v>0</v>
      </c>
      <c r="F610" s="8">
        <v>0</v>
      </c>
      <c r="G610" s="8">
        <f t="shared" si="51"/>
        <v>0</v>
      </c>
      <c r="H610" s="8">
        <v>0</v>
      </c>
      <c r="I610" s="8">
        <f t="shared" si="52"/>
        <v>0</v>
      </c>
      <c r="J610" s="119"/>
      <c r="K610" s="119"/>
    </row>
    <row r="611" spans="1:11" ht="12.75" customHeight="1" outlineLevel="1" x14ac:dyDescent="0.25">
      <c r="A611" s="117" t="s">
        <v>937</v>
      </c>
      <c r="B611" s="118" t="s">
        <v>938</v>
      </c>
      <c r="C611" s="119">
        <v>2022</v>
      </c>
      <c r="D611" s="36" t="s">
        <v>8</v>
      </c>
      <c r="E611" s="8">
        <f t="shared" si="49"/>
        <v>17129.317905263157</v>
      </c>
      <c r="F611" s="8">
        <f>SUM(F612:F616)</f>
        <v>16272.852010000001</v>
      </c>
      <c r="G611" s="8">
        <f t="shared" si="51"/>
        <v>0</v>
      </c>
      <c r="H611" s="8">
        <f>SUM(H612:H616)</f>
        <v>856.4658952631579</v>
      </c>
      <c r="I611" s="8">
        <f t="shared" si="52"/>
        <v>0</v>
      </c>
      <c r="J611" s="119" t="s">
        <v>939</v>
      </c>
      <c r="K611" s="119" t="s">
        <v>547</v>
      </c>
    </row>
    <row r="612" spans="1:11" ht="12.75" customHeight="1" outlineLevel="1" x14ac:dyDescent="0.25">
      <c r="A612" s="117"/>
      <c r="B612" s="118"/>
      <c r="C612" s="119"/>
      <c r="D612" s="36">
        <v>2021</v>
      </c>
      <c r="E612" s="8">
        <f t="shared" si="49"/>
        <v>0</v>
      </c>
      <c r="F612" s="8">
        <v>0</v>
      </c>
      <c r="G612" s="8">
        <f t="shared" si="51"/>
        <v>0</v>
      </c>
      <c r="H612" s="8">
        <v>0</v>
      </c>
      <c r="I612" s="8">
        <f t="shared" si="52"/>
        <v>0</v>
      </c>
      <c r="J612" s="119"/>
      <c r="K612" s="119"/>
    </row>
    <row r="613" spans="1:11" ht="12.75" customHeight="1" outlineLevel="1" x14ac:dyDescent="0.25">
      <c r="A613" s="117"/>
      <c r="B613" s="118"/>
      <c r="C613" s="119"/>
      <c r="D613" s="36">
        <v>2022</v>
      </c>
      <c r="E613" s="8">
        <f t="shared" si="49"/>
        <v>17129.317905263157</v>
      </c>
      <c r="F613" s="8">
        <v>16272.852010000001</v>
      </c>
      <c r="G613" s="8">
        <f t="shared" si="51"/>
        <v>0</v>
      </c>
      <c r="H613" s="8">
        <f>F613/95*5</f>
        <v>856.4658952631579</v>
      </c>
      <c r="I613" s="8">
        <f t="shared" si="52"/>
        <v>0</v>
      </c>
      <c r="J613" s="119"/>
      <c r="K613" s="119"/>
    </row>
    <row r="614" spans="1:11" ht="12.75" customHeight="1" outlineLevel="1" x14ac:dyDescent="0.25">
      <c r="A614" s="117"/>
      <c r="B614" s="118"/>
      <c r="C614" s="119"/>
      <c r="D614" s="36">
        <v>2023</v>
      </c>
      <c r="E614" s="8">
        <f t="shared" si="49"/>
        <v>0</v>
      </c>
      <c r="F614" s="8">
        <v>0</v>
      </c>
      <c r="G614" s="8">
        <f t="shared" si="51"/>
        <v>0</v>
      </c>
      <c r="H614" s="8">
        <v>0</v>
      </c>
      <c r="I614" s="8">
        <f t="shared" si="52"/>
        <v>0</v>
      </c>
      <c r="J614" s="119"/>
      <c r="K614" s="119"/>
    </row>
    <row r="615" spans="1:11" ht="12.75" customHeight="1" outlineLevel="1" x14ac:dyDescent="0.25">
      <c r="A615" s="117"/>
      <c r="B615" s="118"/>
      <c r="C615" s="119"/>
      <c r="D615" s="36">
        <v>2024</v>
      </c>
      <c r="E615" s="8">
        <f t="shared" si="49"/>
        <v>0</v>
      </c>
      <c r="F615" s="8">
        <v>0</v>
      </c>
      <c r="G615" s="8">
        <f t="shared" si="51"/>
        <v>0</v>
      </c>
      <c r="H615" s="8">
        <v>0</v>
      </c>
      <c r="I615" s="8">
        <f t="shared" si="52"/>
        <v>0</v>
      </c>
      <c r="J615" s="119"/>
      <c r="K615" s="119"/>
    </row>
    <row r="616" spans="1:11" ht="12.75" customHeight="1" outlineLevel="1" x14ac:dyDescent="0.25">
      <c r="A616" s="117"/>
      <c r="B616" s="118"/>
      <c r="C616" s="119"/>
      <c r="D616" s="36">
        <v>2025</v>
      </c>
      <c r="E616" s="8">
        <f t="shared" si="49"/>
        <v>0</v>
      </c>
      <c r="F616" s="8">
        <v>0</v>
      </c>
      <c r="G616" s="8">
        <f t="shared" si="51"/>
        <v>0</v>
      </c>
      <c r="H616" s="8">
        <v>0</v>
      </c>
      <c r="I616" s="8">
        <f t="shared" si="52"/>
        <v>0</v>
      </c>
      <c r="J616" s="119"/>
      <c r="K616" s="119"/>
    </row>
    <row r="617" spans="1:11" ht="12.75" customHeight="1" outlineLevel="1" x14ac:dyDescent="0.25">
      <c r="A617" s="117" t="s">
        <v>940</v>
      </c>
      <c r="B617" s="118" t="s">
        <v>1186</v>
      </c>
      <c r="C617" s="119">
        <v>2022</v>
      </c>
      <c r="D617" s="36" t="s">
        <v>8</v>
      </c>
      <c r="E617" s="8">
        <f t="shared" si="49"/>
        <v>5286.9536799999996</v>
      </c>
      <c r="F617" s="8">
        <f>SUM(F618:F622)</f>
        <v>5022.6066799999999</v>
      </c>
      <c r="G617" s="8">
        <f t="shared" si="51"/>
        <v>0</v>
      </c>
      <c r="H617" s="8">
        <f>SUM(H618:H622)</f>
        <v>264.34699999999998</v>
      </c>
      <c r="I617" s="8">
        <f t="shared" si="52"/>
        <v>0</v>
      </c>
      <c r="J617" s="119" t="s">
        <v>942</v>
      </c>
      <c r="K617" s="119" t="s">
        <v>547</v>
      </c>
    </row>
    <row r="618" spans="1:11" ht="12.75" customHeight="1" outlineLevel="1" x14ac:dyDescent="0.25">
      <c r="A618" s="117"/>
      <c r="B618" s="118"/>
      <c r="C618" s="119"/>
      <c r="D618" s="36">
        <v>2021</v>
      </c>
      <c r="E618" s="8">
        <f t="shared" si="49"/>
        <v>0</v>
      </c>
      <c r="F618" s="8">
        <v>0</v>
      </c>
      <c r="G618" s="8">
        <f t="shared" si="51"/>
        <v>0</v>
      </c>
      <c r="H618" s="8">
        <v>0</v>
      </c>
      <c r="I618" s="8">
        <f t="shared" si="52"/>
        <v>0</v>
      </c>
      <c r="J618" s="119"/>
      <c r="K618" s="119"/>
    </row>
    <row r="619" spans="1:11" ht="12.75" customHeight="1" outlineLevel="1" x14ac:dyDescent="0.25">
      <c r="A619" s="117"/>
      <c r="B619" s="118"/>
      <c r="C619" s="119"/>
      <c r="D619" s="36">
        <v>2022</v>
      </c>
      <c r="E619" s="8">
        <f t="shared" si="49"/>
        <v>5286.9536799999996</v>
      </c>
      <c r="F619" s="8">
        <v>5022.6066799999999</v>
      </c>
      <c r="G619" s="8">
        <f t="shared" si="51"/>
        <v>0</v>
      </c>
      <c r="H619" s="8">
        <v>264.34699999999998</v>
      </c>
      <c r="I619" s="8">
        <f t="shared" si="52"/>
        <v>0</v>
      </c>
      <c r="J619" s="119"/>
      <c r="K619" s="119"/>
    </row>
    <row r="620" spans="1:11" ht="12.75" customHeight="1" outlineLevel="1" x14ac:dyDescent="0.25">
      <c r="A620" s="117"/>
      <c r="B620" s="118"/>
      <c r="C620" s="119"/>
      <c r="D620" s="36">
        <v>2023</v>
      </c>
      <c r="E620" s="8">
        <f t="shared" si="49"/>
        <v>0</v>
      </c>
      <c r="F620" s="8">
        <v>0</v>
      </c>
      <c r="G620" s="8">
        <f t="shared" si="51"/>
        <v>0</v>
      </c>
      <c r="H620" s="8">
        <v>0</v>
      </c>
      <c r="I620" s="8">
        <f t="shared" si="52"/>
        <v>0</v>
      </c>
      <c r="J620" s="119"/>
      <c r="K620" s="119"/>
    </row>
    <row r="621" spans="1:11" ht="12.75" customHeight="1" outlineLevel="1" x14ac:dyDescent="0.25">
      <c r="A621" s="117"/>
      <c r="B621" s="118"/>
      <c r="C621" s="119"/>
      <c r="D621" s="36">
        <v>2024</v>
      </c>
      <c r="E621" s="8">
        <f t="shared" si="49"/>
        <v>0</v>
      </c>
      <c r="F621" s="8">
        <v>0</v>
      </c>
      <c r="G621" s="8">
        <f t="shared" si="51"/>
        <v>0</v>
      </c>
      <c r="H621" s="8">
        <v>0</v>
      </c>
      <c r="I621" s="8">
        <f t="shared" si="52"/>
        <v>0</v>
      </c>
      <c r="J621" s="119"/>
      <c r="K621" s="119"/>
    </row>
    <row r="622" spans="1:11" ht="12.75" customHeight="1" outlineLevel="1" x14ac:dyDescent="0.25">
      <c r="A622" s="117"/>
      <c r="B622" s="118"/>
      <c r="C622" s="119"/>
      <c r="D622" s="36">
        <v>2025</v>
      </c>
      <c r="E622" s="8">
        <f t="shared" ref="E622:F685" si="53">SUM(F622:I622)</f>
        <v>0</v>
      </c>
      <c r="F622" s="8">
        <v>0</v>
      </c>
      <c r="G622" s="8">
        <f t="shared" si="51"/>
        <v>0</v>
      </c>
      <c r="H622" s="8">
        <v>0</v>
      </c>
      <c r="I622" s="8">
        <f t="shared" si="52"/>
        <v>0</v>
      </c>
      <c r="J622" s="119"/>
      <c r="K622" s="119"/>
    </row>
    <row r="623" spans="1:11" ht="12.75" customHeight="1" outlineLevel="1" x14ac:dyDescent="0.25">
      <c r="A623" s="117" t="s">
        <v>943</v>
      </c>
      <c r="B623" s="118" t="s">
        <v>944</v>
      </c>
      <c r="C623" s="119">
        <v>2022</v>
      </c>
      <c r="D623" s="36" t="s">
        <v>8</v>
      </c>
      <c r="E623" s="8">
        <f t="shared" si="53"/>
        <v>2973.9789052631577</v>
      </c>
      <c r="F623" s="8">
        <f>SUM(F624:F628)</f>
        <v>2825.2799599999998</v>
      </c>
      <c r="G623" s="8">
        <f t="shared" si="51"/>
        <v>0</v>
      </c>
      <c r="H623" s="8">
        <f>SUM(H624:H628)</f>
        <v>148.69894526315787</v>
      </c>
      <c r="I623" s="8">
        <f t="shared" si="52"/>
        <v>0</v>
      </c>
      <c r="J623" s="119" t="s">
        <v>945</v>
      </c>
      <c r="K623" s="119" t="s">
        <v>547</v>
      </c>
    </row>
    <row r="624" spans="1:11" ht="12.75" customHeight="1" outlineLevel="1" x14ac:dyDescent="0.25">
      <c r="A624" s="117"/>
      <c r="B624" s="118"/>
      <c r="C624" s="119"/>
      <c r="D624" s="36">
        <v>2021</v>
      </c>
      <c r="E624" s="8">
        <f t="shared" si="53"/>
        <v>0</v>
      </c>
      <c r="F624" s="8">
        <v>0</v>
      </c>
      <c r="G624" s="8">
        <f t="shared" si="51"/>
        <v>0</v>
      </c>
      <c r="H624" s="8">
        <v>0</v>
      </c>
      <c r="I624" s="8">
        <v>0</v>
      </c>
      <c r="J624" s="119"/>
      <c r="K624" s="119"/>
    </row>
    <row r="625" spans="1:11" ht="12.75" customHeight="1" outlineLevel="1" x14ac:dyDescent="0.25">
      <c r="A625" s="117"/>
      <c r="B625" s="118"/>
      <c r="C625" s="119"/>
      <c r="D625" s="36">
        <v>2022</v>
      </c>
      <c r="E625" s="8">
        <f t="shared" si="53"/>
        <v>2973.9789052631577</v>
      </c>
      <c r="F625" s="8">
        <v>2825.2799599999998</v>
      </c>
      <c r="G625" s="8">
        <f t="shared" si="51"/>
        <v>0</v>
      </c>
      <c r="H625" s="8">
        <f>F625/95*5</f>
        <v>148.69894526315787</v>
      </c>
      <c r="I625" s="8">
        <v>0</v>
      </c>
      <c r="J625" s="119"/>
      <c r="K625" s="119"/>
    </row>
    <row r="626" spans="1:11" ht="12.75" customHeight="1" outlineLevel="1" x14ac:dyDescent="0.25">
      <c r="A626" s="117"/>
      <c r="B626" s="118"/>
      <c r="C626" s="119"/>
      <c r="D626" s="36">
        <v>2023</v>
      </c>
      <c r="E626" s="8">
        <f t="shared" si="53"/>
        <v>0</v>
      </c>
      <c r="F626" s="8">
        <v>0</v>
      </c>
      <c r="G626" s="8">
        <v>0</v>
      </c>
      <c r="H626" s="8">
        <v>0</v>
      </c>
      <c r="I626" s="8">
        <v>0</v>
      </c>
      <c r="J626" s="119"/>
      <c r="K626" s="119"/>
    </row>
    <row r="627" spans="1:11" ht="12.75" customHeight="1" outlineLevel="1" x14ac:dyDescent="0.25">
      <c r="A627" s="117"/>
      <c r="B627" s="118"/>
      <c r="C627" s="119"/>
      <c r="D627" s="36">
        <v>2024</v>
      </c>
      <c r="E627" s="8">
        <f t="shared" si="53"/>
        <v>0</v>
      </c>
      <c r="F627" s="8">
        <v>0</v>
      </c>
      <c r="G627" s="8">
        <v>0</v>
      </c>
      <c r="H627" s="8">
        <v>0</v>
      </c>
      <c r="I627" s="8">
        <v>0</v>
      </c>
      <c r="J627" s="119"/>
      <c r="K627" s="119"/>
    </row>
    <row r="628" spans="1:11" ht="12.75" customHeight="1" outlineLevel="1" x14ac:dyDescent="0.25">
      <c r="A628" s="117"/>
      <c r="B628" s="118"/>
      <c r="C628" s="119"/>
      <c r="D628" s="36">
        <v>2025</v>
      </c>
      <c r="E628" s="8">
        <f t="shared" si="53"/>
        <v>0</v>
      </c>
      <c r="F628" s="8">
        <v>0</v>
      </c>
      <c r="G628" s="8">
        <v>0</v>
      </c>
      <c r="H628" s="8">
        <v>0</v>
      </c>
      <c r="I628" s="8">
        <v>0</v>
      </c>
      <c r="J628" s="119"/>
      <c r="K628" s="119"/>
    </row>
    <row r="629" spans="1:11" ht="12.75" customHeight="1" outlineLevel="1" x14ac:dyDescent="0.25">
      <c r="A629" s="117" t="s">
        <v>946</v>
      </c>
      <c r="B629" s="118" t="s">
        <v>947</v>
      </c>
      <c r="C629" s="119" t="s">
        <v>1169</v>
      </c>
      <c r="D629" s="36" t="s">
        <v>8</v>
      </c>
      <c r="E629" s="8">
        <f t="shared" si="53"/>
        <v>26151.575000000001</v>
      </c>
      <c r="F629" s="8">
        <f>SUM(F630:F634)</f>
        <v>24843.99625</v>
      </c>
      <c r="G629" s="8">
        <f t="shared" si="51"/>
        <v>0</v>
      </c>
      <c r="H629" s="8">
        <f>SUM(H630:H634)</f>
        <v>1307.5787500000001</v>
      </c>
      <c r="I629" s="8">
        <f t="shared" si="52"/>
        <v>0</v>
      </c>
      <c r="J629" s="119" t="s">
        <v>1187</v>
      </c>
      <c r="K629" s="119" t="s">
        <v>547</v>
      </c>
    </row>
    <row r="630" spans="1:11" ht="12.75" customHeight="1" outlineLevel="1" x14ac:dyDescent="0.25">
      <c r="A630" s="117"/>
      <c r="B630" s="118"/>
      <c r="C630" s="119"/>
      <c r="D630" s="36">
        <v>2021</v>
      </c>
      <c r="E630" s="8">
        <f t="shared" si="53"/>
        <v>0</v>
      </c>
      <c r="F630" s="8">
        <v>0</v>
      </c>
      <c r="G630" s="8">
        <v>0</v>
      </c>
      <c r="H630" s="8">
        <v>0</v>
      </c>
      <c r="I630" s="8">
        <f>SUM(I631:I634)</f>
        <v>0</v>
      </c>
      <c r="J630" s="119"/>
      <c r="K630" s="119"/>
    </row>
    <row r="631" spans="1:11" ht="12.75" customHeight="1" outlineLevel="1" x14ac:dyDescent="0.25">
      <c r="A631" s="117"/>
      <c r="B631" s="118"/>
      <c r="C631" s="119"/>
      <c r="D631" s="36">
        <v>2022</v>
      </c>
      <c r="E631" s="8">
        <f t="shared" si="53"/>
        <v>16151.575000000001</v>
      </c>
      <c r="F631" s="8">
        <v>15343.99625</v>
      </c>
      <c r="G631" s="8">
        <v>0</v>
      </c>
      <c r="H631" s="8">
        <f>F631*5/95</f>
        <v>807.57875000000001</v>
      </c>
      <c r="I631" s="8">
        <f>SUM(I632:I634)</f>
        <v>0</v>
      </c>
      <c r="J631" s="119"/>
      <c r="K631" s="119"/>
    </row>
    <row r="632" spans="1:11" ht="12.75" customHeight="1" outlineLevel="1" x14ac:dyDescent="0.25">
      <c r="A632" s="117"/>
      <c r="B632" s="118"/>
      <c r="C632" s="119"/>
      <c r="D632" s="36">
        <v>2023</v>
      </c>
      <c r="E632" s="8">
        <f t="shared" si="53"/>
        <v>10000</v>
      </c>
      <c r="F632" s="8">
        <v>9500</v>
      </c>
      <c r="G632" s="8">
        <v>0</v>
      </c>
      <c r="H632" s="8">
        <v>500</v>
      </c>
      <c r="I632" s="8">
        <f>SUM(I633:I634)</f>
        <v>0</v>
      </c>
      <c r="J632" s="119"/>
      <c r="K632" s="119"/>
    </row>
    <row r="633" spans="1:11" ht="12.75" customHeight="1" outlineLevel="1" x14ac:dyDescent="0.25">
      <c r="A633" s="117"/>
      <c r="B633" s="118"/>
      <c r="C633" s="119"/>
      <c r="D633" s="36">
        <v>2024</v>
      </c>
      <c r="E633" s="8">
        <f t="shared" si="53"/>
        <v>0</v>
      </c>
      <c r="F633" s="8">
        <v>0</v>
      </c>
      <c r="G633" s="8">
        <v>0</v>
      </c>
      <c r="H633" s="8">
        <v>0</v>
      </c>
      <c r="I633" s="8">
        <v>0</v>
      </c>
      <c r="J633" s="119"/>
      <c r="K633" s="119"/>
    </row>
    <row r="634" spans="1:11" ht="12.75" customHeight="1" outlineLevel="1" x14ac:dyDescent="0.25">
      <c r="A634" s="117"/>
      <c r="B634" s="118"/>
      <c r="C634" s="119"/>
      <c r="D634" s="36">
        <v>2025</v>
      </c>
      <c r="E634" s="8">
        <f t="shared" si="53"/>
        <v>0</v>
      </c>
      <c r="F634" s="8">
        <v>0</v>
      </c>
      <c r="G634" s="8">
        <v>0</v>
      </c>
      <c r="H634" s="8">
        <v>0</v>
      </c>
      <c r="I634" s="8">
        <v>0</v>
      </c>
      <c r="J634" s="119"/>
      <c r="K634" s="119"/>
    </row>
    <row r="635" spans="1:11" ht="12.75" customHeight="1" outlineLevel="1" x14ac:dyDescent="0.25">
      <c r="A635" s="117" t="s">
        <v>1188</v>
      </c>
      <c r="B635" s="118" t="s">
        <v>1189</v>
      </c>
      <c r="C635" s="119" t="s">
        <v>1169</v>
      </c>
      <c r="D635" s="36" t="s">
        <v>8</v>
      </c>
      <c r="E635" s="8">
        <f t="shared" si="53"/>
        <v>11451.6183</v>
      </c>
      <c r="F635" s="8">
        <f>SUM(F636:F640)</f>
        <v>11451.6183</v>
      </c>
      <c r="G635" s="8">
        <f t="shared" si="51"/>
        <v>0</v>
      </c>
      <c r="H635" s="8">
        <f>SUM(H636:H640)</f>
        <v>0</v>
      </c>
      <c r="I635" s="8">
        <f>SUM(I636:I640)</f>
        <v>0</v>
      </c>
      <c r="J635" s="119" t="s">
        <v>1756</v>
      </c>
      <c r="K635" s="119" t="s">
        <v>1190</v>
      </c>
    </row>
    <row r="636" spans="1:11" ht="12.75" customHeight="1" outlineLevel="1" x14ac:dyDescent="0.25">
      <c r="A636" s="117"/>
      <c r="B636" s="118"/>
      <c r="C636" s="119"/>
      <c r="D636" s="36">
        <v>2021</v>
      </c>
      <c r="E636" s="8">
        <f t="shared" si="53"/>
        <v>0</v>
      </c>
      <c r="F636" s="8">
        <v>0</v>
      </c>
      <c r="G636" s="8">
        <v>0</v>
      </c>
      <c r="H636" s="8">
        <v>0</v>
      </c>
      <c r="I636" s="8">
        <v>0</v>
      </c>
      <c r="J636" s="119"/>
      <c r="K636" s="119"/>
    </row>
    <row r="637" spans="1:11" ht="12.75" customHeight="1" outlineLevel="1" x14ac:dyDescent="0.25">
      <c r="A637" s="117"/>
      <c r="B637" s="118"/>
      <c r="C637" s="119"/>
      <c r="D637" s="36">
        <v>2022</v>
      </c>
      <c r="E637" s="8">
        <f t="shared" si="53"/>
        <v>11287.552299999999</v>
      </c>
      <c r="F637" s="8">
        <v>11287.552299999999</v>
      </c>
      <c r="G637" s="8">
        <v>0</v>
      </c>
      <c r="H637" s="8">
        <v>0</v>
      </c>
      <c r="I637" s="8">
        <v>0</v>
      </c>
      <c r="J637" s="119"/>
      <c r="K637" s="119"/>
    </row>
    <row r="638" spans="1:11" ht="12.75" customHeight="1" outlineLevel="1" x14ac:dyDescent="0.25">
      <c r="A638" s="117"/>
      <c r="B638" s="118"/>
      <c r="C638" s="119"/>
      <c r="D638" s="36">
        <v>2023</v>
      </c>
      <c r="E638" s="8">
        <f t="shared" si="53"/>
        <v>164.066</v>
      </c>
      <c r="F638" s="8">
        <v>164.066</v>
      </c>
      <c r="G638" s="8">
        <v>0</v>
      </c>
      <c r="H638" s="8">
        <v>0</v>
      </c>
      <c r="I638" s="8">
        <v>0</v>
      </c>
      <c r="J638" s="119"/>
      <c r="K638" s="119"/>
    </row>
    <row r="639" spans="1:11" ht="12.75" customHeight="1" outlineLevel="1" x14ac:dyDescent="0.25">
      <c r="A639" s="117"/>
      <c r="B639" s="118"/>
      <c r="C639" s="119"/>
      <c r="D639" s="36">
        <v>2024</v>
      </c>
      <c r="E639" s="8">
        <f t="shared" si="53"/>
        <v>0</v>
      </c>
      <c r="F639" s="8">
        <v>0</v>
      </c>
      <c r="G639" s="8">
        <v>0</v>
      </c>
      <c r="H639" s="8">
        <v>0</v>
      </c>
      <c r="I639" s="8">
        <v>0</v>
      </c>
      <c r="J639" s="119"/>
      <c r="K639" s="119"/>
    </row>
    <row r="640" spans="1:11" ht="12.75" customHeight="1" outlineLevel="1" x14ac:dyDescent="0.25">
      <c r="A640" s="117"/>
      <c r="B640" s="118"/>
      <c r="C640" s="119"/>
      <c r="D640" s="36">
        <v>2025</v>
      </c>
      <c r="E640" s="8">
        <f t="shared" si="53"/>
        <v>0</v>
      </c>
      <c r="F640" s="8">
        <v>0</v>
      </c>
      <c r="G640" s="8">
        <v>0</v>
      </c>
      <c r="H640" s="8">
        <v>0</v>
      </c>
      <c r="I640" s="8">
        <v>0</v>
      </c>
      <c r="J640" s="119"/>
      <c r="K640" s="119"/>
    </row>
    <row r="641" spans="1:11" ht="12.75" customHeight="1" outlineLevel="1" x14ac:dyDescent="0.25">
      <c r="A641" s="117" t="s">
        <v>1191</v>
      </c>
      <c r="B641" s="118" t="s">
        <v>1192</v>
      </c>
      <c r="C641" s="119">
        <v>2022</v>
      </c>
      <c r="D641" s="36" t="s">
        <v>8</v>
      </c>
      <c r="E641" s="8">
        <f t="shared" si="53"/>
        <v>2900</v>
      </c>
      <c r="F641" s="8">
        <f>SUM(F642:F646)</f>
        <v>2900</v>
      </c>
      <c r="G641" s="8">
        <f t="shared" ref="G641:I653" si="54">SUM(G642:G646)</f>
        <v>0</v>
      </c>
      <c r="H641" s="8">
        <f>SUM(H642:H646)</f>
        <v>0</v>
      </c>
      <c r="I641" s="8">
        <f>SUM(I642:I646)</f>
        <v>0</v>
      </c>
      <c r="J641" s="119" t="s">
        <v>1193</v>
      </c>
      <c r="K641" s="119" t="s">
        <v>597</v>
      </c>
    </row>
    <row r="642" spans="1:11" ht="12.75" customHeight="1" outlineLevel="1" x14ac:dyDescent="0.25">
      <c r="A642" s="117"/>
      <c r="B642" s="118"/>
      <c r="C642" s="119"/>
      <c r="D642" s="36">
        <v>2021</v>
      </c>
      <c r="E642" s="8">
        <f t="shared" si="53"/>
        <v>0</v>
      </c>
      <c r="F642" s="8">
        <v>0</v>
      </c>
      <c r="G642" s="8">
        <v>0</v>
      </c>
      <c r="H642" s="8">
        <v>0</v>
      </c>
      <c r="I642" s="8">
        <v>0</v>
      </c>
      <c r="J642" s="119"/>
      <c r="K642" s="119"/>
    </row>
    <row r="643" spans="1:11" ht="12.75" customHeight="1" outlineLevel="1" x14ac:dyDescent="0.25">
      <c r="A643" s="117"/>
      <c r="B643" s="118"/>
      <c r="C643" s="119"/>
      <c r="D643" s="36">
        <v>2022</v>
      </c>
      <c r="E643" s="8">
        <f t="shared" si="53"/>
        <v>2900</v>
      </c>
      <c r="F643" s="8">
        <v>2900</v>
      </c>
      <c r="G643" s="8">
        <v>0</v>
      </c>
      <c r="H643" s="8">
        <v>0</v>
      </c>
      <c r="I643" s="8">
        <v>0</v>
      </c>
      <c r="J643" s="119"/>
      <c r="K643" s="119"/>
    </row>
    <row r="644" spans="1:11" ht="12.75" customHeight="1" outlineLevel="1" x14ac:dyDescent="0.25">
      <c r="A644" s="117"/>
      <c r="B644" s="118"/>
      <c r="C644" s="119"/>
      <c r="D644" s="36">
        <v>2023</v>
      </c>
      <c r="E644" s="8">
        <f t="shared" si="53"/>
        <v>0</v>
      </c>
      <c r="F644" s="8">
        <v>0</v>
      </c>
      <c r="G644" s="8">
        <v>0</v>
      </c>
      <c r="H644" s="8">
        <v>0</v>
      </c>
      <c r="I644" s="8">
        <v>0</v>
      </c>
      <c r="J644" s="119"/>
      <c r="K644" s="119"/>
    </row>
    <row r="645" spans="1:11" ht="12.75" customHeight="1" outlineLevel="1" x14ac:dyDescent="0.25">
      <c r="A645" s="117"/>
      <c r="B645" s="118"/>
      <c r="C645" s="119"/>
      <c r="D645" s="36">
        <v>2024</v>
      </c>
      <c r="E645" s="8">
        <f t="shared" si="53"/>
        <v>0</v>
      </c>
      <c r="F645" s="8">
        <v>0</v>
      </c>
      <c r="G645" s="8">
        <v>0</v>
      </c>
      <c r="H645" s="8">
        <v>0</v>
      </c>
      <c r="I645" s="8">
        <v>0</v>
      </c>
      <c r="J645" s="119"/>
      <c r="K645" s="119"/>
    </row>
    <row r="646" spans="1:11" ht="12.75" customHeight="1" outlineLevel="1" x14ac:dyDescent="0.25">
      <c r="A646" s="117"/>
      <c r="B646" s="118"/>
      <c r="C646" s="119"/>
      <c r="D646" s="36">
        <v>2025</v>
      </c>
      <c r="E646" s="8">
        <f t="shared" si="53"/>
        <v>0</v>
      </c>
      <c r="F646" s="8">
        <v>0</v>
      </c>
      <c r="G646" s="8">
        <v>0</v>
      </c>
      <c r="H646" s="8">
        <v>0</v>
      </c>
      <c r="I646" s="8">
        <v>0</v>
      </c>
      <c r="J646" s="119"/>
      <c r="K646" s="119"/>
    </row>
    <row r="647" spans="1:11" ht="12.75" customHeight="1" outlineLevel="1" x14ac:dyDescent="0.25">
      <c r="A647" s="117" t="s">
        <v>1194</v>
      </c>
      <c r="B647" s="118" t="s">
        <v>1195</v>
      </c>
      <c r="C647" s="119">
        <v>2022</v>
      </c>
      <c r="D647" s="36" t="s">
        <v>8</v>
      </c>
      <c r="E647" s="8">
        <f t="shared" si="53"/>
        <v>0</v>
      </c>
      <c r="F647" s="8">
        <f>SUM(F648:F652)</f>
        <v>0</v>
      </c>
      <c r="G647" s="8">
        <f t="shared" si="54"/>
        <v>0</v>
      </c>
      <c r="H647" s="8">
        <f>SUM(H648:H652)</f>
        <v>0</v>
      </c>
      <c r="I647" s="8">
        <f>SUM(I648:I652)</f>
        <v>0</v>
      </c>
      <c r="J647" s="119" t="s">
        <v>1196</v>
      </c>
      <c r="K647" s="119" t="s">
        <v>597</v>
      </c>
    </row>
    <row r="648" spans="1:11" ht="12.75" customHeight="1" outlineLevel="1" x14ac:dyDescent="0.25">
      <c r="A648" s="117"/>
      <c r="B648" s="118"/>
      <c r="C648" s="119"/>
      <c r="D648" s="36">
        <v>2021</v>
      </c>
      <c r="E648" s="8">
        <f t="shared" si="53"/>
        <v>0</v>
      </c>
      <c r="F648" s="8">
        <v>0</v>
      </c>
      <c r="G648" s="8">
        <v>0</v>
      </c>
      <c r="H648" s="8">
        <v>0</v>
      </c>
      <c r="I648" s="8">
        <v>0</v>
      </c>
      <c r="J648" s="119"/>
      <c r="K648" s="119"/>
    </row>
    <row r="649" spans="1:11" ht="12.75" customHeight="1" outlineLevel="1" x14ac:dyDescent="0.25">
      <c r="A649" s="117"/>
      <c r="B649" s="118"/>
      <c r="C649" s="119"/>
      <c r="D649" s="36">
        <v>2022</v>
      </c>
      <c r="E649" s="8">
        <f t="shared" si="53"/>
        <v>0</v>
      </c>
      <c r="F649" s="8">
        <v>0</v>
      </c>
      <c r="G649" s="8">
        <v>0</v>
      </c>
      <c r="H649" s="8">
        <v>0</v>
      </c>
      <c r="I649" s="8">
        <v>0</v>
      </c>
      <c r="J649" s="119"/>
      <c r="K649" s="119"/>
    </row>
    <row r="650" spans="1:11" ht="12.75" customHeight="1" outlineLevel="1" x14ac:dyDescent="0.25">
      <c r="A650" s="117"/>
      <c r="B650" s="118"/>
      <c r="C650" s="119"/>
      <c r="D650" s="36">
        <v>2023</v>
      </c>
      <c r="E650" s="8">
        <f t="shared" si="53"/>
        <v>0</v>
      </c>
      <c r="F650" s="8">
        <v>0</v>
      </c>
      <c r="G650" s="8">
        <v>0</v>
      </c>
      <c r="H650" s="8">
        <v>0</v>
      </c>
      <c r="I650" s="8">
        <v>0</v>
      </c>
      <c r="J650" s="119"/>
      <c r="K650" s="119"/>
    </row>
    <row r="651" spans="1:11" ht="12.75" customHeight="1" outlineLevel="1" x14ac:dyDescent="0.25">
      <c r="A651" s="117"/>
      <c r="B651" s="118"/>
      <c r="C651" s="119"/>
      <c r="D651" s="36">
        <v>2024</v>
      </c>
      <c r="E651" s="8">
        <f t="shared" si="53"/>
        <v>0</v>
      </c>
      <c r="F651" s="8">
        <v>0</v>
      </c>
      <c r="G651" s="8">
        <v>0</v>
      </c>
      <c r="H651" s="8">
        <v>0</v>
      </c>
      <c r="I651" s="8">
        <v>0</v>
      </c>
      <c r="J651" s="119"/>
      <c r="K651" s="119"/>
    </row>
    <row r="652" spans="1:11" ht="12.75" customHeight="1" outlineLevel="1" x14ac:dyDescent="0.25">
      <c r="A652" s="117"/>
      <c r="B652" s="118"/>
      <c r="C652" s="119"/>
      <c r="D652" s="36">
        <v>2025</v>
      </c>
      <c r="E652" s="8">
        <f t="shared" si="53"/>
        <v>0</v>
      </c>
      <c r="F652" s="8">
        <v>0</v>
      </c>
      <c r="G652" s="8">
        <v>0</v>
      </c>
      <c r="H652" s="8">
        <v>0</v>
      </c>
      <c r="I652" s="8">
        <v>0</v>
      </c>
      <c r="J652" s="119"/>
      <c r="K652" s="119"/>
    </row>
    <row r="653" spans="1:11" ht="15.75" customHeight="1" outlineLevel="1" x14ac:dyDescent="0.25">
      <c r="A653" s="117" t="s">
        <v>1197</v>
      </c>
      <c r="B653" s="118" t="s">
        <v>1198</v>
      </c>
      <c r="C653" s="119">
        <v>2022</v>
      </c>
      <c r="D653" s="36" t="s">
        <v>8</v>
      </c>
      <c r="E653" s="8">
        <f t="shared" si="53"/>
        <v>964.12733015494632</v>
      </c>
      <c r="F653" s="8">
        <f>SUM(F654:F658)</f>
        <v>808.90282999999999</v>
      </c>
      <c r="G653" s="8">
        <f t="shared" si="54"/>
        <v>0</v>
      </c>
      <c r="H653" s="8">
        <f t="shared" si="54"/>
        <v>155.22450015494636</v>
      </c>
      <c r="I653" s="8">
        <f t="shared" si="54"/>
        <v>0</v>
      </c>
      <c r="J653" s="119" t="s">
        <v>1199</v>
      </c>
      <c r="K653" s="119" t="s">
        <v>566</v>
      </c>
    </row>
    <row r="654" spans="1:11" ht="15.75" customHeight="1" outlineLevel="1" x14ac:dyDescent="0.25">
      <c r="A654" s="117"/>
      <c r="B654" s="118"/>
      <c r="C654" s="119"/>
      <c r="D654" s="36">
        <v>2021</v>
      </c>
      <c r="E654" s="8">
        <f t="shared" si="53"/>
        <v>0</v>
      </c>
      <c r="F654" s="8">
        <v>0</v>
      </c>
      <c r="G654" s="8">
        <v>0</v>
      </c>
      <c r="H654" s="8">
        <v>0</v>
      </c>
      <c r="I654" s="8">
        <v>0</v>
      </c>
      <c r="J654" s="119"/>
      <c r="K654" s="119"/>
    </row>
    <row r="655" spans="1:11" ht="19.5" customHeight="1" outlineLevel="1" x14ac:dyDescent="0.25">
      <c r="A655" s="117"/>
      <c r="B655" s="118"/>
      <c r="C655" s="119"/>
      <c r="D655" s="36">
        <v>2022</v>
      </c>
      <c r="E655" s="8">
        <f t="shared" si="53"/>
        <v>964.12733015494632</v>
      </c>
      <c r="F655" s="8">
        <f>808.944-0.04117</f>
        <v>808.90282999999999</v>
      </c>
      <c r="G655" s="8">
        <v>0</v>
      </c>
      <c r="H655" s="8">
        <f>F655*16.1/83.9</f>
        <v>155.22450015494636</v>
      </c>
      <c r="I655" s="8">
        <v>0</v>
      </c>
      <c r="J655" s="119"/>
      <c r="K655" s="119"/>
    </row>
    <row r="656" spans="1:11" ht="18" customHeight="1" outlineLevel="1" x14ac:dyDescent="0.25">
      <c r="A656" s="117"/>
      <c r="B656" s="118"/>
      <c r="C656" s="119"/>
      <c r="D656" s="36">
        <v>2023</v>
      </c>
      <c r="E656" s="8">
        <f t="shared" si="53"/>
        <v>0</v>
      </c>
      <c r="F656" s="8">
        <v>0</v>
      </c>
      <c r="G656" s="8">
        <v>0</v>
      </c>
      <c r="H656" s="8">
        <v>0</v>
      </c>
      <c r="I656" s="8">
        <v>0</v>
      </c>
      <c r="J656" s="119"/>
      <c r="K656" s="119"/>
    </row>
    <row r="657" spans="1:11" ht="16.5" customHeight="1" outlineLevel="1" x14ac:dyDescent="0.25">
      <c r="A657" s="117"/>
      <c r="B657" s="118"/>
      <c r="C657" s="119"/>
      <c r="D657" s="36">
        <v>2024</v>
      </c>
      <c r="E657" s="8">
        <f t="shared" si="53"/>
        <v>0</v>
      </c>
      <c r="F657" s="8">
        <v>0</v>
      </c>
      <c r="G657" s="8">
        <v>0</v>
      </c>
      <c r="H657" s="8">
        <v>0</v>
      </c>
      <c r="I657" s="8">
        <v>0</v>
      </c>
      <c r="J657" s="119"/>
      <c r="K657" s="119"/>
    </row>
    <row r="658" spans="1:11" ht="16.5" customHeight="1" outlineLevel="1" x14ac:dyDescent="0.25">
      <c r="A658" s="117"/>
      <c r="B658" s="118"/>
      <c r="C658" s="119"/>
      <c r="D658" s="36">
        <v>2025</v>
      </c>
      <c r="E658" s="8">
        <f t="shared" si="53"/>
        <v>0</v>
      </c>
      <c r="F658" s="8">
        <v>0</v>
      </c>
      <c r="G658" s="8">
        <v>0</v>
      </c>
      <c r="H658" s="8">
        <v>0</v>
      </c>
      <c r="I658" s="8">
        <v>0</v>
      </c>
      <c r="J658" s="119"/>
      <c r="K658" s="119"/>
    </row>
    <row r="659" spans="1:11" ht="11.25" customHeight="1" outlineLevel="1" x14ac:dyDescent="0.25">
      <c r="A659" s="117" t="s">
        <v>1200</v>
      </c>
      <c r="B659" s="118" t="s">
        <v>1201</v>
      </c>
      <c r="C659" s="119">
        <v>2022</v>
      </c>
      <c r="D659" s="36" t="s">
        <v>8</v>
      </c>
      <c r="E659" s="8">
        <f t="shared" si="53"/>
        <v>5088.3444576877237</v>
      </c>
      <c r="F659" s="8">
        <f>SUM(F660:F664)</f>
        <v>4269.1210000000001</v>
      </c>
      <c r="G659" s="8">
        <f t="shared" ref="G659:I677" si="55">SUM(G660:G664)</f>
        <v>0</v>
      </c>
      <c r="H659" s="8">
        <f t="shared" si="55"/>
        <v>819.22345768772345</v>
      </c>
      <c r="I659" s="8">
        <f t="shared" si="55"/>
        <v>0</v>
      </c>
      <c r="J659" s="119" t="s">
        <v>1202</v>
      </c>
      <c r="K659" s="119" t="s">
        <v>566</v>
      </c>
    </row>
    <row r="660" spans="1:11" ht="11.25" customHeight="1" outlineLevel="1" x14ac:dyDescent="0.25">
      <c r="A660" s="117"/>
      <c r="B660" s="118"/>
      <c r="C660" s="119"/>
      <c r="D660" s="36">
        <v>2021</v>
      </c>
      <c r="E660" s="8">
        <f t="shared" si="53"/>
        <v>0</v>
      </c>
      <c r="F660" s="8">
        <v>0</v>
      </c>
      <c r="G660" s="8">
        <v>0</v>
      </c>
      <c r="H660" s="8">
        <v>0</v>
      </c>
      <c r="I660" s="8">
        <v>0</v>
      </c>
      <c r="J660" s="119"/>
      <c r="K660" s="119"/>
    </row>
    <row r="661" spans="1:11" ht="11.25" customHeight="1" outlineLevel="1" x14ac:dyDescent="0.25">
      <c r="A661" s="117"/>
      <c r="B661" s="118"/>
      <c r="C661" s="119"/>
      <c r="D661" s="36">
        <v>2022</v>
      </c>
      <c r="E661" s="8">
        <f t="shared" si="53"/>
        <v>5088.3444576877237</v>
      </c>
      <c r="F661" s="8">
        <f>4677.411-408.29</f>
        <v>4269.1210000000001</v>
      </c>
      <c r="G661" s="8">
        <v>0</v>
      </c>
      <c r="H661" s="8">
        <f>F661*16.1/83.9</f>
        <v>819.22345768772345</v>
      </c>
      <c r="I661" s="8">
        <v>0</v>
      </c>
      <c r="J661" s="119"/>
      <c r="K661" s="119"/>
    </row>
    <row r="662" spans="1:11" ht="11.25" customHeight="1" outlineLevel="1" x14ac:dyDescent="0.25">
      <c r="A662" s="117"/>
      <c r="B662" s="118"/>
      <c r="C662" s="119"/>
      <c r="D662" s="36">
        <v>2023</v>
      </c>
      <c r="E662" s="8">
        <f t="shared" si="53"/>
        <v>0</v>
      </c>
      <c r="F662" s="8">
        <v>0</v>
      </c>
      <c r="G662" s="8">
        <v>0</v>
      </c>
      <c r="H662" s="8">
        <v>0</v>
      </c>
      <c r="I662" s="8">
        <v>0</v>
      </c>
      <c r="J662" s="119"/>
      <c r="K662" s="119"/>
    </row>
    <row r="663" spans="1:11" ht="11.25" customHeight="1" outlineLevel="1" x14ac:dyDescent="0.25">
      <c r="A663" s="117"/>
      <c r="B663" s="118"/>
      <c r="C663" s="119"/>
      <c r="D663" s="36">
        <v>2024</v>
      </c>
      <c r="E663" s="8">
        <f t="shared" si="53"/>
        <v>0</v>
      </c>
      <c r="F663" s="8">
        <v>0</v>
      </c>
      <c r="G663" s="8">
        <v>0</v>
      </c>
      <c r="H663" s="8">
        <v>0</v>
      </c>
      <c r="I663" s="8">
        <v>0</v>
      </c>
      <c r="J663" s="119"/>
      <c r="K663" s="119"/>
    </row>
    <row r="664" spans="1:11" ht="11.25" customHeight="1" outlineLevel="1" x14ac:dyDescent="0.25">
      <c r="A664" s="117"/>
      <c r="B664" s="118"/>
      <c r="C664" s="119"/>
      <c r="D664" s="36">
        <v>2025</v>
      </c>
      <c r="E664" s="8">
        <f t="shared" si="53"/>
        <v>0</v>
      </c>
      <c r="F664" s="8">
        <v>0</v>
      </c>
      <c r="G664" s="8">
        <v>0</v>
      </c>
      <c r="H664" s="8">
        <v>0</v>
      </c>
      <c r="I664" s="8">
        <v>0</v>
      </c>
      <c r="J664" s="119"/>
      <c r="K664" s="119"/>
    </row>
    <row r="665" spans="1:11" ht="11.25" customHeight="1" outlineLevel="1" x14ac:dyDescent="0.25">
      <c r="A665" s="117" t="s">
        <v>1203</v>
      </c>
      <c r="B665" s="118" t="s">
        <v>1204</v>
      </c>
      <c r="C665" s="119">
        <v>2022</v>
      </c>
      <c r="D665" s="36" t="s">
        <v>8</v>
      </c>
      <c r="E665" s="8">
        <f t="shared" si="53"/>
        <v>35550</v>
      </c>
      <c r="F665" s="8">
        <f>SUM(F666:F670)</f>
        <v>33772.5</v>
      </c>
      <c r="G665" s="8">
        <v>0</v>
      </c>
      <c r="H665" s="8">
        <f>SUM(H666:H670)</f>
        <v>1777.5</v>
      </c>
      <c r="I665" s="8">
        <v>0</v>
      </c>
      <c r="J665" s="119" t="s">
        <v>1205</v>
      </c>
      <c r="K665" s="119" t="s">
        <v>1206</v>
      </c>
    </row>
    <row r="666" spans="1:11" ht="11.25" customHeight="1" outlineLevel="1" x14ac:dyDescent="0.25">
      <c r="A666" s="117"/>
      <c r="B666" s="118"/>
      <c r="C666" s="119"/>
      <c r="D666" s="36">
        <v>2021</v>
      </c>
      <c r="E666" s="8">
        <f t="shared" si="53"/>
        <v>0</v>
      </c>
      <c r="F666" s="8">
        <v>0</v>
      </c>
      <c r="G666" s="8">
        <v>0</v>
      </c>
      <c r="H666" s="8">
        <v>0</v>
      </c>
      <c r="I666" s="8">
        <v>0</v>
      </c>
      <c r="J666" s="119"/>
      <c r="K666" s="119"/>
    </row>
    <row r="667" spans="1:11" ht="11.25" customHeight="1" outlineLevel="1" x14ac:dyDescent="0.25">
      <c r="A667" s="117"/>
      <c r="B667" s="118"/>
      <c r="C667" s="119"/>
      <c r="D667" s="36">
        <v>2022</v>
      </c>
      <c r="E667" s="8">
        <f t="shared" si="53"/>
        <v>35550</v>
      </c>
      <c r="F667" s="8">
        <v>33772.5</v>
      </c>
      <c r="G667" s="8">
        <v>0</v>
      </c>
      <c r="H667" s="8">
        <f>F667*5/95</f>
        <v>1777.5</v>
      </c>
      <c r="I667" s="8">
        <v>0</v>
      </c>
      <c r="J667" s="119"/>
      <c r="K667" s="119"/>
    </row>
    <row r="668" spans="1:11" ht="11.25" customHeight="1" outlineLevel="1" x14ac:dyDescent="0.25">
      <c r="A668" s="117"/>
      <c r="B668" s="118"/>
      <c r="C668" s="119"/>
      <c r="D668" s="36">
        <v>2023</v>
      </c>
      <c r="E668" s="8">
        <f t="shared" si="53"/>
        <v>0</v>
      </c>
      <c r="F668" s="8">
        <v>0</v>
      </c>
      <c r="G668" s="8">
        <v>0</v>
      </c>
      <c r="H668" s="8">
        <v>0</v>
      </c>
      <c r="I668" s="8">
        <v>0</v>
      </c>
      <c r="J668" s="119"/>
      <c r="K668" s="119"/>
    </row>
    <row r="669" spans="1:11" ht="11.25" customHeight="1" outlineLevel="1" x14ac:dyDescent="0.25">
      <c r="A669" s="117"/>
      <c r="B669" s="118"/>
      <c r="C669" s="119"/>
      <c r="D669" s="36">
        <v>2024</v>
      </c>
      <c r="E669" s="8">
        <f t="shared" si="53"/>
        <v>0</v>
      </c>
      <c r="F669" s="8">
        <v>0</v>
      </c>
      <c r="G669" s="8">
        <v>0</v>
      </c>
      <c r="H669" s="8">
        <v>0</v>
      </c>
      <c r="I669" s="8">
        <v>0</v>
      </c>
      <c r="J669" s="119"/>
      <c r="K669" s="119"/>
    </row>
    <row r="670" spans="1:11" ht="11.25" customHeight="1" outlineLevel="1" x14ac:dyDescent="0.25">
      <c r="A670" s="117"/>
      <c r="B670" s="118"/>
      <c r="C670" s="119"/>
      <c r="D670" s="36">
        <v>2025</v>
      </c>
      <c r="E670" s="8">
        <f t="shared" si="53"/>
        <v>0</v>
      </c>
      <c r="F670" s="8">
        <v>0</v>
      </c>
      <c r="G670" s="8">
        <v>0</v>
      </c>
      <c r="H670" s="8">
        <v>0</v>
      </c>
      <c r="I670" s="8">
        <v>0</v>
      </c>
      <c r="J670" s="119"/>
      <c r="K670" s="119"/>
    </row>
    <row r="671" spans="1:11" ht="11.25" customHeight="1" outlineLevel="1" x14ac:dyDescent="0.25">
      <c r="A671" s="117" t="s">
        <v>1207</v>
      </c>
      <c r="B671" s="118" t="s">
        <v>1208</v>
      </c>
      <c r="C671" s="119">
        <v>2022</v>
      </c>
      <c r="D671" s="36" t="s">
        <v>8</v>
      </c>
      <c r="E671" s="8">
        <f t="shared" si="53"/>
        <v>15871.72</v>
      </c>
      <c r="F671" s="8">
        <f>SUM(F672:F676)</f>
        <v>15078.134</v>
      </c>
      <c r="G671" s="8">
        <v>0</v>
      </c>
      <c r="H671" s="8">
        <f>SUM(H672:H676)</f>
        <v>793.58600000000001</v>
      </c>
      <c r="I671" s="8">
        <v>0</v>
      </c>
      <c r="J671" s="119" t="s">
        <v>1209</v>
      </c>
      <c r="K671" s="119" t="s">
        <v>1206</v>
      </c>
    </row>
    <row r="672" spans="1:11" ht="11.25" customHeight="1" outlineLevel="1" x14ac:dyDescent="0.25">
      <c r="A672" s="117"/>
      <c r="B672" s="118"/>
      <c r="C672" s="119"/>
      <c r="D672" s="36">
        <v>2021</v>
      </c>
      <c r="E672" s="8">
        <f t="shared" si="53"/>
        <v>0</v>
      </c>
      <c r="F672" s="8">
        <f>SUM(G672:J672)</f>
        <v>0</v>
      </c>
      <c r="G672" s="8">
        <v>0</v>
      </c>
      <c r="H672" s="8">
        <v>0</v>
      </c>
      <c r="I672" s="8">
        <v>0</v>
      </c>
      <c r="J672" s="119"/>
      <c r="K672" s="119"/>
    </row>
    <row r="673" spans="1:11" ht="11.25" customHeight="1" outlineLevel="1" x14ac:dyDescent="0.25">
      <c r="A673" s="117"/>
      <c r="B673" s="118"/>
      <c r="C673" s="119"/>
      <c r="D673" s="36">
        <v>2022</v>
      </c>
      <c r="E673" s="8">
        <f t="shared" si="53"/>
        <v>15871.72</v>
      </c>
      <c r="F673" s="8">
        <v>15078.134</v>
      </c>
      <c r="G673" s="8">
        <v>0</v>
      </c>
      <c r="H673" s="8">
        <f>F673*5/95</f>
        <v>793.58600000000001</v>
      </c>
      <c r="I673" s="8">
        <v>0</v>
      </c>
      <c r="J673" s="119"/>
      <c r="K673" s="119"/>
    </row>
    <row r="674" spans="1:11" ht="11.25" customHeight="1" outlineLevel="1" x14ac:dyDescent="0.25">
      <c r="A674" s="117"/>
      <c r="B674" s="118"/>
      <c r="C674" s="119"/>
      <c r="D674" s="36">
        <v>2023</v>
      </c>
      <c r="E674" s="8">
        <f t="shared" si="53"/>
        <v>0</v>
      </c>
      <c r="F674" s="8">
        <f t="shared" si="53"/>
        <v>0</v>
      </c>
      <c r="G674" s="8">
        <v>0</v>
      </c>
      <c r="H674" s="8">
        <v>0</v>
      </c>
      <c r="I674" s="8">
        <v>0</v>
      </c>
      <c r="J674" s="119"/>
      <c r="K674" s="119"/>
    </row>
    <row r="675" spans="1:11" ht="11.25" customHeight="1" outlineLevel="1" x14ac:dyDescent="0.25">
      <c r="A675" s="117"/>
      <c r="B675" s="118"/>
      <c r="C675" s="119"/>
      <c r="D675" s="36">
        <v>2024</v>
      </c>
      <c r="E675" s="8">
        <f t="shared" si="53"/>
        <v>0</v>
      </c>
      <c r="F675" s="8">
        <f t="shared" si="53"/>
        <v>0</v>
      </c>
      <c r="G675" s="8">
        <v>0</v>
      </c>
      <c r="H675" s="8">
        <v>0</v>
      </c>
      <c r="I675" s="8">
        <v>0</v>
      </c>
      <c r="J675" s="119"/>
      <c r="K675" s="119"/>
    </row>
    <row r="676" spans="1:11" ht="11.25" customHeight="1" outlineLevel="1" x14ac:dyDescent="0.25">
      <c r="A676" s="117"/>
      <c r="B676" s="118"/>
      <c r="C676" s="119"/>
      <c r="D676" s="36">
        <v>2025</v>
      </c>
      <c r="E676" s="8">
        <f t="shared" si="53"/>
        <v>0</v>
      </c>
      <c r="F676" s="8">
        <f t="shared" si="53"/>
        <v>0</v>
      </c>
      <c r="G676" s="8">
        <v>0</v>
      </c>
      <c r="H676" s="8">
        <v>0</v>
      </c>
      <c r="I676" s="8">
        <v>0</v>
      </c>
      <c r="J676" s="119"/>
      <c r="K676" s="119"/>
    </row>
    <row r="677" spans="1:11" ht="12.75" customHeight="1" outlineLevel="1" x14ac:dyDescent="0.25">
      <c r="A677" s="117" t="s">
        <v>1210</v>
      </c>
      <c r="B677" s="118" t="s">
        <v>1211</v>
      </c>
      <c r="C677" s="119" t="s">
        <v>1113</v>
      </c>
      <c r="D677" s="36" t="s">
        <v>8</v>
      </c>
      <c r="E677" s="8">
        <f t="shared" si="53"/>
        <v>328021.95</v>
      </c>
      <c r="F677" s="8">
        <f>SUM(F678:F682)</f>
        <v>98140.857000000004</v>
      </c>
      <c r="G677" s="8">
        <f t="shared" si="55"/>
        <v>229881.09299999999</v>
      </c>
      <c r="H677" s="8">
        <f>SUM(H678:H682)</f>
        <v>0</v>
      </c>
      <c r="I677" s="8">
        <f>SUM(I678:I682)</f>
        <v>0</v>
      </c>
      <c r="J677" s="119" t="s">
        <v>117</v>
      </c>
      <c r="K677" s="119" t="s">
        <v>484</v>
      </c>
    </row>
    <row r="678" spans="1:11" ht="12.75" customHeight="1" outlineLevel="1" x14ac:dyDescent="0.25">
      <c r="A678" s="117"/>
      <c r="B678" s="118"/>
      <c r="C678" s="119"/>
      <c r="D678" s="36">
        <v>2021</v>
      </c>
      <c r="E678" s="8">
        <f t="shared" si="53"/>
        <v>0</v>
      </c>
      <c r="F678" s="8">
        <f t="shared" ref="F678:I682" si="56">F684</f>
        <v>0</v>
      </c>
      <c r="G678" s="8">
        <f>G684</f>
        <v>0</v>
      </c>
      <c r="H678" s="8">
        <f t="shared" si="56"/>
        <v>0</v>
      </c>
      <c r="I678" s="8">
        <f t="shared" si="56"/>
        <v>0</v>
      </c>
      <c r="J678" s="119"/>
      <c r="K678" s="119"/>
    </row>
    <row r="679" spans="1:11" ht="12.75" customHeight="1" outlineLevel="1" x14ac:dyDescent="0.25">
      <c r="A679" s="117"/>
      <c r="B679" s="118"/>
      <c r="C679" s="119"/>
      <c r="D679" s="36">
        <v>2022</v>
      </c>
      <c r="E679" s="8">
        <f t="shared" si="53"/>
        <v>67438.159</v>
      </c>
      <c r="F679" s="8">
        <f t="shared" si="56"/>
        <v>19557.065999999999</v>
      </c>
      <c r="G679" s="8">
        <f t="shared" si="56"/>
        <v>47881.093000000001</v>
      </c>
      <c r="H679" s="8">
        <f t="shared" si="56"/>
        <v>0</v>
      </c>
      <c r="I679" s="8">
        <f t="shared" si="56"/>
        <v>0</v>
      </c>
      <c r="J679" s="119"/>
      <c r="K679" s="119"/>
    </row>
    <row r="680" spans="1:11" ht="12.75" customHeight="1" outlineLevel="1" x14ac:dyDescent="0.25">
      <c r="A680" s="117"/>
      <c r="B680" s="118"/>
      <c r="C680" s="119"/>
      <c r="D680" s="36">
        <v>2023</v>
      </c>
      <c r="E680" s="8">
        <f t="shared" si="53"/>
        <v>0</v>
      </c>
      <c r="F680" s="8">
        <f t="shared" si="56"/>
        <v>0</v>
      </c>
      <c r="G680" s="8">
        <f t="shared" si="56"/>
        <v>0</v>
      </c>
      <c r="H680" s="8">
        <f t="shared" si="56"/>
        <v>0</v>
      </c>
      <c r="I680" s="8">
        <f t="shared" si="56"/>
        <v>0</v>
      </c>
      <c r="J680" s="119"/>
      <c r="K680" s="119"/>
    </row>
    <row r="681" spans="1:11" ht="12.75" customHeight="1" outlineLevel="1" x14ac:dyDescent="0.25">
      <c r="A681" s="117"/>
      <c r="B681" s="118"/>
      <c r="C681" s="119"/>
      <c r="D681" s="36">
        <v>2024</v>
      </c>
      <c r="E681" s="8">
        <f t="shared" si="53"/>
        <v>109859.15399999999</v>
      </c>
      <c r="F681" s="8">
        <f t="shared" si="56"/>
        <v>31859.153999999999</v>
      </c>
      <c r="G681" s="8">
        <f t="shared" si="56"/>
        <v>78000</v>
      </c>
      <c r="H681" s="8">
        <f t="shared" si="56"/>
        <v>0</v>
      </c>
      <c r="I681" s="8">
        <f t="shared" si="56"/>
        <v>0</v>
      </c>
      <c r="J681" s="119"/>
      <c r="K681" s="119"/>
    </row>
    <row r="682" spans="1:11" ht="12.75" customHeight="1" outlineLevel="1" x14ac:dyDescent="0.25">
      <c r="A682" s="117"/>
      <c r="B682" s="118"/>
      <c r="C682" s="119"/>
      <c r="D682" s="36">
        <v>2025</v>
      </c>
      <c r="E682" s="8">
        <f t="shared" si="53"/>
        <v>150724.63699999999</v>
      </c>
      <c r="F682" s="8">
        <f t="shared" si="56"/>
        <v>46724.637000000002</v>
      </c>
      <c r="G682" s="8">
        <f t="shared" si="56"/>
        <v>104000</v>
      </c>
      <c r="H682" s="8">
        <f t="shared" si="56"/>
        <v>0</v>
      </c>
      <c r="I682" s="8">
        <f t="shared" si="56"/>
        <v>0</v>
      </c>
      <c r="J682" s="119"/>
      <c r="K682" s="119"/>
    </row>
    <row r="683" spans="1:11" ht="12.75" customHeight="1" outlineLevel="1" x14ac:dyDescent="0.25">
      <c r="A683" s="117" t="s">
        <v>1212</v>
      </c>
      <c r="B683" s="118" t="s">
        <v>1736</v>
      </c>
      <c r="C683" s="119" t="s">
        <v>1113</v>
      </c>
      <c r="D683" s="36" t="s">
        <v>8</v>
      </c>
      <c r="E683" s="8">
        <f t="shared" si="53"/>
        <v>328021.95</v>
      </c>
      <c r="F683" s="8">
        <f>SUM(F684:F688)</f>
        <v>98140.857000000004</v>
      </c>
      <c r="G683" s="8">
        <f>SUM(G684:G688)</f>
        <v>229881.09299999999</v>
      </c>
      <c r="H683" s="8">
        <f>SUM(H684:H688)</f>
        <v>0</v>
      </c>
      <c r="I683" s="8">
        <f>SUM(I684:I688)</f>
        <v>0</v>
      </c>
      <c r="J683" s="119" t="s">
        <v>1213</v>
      </c>
      <c r="K683" s="119" t="s">
        <v>484</v>
      </c>
    </row>
    <row r="684" spans="1:11" outlineLevel="1" x14ac:dyDescent="0.25">
      <c r="A684" s="117"/>
      <c r="B684" s="118"/>
      <c r="C684" s="119"/>
      <c r="D684" s="36">
        <v>2021</v>
      </c>
      <c r="E684" s="8">
        <f t="shared" si="53"/>
        <v>0</v>
      </c>
      <c r="F684" s="8">
        <v>0</v>
      </c>
      <c r="G684" s="8">
        <v>0</v>
      </c>
      <c r="H684" s="8">
        <v>0</v>
      </c>
      <c r="I684" s="8">
        <v>0</v>
      </c>
      <c r="J684" s="119"/>
      <c r="K684" s="119"/>
    </row>
    <row r="685" spans="1:11" outlineLevel="1" x14ac:dyDescent="0.25">
      <c r="A685" s="117"/>
      <c r="B685" s="118"/>
      <c r="C685" s="119"/>
      <c r="D685" s="36">
        <v>2022</v>
      </c>
      <c r="E685" s="8">
        <f t="shared" si="53"/>
        <v>67438.159</v>
      </c>
      <c r="F685" s="8">
        <v>19557.065999999999</v>
      </c>
      <c r="G685" s="8">
        <v>47881.093000000001</v>
      </c>
      <c r="H685" s="8">
        <v>0</v>
      </c>
      <c r="I685" s="8">
        <v>0</v>
      </c>
      <c r="J685" s="119"/>
      <c r="K685" s="119"/>
    </row>
    <row r="686" spans="1:11" outlineLevel="1" x14ac:dyDescent="0.25">
      <c r="A686" s="117"/>
      <c r="B686" s="118"/>
      <c r="C686" s="119"/>
      <c r="D686" s="36">
        <v>2023</v>
      </c>
      <c r="E686" s="8">
        <f t="shared" ref="E686:E767" si="57">SUM(F686:I686)</f>
        <v>0</v>
      </c>
      <c r="F686" s="8">
        <v>0</v>
      </c>
      <c r="G686" s="8">
        <v>0</v>
      </c>
      <c r="H686" s="8">
        <v>0</v>
      </c>
      <c r="I686" s="8">
        <v>0</v>
      </c>
      <c r="J686" s="119"/>
      <c r="K686" s="119"/>
    </row>
    <row r="687" spans="1:11" outlineLevel="1" x14ac:dyDescent="0.25">
      <c r="A687" s="117"/>
      <c r="B687" s="118"/>
      <c r="C687" s="119"/>
      <c r="D687" s="36">
        <v>2024</v>
      </c>
      <c r="E687" s="8">
        <f t="shared" si="57"/>
        <v>109859.15399999999</v>
      </c>
      <c r="F687" s="8">
        <v>31859.153999999999</v>
      </c>
      <c r="G687" s="8">
        <v>78000</v>
      </c>
      <c r="H687" s="8">
        <v>0</v>
      </c>
      <c r="I687" s="8">
        <v>0</v>
      </c>
      <c r="J687" s="119"/>
      <c r="K687" s="119"/>
    </row>
    <row r="688" spans="1:11" outlineLevel="1" x14ac:dyDescent="0.25">
      <c r="A688" s="117"/>
      <c r="B688" s="118"/>
      <c r="C688" s="119"/>
      <c r="D688" s="36">
        <v>2025</v>
      </c>
      <c r="E688" s="8">
        <f t="shared" si="57"/>
        <v>150724.63699999999</v>
      </c>
      <c r="F688" s="8">
        <v>46724.637000000002</v>
      </c>
      <c r="G688" s="8">
        <v>104000</v>
      </c>
      <c r="H688" s="8">
        <f>SUM(I682:L682)</f>
        <v>0</v>
      </c>
      <c r="I688" s="8">
        <f>SUM(J682:L682)</f>
        <v>0</v>
      </c>
      <c r="J688" s="119"/>
      <c r="K688" s="119"/>
    </row>
    <row r="689" spans="1:11" outlineLevel="1" x14ac:dyDescent="0.25">
      <c r="A689" s="117" t="s">
        <v>1214</v>
      </c>
      <c r="B689" s="118" t="s">
        <v>1215</v>
      </c>
      <c r="C689" s="119" t="s">
        <v>1216</v>
      </c>
      <c r="D689" s="36" t="s">
        <v>8</v>
      </c>
      <c r="E689" s="8">
        <f>[7]СТАРЫЙ!E689</f>
        <v>1965199.79856</v>
      </c>
      <c r="F689" s="8">
        <f>[7]СТАРЫЙ!F689</f>
        <v>1667880.05856</v>
      </c>
      <c r="G689" s="8">
        <f>[7]СТАРЫЙ!G689</f>
        <v>297319.74</v>
      </c>
      <c r="H689" s="8">
        <f>[7]СТАРЫЙ!H689</f>
        <v>0</v>
      </c>
      <c r="I689" s="8">
        <f>[7]СТАРЫЙ!I689</f>
        <v>0</v>
      </c>
      <c r="J689" s="119" t="s">
        <v>1217</v>
      </c>
      <c r="K689" s="119" t="s">
        <v>1760</v>
      </c>
    </row>
    <row r="690" spans="1:11" outlineLevel="1" x14ac:dyDescent="0.25">
      <c r="A690" s="117"/>
      <c r="B690" s="118"/>
      <c r="C690" s="119"/>
      <c r="D690" s="36">
        <v>2021</v>
      </c>
      <c r="E690" s="8">
        <f>[7]СТАРЫЙ!E690</f>
        <v>0</v>
      </c>
      <c r="F690" s="8">
        <f>[7]СТАРЫЙ!F690</f>
        <v>0</v>
      </c>
      <c r="G690" s="8">
        <f>[7]СТАРЫЙ!G690</f>
        <v>0</v>
      </c>
      <c r="H690" s="8">
        <f>[7]СТАРЫЙ!H690</f>
        <v>0</v>
      </c>
      <c r="I690" s="8">
        <f>[7]СТАРЫЙ!I690</f>
        <v>0</v>
      </c>
      <c r="J690" s="119"/>
      <c r="K690" s="119"/>
    </row>
    <row r="691" spans="1:11" outlineLevel="1" x14ac:dyDescent="0.25">
      <c r="A691" s="117"/>
      <c r="B691" s="118"/>
      <c r="C691" s="119"/>
      <c r="D691" s="36">
        <v>2022</v>
      </c>
      <c r="E691" s="8">
        <f>[7]СТАРЫЙ!E691</f>
        <v>0</v>
      </c>
      <c r="F691" s="8">
        <f>[7]СТАРЫЙ!F691</f>
        <v>0</v>
      </c>
      <c r="G691" s="8">
        <f>[7]СТАРЫЙ!G691</f>
        <v>0</v>
      </c>
      <c r="H691" s="8">
        <f>[7]СТАРЫЙ!H691</f>
        <v>0</v>
      </c>
      <c r="I691" s="8">
        <f>[7]СТАРЫЙ!I691</f>
        <v>0</v>
      </c>
      <c r="J691" s="119"/>
      <c r="K691" s="119"/>
    </row>
    <row r="692" spans="1:11" outlineLevel="1" x14ac:dyDescent="0.25">
      <c r="A692" s="117"/>
      <c r="B692" s="118"/>
      <c r="C692" s="119"/>
      <c r="D692" s="36">
        <v>2023</v>
      </c>
      <c r="E692" s="8">
        <f>[7]СТАРЫЙ!E692</f>
        <v>381844.82530999999</v>
      </c>
      <c r="F692" s="8">
        <f>[7]СТАРЫЙ!F692</f>
        <v>84525.085309999995</v>
      </c>
      <c r="G692" s="8">
        <f>[7]СТАРЫЙ!G692</f>
        <v>297319.74</v>
      </c>
      <c r="H692" s="8">
        <f>[7]СТАРЫЙ!H692</f>
        <v>0</v>
      </c>
      <c r="I692" s="8">
        <f>[7]СТАРЫЙ!I692</f>
        <v>0</v>
      </c>
      <c r="J692" s="119"/>
      <c r="K692" s="119"/>
    </row>
    <row r="693" spans="1:11" outlineLevel="1" x14ac:dyDescent="0.25">
      <c r="A693" s="117"/>
      <c r="B693" s="118"/>
      <c r="C693" s="119"/>
      <c r="D693" s="36">
        <v>2024</v>
      </c>
      <c r="E693" s="8">
        <f>[7]СТАРЫЙ!E693</f>
        <v>1101184.97325</v>
      </c>
      <c r="F693" s="8">
        <f>[7]СТАРЫЙ!F693</f>
        <v>1101184.97325</v>
      </c>
      <c r="G693" s="8">
        <f>[7]СТАРЫЙ!G693</f>
        <v>0</v>
      </c>
      <c r="H693" s="8">
        <f>[7]СТАРЫЙ!H693</f>
        <v>0</v>
      </c>
      <c r="I693" s="8">
        <f>[7]СТАРЫЙ!I693</f>
        <v>0</v>
      </c>
      <c r="J693" s="119"/>
      <c r="K693" s="119"/>
    </row>
    <row r="694" spans="1:11" outlineLevel="1" x14ac:dyDescent="0.25">
      <c r="A694" s="117"/>
      <c r="B694" s="118"/>
      <c r="C694" s="119"/>
      <c r="D694" s="36">
        <v>2025</v>
      </c>
      <c r="E694" s="8">
        <f>[7]СТАРЫЙ!E694</f>
        <v>482170</v>
      </c>
      <c r="F694" s="8">
        <f>[7]СТАРЫЙ!F694</f>
        <v>482170</v>
      </c>
      <c r="G694" s="8">
        <f>[7]СТАРЫЙ!G694</f>
        <v>0</v>
      </c>
      <c r="H694" s="8">
        <f>[7]СТАРЫЙ!H694</f>
        <v>0</v>
      </c>
      <c r="I694" s="8">
        <f>[7]СТАРЫЙ!I694</f>
        <v>0</v>
      </c>
      <c r="J694" s="119"/>
      <c r="K694" s="119"/>
    </row>
    <row r="695" spans="1:11" outlineLevel="1" x14ac:dyDescent="0.25">
      <c r="A695" s="117" t="s">
        <v>1218</v>
      </c>
      <c r="B695" s="118" t="s">
        <v>101</v>
      </c>
      <c r="C695" s="119" t="s">
        <v>1216</v>
      </c>
      <c r="D695" s="36" t="s">
        <v>8</v>
      </c>
      <c r="E695" s="8">
        <f>[7]СТАРЫЙ!E695</f>
        <v>884016.68856000004</v>
      </c>
      <c r="F695" s="8">
        <f>[7]СТАРЫЙ!F695</f>
        <v>703540.05856000003</v>
      </c>
      <c r="G695" s="8">
        <f>[7]СТАРЫЙ!G695</f>
        <v>180476.63</v>
      </c>
      <c r="H695" s="8">
        <f>[7]СТАРЫЙ!H695</f>
        <v>0</v>
      </c>
      <c r="I695" s="8">
        <f>[7]СТАРЫЙ!I695</f>
        <v>0</v>
      </c>
      <c r="J695" s="119" t="s">
        <v>1219</v>
      </c>
      <c r="K695" s="119" t="s">
        <v>1220</v>
      </c>
    </row>
    <row r="696" spans="1:11" outlineLevel="1" x14ac:dyDescent="0.25">
      <c r="A696" s="117"/>
      <c r="B696" s="118"/>
      <c r="C696" s="119"/>
      <c r="D696" s="36">
        <v>2021</v>
      </c>
      <c r="E696" s="8">
        <f>[7]СТАРЫЙ!E696</f>
        <v>0</v>
      </c>
      <c r="F696" s="8">
        <f>[7]СТАРЫЙ!F696</f>
        <v>0</v>
      </c>
      <c r="G696" s="8">
        <f>[7]СТАРЫЙ!G696</f>
        <v>0</v>
      </c>
      <c r="H696" s="8">
        <f>[7]СТАРЫЙ!H696</f>
        <v>0</v>
      </c>
      <c r="I696" s="8">
        <f>[7]СТАРЫЙ!I696</f>
        <v>0</v>
      </c>
      <c r="J696" s="119"/>
      <c r="K696" s="119"/>
    </row>
    <row r="697" spans="1:11" outlineLevel="1" x14ac:dyDescent="0.25">
      <c r="A697" s="117"/>
      <c r="B697" s="118"/>
      <c r="C697" s="119"/>
      <c r="D697" s="36">
        <v>2022</v>
      </c>
      <c r="E697" s="8">
        <f>[7]СТАРЫЙ!E697</f>
        <v>0</v>
      </c>
      <c r="F697" s="8">
        <f>[7]СТАРЫЙ!F697</f>
        <v>0</v>
      </c>
      <c r="G697" s="8">
        <f>[7]СТАРЫЙ!G697</f>
        <v>0</v>
      </c>
      <c r="H697" s="8">
        <f>[7]СТАРЫЙ!H697</f>
        <v>0</v>
      </c>
      <c r="I697" s="8">
        <f>[7]СТАРЫЙ!I697</f>
        <v>0</v>
      </c>
      <c r="J697" s="119"/>
      <c r="K697" s="119"/>
    </row>
    <row r="698" spans="1:11" outlineLevel="1" x14ac:dyDescent="0.25">
      <c r="A698" s="117"/>
      <c r="B698" s="118"/>
      <c r="C698" s="119"/>
      <c r="D698" s="36">
        <v>2023</v>
      </c>
      <c r="E698" s="8">
        <f>[7]СТАРЫЙ!E698</f>
        <v>265001.71531</v>
      </c>
      <c r="F698" s="8">
        <f>[7]СТАРЫЙ!F698</f>
        <v>84525.085309999995</v>
      </c>
      <c r="G698" s="8">
        <f>[7]СТАРЫЙ!G698</f>
        <v>180476.63</v>
      </c>
      <c r="H698" s="8">
        <f>[7]СТАРЫЙ!H698</f>
        <v>0</v>
      </c>
      <c r="I698" s="8">
        <f>[7]СТАРЫЙ!I698</f>
        <v>0</v>
      </c>
      <c r="J698" s="119"/>
      <c r="K698" s="119"/>
    </row>
    <row r="699" spans="1:11" outlineLevel="1" x14ac:dyDescent="0.25">
      <c r="A699" s="117"/>
      <c r="B699" s="118"/>
      <c r="C699" s="119"/>
      <c r="D699" s="36">
        <v>2024</v>
      </c>
      <c r="E699" s="8">
        <f>[7]СТАРЫЙ!E699</f>
        <v>619014.97325000004</v>
      </c>
      <c r="F699" s="8">
        <f>[7]СТАРЫЙ!F699</f>
        <v>619014.97325000004</v>
      </c>
      <c r="G699" s="8">
        <f>[7]СТАРЫЙ!G699</f>
        <v>0</v>
      </c>
      <c r="H699" s="8">
        <f>[7]СТАРЫЙ!H699</f>
        <v>0</v>
      </c>
      <c r="I699" s="8">
        <f>[7]СТАРЫЙ!I699</f>
        <v>0</v>
      </c>
      <c r="J699" s="119"/>
      <c r="K699" s="119"/>
    </row>
    <row r="700" spans="1:11" outlineLevel="1" x14ac:dyDescent="0.25">
      <c r="A700" s="117"/>
      <c r="B700" s="118"/>
      <c r="C700" s="119"/>
      <c r="D700" s="36">
        <v>2025</v>
      </c>
      <c r="E700" s="8">
        <f>[7]СТАРЫЙ!E700</f>
        <v>0</v>
      </c>
      <c r="F700" s="8">
        <f>[7]СТАРЫЙ!F700</f>
        <v>0</v>
      </c>
      <c r="G700" s="8">
        <f>[7]СТАРЫЙ!G700</f>
        <v>0</v>
      </c>
      <c r="H700" s="8">
        <f>[7]СТАРЫЙ!H700</f>
        <v>0</v>
      </c>
      <c r="I700" s="8">
        <f>[7]СТАРЫЙ!I700</f>
        <v>0</v>
      </c>
      <c r="J700" s="119"/>
      <c r="K700" s="119"/>
    </row>
    <row r="701" spans="1:11" ht="12.75" customHeight="1" outlineLevel="1" x14ac:dyDescent="0.25">
      <c r="A701" s="117" t="s">
        <v>1221</v>
      </c>
      <c r="B701" s="118" t="s">
        <v>1755</v>
      </c>
      <c r="C701" s="119">
        <v>2023</v>
      </c>
      <c r="D701" s="36" t="s">
        <v>8</v>
      </c>
      <c r="E701" s="8">
        <f>[7]СТАРЫЙ!E701</f>
        <v>249780</v>
      </c>
      <c r="F701" s="8">
        <f>[7]СТАРЫЙ!F701</f>
        <v>184340</v>
      </c>
      <c r="G701" s="8">
        <f>[7]СТАРЫЙ!G701</f>
        <v>65440</v>
      </c>
      <c r="H701" s="8">
        <f>[7]СТАРЫЙ!H701</f>
        <v>0</v>
      </c>
      <c r="I701" s="8">
        <f>[7]СТАРЫЙ!I701</f>
        <v>0</v>
      </c>
      <c r="J701" s="119" t="s">
        <v>1219</v>
      </c>
      <c r="K701" s="119" t="s">
        <v>1757</v>
      </c>
    </row>
    <row r="702" spans="1:11" ht="12.75" customHeight="1" outlineLevel="1" x14ac:dyDescent="0.25">
      <c r="A702" s="117"/>
      <c r="B702" s="118"/>
      <c r="C702" s="119"/>
      <c r="D702" s="36">
        <v>2021</v>
      </c>
      <c r="E702" s="8">
        <f>[7]СТАРЫЙ!E702</f>
        <v>0</v>
      </c>
      <c r="F702" s="8">
        <f>[7]СТАРЫЙ!F702</f>
        <v>0</v>
      </c>
      <c r="G702" s="8">
        <f>[7]СТАРЫЙ!G702</f>
        <v>0</v>
      </c>
      <c r="H702" s="8">
        <f>[7]СТАРЫЙ!H702</f>
        <v>0</v>
      </c>
      <c r="I702" s="8">
        <f>[7]СТАРЫЙ!I702</f>
        <v>0</v>
      </c>
      <c r="J702" s="119"/>
      <c r="K702" s="119"/>
    </row>
    <row r="703" spans="1:11" ht="12.75" customHeight="1" outlineLevel="1" x14ac:dyDescent="0.25">
      <c r="A703" s="117"/>
      <c r="B703" s="118"/>
      <c r="C703" s="119"/>
      <c r="D703" s="36">
        <v>2022</v>
      </c>
      <c r="E703" s="8">
        <f>[7]СТАРЫЙ!E703</f>
        <v>0</v>
      </c>
      <c r="F703" s="8">
        <f>[7]СТАРЫЙ!F703</f>
        <v>0</v>
      </c>
      <c r="G703" s="8">
        <f>[7]СТАРЫЙ!G703</f>
        <v>0</v>
      </c>
      <c r="H703" s="8">
        <f>[7]СТАРЫЙ!H703</f>
        <v>0</v>
      </c>
      <c r="I703" s="8">
        <f>[7]СТАРЫЙ!I703</f>
        <v>0</v>
      </c>
      <c r="J703" s="119"/>
      <c r="K703" s="119"/>
    </row>
    <row r="704" spans="1:11" ht="12.75" customHeight="1" outlineLevel="1" x14ac:dyDescent="0.25">
      <c r="A704" s="117"/>
      <c r="B704" s="118"/>
      <c r="C704" s="119"/>
      <c r="D704" s="36">
        <v>2023</v>
      </c>
      <c r="E704" s="8">
        <f>[7]СТАРЫЙ!E704</f>
        <v>65440</v>
      </c>
      <c r="F704" s="8">
        <f>[7]СТАРЫЙ!F704</f>
        <v>0</v>
      </c>
      <c r="G704" s="8">
        <f>[7]СТАРЫЙ!G704</f>
        <v>65440</v>
      </c>
      <c r="H704" s="8">
        <f>[7]СТАРЫЙ!H704</f>
        <v>0</v>
      </c>
      <c r="I704" s="8">
        <f>[7]СТАРЫЙ!I704</f>
        <v>0</v>
      </c>
      <c r="J704" s="119"/>
      <c r="K704" s="119"/>
    </row>
    <row r="705" spans="1:13" ht="12.75" customHeight="1" outlineLevel="1" x14ac:dyDescent="0.25">
      <c r="A705" s="117"/>
      <c r="B705" s="118"/>
      <c r="C705" s="119"/>
      <c r="D705" s="36">
        <v>2024</v>
      </c>
      <c r="E705" s="8">
        <f>[7]СТАРЫЙ!E705</f>
        <v>92170</v>
      </c>
      <c r="F705" s="8">
        <f>[7]СТАРЫЙ!F705</f>
        <v>92170</v>
      </c>
      <c r="G705" s="8">
        <f>[7]СТАРЫЙ!G705</f>
        <v>0</v>
      </c>
      <c r="H705" s="8">
        <f>[7]СТАРЫЙ!H705</f>
        <v>0</v>
      </c>
      <c r="I705" s="8">
        <f>[7]СТАРЫЙ!I705</f>
        <v>0</v>
      </c>
      <c r="J705" s="119"/>
      <c r="K705" s="119"/>
    </row>
    <row r="706" spans="1:13" ht="42.75" customHeight="1" outlineLevel="1" x14ac:dyDescent="0.25">
      <c r="A706" s="117"/>
      <c r="B706" s="118"/>
      <c r="C706" s="119"/>
      <c r="D706" s="36">
        <v>2025</v>
      </c>
      <c r="E706" s="8">
        <f>[7]СТАРЫЙ!E706</f>
        <v>92170</v>
      </c>
      <c r="F706" s="8">
        <f>[7]СТАРЫЙ!F706</f>
        <v>92170</v>
      </c>
      <c r="G706" s="8">
        <f>[7]СТАРЫЙ!G706</f>
        <v>0</v>
      </c>
      <c r="H706" s="8">
        <f>[7]СТАРЫЙ!H706</f>
        <v>0</v>
      </c>
      <c r="I706" s="8">
        <f>[7]СТАРЫЙ!I706</f>
        <v>0</v>
      </c>
      <c r="J706" s="119"/>
      <c r="K706" s="119"/>
    </row>
    <row r="707" spans="1:13" ht="12.75" customHeight="1" outlineLevel="1" x14ac:dyDescent="0.25">
      <c r="A707" s="117" t="s">
        <v>677</v>
      </c>
      <c r="B707" s="118" t="s">
        <v>1754</v>
      </c>
      <c r="C707" s="119">
        <v>2023</v>
      </c>
      <c r="D707" s="36" t="s">
        <v>8</v>
      </c>
      <c r="E707" s="8">
        <f>[7]СТАРЫЙ!E707</f>
        <v>831403.11</v>
      </c>
      <c r="F707" s="8">
        <f>[7]СТАРЫЙ!F707</f>
        <v>780000</v>
      </c>
      <c r="G707" s="8">
        <f>[7]СТАРЫЙ!G707</f>
        <v>51403.11</v>
      </c>
      <c r="H707" s="8">
        <f>[7]СТАРЫЙ!H707</f>
        <v>0</v>
      </c>
      <c r="I707" s="8">
        <f>[7]СТАРЫЙ!I707</f>
        <v>0</v>
      </c>
      <c r="J707" s="119" t="s">
        <v>1219</v>
      </c>
      <c r="K707" s="119" t="s">
        <v>1757</v>
      </c>
    </row>
    <row r="708" spans="1:13" outlineLevel="1" x14ac:dyDescent="0.25">
      <c r="A708" s="117"/>
      <c r="B708" s="118"/>
      <c r="C708" s="119"/>
      <c r="D708" s="36">
        <v>2021</v>
      </c>
      <c r="E708" s="8">
        <f>[7]СТАРЫЙ!E708</f>
        <v>0</v>
      </c>
      <c r="F708" s="8">
        <f>[7]СТАРЫЙ!F708</f>
        <v>0</v>
      </c>
      <c r="G708" s="8">
        <f>[7]СТАРЫЙ!G708</f>
        <v>0</v>
      </c>
      <c r="H708" s="8">
        <f>[7]СТАРЫЙ!H708</f>
        <v>0</v>
      </c>
      <c r="I708" s="8">
        <f>[7]СТАРЫЙ!I708</f>
        <v>0</v>
      </c>
      <c r="J708" s="119"/>
      <c r="K708" s="119"/>
    </row>
    <row r="709" spans="1:13" outlineLevel="1" x14ac:dyDescent="0.25">
      <c r="A709" s="117"/>
      <c r="B709" s="118"/>
      <c r="C709" s="119"/>
      <c r="D709" s="36">
        <v>2022</v>
      </c>
      <c r="E709" s="8">
        <f>[7]СТАРЫЙ!E709</f>
        <v>0</v>
      </c>
      <c r="F709" s="8">
        <f>[7]СТАРЫЙ!F709</f>
        <v>0</v>
      </c>
      <c r="G709" s="8">
        <f>[7]СТАРЫЙ!G709</f>
        <v>0</v>
      </c>
      <c r="H709" s="8">
        <f>[7]СТАРЫЙ!H709</f>
        <v>0</v>
      </c>
      <c r="I709" s="8">
        <f>[7]СТАРЫЙ!I709</f>
        <v>0</v>
      </c>
      <c r="J709" s="119"/>
      <c r="K709" s="119"/>
    </row>
    <row r="710" spans="1:13" outlineLevel="1" x14ac:dyDescent="0.25">
      <c r="A710" s="117"/>
      <c r="B710" s="118"/>
      <c r="C710" s="119"/>
      <c r="D710" s="36">
        <v>2023</v>
      </c>
      <c r="E710" s="8">
        <f>[7]СТАРЫЙ!E710</f>
        <v>51403.11</v>
      </c>
      <c r="F710" s="8">
        <f>[7]СТАРЫЙ!F710</f>
        <v>0</v>
      </c>
      <c r="G710" s="8">
        <f>[7]СТАРЫЙ!G710</f>
        <v>51403.11</v>
      </c>
      <c r="H710" s="8">
        <f>[7]СТАРЫЙ!H710</f>
        <v>0</v>
      </c>
      <c r="I710" s="8">
        <f>[7]СТАРЫЙ!I710</f>
        <v>0</v>
      </c>
      <c r="J710" s="119"/>
      <c r="K710" s="119"/>
    </row>
    <row r="711" spans="1:13" outlineLevel="1" x14ac:dyDescent="0.25">
      <c r="A711" s="117"/>
      <c r="B711" s="118"/>
      <c r="C711" s="119"/>
      <c r="D711" s="36">
        <v>2024</v>
      </c>
      <c r="E711" s="8">
        <f>[7]СТАРЫЙ!E711</f>
        <v>390000</v>
      </c>
      <c r="F711" s="8">
        <f>[7]СТАРЫЙ!F711</f>
        <v>390000</v>
      </c>
      <c r="G711" s="8">
        <f>[7]СТАРЫЙ!G711</f>
        <v>0</v>
      </c>
      <c r="H711" s="8">
        <f>[7]СТАРЫЙ!H711</f>
        <v>0</v>
      </c>
      <c r="I711" s="8">
        <f>[7]СТАРЫЙ!I711</f>
        <v>0</v>
      </c>
      <c r="J711" s="119"/>
      <c r="K711" s="119"/>
    </row>
    <row r="712" spans="1:13" ht="48.75" customHeight="1" outlineLevel="1" x14ac:dyDescent="0.25">
      <c r="A712" s="117"/>
      <c r="B712" s="118"/>
      <c r="C712" s="119"/>
      <c r="D712" s="36">
        <v>2025</v>
      </c>
      <c r="E712" s="8">
        <f>[7]СТАРЫЙ!E712</f>
        <v>390000</v>
      </c>
      <c r="F712" s="8">
        <f>[7]СТАРЫЙ!F712</f>
        <v>390000</v>
      </c>
      <c r="G712" s="8">
        <f>[7]СТАРЫЙ!G712</f>
        <v>0</v>
      </c>
      <c r="H712" s="8">
        <f>[7]СТАРЫЙ!H712</f>
        <v>0</v>
      </c>
      <c r="I712" s="8">
        <f>[7]СТАРЫЙ!I712</f>
        <v>0</v>
      </c>
      <c r="J712" s="119"/>
      <c r="K712" s="119"/>
    </row>
    <row r="713" spans="1:13" ht="12.75" customHeight="1" outlineLevel="1" x14ac:dyDescent="0.25">
      <c r="A713" s="117" t="s">
        <v>1747</v>
      </c>
      <c r="B713" s="118" t="s">
        <v>1761</v>
      </c>
      <c r="C713" s="119" t="s">
        <v>1125</v>
      </c>
      <c r="D713" s="36" t="s">
        <v>8</v>
      </c>
      <c r="E713" s="8">
        <f t="shared" ref="E713:I718" si="58">SUM(E719,E725)</f>
        <v>187892.8</v>
      </c>
      <c r="F713" s="8">
        <f t="shared" si="58"/>
        <v>186013.8</v>
      </c>
      <c r="G713" s="8">
        <f t="shared" si="58"/>
        <v>0</v>
      </c>
      <c r="H713" s="8">
        <f t="shared" si="58"/>
        <v>1879</v>
      </c>
      <c r="I713" s="8">
        <f t="shared" si="58"/>
        <v>0</v>
      </c>
      <c r="J713" s="119" t="s">
        <v>1759</v>
      </c>
      <c r="K713" s="119" t="s">
        <v>1749</v>
      </c>
    </row>
    <row r="714" spans="1:13" outlineLevel="1" x14ac:dyDescent="0.25">
      <c r="A714" s="117"/>
      <c r="B714" s="118"/>
      <c r="C714" s="119"/>
      <c r="D714" s="36">
        <v>2021</v>
      </c>
      <c r="E714" s="8">
        <f t="shared" si="58"/>
        <v>0</v>
      </c>
      <c r="F714" s="8">
        <f t="shared" si="58"/>
        <v>0</v>
      </c>
      <c r="G714" s="8">
        <f t="shared" si="58"/>
        <v>0</v>
      </c>
      <c r="H714" s="8">
        <f t="shared" si="58"/>
        <v>0</v>
      </c>
      <c r="I714" s="8">
        <f t="shared" si="58"/>
        <v>0</v>
      </c>
      <c r="J714" s="119"/>
      <c r="K714" s="119"/>
    </row>
    <row r="715" spans="1:13" outlineLevel="1" x14ac:dyDescent="0.25">
      <c r="A715" s="117"/>
      <c r="B715" s="118"/>
      <c r="C715" s="119"/>
      <c r="D715" s="36">
        <v>2022</v>
      </c>
      <c r="E715" s="8">
        <f t="shared" si="58"/>
        <v>0</v>
      </c>
      <c r="F715" s="8">
        <f t="shared" si="58"/>
        <v>0</v>
      </c>
      <c r="G715" s="8">
        <f t="shared" si="58"/>
        <v>0</v>
      </c>
      <c r="H715" s="8">
        <f t="shared" si="58"/>
        <v>0</v>
      </c>
      <c r="I715" s="8">
        <f t="shared" si="58"/>
        <v>0</v>
      </c>
      <c r="J715" s="119"/>
      <c r="K715" s="119"/>
    </row>
    <row r="716" spans="1:13" outlineLevel="1" x14ac:dyDescent="0.25">
      <c r="A716" s="117"/>
      <c r="B716" s="118"/>
      <c r="C716" s="119"/>
      <c r="D716" s="36">
        <v>2023</v>
      </c>
      <c r="E716" s="8">
        <f>SUM(E722,E728)</f>
        <v>28290</v>
      </c>
      <c r="F716" s="8">
        <f>SUM(F722,F728)</f>
        <v>28000</v>
      </c>
      <c r="G716" s="8">
        <f t="shared" si="58"/>
        <v>0</v>
      </c>
      <c r="H716" s="8">
        <f t="shared" si="58"/>
        <v>290</v>
      </c>
      <c r="I716" s="8">
        <f t="shared" si="58"/>
        <v>0</v>
      </c>
      <c r="J716" s="119"/>
      <c r="K716" s="119"/>
    </row>
    <row r="717" spans="1:13" outlineLevel="1" x14ac:dyDescent="0.25">
      <c r="A717" s="117"/>
      <c r="B717" s="118"/>
      <c r="C717" s="119"/>
      <c r="D717" s="36">
        <v>2024</v>
      </c>
      <c r="E717" s="8">
        <f t="shared" si="58"/>
        <v>80355</v>
      </c>
      <c r="F717" s="8">
        <f>SUM(F723,F729)</f>
        <v>79555</v>
      </c>
      <c r="G717" s="8">
        <f t="shared" si="58"/>
        <v>0</v>
      </c>
      <c r="H717" s="8">
        <f t="shared" si="58"/>
        <v>800</v>
      </c>
      <c r="I717" s="8">
        <f t="shared" si="58"/>
        <v>0</v>
      </c>
      <c r="J717" s="119"/>
      <c r="K717" s="119"/>
    </row>
    <row r="718" spans="1:13" outlineLevel="1" x14ac:dyDescent="0.25">
      <c r="A718" s="117"/>
      <c r="B718" s="118"/>
      <c r="C718" s="119"/>
      <c r="D718" s="36">
        <v>2025</v>
      </c>
      <c r="E718" s="8">
        <f t="shared" si="58"/>
        <v>79247.8</v>
      </c>
      <c r="F718" s="8">
        <f t="shared" si="58"/>
        <v>78458.8</v>
      </c>
      <c r="G718" s="8">
        <f t="shared" si="58"/>
        <v>0</v>
      </c>
      <c r="H718" s="8">
        <f t="shared" si="58"/>
        <v>789</v>
      </c>
      <c r="I718" s="8">
        <f t="shared" si="58"/>
        <v>0</v>
      </c>
      <c r="J718" s="119"/>
      <c r="K718" s="119"/>
    </row>
    <row r="719" spans="1:13" ht="12.75" customHeight="1" outlineLevel="1" x14ac:dyDescent="0.25">
      <c r="A719" s="117" t="s">
        <v>1750</v>
      </c>
      <c r="B719" s="118" t="s">
        <v>1753</v>
      </c>
      <c r="C719" s="119" t="s">
        <v>1125</v>
      </c>
      <c r="D719" s="36" t="s">
        <v>8</v>
      </c>
      <c r="E719" s="8">
        <f t="shared" ref="E719:E730" si="59">SUM(F719:I719)</f>
        <v>138499.6</v>
      </c>
      <c r="F719" s="8">
        <f>SUM(F720:F724)</f>
        <v>137114.6</v>
      </c>
      <c r="G719" s="8">
        <f>SUM(G720:G724)</f>
        <v>0</v>
      </c>
      <c r="H719" s="8">
        <f>SUM(H720:H724)</f>
        <v>1385</v>
      </c>
      <c r="I719" s="8">
        <f>SUM(I720:I724)</f>
        <v>0</v>
      </c>
      <c r="J719" s="119" t="s">
        <v>1752</v>
      </c>
      <c r="K719" s="119" t="s">
        <v>1748</v>
      </c>
    </row>
    <row r="720" spans="1:13" outlineLevel="1" x14ac:dyDescent="0.25">
      <c r="A720" s="117"/>
      <c r="B720" s="118"/>
      <c r="C720" s="119"/>
      <c r="D720" s="36">
        <v>2021</v>
      </c>
      <c r="E720" s="8">
        <f t="shared" si="59"/>
        <v>0</v>
      </c>
      <c r="F720" s="8">
        <v>0</v>
      </c>
      <c r="G720" s="8">
        <v>0</v>
      </c>
      <c r="H720" s="8">
        <v>0</v>
      </c>
      <c r="I720" s="8">
        <v>0</v>
      </c>
      <c r="J720" s="119"/>
      <c r="K720" s="119"/>
      <c r="M720" s="35">
        <f>SUM(E719,E725)</f>
        <v>187892.8</v>
      </c>
    </row>
    <row r="721" spans="1:13" outlineLevel="1" x14ac:dyDescent="0.25">
      <c r="A721" s="117"/>
      <c r="B721" s="118"/>
      <c r="C721" s="119"/>
      <c r="D721" s="36">
        <v>2022</v>
      </c>
      <c r="E721" s="8">
        <f t="shared" si="59"/>
        <v>0</v>
      </c>
      <c r="F721" s="8">
        <v>0</v>
      </c>
      <c r="G721" s="8">
        <v>0</v>
      </c>
      <c r="H721" s="8">
        <v>0</v>
      </c>
      <c r="I721" s="8">
        <v>0</v>
      </c>
      <c r="J721" s="119"/>
      <c r="K721" s="119"/>
    </row>
    <row r="722" spans="1:13" outlineLevel="1" x14ac:dyDescent="0.25">
      <c r="A722" s="117"/>
      <c r="B722" s="118"/>
      <c r="C722" s="119"/>
      <c r="D722" s="36">
        <v>2023</v>
      </c>
      <c r="E722" s="8">
        <f t="shared" si="59"/>
        <v>20666.5</v>
      </c>
      <c r="F722" s="8">
        <v>20452.7</v>
      </c>
      <c r="G722" s="8">
        <v>0</v>
      </c>
      <c r="H722" s="8">
        <v>213.8</v>
      </c>
      <c r="I722" s="8">
        <v>0</v>
      </c>
      <c r="J722" s="119"/>
      <c r="K722" s="119"/>
    </row>
    <row r="723" spans="1:13" outlineLevel="1" x14ac:dyDescent="0.25">
      <c r="A723" s="117"/>
      <c r="B723" s="118"/>
      <c r="C723" s="119"/>
      <c r="D723" s="36">
        <v>2024</v>
      </c>
      <c r="E723" s="8">
        <f t="shared" si="59"/>
        <v>59324.6</v>
      </c>
      <c r="F723" s="8">
        <v>58734.9</v>
      </c>
      <c r="G723" s="8">
        <v>0</v>
      </c>
      <c r="H723" s="8">
        <v>589.70000000000005</v>
      </c>
      <c r="I723" s="8">
        <v>0</v>
      </c>
      <c r="J723" s="119"/>
      <c r="K723" s="119"/>
    </row>
    <row r="724" spans="1:13" outlineLevel="1" x14ac:dyDescent="0.25">
      <c r="A724" s="117"/>
      <c r="B724" s="118"/>
      <c r="C724" s="119"/>
      <c r="D724" s="36">
        <v>2025</v>
      </c>
      <c r="E724" s="8">
        <f t="shared" si="59"/>
        <v>58508.5</v>
      </c>
      <c r="F724" s="8">
        <v>57927</v>
      </c>
      <c r="G724" s="8">
        <v>0</v>
      </c>
      <c r="H724" s="8">
        <v>581.5</v>
      </c>
      <c r="I724" s="8">
        <v>0</v>
      </c>
      <c r="J724" s="119"/>
      <c r="K724" s="119"/>
    </row>
    <row r="725" spans="1:13" outlineLevel="1" x14ac:dyDescent="0.25">
      <c r="A725" s="117" t="s">
        <v>1751</v>
      </c>
      <c r="B725" s="118" t="s">
        <v>1758</v>
      </c>
      <c r="C725" s="119" t="s">
        <v>1125</v>
      </c>
      <c r="D725" s="36" t="s">
        <v>8</v>
      </c>
      <c r="E725" s="8">
        <f t="shared" si="59"/>
        <v>49393.2</v>
      </c>
      <c r="F725" s="8">
        <f>SUM(F726:F730)</f>
        <v>48899.199999999997</v>
      </c>
      <c r="G725" s="8">
        <f>SUM(G726:G730)</f>
        <v>0</v>
      </c>
      <c r="H725" s="8">
        <f>SUM(H726:H730)</f>
        <v>494</v>
      </c>
      <c r="I725" s="8">
        <f>SUM(I726:I730)</f>
        <v>0</v>
      </c>
      <c r="J725" s="119" t="s">
        <v>1752</v>
      </c>
      <c r="K725" s="119" t="s">
        <v>1748</v>
      </c>
    </row>
    <row r="726" spans="1:13" outlineLevel="1" x14ac:dyDescent="0.25">
      <c r="A726" s="117"/>
      <c r="B726" s="118"/>
      <c r="C726" s="119"/>
      <c r="D726" s="36">
        <v>2021</v>
      </c>
      <c r="E726" s="8">
        <f t="shared" si="59"/>
        <v>0</v>
      </c>
      <c r="F726" s="8">
        <v>0</v>
      </c>
      <c r="G726" s="8">
        <v>0</v>
      </c>
      <c r="H726" s="8">
        <v>0</v>
      </c>
      <c r="I726" s="8">
        <v>0</v>
      </c>
      <c r="J726" s="119"/>
      <c r="K726" s="119"/>
    </row>
    <row r="727" spans="1:13" outlineLevel="1" x14ac:dyDescent="0.25">
      <c r="A727" s="117"/>
      <c r="B727" s="118"/>
      <c r="C727" s="119"/>
      <c r="D727" s="36">
        <v>2022</v>
      </c>
      <c r="E727" s="8">
        <f t="shared" si="59"/>
        <v>0</v>
      </c>
      <c r="F727" s="8">
        <v>0</v>
      </c>
      <c r="G727" s="8">
        <v>0</v>
      </c>
      <c r="H727" s="8">
        <v>0</v>
      </c>
      <c r="I727" s="8">
        <v>0</v>
      </c>
      <c r="J727" s="119"/>
      <c r="K727" s="119"/>
      <c r="M727" s="35">
        <f>SUM(F728,F722)</f>
        <v>28000</v>
      </c>
    </row>
    <row r="728" spans="1:13" outlineLevel="1" x14ac:dyDescent="0.25">
      <c r="A728" s="117"/>
      <c r="B728" s="118"/>
      <c r="C728" s="119"/>
      <c r="D728" s="36">
        <v>2023</v>
      </c>
      <c r="E728" s="8">
        <f t="shared" si="59"/>
        <v>7623.5</v>
      </c>
      <c r="F728" s="8">
        <v>7547.3</v>
      </c>
      <c r="G728" s="8">
        <v>0</v>
      </c>
      <c r="H728" s="8">
        <v>76.2</v>
      </c>
      <c r="I728" s="8">
        <v>0</v>
      </c>
      <c r="J728" s="119"/>
      <c r="K728" s="119"/>
    </row>
    <row r="729" spans="1:13" outlineLevel="1" x14ac:dyDescent="0.25">
      <c r="A729" s="117"/>
      <c r="B729" s="118"/>
      <c r="C729" s="119"/>
      <c r="D729" s="36">
        <v>2024</v>
      </c>
      <c r="E729" s="8">
        <f t="shared" si="59"/>
        <v>21030.399999999998</v>
      </c>
      <c r="F729" s="8">
        <v>20820.099999999999</v>
      </c>
      <c r="G729" s="8">
        <v>0</v>
      </c>
      <c r="H729" s="8">
        <v>210.3</v>
      </c>
      <c r="I729" s="8">
        <v>0</v>
      </c>
      <c r="J729" s="119"/>
      <c r="K729" s="119"/>
    </row>
    <row r="730" spans="1:13" outlineLevel="1" x14ac:dyDescent="0.25">
      <c r="A730" s="117"/>
      <c r="B730" s="118"/>
      <c r="C730" s="119"/>
      <c r="D730" s="36">
        <v>2025</v>
      </c>
      <c r="E730" s="8">
        <f t="shared" si="59"/>
        <v>20739.3</v>
      </c>
      <c r="F730" s="8">
        <v>20531.8</v>
      </c>
      <c r="G730" s="8">
        <v>0</v>
      </c>
      <c r="H730" s="8">
        <v>207.5</v>
      </c>
      <c r="I730" s="8">
        <v>0</v>
      </c>
      <c r="J730" s="119"/>
      <c r="K730" s="119"/>
    </row>
    <row r="731" spans="1:13" x14ac:dyDescent="0.25">
      <c r="A731" s="117" t="s">
        <v>116</v>
      </c>
      <c r="B731" s="118" t="s">
        <v>40</v>
      </c>
      <c r="C731" s="119" t="s">
        <v>14</v>
      </c>
      <c r="D731" s="36" t="s">
        <v>8</v>
      </c>
      <c r="E731" s="8">
        <f t="shared" si="57"/>
        <v>1328210.8980899998</v>
      </c>
      <c r="F731" s="8">
        <f>SUM(F732:F736)</f>
        <v>735152.66107999999</v>
      </c>
      <c r="G731" s="8">
        <f>SUM(G732:G736)</f>
        <v>562487.59899999993</v>
      </c>
      <c r="H731" s="8">
        <f>SUM(H732:H736)</f>
        <v>30570.638009999973</v>
      </c>
      <c r="I731" s="8">
        <f>SUM(I732:I736)</f>
        <v>0</v>
      </c>
      <c r="J731" s="119" t="s">
        <v>117</v>
      </c>
      <c r="K731" s="119" t="s">
        <v>601</v>
      </c>
    </row>
    <row r="732" spans="1:13" ht="14.25" customHeight="1" x14ac:dyDescent="0.25">
      <c r="A732" s="117"/>
      <c r="B732" s="118"/>
      <c r="C732" s="119"/>
      <c r="D732" s="36">
        <v>2021</v>
      </c>
      <c r="E732" s="8">
        <f t="shared" si="57"/>
        <v>277483.179</v>
      </c>
      <c r="F732" s="8">
        <f t="shared" ref="F732:I736" si="60">F738+F744+F750+F756</f>
        <v>19160.86</v>
      </c>
      <c r="G732" s="8">
        <f t="shared" si="60"/>
        <v>257488.69899999999</v>
      </c>
      <c r="H732" s="8">
        <f t="shared" si="60"/>
        <v>833.61999999999989</v>
      </c>
      <c r="I732" s="8">
        <f t="shared" si="60"/>
        <v>0</v>
      </c>
      <c r="J732" s="119"/>
      <c r="K732" s="119"/>
    </row>
    <row r="733" spans="1:13" x14ac:dyDescent="0.25">
      <c r="A733" s="117"/>
      <c r="B733" s="118"/>
      <c r="C733" s="119"/>
      <c r="D733" s="36">
        <v>2022</v>
      </c>
      <c r="E733" s="8">
        <f t="shared" si="57"/>
        <v>684506.5541999999</v>
      </c>
      <c r="F733" s="8">
        <f t="shared" si="60"/>
        <v>488280.63192999997</v>
      </c>
      <c r="G733" s="8">
        <f t="shared" si="60"/>
        <v>177607.9</v>
      </c>
      <c r="H733" s="8">
        <f t="shared" si="60"/>
        <v>18618.022270000001</v>
      </c>
      <c r="I733" s="8">
        <f t="shared" si="60"/>
        <v>0</v>
      </c>
      <c r="J733" s="119"/>
      <c r="K733" s="119"/>
    </row>
    <row r="734" spans="1:13" x14ac:dyDescent="0.25">
      <c r="A734" s="117"/>
      <c r="B734" s="118"/>
      <c r="C734" s="119"/>
      <c r="D734" s="36">
        <v>2023</v>
      </c>
      <c r="E734" s="8">
        <f t="shared" si="57"/>
        <v>139473.16488999996</v>
      </c>
      <c r="F734" s="8">
        <f t="shared" si="60"/>
        <v>11675.569150000007</v>
      </c>
      <c r="G734" s="8">
        <f t="shared" si="60"/>
        <v>127391</v>
      </c>
      <c r="H734" s="8">
        <f t="shared" si="60"/>
        <v>406.59573999997519</v>
      </c>
      <c r="I734" s="8">
        <f t="shared" si="60"/>
        <v>0</v>
      </c>
      <c r="J734" s="119"/>
      <c r="K734" s="119"/>
    </row>
    <row r="735" spans="1:13" x14ac:dyDescent="0.25">
      <c r="A735" s="117"/>
      <c r="B735" s="118"/>
      <c r="C735" s="119"/>
      <c r="D735" s="36">
        <v>2024</v>
      </c>
      <c r="E735" s="8">
        <f t="shared" si="57"/>
        <v>220498</v>
      </c>
      <c r="F735" s="8">
        <f t="shared" si="60"/>
        <v>209785.60000000001</v>
      </c>
      <c r="G735" s="8">
        <f t="shared" si="60"/>
        <v>0</v>
      </c>
      <c r="H735" s="8">
        <f t="shared" si="60"/>
        <v>10712.4</v>
      </c>
      <c r="I735" s="8">
        <f t="shared" si="60"/>
        <v>0</v>
      </c>
      <c r="J735" s="119"/>
      <c r="K735" s="119"/>
    </row>
    <row r="736" spans="1:13" x14ac:dyDescent="0.25">
      <c r="A736" s="117"/>
      <c r="B736" s="118"/>
      <c r="C736" s="119"/>
      <c r="D736" s="36">
        <v>2025</v>
      </c>
      <c r="E736" s="8">
        <f t="shared" si="57"/>
        <v>6250</v>
      </c>
      <c r="F736" s="8">
        <f t="shared" si="60"/>
        <v>6250</v>
      </c>
      <c r="G736" s="8">
        <f t="shared" si="60"/>
        <v>0</v>
      </c>
      <c r="H736" s="8">
        <f t="shared" si="60"/>
        <v>0</v>
      </c>
      <c r="I736" s="8">
        <f t="shared" si="60"/>
        <v>0</v>
      </c>
      <c r="J736" s="119"/>
      <c r="K736" s="119"/>
    </row>
    <row r="737" spans="1:12" ht="21" customHeight="1" x14ac:dyDescent="0.25">
      <c r="A737" s="117" t="s">
        <v>119</v>
      </c>
      <c r="B737" s="118" t="s">
        <v>120</v>
      </c>
      <c r="C737" s="119" t="s">
        <v>14</v>
      </c>
      <c r="D737" s="36" t="s">
        <v>8</v>
      </c>
      <c r="E737" s="8">
        <f t="shared" si="57"/>
        <v>25746.25</v>
      </c>
      <c r="F737" s="8">
        <f>SUM(F738:F742)</f>
        <v>25746.25</v>
      </c>
      <c r="G737" s="8">
        <f>SUM(G738:G742)</f>
        <v>0</v>
      </c>
      <c r="H737" s="8">
        <f>SUM(H738:H742)</f>
        <v>0</v>
      </c>
      <c r="I737" s="8">
        <f>SUM(I738:I742)</f>
        <v>0</v>
      </c>
      <c r="J737" s="160" t="s">
        <v>1767</v>
      </c>
      <c r="K737" s="119" t="s">
        <v>484</v>
      </c>
      <c r="L737" s="124" t="s">
        <v>950</v>
      </c>
    </row>
    <row r="738" spans="1:12" ht="21" customHeight="1" x14ac:dyDescent="0.25">
      <c r="A738" s="117"/>
      <c r="B738" s="118"/>
      <c r="C738" s="119"/>
      <c r="D738" s="36">
        <v>2021</v>
      </c>
      <c r="E738" s="8">
        <f t="shared" si="57"/>
        <v>3320.7</v>
      </c>
      <c r="F738" s="8">
        <v>3320.7</v>
      </c>
      <c r="G738" s="8">
        <v>0</v>
      </c>
      <c r="H738" s="8">
        <v>0</v>
      </c>
      <c r="I738" s="8">
        <v>0</v>
      </c>
      <c r="J738" s="160"/>
      <c r="K738" s="119"/>
      <c r="L738" s="124"/>
    </row>
    <row r="739" spans="1:12" ht="21" customHeight="1" x14ac:dyDescent="0.25">
      <c r="A739" s="117"/>
      <c r="B739" s="118"/>
      <c r="C739" s="119"/>
      <c r="D739" s="36">
        <v>2022</v>
      </c>
      <c r="E739" s="8">
        <f t="shared" si="57"/>
        <v>5975.3</v>
      </c>
      <c r="F739" s="8">
        <v>5975.3</v>
      </c>
      <c r="G739" s="8">
        <v>0</v>
      </c>
      <c r="H739" s="8">
        <v>0</v>
      </c>
      <c r="I739" s="8">
        <v>0</v>
      </c>
      <c r="J739" s="160"/>
      <c r="K739" s="119"/>
      <c r="L739" s="124"/>
    </row>
    <row r="740" spans="1:12" ht="21" customHeight="1" x14ac:dyDescent="0.25">
      <c r="A740" s="117"/>
      <c r="B740" s="118"/>
      <c r="C740" s="119"/>
      <c r="D740" s="36">
        <v>2023</v>
      </c>
      <c r="E740" s="8">
        <f t="shared" si="57"/>
        <v>3950.25</v>
      </c>
      <c r="F740" s="8">
        <f>6250-2299.75</f>
        <v>3950.25</v>
      </c>
      <c r="G740" s="8">
        <v>0</v>
      </c>
      <c r="H740" s="8">
        <v>0</v>
      </c>
      <c r="I740" s="8">
        <v>0</v>
      </c>
      <c r="J740" s="160"/>
      <c r="K740" s="119"/>
      <c r="L740" s="124"/>
    </row>
    <row r="741" spans="1:12" ht="21" customHeight="1" x14ac:dyDescent="0.25">
      <c r="A741" s="117"/>
      <c r="B741" s="118"/>
      <c r="C741" s="119"/>
      <c r="D741" s="36">
        <v>2024</v>
      </c>
      <c r="E741" s="8">
        <f t="shared" si="57"/>
        <v>6250</v>
      </c>
      <c r="F741" s="8">
        <v>6250</v>
      </c>
      <c r="G741" s="8">
        <v>0</v>
      </c>
      <c r="H741" s="8">
        <v>0</v>
      </c>
      <c r="I741" s="8">
        <v>0</v>
      </c>
      <c r="J741" s="160"/>
      <c r="K741" s="119"/>
      <c r="L741" s="124"/>
    </row>
    <row r="742" spans="1:12" ht="21" customHeight="1" x14ac:dyDescent="0.25">
      <c r="A742" s="117"/>
      <c r="B742" s="118"/>
      <c r="C742" s="119"/>
      <c r="D742" s="36">
        <v>2025</v>
      </c>
      <c r="E742" s="8">
        <f t="shared" si="57"/>
        <v>6250</v>
      </c>
      <c r="F742" s="8">
        <v>6250</v>
      </c>
      <c r="G742" s="8">
        <v>0</v>
      </c>
      <c r="H742" s="8">
        <v>0</v>
      </c>
      <c r="I742" s="8">
        <v>0</v>
      </c>
      <c r="J742" s="160"/>
      <c r="K742" s="119"/>
      <c r="L742" s="124"/>
    </row>
    <row r="743" spans="1:12" ht="20.25" customHeight="1" x14ac:dyDescent="0.25">
      <c r="A743" s="117" t="s">
        <v>122</v>
      </c>
      <c r="B743" s="118" t="s">
        <v>123</v>
      </c>
      <c r="C743" s="119" t="s">
        <v>124</v>
      </c>
      <c r="D743" s="36" t="s">
        <v>8</v>
      </c>
      <c r="E743" s="8">
        <f t="shared" si="57"/>
        <v>447152.68754999997</v>
      </c>
      <c r="F743" s="8">
        <f>SUM(F744:F748)</f>
        <v>316032.67813999997</v>
      </c>
      <c r="G743" s="8">
        <f>SUM(G744:G748)</f>
        <v>121253.24804000001</v>
      </c>
      <c r="H743" s="8">
        <f>SUM(H744:H748)</f>
        <v>9866.7613700000002</v>
      </c>
      <c r="I743" s="8">
        <f>SUM(I744:I748)</f>
        <v>0</v>
      </c>
      <c r="J743" s="119" t="s">
        <v>949</v>
      </c>
      <c r="K743" s="119" t="s">
        <v>547</v>
      </c>
      <c r="L743" s="124"/>
    </row>
    <row r="744" spans="1:12" ht="20.25" customHeight="1" x14ac:dyDescent="0.25">
      <c r="A744" s="117"/>
      <c r="B744" s="118"/>
      <c r="C744" s="119"/>
      <c r="D744" s="36">
        <v>2021</v>
      </c>
      <c r="E744" s="8">
        <f t="shared" si="57"/>
        <v>94469.148000000001</v>
      </c>
      <c r="F744" s="8">
        <v>5458.1030000000001</v>
      </c>
      <c r="G744" s="8">
        <v>88723.845000000001</v>
      </c>
      <c r="H744" s="8">
        <v>287.2</v>
      </c>
      <c r="I744" s="8">
        <v>0</v>
      </c>
      <c r="J744" s="119"/>
      <c r="K744" s="119"/>
      <c r="L744" s="124"/>
    </row>
    <row r="745" spans="1:12" ht="20.25" customHeight="1" x14ac:dyDescent="0.25">
      <c r="A745" s="117"/>
      <c r="B745" s="118"/>
      <c r="C745" s="119"/>
      <c r="D745" s="36">
        <v>2022</v>
      </c>
      <c r="E745" s="8">
        <f t="shared" si="57"/>
        <v>352683.53954999999</v>
      </c>
      <c r="F745" s="8">
        <v>310574.57513999997</v>
      </c>
      <c r="G745" s="8">
        <v>32529.403040000001</v>
      </c>
      <c r="H745" s="8">
        <v>9579.5613699999994</v>
      </c>
      <c r="I745" s="8">
        <v>0</v>
      </c>
      <c r="J745" s="119"/>
      <c r="K745" s="119"/>
      <c r="L745" s="124"/>
    </row>
    <row r="746" spans="1:12" ht="20.25" customHeight="1" x14ac:dyDescent="0.25">
      <c r="A746" s="117"/>
      <c r="B746" s="118"/>
      <c r="C746" s="119"/>
      <c r="D746" s="36">
        <v>2023</v>
      </c>
      <c r="E746" s="8">
        <f t="shared" si="57"/>
        <v>0</v>
      </c>
      <c r="F746" s="8">
        <v>0</v>
      </c>
      <c r="G746" s="8">
        <v>0</v>
      </c>
      <c r="H746" s="8">
        <v>0</v>
      </c>
      <c r="I746" s="8">
        <v>0</v>
      </c>
      <c r="J746" s="119"/>
      <c r="K746" s="119"/>
      <c r="L746" s="124"/>
    </row>
    <row r="747" spans="1:12" ht="20.25" customHeight="1" x14ac:dyDescent="0.25">
      <c r="A747" s="117"/>
      <c r="B747" s="118"/>
      <c r="C747" s="119"/>
      <c r="D747" s="36">
        <v>2024</v>
      </c>
      <c r="E747" s="8">
        <f t="shared" si="57"/>
        <v>0</v>
      </c>
      <c r="F747" s="8">
        <v>0</v>
      </c>
      <c r="G747" s="8">
        <v>0</v>
      </c>
      <c r="H747" s="8">
        <v>0</v>
      </c>
      <c r="I747" s="8">
        <v>0</v>
      </c>
      <c r="J747" s="119"/>
      <c r="K747" s="119"/>
      <c r="L747" s="124"/>
    </row>
    <row r="748" spans="1:12" ht="20.25" customHeight="1" x14ac:dyDescent="0.25">
      <c r="A748" s="117"/>
      <c r="B748" s="118"/>
      <c r="C748" s="119"/>
      <c r="D748" s="36">
        <v>2025</v>
      </c>
      <c r="E748" s="8">
        <f t="shared" si="57"/>
        <v>0</v>
      </c>
      <c r="F748" s="8">
        <v>0</v>
      </c>
      <c r="G748" s="8">
        <v>0</v>
      </c>
      <c r="H748" s="8">
        <v>0</v>
      </c>
      <c r="I748" s="8">
        <v>0</v>
      </c>
      <c r="J748" s="119"/>
      <c r="K748" s="119"/>
      <c r="L748" s="124"/>
    </row>
    <row r="749" spans="1:12" ht="15" customHeight="1" x14ac:dyDescent="0.25">
      <c r="A749" s="117" t="s">
        <v>126</v>
      </c>
      <c r="B749" s="118" t="s">
        <v>127</v>
      </c>
      <c r="C749" s="119" t="s">
        <v>124</v>
      </c>
      <c r="D749" s="36" t="s">
        <v>8</v>
      </c>
      <c r="E749" s="8">
        <f t="shared" si="57"/>
        <v>508717.68395999999</v>
      </c>
      <c r="F749" s="8">
        <v>242209.413</v>
      </c>
      <c r="G749" s="8">
        <v>253746.75095999998</v>
      </c>
      <c r="H749" s="8">
        <v>12761.52</v>
      </c>
      <c r="I749" s="8">
        <f>SUM(I750:I754)</f>
        <v>0</v>
      </c>
      <c r="J749" s="119" t="s">
        <v>1223</v>
      </c>
      <c r="K749" s="119" t="s">
        <v>547</v>
      </c>
    </row>
    <row r="750" spans="1:12" x14ac:dyDescent="0.25">
      <c r="A750" s="117"/>
      <c r="B750" s="118"/>
      <c r="C750" s="119"/>
      <c r="D750" s="36">
        <v>2021</v>
      </c>
      <c r="E750" s="8">
        <f t="shared" si="57"/>
        <v>179693.33100000001</v>
      </c>
      <c r="F750" s="8">
        <v>10382.057000000001</v>
      </c>
      <c r="G750" s="8">
        <v>168764.85399999999</v>
      </c>
      <c r="H750" s="8">
        <v>546.41999999999996</v>
      </c>
      <c r="I750" s="8">
        <v>0</v>
      </c>
      <c r="J750" s="119"/>
      <c r="K750" s="119"/>
    </row>
    <row r="751" spans="1:12" x14ac:dyDescent="0.25">
      <c r="A751" s="117"/>
      <c r="B751" s="118"/>
      <c r="C751" s="119"/>
      <c r="D751" s="36">
        <v>2022</v>
      </c>
      <c r="E751" s="8">
        <f t="shared" si="57"/>
        <v>325847.71465000004</v>
      </c>
      <c r="F751" s="8">
        <v>171730.75679000001</v>
      </c>
      <c r="G751" s="8">
        <v>145078.49695999999</v>
      </c>
      <c r="H751" s="8">
        <v>9038.4609</v>
      </c>
      <c r="I751" s="8">
        <v>0</v>
      </c>
      <c r="J751" s="119"/>
      <c r="K751" s="119"/>
    </row>
    <row r="752" spans="1:12" x14ac:dyDescent="0.25">
      <c r="A752" s="117"/>
      <c r="B752" s="118"/>
      <c r="C752" s="119"/>
      <c r="D752" s="36">
        <v>2023</v>
      </c>
      <c r="E752" s="8">
        <f t="shared" si="57"/>
        <v>0</v>
      </c>
      <c r="F752" s="8">
        <v>0</v>
      </c>
      <c r="G752" s="8">
        <v>0</v>
      </c>
      <c r="H752" s="8">
        <v>0</v>
      </c>
      <c r="I752" s="8">
        <v>0</v>
      </c>
      <c r="J752" s="119"/>
      <c r="K752" s="119"/>
    </row>
    <row r="753" spans="1:11" x14ac:dyDescent="0.25">
      <c r="A753" s="117"/>
      <c r="B753" s="118"/>
      <c r="C753" s="119"/>
      <c r="D753" s="36">
        <v>2024</v>
      </c>
      <c r="E753" s="8">
        <f t="shared" si="57"/>
        <v>0</v>
      </c>
      <c r="F753" s="8">
        <v>0</v>
      </c>
      <c r="G753" s="8">
        <v>0</v>
      </c>
      <c r="H753" s="8">
        <v>0</v>
      </c>
      <c r="I753" s="8">
        <v>0</v>
      </c>
      <c r="J753" s="119"/>
      <c r="K753" s="119"/>
    </row>
    <row r="754" spans="1:11" x14ac:dyDescent="0.25">
      <c r="A754" s="117"/>
      <c r="B754" s="118"/>
      <c r="C754" s="119"/>
      <c r="D754" s="36">
        <v>2025</v>
      </c>
      <c r="E754" s="8">
        <f t="shared" si="57"/>
        <v>0</v>
      </c>
      <c r="F754" s="8">
        <v>0</v>
      </c>
      <c r="G754" s="8">
        <v>0</v>
      </c>
      <c r="H754" s="8">
        <v>0</v>
      </c>
      <c r="I754" s="8">
        <v>0</v>
      </c>
      <c r="J754" s="119"/>
      <c r="K754" s="119"/>
    </row>
    <row r="755" spans="1:11" x14ac:dyDescent="0.25">
      <c r="A755" s="117" t="s">
        <v>128</v>
      </c>
      <c r="B755" s="118" t="s">
        <v>1224</v>
      </c>
      <c r="C755" s="119" t="s">
        <v>1216</v>
      </c>
      <c r="D755" s="36" t="s">
        <v>8</v>
      </c>
      <c r="E755" s="8">
        <f t="shared" si="57"/>
        <v>349770.91488999996</v>
      </c>
      <c r="F755" s="8">
        <f>SUM(F756:F760)</f>
        <v>211260.91915</v>
      </c>
      <c r="G755" s="8">
        <f>SUM(G756:G760)</f>
        <v>127391</v>
      </c>
      <c r="H755" s="8">
        <f>SUM(H756:H760)</f>
        <v>11118.995739999975</v>
      </c>
      <c r="I755" s="8">
        <f>SUM(I756:I760)</f>
        <v>0</v>
      </c>
      <c r="J755" s="160" t="s">
        <v>1768</v>
      </c>
      <c r="K755" s="119" t="s">
        <v>547</v>
      </c>
    </row>
    <row r="756" spans="1:11" x14ac:dyDescent="0.25">
      <c r="A756" s="117"/>
      <c r="B756" s="118"/>
      <c r="C756" s="119"/>
      <c r="D756" s="36">
        <v>2021</v>
      </c>
      <c r="E756" s="8">
        <f t="shared" si="57"/>
        <v>0</v>
      </c>
      <c r="F756" s="8">
        <v>0</v>
      </c>
      <c r="G756" s="8">
        <v>0</v>
      </c>
      <c r="H756" s="8">
        <v>0</v>
      </c>
      <c r="I756" s="8">
        <v>0</v>
      </c>
      <c r="J756" s="160"/>
      <c r="K756" s="119"/>
    </row>
    <row r="757" spans="1:11" x14ac:dyDescent="0.25">
      <c r="A757" s="117"/>
      <c r="B757" s="118"/>
      <c r="C757" s="119"/>
      <c r="D757" s="36">
        <v>2022</v>
      </c>
      <c r="E757" s="8">
        <f t="shared" si="57"/>
        <v>0</v>
      </c>
      <c r="F757" s="8">
        <v>0</v>
      </c>
      <c r="G757" s="8">
        <v>0</v>
      </c>
      <c r="H757" s="8">
        <v>0</v>
      </c>
      <c r="I757" s="8">
        <v>0</v>
      </c>
      <c r="J757" s="160"/>
      <c r="K757" s="119"/>
    </row>
    <row r="758" spans="1:11" x14ac:dyDescent="0.25">
      <c r="A758" s="117"/>
      <c r="B758" s="118"/>
      <c r="C758" s="119"/>
      <c r="D758" s="36">
        <v>2023</v>
      </c>
      <c r="E758" s="8">
        <f t="shared" si="57"/>
        <v>135522.91488999996</v>
      </c>
      <c r="F758" s="8">
        <f>(135116319.15-127391000)/1000</f>
        <v>7725.3191500000057</v>
      </c>
      <c r="G758" s="8">
        <v>127391</v>
      </c>
      <c r="H758" s="8">
        <f>135522914.89/1000-F758-G758</f>
        <v>406.59573999997519</v>
      </c>
      <c r="I758" s="8">
        <v>0</v>
      </c>
      <c r="J758" s="160"/>
      <c r="K758" s="119"/>
    </row>
    <row r="759" spans="1:11" x14ac:dyDescent="0.25">
      <c r="A759" s="117"/>
      <c r="B759" s="118"/>
      <c r="C759" s="119"/>
      <c r="D759" s="36">
        <v>2024</v>
      </c>
      <c r="E759" s="8">
        <f t="shared" si="57"/>
        <v>214248</v>
      </c>
      <c r="F759" s="8">
        <v>203535.6</v>
      </c>
      <c r="G759" s="8">
        <v>0</v>
      </c>
      <c r="H759" s="8">
        <v>10712.4</v>
      </c>
      <c r="I759" s="8">
        <v>0</v>
      </c>
      <c r="J759" s="160"/>
      <c r="K759" s="119"/>
    </row>
    <row r="760" spans="1:11" x14ac:dyDescent="0.25">
      <c r="A760" s="117"/>
      <c r="B760" s="118"/>
      <c r="C760" s="119"/>
      <c r="D760" s="36">
        <v>2025</v>
      </c>
      <c r="E760" s="8">
        <f t="shared" si="57"/>
        <v>0</v>
      </c>
      <c r="F760" s="8">
        <v>0</v>
      </c>
      <c r="G760" s="8">
        <v>0</v>
      </c>
      <c r="H760" s="8">
        <v>0</v>
      </c>
      <c r="I760" s="8">
        <v>0</v>
      </c>
      <c r="J760" s="160"/>
      <c r="K760" s="119"/>
    </row>
    <row r="761" spans="1:11" ht="15" customHeight="1" x14ac:dyDescent="0.25">
      <c r="A761" s="117" t="s">
        <v>131</v>
      </c>
      <c r="B761" s="118" t="s">
        <v>132</v>
      </c>
      <c r="C761" s="119" t="s">
        <v>14</v>
      </c>
      <c r="D761" s="36" t="s">
        <v>8</v>
      </c>
      <c r="E761" s="8">
        <f t="shared" si="57"/>
        <v>254683.886</v>
      </c>
      <c r="F761" s="8">
        <f>SUM(F762:F766)</f>
        <v>254683.886</v>
      </c>
      <c r="G761" s="8">
        <f>SUM(G762:G766)</f>
        <v>0</v>
      </c>
      <c r="H761" s="8">
        <f>SUM(H762:H766)</f>
        <v>0</v>
      </c>
      <c r="I761" s="8">
        <f>SUM(I762:I766)</f>
        <v>0</v>
      </c>
      <c r="J761" s="119"/>
      <c r="K761" s="119" t="s">
        <v>484</v>
      </c>
    </row>
    <row r="762" spans="1:11" x14ac:dyDescent="0.25">
      <c r="A762" s="117"/>
      <c r="B762" s="118"/>
      <c r="C762" s="119"/>
      <c r="D762" s="36">
        <v>2021</v>
      </c>
      <c r="E762" s="8">
        <f t="shared" si="57"/>
        <v>40456.699999999997</v>
      </c>
      <c r="F762" s="8">
        <f t="shared" ref="F762:I766" si="61">F768</f>
        <v>40456.699999999997</v>
      </c>
      <c r="G762" s="8">
        <f t="shared" si="61"/>
        <v>0</v>
      </c>
      <c r="H762" s="8">
        <f t="shared" si="61"/>
        <v>0</v>
      </c>
      <c r="I762" s="8">
        <f t="shared" si="61"/>
        <v>0</v>
      </c>
      <c r="J762" s="119"/>
      <c r="K762" s="119"/>
    </row>
    <row r="763" spans="1:11" x14ac:dyDescent="0.25">
      <c r="A763" s="117"/>
      <c r="B763" s="118"/>
      <c r="C763" s="119"/>
      <c r="D763" s="36">
        <v>2022</v>
      </c>
      <c r="E763" s="8">
        <f t="shared" si="57"/>
        <v>50867.625999999997</v>
      </c>
      <c r="F763" s="8">
        <f t="shared" si="61"/>
        <v>50867.625999999997</v>
      </c>
      <c r="G763" s="8">
        <f t="shared" si="61"/>
        <v>0</v>
      </c>
      <c r="H763" s="8">
        <f t="shared" si="61"/>
        <v>0</v>
      </c>
      <c r="I763" s="8">
        <f t="shared" si="61"/>
        <v>0</v>
      </c>
      <c r="J763" s="119"/>
      <c r="K763" s="119"/>
    </row>
    <row r="764" spans="1:11" x14ac:dyDescent="0.25">
      <c r="A764" s="117"/>
      <c r="B764" s="118"/>
      <c r="C764" s="119"/>
      <c r="D764" s="36">
        <v>2023</v>
      </c>
      <c r="E764" s="8">
        <f t="shared" si="57"/>
        <v>54796.042999999998</v>
      </c>
      <c r="F764" s="8">
        <f t="shared" si="61"/>
        <v>54796.042999999998</v>
      </c>
      <c r="G764" s="8">
        <f t="shared" si="61"/>
        <v>0</v>
      </c>
      <c r="H764" s="8">
        <f t="shared" si="61"/>
        <v>0</v>
      </c>
      <c r="I764" s="8">
        <f t="shared" si="61"/>
        <v>0</v>
      </c>
      <c r="J764" s="119"/>
      <c r="K764" s="119"/>
    </row>
    <row r="765" spans="1:11" x14ac:dyDescent="0.25">
      <c r="A765" s="117"/>
      <c r="B765" s="118"/>
      <c r="C765" s="119"/>
      <c r="D765" s="36">
        <v>2024</v>
      </c>
      <c r="E765" s="8">
        <f t="shared" si="57"/>
        <v>54249.398000000001</v>
      </c>
      <c r="F765" s="8">
        <f t="shared" si="61"/>
        <v>54249.398000000001</v>
      </c>
      <c r="G765" s="8">
        <f t="shared" si="61"/>
        <v>0</v>
      </c>
      <c r="H765" s="8">
        <f t="shared" si="61"/>
        <v>0</v>
      </c>
      <c r="I765" s="8">
        <f t="shared" si="61"/>
        <v>0</v>
      </c>
      <c r="J765" s="119"/>
      <c r="K765" s="119"/>
    </row>
    <row r="766" spans="1:11" ht="19.5" customHeight="1" x14ac:dyDescent="0.25">
      <c r="A766" s="117"/>
      <c r="B766" s="118"/>
      <c r="C766" s="119"/>
      <c r="D766" s="36">
        <v>2025</v>
      </c>
      <c r="E766" s="8">
        <f t="shared" si="57"/>
        <v>54314.118999999999</v>
      </c>
      <c r="F766" s="8">
        <f t="shared" si="61"/>
        <v>54314.118999999999</v>
      </c>
      <c r="G766" s="8">
        <f t="shared" si="61"/>
        <v>0</v>
      </c>
      <c r="H766" s="8">
        <f t="shared" si="61"/>
        <v>0</v>
      </c>
      <c r="I766" s="8">
        <f t="shared" si="61"/>
        <v>0</v>
      </c>
      <c r="J766" s="119"/>
      <c r="K766" s="119"/>
    </row>
    <row r="767" spans="1:11" x14ac:dyDescent="0.25">
      <c r="A767" s="117" t="s">
        <v>133</v>
      </c>
      <c r="B767" s="118" t="s">
        <v>134</v>
      </c>
      <c r="C767" s="119" t="s">
        <v>14</v>
      </c>
      <c r="D767" s="36" t="s">
        <v>8</v>
      </c>
      <c r="E767" s="8">
        <f t="shared" si="57"/>
        <v>254683.886</v>
      </c>
      <c r="F767" s="8">
        <f>SUM(F768:F772)</f>
        <v>254683.886</v>
      </c>
      <c r="G767" s="8">
        <f>SUM(G768:G772)</f>
        <v>0</v>
      </c>
      <c r="H767" s="8">
        <f>SUM(H768:H772)</f>
        <v>0</v>
      </c>
      <c r="I767" s="8">
        <f>SUM(I768:I772)</f>
        <v>0</v>
      </c>
      <c r="J767" s="119" t="s">
        <v>605</v>
      </c>
      <c r="K767" s="119" t="s">
        <v>484</v>
      </c>
    </row>
    <row r="768" spans="1:11" x14ac:dyDescent="0.25">
      <c r="A768" s="117"/>
      <c r="B768" s="118"/>
      <c r="C768" s="119"/>
      <c r="D768" s="36">
        <v>2021</v>
      </c>
      <c r="E768" s="8">
        <f t="shared" ref="E768:E778" si="62">SUM(F768:I768)</f>
        <v>40456.699999999997</v>
      </c>
      <c r="F768" s="8">
        <f t="shared" ref="F768:I772" si="63">F774</f>
        <v>40456.699999999997</v>
      </c>
      <c r="G768" s="8">
        <f t="shared" si="63"/>
        <v>0</v>
      </c>
      <c r="H768" s="8">
        <f t="shared" si="63"/>
        <v>0</v>
      </c>
      <c r="I768" s="8">
        <f t="shared" si="63"/>
        <v>0</v>
      </c>
      <c r="J768" s="119"/>
      <c r="K768" s="119"/>
    </row>
    <row r="769" spans="1:11" x14ac:dyDescent="0.25">
      <c r="A769" s="117"/>
      <c r="B769" s="118"/>
      <c r="C769" s="119"/>
      <c r="D769" s="36">
        <v>2022</v>
      </c>
      <c r="E769" s="8">
        <f t="shared" si="62"/>
        <v>50867.625999999997</v>
      </c>
      <c r="F769" s="8">
        <f t="shared" si="63"/>
        <v>50867.625999999997</v>
      </c>
      <c r="G769" s="8">
        <f t="shared" si="63"/>
        <v>0</v>
      </c>
      <c r="H769" s="8">
        <f t="shared" si="63"/>
        <v>0</v>
      </c>
      <c r="I769" s="8">
        <f t="shared" si="63"/>
        <v>0</v>
      </c>
      <c r="J769" s="119"/>
      <c r="K769" s="119"/>
    </row>
    <row r="770" spans="1:11" x14ac:dyDescent="0.25">
      <c r="A770" s="117"/>
      <c r="B770" s="118"/>
      <c r="C770" s="119"/>
      <c r="D770" s="36">
        <v>2023</v>
      </c>
      <c r="E770" s="8">
        <f t="shared" si="62"/>
        <v>54796.042999999998</v>
      </c>
      <c r="F770" s="8">
        <f t="shared" si="63"/>
        <v>54796.042999999998</v>
      </c>
      <c r="G770" s="8">
        <f t="shared" si="63"/>
        <v>0</v>
      </c>
      <c r="H770" s="8">
        <f t="shared" si="63"/>
        <v>0</v>
      </c>
      <c r="I770" s="8">
        <f t="shared" si="63"/>
        <v>0</v>
      </c>
      <c r="J770" s="119"/>
      <c r="K770" s="119"/>
    </row>
    <row r="771" spans="1:11" x14ac:dyDescent="0.25">
      <c r="A771" s="117"/>
      <c r="B771" s="118"/>
      <c r="C771" s="119"/>
      <c r="D771" s="36">
        <v>2024</v>
      </c>
      <c r="E771" s="8">
        <f t="shared" si="62"/>
        <v>54249.398000000001</v>
      </c>
      <c r="F771" s="8">
        <f t="shared" si="63"/>
        <v>54249.398000000001</v>
      </c>
      <c r="G771" s="8">
        <f t="shared" si="63"/>
        <v>0</v>
      </c>
      <c r="H771" s="8">
        <f t="shared" si="63"/>
        <v>0</v>
      </c>
      <c r="I771" s="8">
        <f t="shared" si="63"/>
        <v>0</v>
      </c>
      <c r="J771" s="119"/>
      <c r="K771" s="119"/>
    </row>
    <row r="772" spans="1:11" x14ac:dyDescent="0.25">
      <c r="A772" s="117"/>
      <c r="B772" s="118"/>
      <c r="C772" s="119"/>
      <c r="D772" s="36">
        <v>2025</v>
      </c>
      <c r="E772" s="8">
        <f t="shared" si="62"/>
        <v>54314.118999999999</v>
      </c>
      <c r="F772" s="8">
        <f t="shared" si="63"/>
        <v>54314.118999999999</v>
      </c>
      <c r="G772" s="8">
        <f>G778</f>
        <v>0</v>
      </c>
      <c r="H772" s="8">
        <f>H778</f>
        <v>0</v>
      </c>
      <c r="I772" s="8">
        <f>I778</f>
        <v>0</v>
      </c>
      <c r="J772" s="119"/>
      <c r="K772" s="119"/>
    </row>
    <row r="773" spans="1:11" x14ac:dyDescent="0.25">
      <c r="A773" s="117" t="s">
        <v>135</v>
      </c>
      <c r="B773" s="118" t="s">
        <v>954</v>
      </c>
      <c r="C773" s="119" t="s">
        <v>14</v>
      </c>
      <c r="D773" s="36" t="s">
        <v>8</v>
      </c>
      <c r="E773" s="8">
        <f t="shared" si="62"/>
        <v>254683.886</v>
      </c>
      <c r="F773" s="8">
        <f>SUM(F774:F778)</f>
        <v>254683.886</v>
      </c>
      <c r="G773" s="8">
        <f>SUM(G774:G778)</f>
        <v>0</v>
      </c>
      <c r="H773" s="8">
        <f>SUM(H774:H778)</f>
        <v>0</v>
      </c>
      <c r="I773" s="8">
        <f>SUM(I774:I778)</f>
        <v>0</v>
      </c>
      <c r="J773" s="119" t="s">
        <v>607</v>
      </c>
      <c r="K773" s="119" t="s">
        <v>484</v>
      </c>
    </row>
    <row r="774" spans="1:11" x14ac:dyDescent="0.25">
      <c r="A774" s="117"/>
      <c r="B774" s="118"/>
      <c r="C774" s="119"/>
      <c r="D774" s="36">
        <v>2021</v>
      </c>
      <c r="E774" s="8">
        <f t="shared" si="62"/>
        <v>40456.699999999997</v>
      </c>
      <c r="F774" s="8">
        <v>40456.699999999997</v>
      </c>
      <c r="G774" s="8">
        <v>0</v>
      </c>
      <c r="H774" s="8">
        <v>0</v>
      </c>
      <c r="I774" s="8">
        <v>0</v>
      </c>
      <c r="J774" s="119"/>
      <c r="K774" s="119"/>
    </row>
    <row r="775" spans="1:11" x14ac:dyDescent="0.25">
      <c r="A775" s="117"/>
      <c r="B775" s="118"/>
      <c r="C775" s="119"/>
      <c r="D775" s="36">
        <v>2022</v>
      </c>
      <c r="E775" s="8">
        <f t="shared" si="62"/>
        <v>50867.625999999997</v>
      </c>
      <c r="F775" s="8">
        <v>50867.625999999997</v>
      </c>
      <c r="G775" s="8">
        <v>0</v>
      </c>
      <c r="H775" s="8">
        <v>0</v>
      </c>
      <c r="I775" s="8">
        <v>0</v>
      </c>
      <c r="J775" s="119"/>
      <c r="K775" s="119"/>
    </row>
    <row r="776" spans="1:11" x14ac:dyDescent="0.25">
      <c r="A776" s="117"/>
      <c r="B776" s="118"/>
      <c r="C776" s="119"/>
      <c r="D776" s="36">
        <v>2023</v>
      </c>
      <c r="E776" s="8">
        <f t="shared" si="62"/>
        <v>54796.042999999998</v>
      </c>
      <c r="F776" s="11">
        <f>54125.195+670.848</f>
        <v>54796.042999999998</v>
      </c>
      <c r="G776" s="8">
        <v>0</v>
      </c>
      <c r="H776" s="8">
        <v>0</v>
      </c>
      <c r="I776" s="8">
        <v>0</v>
      </c>
      <c r="J776" s="119"/>
      <c r="K776" s="119"/>
    </row>
    <row r="777" spans="1:11" x14ac:dyDescent="0.25">
      <c r="A777" s="117"/>
      <c r="B777" s="118"/>
      <c r="C777" s="119"/>
      <c r="D777" s="36">
        <v>2024</v>
      </c>
      <c r="E777" s="8">
        <f t="shared" si="62"/>
        <v>54249.398000000001</v>
      </c>
      <c r="F777" s="8">
        <v>54249.398000000001</v>
      </c>
      <c r="G777" s="8">
        <v>0</v>
      </c>
      <c r="H777" s="8">
        <v>0</v>
      </c>
      <c r="I777" s="8">
        <v>0</v>
      </c>
      <c r="J777" s="119"/>
      <c r="K777" s="119"/>
    </row>
    <row r="778" spans="1:11" x14ac:dyDescent="0.25">
      <c r="A778" s="117"/>
      <c r="B778" s="118"/>
      <c r="C778" s="119"/>
      <c r="D778" s="36">
        <v>2025</v>
      </c>
      <c r="E778" s="8">
        <f t="shared" si="62"/>
        <v>54314.118999999999</v>
      </c>
      <c r="F778" s="8">
        <v>54314.118999999999</v>
      </c>
      <c r="G778" s="8">
        <v>0</v>
      </c>
      <c r="H778" s="8">
        <v>0</v>
      </c>
      <c r="I778" s="8">
        <v>0</v>
      </c>
      <c r="J778" s="119"/>
      <c r="K778" s="119"/>
    </row>
    <row r="780" spans="1:11" x14ac:dyDescent="0.25">
      <c r="A780" s="17" t="s">
        <v>1745</v>
      </c>
    </row>
  </sheetData>
  <autoFilter ref="A4:L778"/>
  <mergeCells count="666">
    <mergeCell ref="A1:K2"/>
    <mergeCell ref="A3:A4"/>
    <mergeCell ref="B3:B4"/>
    <mergeCell ref="C3:C4"/>
    <mergeCell ref="D3:I3"/>
    <mergeCell ref="J3:J4"/>
    <mergeCell ref="K3:K4"/>
    <mergeCell ref="A5:A10"/>
    <mergeCell ref="B5:B10"/>
    <mergeCell ref="C5:C10"/>
    <mergeCell ref="J5:J10"/>
    <mergeCell ref="K5:K10"/>
    <mergeCell ref="A11:A16"/>
    <mergeCell ref="B11:B16"/>
    <mergeCell ref="C11:C16"/>
    <mergeCell ref="J11:J16"/>
    <mergeCell ref="K11:K16"/>
    <mergeCell ref="L23:L28"/>
    <mergeCell ref="A29:A34"/>
    <mergeCell ref="B29:B34"/>
    <mergeCell ref="C29:C34"/>
    <mergeCell ref="J29:J34"/>
    <mergeCell ref="K29:K34"/>
    <mergeCell ref="L29:L34"/>
    <mergeCell ref="A17:A22"/>
    <mergeCell ref="B17:B22"/>
    <mergeCell ref="C17:C22"/>
    <mergeCell ref="J17:J22"/>
    <mergeCell ref="K17:K22"/>
    <mergeCell ref="A23:A28"/>
    <mergeCell ref="B23:B28"/>
    <mergeCell ref="C23:C28"/>
    <mergeCell ref="J23:J28"/>
    <mergeCell ref="K23:K28"/>
    <mergeCell ref="L41:L46"/>
    <mergeCell ref="A47:A52"/>
    <mergeCell ref="B47:B52"/>
    <mergeCell ref="C47:C52"/>
    <mergeCell ref="J47:J52"/>
    <mergeCell ref="K47:K52"/>
    <mergeCell ref="A35:A40"/>
    <mergeCell ref="B35:B40"/>
    <mergeCell ref="C35:C40"/>
    <mergeCell ref="J35:J40"/>
    <mergeCell ref="K35:K40"/>
    <mergeCell ref="A41:A46"/>
    <mergeCell ref="B41:B46"/>
    <mergeCell ref="C41:C46"/>
    <mergeCell ref="J41:J46"/>
    <mergeCell ref="K41:K46"/>
    <mergeCell ref="A53:A58"/>
    <mergeCell ref="B53:B58"/>
    <mergeCell ref="C53:C58"/>
    <mergeCell ref="J53:J58"/>
    <mergeCell ref="K53:K58"/>
    <mergeCell ref="A59:A64"/>
    <mergeCell ref="B59:B64"/>
    <mergeCell ref="C59:C64"/>
    <mergeCell ref="J59:J64"/>
    <mergeCell ref="K59:K64"/>
    <mergeCell ref="A65:A70"/>
    <mergeCell ref="B65:B70"/>
    <mergeCell ref="C65:C70"/>
    <mergeCell ref="J65:J70"/>
    <mergeCell ref="K65:K70"/>
    <mergeCell ref="A71:A76"/>
    <mergeCell ref="B71:B76"/>
    <mergeCell ref="C71:C76"/>
    <mergeCell ref="J71:J76"/>
    <mergeCell ref="K71:K76"/>
    <mergeCell ref="A77:A82"/>
    <mergeCell ref="B77:B82"/>
    <mergeCell ref="C77:C82"/>
    <mergeCell ref="J77:J82"/>
    <mergeCell ref="K77:K82"/>
    <mergeCell ref="A83:A88"/>
    <mergeCell ref="B83:B88"/>
    <mergeCell ref="C83:C88"/>
    <mergeCell ref="J83:J88"/>
    <mergeCell ref="K83:K88"/>
    <mergeCell ref="A89:A94"/>
    <mergeCell ref="B89:B94"/>
    <mergeCell ref="C89:C94"/>
    <mergeCell ref="J89:J94"/>
    <mergeCell ref="K89:K94"/>
    <mergeCell ref="A95:A100"/>
    <mergeCell ref="B95:B100"/>
    <mergeCell ref="C95:C100"/>
    <mergeCell ref="J95:J100"/>
    <mergeCell ref="K95:K100"/>
    <mergeCell ref="A101:A106"/>
    <mergeCell ref="B101:B106"/>
    <mergeCell ref="C101:C106"/>
    <mergeCell ref="J101:J106"/>
    <mergeCell ref="K101:K106"/>
    <mergeCell ref="A107:A112"/>
    <mergeCell ref="B107:B112"/>
    <mergeCell ref="C107:C112"/>
    <mergeCell ref="J107:J112"/>
    <mergeCell ref="K107:K112"/>
    <mergeCell ref="A113:A118"/>
    <mergeCell ref="B113:B118"/>
    <mergeCell ref="C113:C118"/>
    <mergeCell ref="J113:J118"/>
    <mergeCell ref="K113:K118"/>
    <mergeCell ref="A119:A124"/>
    <mergeCell ref="B119:B124"/>
    <mergeCell ref="C119:C124"/>
    <mergeCell ref="J119:J124"/>
    <mergeCell ref="K119:K124"/>
    <mergeCell ref="A125:A130"/>
    <mergeCell ref="B125:B130"/>
    <mergeCell ref="C125:C130"/>
    <mergeCell ref="J125:J130"/>
    <mergeCell ref="K125:K130"/>
    <mergeCell ref="A131:A136"/>
    <mergeCell ref="B131:B136"/>
    <mergeCell ref="C131:C136"/>
    <mergeCell ref="J131:J136"/>
    <mergeCell ref="K131:K136"/>
    <mergeCell ref="A137:A142"/>
    <mergeCell ref="B137:B142"/>
    <mergeCell ref="C137:C142"/>
    <mergeCell ref="J137:J142"/>
    <mergeCell ref="K137:K142"/>
    <mergeCell ref="A143:A148"/>
    <mergeCell ref="B143:B148"/>
    <mergeCell ref="C143:C148"/>
    <mergeCell ref="J143:J148"/>
    <mergeCell ref="K143:K148"/>
    <mergeCell ref="L155:L160"/>
    <mergeCell ref="A161:A166"/>
    <mergeCell ref="B161:B166"/>
    <mergeCell ref="C161:C166"/>
    <mergeCell ref="J161:J166"/>
    <mergeCell ref="K161:K166"/>
    <mergeCell ref="A149:A154"/>
    <mergeCell ref="B149:B154"/>
    <mergeCell ref="C149:C154"/>
    <mergeCell ref="J149:J154"/>
    <mergeCell ref="K149:K154"/>
    <mergeCell ref="A155:A160"/>
    <mergeCell ref="B155:B160"/>
    <mergeCell ref="C155:C160"/>
    <mergeCell ref="J155:J160"/>
    <mergeCell ref="K155:K160"/>
    <mergeCell ref="A167:A172"/>
    <mergeCell ref="B167:B172"/>
    <mergeCell ref="C167:C172"/>
    <mergeCell ref="J167:J172"/>
    <mergeCell ref="K167:K172"/>
    <mergeCell ref="A173:A178"/>
    <mergeCell ref="B173:B178"/>
    <mergeCell ref="C173:C178"/>
    <mergeCell ref="J173:J178"/>
    <mergeCell ref="K173:K178"/>
    <mergeCell ref="A185:A190"/>
    <mergeCell ref="B185:B190"/>
    <mergeCell ref="C185:C190"/>
    <mergeCell ref="J185:J190"/>
    <mergeCell ref="K185:K190"/>
    <mergeCell ref="L185:L190"/>
    <mergeCell ref="A179:A184"/>
    <mergeCell ref="B179:B184"/>
    <mergeCell ref="C179:C184"/>
    <mergeCell ref="J179:J184"/>
    <mergeCell ref="K179:K184"/>
    <mergeCell ref="L179:L184"/>
    <mergeCell ref="A191:A196"/>
    <mergeCell ref="B191:B196"/>
    <mergeCell ref="C191:C196"/>
    <mergeCell ref="J191:J196"/>
    <mergeCell ref="K191:K196"/>
    <mergeCell ref="A197:A202"/>
    <mergeCell ref="B197:B202"/>
    <mergeCell ref="C197:C202"/>
    <mergeCell ref="J197:J202"/>
    <mergeCell ref="K197:K202"/>
    <mergeCell ref="A203:A208"/>
    <mergeCell ref="B203:B208"/>
    <mergeCell ref="C203:C208"/>
    <mergeCell ref="J203:J208"/>
    <mergeCell ref="K203:K208"/>
    <mergeCell ref="A209:A214"/>
    <mergeCell ref="B209:B214"/>
    <mergeCell ref="C209:C214"/>
    <mergeCell ref="J209:J214"/>
    <mergeCell ref="K209:K214"/>
    <mergeCell ref="A215:A220"/>
    <mergeCell ref="B215:B220"/>
    <mergeCell ref="C215:C220"/>
    <mergeCell ref="J215:J220"/>
    <mergeCell ref="K215:K220"/>
    <mergeCell ref="A221:A226"/>
    <mergeCell ref="B221:B226"/>
    <mergeCell ref="C221:C226"/>
    <mergeCell ref="J221:J226"/>
    <mergeCell ref="K221:K226"/>
    <mergeCell ref="A227:A232"/>
    <mergeCell ref="B227:B232"/>
    <mergeCell ref="C227:C232"/>
    <mergeCell ref="J227:J232"/>
    <mergeCell ref="K227:K232"/>
    <mergeCell ref="A233:A238"/>
    <mergeCell ref="B233:B238"/>
    <mergeCell ref="C233:C238"/>
    <mergeCell ref="J233:J238"/>
    <mergeCell ref="K233:K238"/>
    <mergeCell ref="A239:A244"/>
    <mergeCell ref="B239:B244"/>
    <mergeCell ref="C239:C244"/>
    <mergeCell ref="J239:J244"/>
    <mergeCell ref="K239: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81:A286"/>
    <mergeCell ref="B281:B286"/>
    <mergeCell ref="C281:C286"/>
    <mergeCell ref="J281:J286"/>
    <mergeCell ref="K281:K286"/>
    <mergeCell ref="A287:A292"/>
    <mergeCell ref="B287:B292"/>
    <mergeCell ref="C287:C292"/>
    <mergeCell ref="J287:J292"/>
    <mergeCell ref="K287:K292"/>
    <mergeCell ref="A293:A298"/>
    <mergeCell ref="B293:B298"/>
    <mergeCell ref="C293:C298"/>
    <mergeCell ref="J293:J298"/>
    <mergeCell ref="K293:K298"/>
    <mergeCell ref="A299:A304"/>
    <mergeCell ref="B299:B304"/>
    <mergeCell ref="C299:C304"/>
    <mergeCell ref="J299:J304"/>
    <mergeCell ref="K299:K304"/>
    <mergeCell ref="A305:A310"/>
    <mergeCell ref="B305:B310"/>
    <mergeCell ref="C305:C310"/>
    <mergeCell ref="J305:J310"/>
    <mergeCell ref="K305:K310"/>
    <mergeCell ref="A311:A316"/>
    <mergeCell ref="B311:B316"/>
    <mergeCell ref="C311:C316"/>
    <mergeCell ref="J311:J316"/>
    <mergeCell ref="K311:K316"/>
    <mergeCell ref="A317:A322"/>
    <mergeCell ref="B317:B322"/>
    <mergeCell ref="C317:C322"/>
    <mergeCell ref="J317:J322"/>
    <mergeCell ref="K317:K322"/>
    <mergeCell ref="A323:A328"/>
    <mergeCell ref="B323:B328"/>
    <mergeCell ref="C323:C328"/>
    <mergeCell ref="J323:J328"/>
    <mergeCell ref="K323:K328"/>
    <mergeCell ref="A329:A334"/>
    <mergeCell ref="B329:B334"/>
    <mergeCell ref="C329:C334"/>
    <mergeCell ref="J329:J334"/>
    <mergeCell ref="K329:K334"/>
    <mergeCell ref="A335:A340"/>
    <mergeCell ref="B335:B340"/>
    <mergeCell ref="C335:C340"/>
    <mergeCell ref="J335:J340"/>
    <mergeCell ref="K335:K340"/>
    <mergeCell ref="A341:A346"/>
    <mergeCell ref="B341:B346"/>
    <mergeCell ref="C341:C346"/>
    <mergeCell ref="J341:J346"/>
    <mergeCell ref="K341:K346"/>
    <mergeCell ref="A347:A352"/>
    <mergeCell ref="B347:B352"/>
    <mergeCell ref="C347:C352"/>
    <mergeCell ref="J347:J352"/>
    <mergeCell ref="K347:K352"/>
    <mergeCell ref="A353:A358"/>
    <mergeCell ref="B353:B358"/>
    <mergeCell ref="C353:C358"/>
    <mergeCell ref="J353:J358"/>
    <mergeCell ref="K353:K358"/>
    <mergeCell ref="A359:A364"/>
    <mergeCell ref="B359:B364"/>
    <mergeCell ref="C359:C364"/>
    <mergeCell ref="J359:J364"/>
    <mergeCell ref="K359:K364"/>
    <mergeCell ref="A365:A370"/>
    <mergeCell ref="B365:B370"/>
    <mergeCell ref="C365:C370"/>
    <mergeCell ref="J365:J370"/>
    <mergeCell ref="K365:K370"/>
    <mergeCell ref="A371:A376"/>
    <mergeCell ref="B371:B376"/>
    <mergeCell ref="C371:C376"/>
    <mergeCell ref="J371:J376"/>
    <mergeCell ref="K371:K376"/>
    <mergeCell ref="A377:A382"/>
    <mergeCell ref="B377:B382"/>
    <mergeCell ref="C377:C382"/>
    <mergeCell ref="J377:J382"/>
    <mergeCell ref="K377:K382"/>
    <mergeCell ref="A383:A388"/>
    <mergeCell ref="B383:B388"/>
    <mergeCell ref="C383:C388"/>
    <mergeCell ref="J383:J388"/>
    <mergeCell ref="K383:K388"/>
    <mergeCell ref="A389:A394"/>
    <mergeCell ref="B389:B394"/>
    <mergeCell ref="C389:C394"/>
    <mergeCell ref="J389:J394"/>
    <mergeCell ref="K389:K394"/>
    <mergeCell ref="A401:A406"/>
    <mergeCell ref="B401:B406"/>
    <mergeCell ref="C401:C406"/>
    <mergeCell ref="J401:J406"/>
    <mergeCell ref="K401:K406"/>
    <mergeCell ref="L401:L406"/>
    <mergeCell ref="L389:L394"/>
    <mergeCell ref="A395:A400"/>
    <mergeCell ref="B395:B400"/>
    <mergeCell ref="C395:C400"/>
    <mergeCell ref="J395:J400"/>
    <mergeCell ref="K395:K400"/>
    <mergeCell ref="L395:L400"/>
    <mergeCell ref="A407:A412"/>
    <mergeCell ref="B407:B412"/>
    <mergeCell ref="C407:C412"/>
    <mergeCell ref="J407:J412"/>
    <mergeCell ref="K407:K412"/>
    <mergeCell ref="A413:A418"/>
    <mergeCell ref="B413:B418"/>
    <mergeCell ref="C413:C418"/>
    <mergeCell ref="J413:J418"/>
    <mergeCell ref="K413:K41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L443:L448"/>
    <mergeCell ref="A449:A454"/>
    <mergeCell ref="B449:B454"/>
    <mergeCell ref="C449:C454"/>
    <mergeCell ref="J449:J454"/>
    <mergeCell ref="K449:K454"/>
    <mergeCell ref="A437:A442"/>
    <mergeCell ref="B437:B442"/>
    <mergeCell ref="C437:C442"/>
    <mergeCell ref="J437:J442"/>
    <mergeCell ref="K437:K442"/>
    <mergeCell ref="A443:A448"/>
    <mergeCell ref="B443:B448"/>
    <mergeCell ref="C443:C448"/>
    <mergeCell ref="J443:J448"/>
    <mergeCell ref="K443:K448"/>
    <mergeCell ref="L461:L463"/>
    <mergeCell ref="A467:A472"/>
    <mergeCell ref="B467:B472"/>
    <mergeCell ref="C467:C472"/>
    <mergeCell ref="J467:J472"/>
    <mergeCell ref="K467:K472"/>
    <mergeCell ref="A455:A460"/>
    <mergeCell ref="B455:B460"/>
    <mergeCell ref="C455:C460"/>
    <mergeCell ref="J455:J460"/>
    <mergeCell ref="K455:K460"/>
    <mergeCell ref="A461:A466"/>
    <mergeCell ref="B461:B466"/>
    <mergeCell ref="C461:C466"/>
    <mergeCell ref="J461:J466"/>
    <mergeCell ref="K461:K466"/>
    <mergeCell ref="A473:A478"/>
    <mergeCell ref="B473:B478"/>
    <mergeCell ref="C473:C478"/>
    <mergeCell ref="J473:J478"/>
    <mergeCell ref="K473:K478"/>
    <mergeCell ref="A479:A484"/>
    <mergeCell ref="B479:B484"/>
    <mergeCell ref="C479:C484"/>
    <mergeCell ref="J479:J484"/>
    <mergeCell ref="K479:K484"/>
    <mergeCell ref="A485:A490"/>
    <mergeCell ref="B485:B490"/>
    <mergeCell ref="C485:C490"/>
    <mergeCell ref="J485:J490"/>
    <mergeCell ref="K485:K490"/>
    <mergeCell ref="A491:A496"/>
    <mergeCell ref="B491:B496"/>
    <mergeCell ref="C491:C496"/>
    <mergeCell ref="J491:J496"/>
    <mergeCell ref="K491:K496"/>
    <mergeCell ref="A497:A502"/>
    <mergeCell ref="B497:B502"/>
    <mergeCell ref="C497:C502"/>
    <mergeCell ref="J497:J502"/>
    <mergeCell ref="K497:K502"/>
    <mergeCell ref="A503:A508"/>
    <mergeCell ref="B503:B508"/>
    <mergeCell ref="C503:C508"/>
    <mergeCell ref="J503:J508"/>
    <mergeCell ref="K503:K508"/>
    <mergeCell ref="A509:A514"/>
    <mergeCell ref="B509:B514"/>
    <mergeCell ref="C509:C514"/>
    <mergeCell ref="J509:J514"/>
    <mergeCell ref="K509:K514"/>
    <mergeCell ref="A515:A520"/>
    <mergeCell ref="B515:B520"/>
    <mergeCell ref="C515:C520"/>
    <mergeCell ref="J515:J520"/>
    <mergeCell ref="K515:K520"/>
    <mergeCell ref="A521:A526"/>
    <mergeCell ref="B521:B526"/>
    <mergeCell ref="C521:C526"/>
    <mergeCell ref="J521:J526"/>
    <mergeCell ref="K521:K526"/>
    <mergeCell ref="A527:A532"/>
    <mergeCell ref="B527:B532"/>
    <mergeCell ref="C527:C532"/>
    <mergeCell ref="J527:J532"/>
    <mergeCell ref="K527:K532"/>
    <mergeCell ref="A533:A538"/>
    <mergeCell ref="B533:B538"/>
    <mergeCell ref="C533:C538"/>
    <mergeCell ref="J533:J538"/>
    <mergeCell ref="K533:K538"/>
    <mergeCell ref="A539:A544"/>
    <mergeCell ref="B539:B544"/>
    <mergeCell ref="C539:C544"/>
    <mergeCell ref="J539:J544"/>
    <mergeCell ref="K539:K544"/>
    <mergeCell ref="A545:A550"/>
    <mergeCell ref="B545:B550"/>
    <mergeCell ref="C545:C550"/>
    <mergeCell ref="J545:J550"/>
    <mergeCell ref="K545:K550"/>
    <mergeCell ref="A551:A556"/>
    <mergeCell ref="B551:B556"/>
    <mergeCell ref="C551:C556"/>
    <mergeCell ref="J551:J556"/>
    <mergeCell ref="K551:K556"/>
    <mergeCell ref="A557:A562"/>
    <mergeCell ref="B557:B562"/>
    <mergeCell ref="C557:C562"/>
    <mergeCell ref="J557:J562"/>
    <mergeCell ref="K557:K562"/>
    <mergeCell ref="A563:A568"/>
    <mergeCell ref="B563:B568"/>
    <mergeCell ref="C563:C568"/>
    <mergeCell ref="J563:J568"/>
    <mergeCell ref="K563:K568"/>
    <mergeCell ref="A569:A574"/>
    <mergeCell ref="B569:B574"/>
    <mergeCell ref="C569:C574"/>
    <mergeCell ref="J569:J574"/>
    <mergeCell ref="K569:K574"/>
    <mergeCell ref="A575:A580"/>
    <mergeCell ref="B575:B580"/>
    <mergeCell ref="C575:C580"/>
    <mergeCell ref="J575:J580"/>
    <mergeCell ref="K575:K580"/>
    <mergeCell ref="A581:A586"/>
    <mergeCell ref="B581:B586"/>
    <mergeCell ref="C581:C586"/>
    <mergeCell ref="J581:J586"/>
    <mergeCell ref="K581:K586"/>
    <mergeCell ref="A587:A592"/>
    <mergeCell ref="B587:B592"/>
    <mergeCell ref="C587:C592"/>
    <mergeCell ref="J587:J592"/>
    <mergeCell ref="K587:K592"/>
    <mergeCell ref="A593:A598"/>
    <mergeCell ref="B593:B598"/>
    <mergeCell ref="C593:C598"/>
    <mergeCell ref="J593:J598"/>
    <mergeCell ref="K593:K598"/>
    <mergeCell ref="A599:A604"/>
    <mergeCell ref="B599:B604"/>
    <mergeCell ref="C599:C604"/>
    <mergeCell ref="J599:J604"/>
    <mergeCell ref="K599:K604"/>
    <mergeCell ref="A605:A610"/>
    <mergeCell ref="B605:B610"/>
    <mergeCell ref="C605:C610"/>
    <mergeCell ref="J605:J610"/>
    <mergeCell ref="K605:K610"/>
    <mergeCell ref="A611:A616"/>
    <mergeCell ref="B611:B616"/>
    <mergeCell ref="C611:C616"/>
    <mergeCell ref="J611:J616"/>
    <mergeCell ref="K611:K616"/>
    <mergeCell ref="A617:A622"/>
    <mergeCell ref="B617:B622"/>
    <mergeCell ref="C617:C622"/>
    <mergeCell ref="J617:J622"/>
    <mergeCell ref="K617:K622"/>
    <mergeCell ref="A623:A628"/>
    <mergeCell ref="B623:B628"/>
    <mergeCell ref="C623:C628"/>
    <mergeCell ref="J623:J628"/>
    <mergeCell ref="K623:K628"/>
    <mergeCell ref="A629:A634"/>
    <mergeCell ref="B629:B634"/>
    <mergeCell ref="C629:C634"/>
    <mergeCell ref="J629:J634"/>
    <mergeCell ref="K629:K634"/>
    <mergeCell ref="A635:A640"/>
    <mergeCell ref="B635:B640"/>
    <mergeCell ref="C635:C640"/>
    <mergeCell ref="J635:J640"/>
    <mergeCell ref="K635:K640"/>
    <mergeCell ref="A641:A646"/>
    <mergeCell ref="B641:B646"/>
    <mergeCell ref="C641:C646"/>
    <mergeCell ref="J641:J646"/>
    <mergeCell ref="K641:K646"/>
    <mergeCell ref="A647:A652"/>
    <mergeCell ref="B647:B652"/>
    <mergeCell ref="C647:C652"/>
    <mergeCell ref="J647:J652"/>
    <mergeCell ref="K647:K652"/>
    <mergeCell ref="A653:A658"/>
    <mergeCell ref="B653:B658"/>
    <mergeCell ref="C653:C658"/>
    <mergeCell ref="J653:J658"/>
    <mergeCell ref="K653:K658"/>
    <mergeCell ref="A659:A664"/>
    <mergeCell ref="B659:B664"/>
    <mergeCell ref="C659:C664"/>
    <mergeCell ref="J659:J664"/>
    <mergeCell ref="K659:K664"/>
    <mergeCell ref="A665:A670"/>
    <mergeCell ref="B665:B670"/>
    <mergeCell ref="C665:C670"/>
    <mergeCell ref="J665:J670"/>
    <mergeCell ref="K665:K670"/>
    <mergeCell ref="A671:A676"/>
    <mergeCell ref="B671:B676"/>
    <mergeCell ref="C671:C676"/>
    <mergeCell ref="J671:J676"/>
    <mergeCell ref="K671:K676"/>
    <mergeCell ref="A677:A682"/>
    <mergeCell ref="B677:B682"/>
    <mergeCell ref="C677:C682"/>
    <mergeCell ref="J677:J682"/>
    <mergeCell ref="K677:K682"/>
    <mergeCell ref="A683:A688"/>
    <mergeCell ref="B683:B688"/>
    <mergeCell ref="C683:C688"/>
    <mergeCell ref="J683:J688"/>
    <mergeCell ref="K683:K688"/>
    <mergeCell ref="A689:A694"/>
    <mergeCell ref="B689:B694"/>
    <mergeCell ref="C689:C694"/>
    <mergeCell ref="J689:J694"/>
    <mergeCell ref="K689:K694"/>
    <mergeCell ref="A695:A700"/>
    <mergeCell ref="B695:B700"/>
    <mergeCell ref="C695:C700"/>
    <mergeCell ref="J695:J700"/>
    <mergeCell ref="K695:K700"/>
    <mergeCell ref="A701:A706"/>
    <mergeCell ref="B701:B706"/>
    <mergeCell ref="C701:C706"/>
    <mergeCell ref="J701:J706"/>
    <mergeCell ref="K701:K706"/>
    <mergeCell ref="A707:A712"/>
    <mergeCell ref="B707:B712"/>
    <mergeCell ref="C707:C712"/>
    <mergeCell ref="J707:J712"/>
    <mergeCell ref="K707:K712"/>
    <mergeCell ref="A713:A718"/>
    <mergeCell ref="B713:B718"/>
    <mergeCell ref="C713:C718"/>
    <mergeCell ref="J713:J718"/>
    <mergeCell ref="K713:K718"/>
    <mergeCell ref="A719:A724"/>
    <mergeCell ref="B719:B724"/>
    <mergeCell ref="C719:C724"/>
    <mergeCell ref="J719:J724"/>
    <mergeCell ref="K719:K724"/>
    <mergeCell ref="A725:A730"/>
    <mergeCell ref="B725:B730"/>
    <mergeCell ref="C725:C730"/>
    <mergeCell ref="J725:J730"/>
    <mergeCell ref="K725:K730"/>
    <mergeCell ref="A731:A736"/>
    <mergeCell ref="B731:B736"/>
    <mergeCell ref="C731:C736"/>
    <mergeCell ref="J731:J736"/>
    <mergeCell ref="K731:K736"/>
    <mergeCell ref="A743:A748"/>
    <mergeCell ref="B743:B748"/>
    <mergeCell ref="C743:C748"/>
    <mergeCell ref="J743:J748"/>
    <mergeCell ref="K743:K748"/>
    <mergeCell ref="L743:L748"/>
    <mergeCell ref="A737:A742"/>
    <mergeCell ref="B737:B742"/>
    <mergeCell ref="C737:C742"/>
    <mergeCell ref="J737:J742"/>
    <mergeCell ref="K737:K742"/>
    <mergeCell ref="L737:L742"/>
    <mergeCell ref="A749:A754"/>
    <mergeCell ref="B749:B754"/>
    <mergeCell ref="C749:C754"/>
    <mergeCell ref="J749:J754"/>
    <mergeCell ref="K749:K754"/>
    <mergeCell ref="A755:A760"/>
    <mergeCell ref="B755:B760"/>
    <mergeCell ref="C755:C760"/>
    <mergeCell ref="J755:J760"/>
    <mergeCell ref="K755:K760"/>
    <mergeCell ref="A773:A778"/>
    <mergeCell ref="B773:B778"/>
    <mergeCell ref="C773:C778"/>
    <mergeCell ref="J773:J778"/>
    <mergeCell ref="K773:K778"/>
    <mergeCell ref="A761:A766"/>
    <mergeCell ref="B761:B766"/>
    <mergeCell ref="C761:C766"/>
    <mergeCell ref="J761:J766"/>
    <mergeCell ref="K761:K766"/>
    <mergeCell ref="A767:A772"/>
    <mergeCell ref="B767:B772"/>
    <mergeCell ref="C767:C772"/>
    <mergeCell ref="J767:J772"/>
    <mergeCell ref="K767:K772"/>
  </mergeCells>
  <pageMargins left="0.11811023622047245" right="0.11811023622047245" top="0.15748031496062992" bottom="0.15748031496062992" header="0.11811023622047245" footer="0.11811023622047245"/>
  <pageSetup paperSize="9" scale="68" firstPageNumber="4294967295" fitToHeight="0" orientation="landscape" r:id="rId1"/>
  <headerFooter>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75"/>
  <sheetViews>
    <sheetView topLeftCell="A37" workbookViewId="0">
      <selection activeCell="N59" sqref="N59"/>
    </sheetView>
  </sheetViews>
  <sheetFormatPr defaultRowHeight="15" x14ac:dyDescent="0.25"/>
  <cols>
    <col min="1" max="1" width="7.7109375" style="15" customWidth="1"/>
    <col min="2" max="2" width="46.42578125" style="15" customWidth="1"/>
    <col min="3" max="3" width="18.5703125" style="15" customWidth="1"/>
    <col min="4" max="4" width="9.140625" style="15"/>
    <col min="5" max="5" width="12.5703125" style="15" customWidth="1"/>
    <col min="6" max="6" width="16.140625" style="15" customWidth="1"/>
    <col min="7" max="7" width="13.85546875" style="15" customWidth="1"/>
    <col min="8" max="8" width="12.42578125" style="15" customWidth="1"/>
    <col min="9" max="9" width="14" style="15" customWidth="1"/>
    <col min="10" max="10" width="23" style="15" customWidth="1"/>
    <col min="11" max="16384" width="9.140625" style="22"/>
  </cols>
  <sheetData>
    <row r="3" spans="1:10" x14ac:dyDescent="0.25">
      <c r="A3" s="177" t="s">
        <v>1227</v>
      </c>
      <c r="B3" s="177"/>
      <c r="C3" s="177"/>
      <c r="D3" s="177"/>
      <c r="E3" s="177"/>
      <c r="F3" s="177"/>
      <c r="G3" s="177"/>
      <c r="H3" s="177"/>
      <c r="I3" s="177"/>
      <c r="J3" s="177"/>
    </row>
    <row r="5" spans="1:10" ht="25.5" customHeight="1" x14ac:dyDescent="0.25">
      <c r="A5" s="146" t="s">
        <v>802</v>
      </c>
      <c r="B5" s="108" t="s">
        <v>1228</v>
      </c>
      <c r="C5" s="108" t="s">
        <v>3</v>
      </c>
      <c r="D5" s="178" t="s">
        <v>4</v>
      </c>
      <c r="E5" s="179"/>
      <c r="F5" s="179"/>
      <c r="G5" s="179"/>
      <c r="H5" s="179"/>
      <c r="I5" s="179"/>
      <c r="J5" s="168" t="s">
        <v>1229</v>
      </c>
    </row>
    <row r="6" spans="1:10" ht="29.25" customHeight="1" x14ac:dyDescent="0.25">
      <c r="A6" s="148"/>
      <c r="B6" s="110"/>
      <c r="C6" s="110"/>
      <c r="D6" s="24" t="s">
        <v>1230</v>
      </c>
      <c r="E6" s="25" t="s">
        <v>8</v>
      </c>
      <c r="F6" s="25" t="s">
        <v>9</v>
      </c>
      <c r="G6" s="25" t="s">
        <v>10</v>
      </c>
      <c r="H6" s="25" t="s">
        <v>11</v>
      </c>
      <c r="I6" s="26" t="s">
        <v>12</v>
      </c>
      <c r="J6" s="170"/>
    </row>
    <row r="7" spans="1:10" ht="15" customHeight="1" x14ac:dyDescent="0.25">
      <c r="A7" s="165"/>
      <c r="B7" s="108" t="s">
        <v>13</v>
      </c>
      <c r="C7" s="108" t="s">
        <v>828</v>
      </c>
      <c r="D7" s="24" t="s">
        <v>8</v>
      </c>
      <c r="E7" s="27">
        <f>НОВЫЙ!E5</f>
        <v>14270912.454374753</v>
      </c>
      <c r="F7" s="27">
        <f>НОВЫЙ!F5</f>
        <v>12434302.813480001</v>
      </c>
      <c r="G7" s="27">
        <f>НОВЫЙ!G5</f>
        <v>1565105.1228499999</v>
      </c>
      <c r="H7" s="27">
        <f>НОВЫЙ!H5</f>
        <v>271504.5180447509</v>
      </c>
      <c r="I7" s="27">
        <f>НОВЫЙ!I5</f>
        <v>0</v>
      </c>
      <c r="J7" s="168" t="s">
        <v>482</v>
      </c>
    </row>
    <row r="8" spans="1:10" x14ac:dyDescent="0.25">
      <c r="A8" s="166"/>
      <c r="B8" s="109"/>
      <c r="C8" s="109"/>
      <c r="D8" s="29">
        <v>2021</v>
      </c>
      <c r="E8" s="27">
        <f>НОВЫЙ!E6</f>
        <v>1613228.6017916503</v>
      </c>
      <c r="F8" s="27">
        <f>НОВЫЙ!F6</f>
        <v>1267910.29015</v>
      </c>
      <c r="G8" s="27">
        <f>НОВЫЙ!G6</f>
        <v>301879.99800000002</v>
      </c>
      <c r="H8" s="27">
        <f>НОВЫЙ!H6</f>
        <v>43438.313641650384</v>
      </c>
      <c r="I8" s="27">
        <f>НОВЫЙ!I6</f>
        <v>0</v>
      </c>
      <c r="J8" s="169"/>
    </row>
    <row r="9" spans="1:10" x14ac:dyDescent="0.25">
      <c r="A9" s="166"/>
      <c r="B9" s="109"/>
      <c r="C9" s="109"/>
      <c r="D9" s="29">
        <v>2022</v>
      </c>
      <c r="E9" s="27">
        <f>НОВЫЙ!E7</f>
        <v>2883391.4108731011</v>
      </c>
      <c r="F9" s="27">
        <f>НОВЫЙ!F7</f>
        <v>2558971.7024200005</v>
      </c>
      <c r="G9" s="27">
        <f>НОВЫЙ!G7</f>
        <v>244045.77</v>
      </c>
      <c r="H9" s="27">
        <f>НОВЫЙ!H7</f>
        <v>80373.93845310052</v>
      </c>
      <c r="I9" s="27">
        <f>НОВЫЙ!I7</f>
        <v>0</v>
      </c>
      <c r="J9" s="169"/>
    </row>
    <row r="10" spans="1:10" x14ac:dyDescent="0.25">
      <c r="A10" s="166"/>
      <c r="B10" s="109"/>
      <c r="C10" s="109"/>
      <c r="D10" s="29">
        <v>2023</v>
      </c>
      <c r="E10" s="27">
        <f>НОВЫЙ!E8</f>
        <v>2154380.0654199999</v>
      </c>
      <c r="F10" s="27">
        <f>НОВЫЙ!F8</f>
        <v>1676033.8114900002</v>
      </c>
      <c r="G10" s="27">
        <f>НОВЫЙ!G8</f>
        <v>436920.95484999998</v>
      </c>
      <c r="H10" s="27">
        <f>НОВЫЙ!H8</f>
        <v>41425.299079999975</v>
      </c>
      <c r="I10" s="27">
        <f>НОВЫЙ!I8</f>
        <v>0</v>
      </c>
      <c r="J10" s="169"/>
    </row>
    <row r="11" spans="1:10" x14ac:dyDescent="0.25">
      <c r="A11" s="166"/>
      <c r="B11" s="109"/>
      <c r="C11" s="109"/>
      <c r="D11" s="29">
        <v>2024</v>
      </c>
      <c r="E11" s="27">
        <f>НОВЫЙ!E9</f>
        <v>3610937.3131099995</v>
      </c>
      <c r="F11" s="27">
        <f>НОВЫЙ!F9</f>
        <v>3082383.5778699997</v>
      </c>
      <c r="G11" s="27">
        <f>НОВЫЙ!G9</f>
        <v>456258.39999999997</v>
      </c>
      <c r="H11" s="27">
        <f>НОВЫЙ!H9</f>
        <v>72295.33524</v>
      </c>
      <c r="I11" s="27">
        <f>НОВЫЙ!I9</f>
        <v>0</v>
      </c>
      <c r="J11" s="169"/>
    </row>
    <row r="12" spans="1:10" x14ac:dyDescent="0.25">
      <c r="A12" s="166"/>
      <c r="B12" s="109"/>
      <c r="C12" s="109"/>
      <c r="D12" s="29">
        <v>2025</v>
      </c>
      <c r="E12" s="27">
        <f>НОВЫЙ!E10</f>
        <v>2159394.9740800001</v>
      </c>
      <c r="F12" s="27">
        <f>НОВЫЙ!F10</f>
        <v>2052012.8657499999</v>
      </c>
      <c r="G12" s="27">
        <f>НОВЫЙ!G10</f>
        <v>90000</v>
      </c>
      <c r="H12" s="27">
        <f>НОВЫЙ!H10</f>
        <v>17382.108329999999</v>
      </c>
      <c r="I12" s="27">
        <f>НОВЫЙ!I10</f>
        <v>0</v>
      </c>
      <c r="J12" s="169"/>
    </row>
    <row r="13" spans="1:10" s="53" customFormat="1" x14ac:dyDescent="0.25">
      <c r="A13" s="167"/>
      <c r="B13" s="110"/>
      <c r="C13" s="110"/>
      <c r="D13" s="54">
        <v>2026</v>
      </c>
      <c r="E13" s="27">
        <f>НОВЫЙ!E11</f>
        <v>1849580.0891000002</v>
      </c>
      <c r="F13" s="27">
        <f>НОВЫЙ!F11</f>
        <v>1796990.5658000002</v>
      </c>
      <c r="G13" s="27">
        <f>НОВЫЙ!G11</f>
        <v>36000</v>
      </c>
      <c r="H13" s="27">
        <f>НОВЫЙ!H11</f>
        <v>16589.523300000001</v>
      </c>
      <c r="I13" s="27">
        <f>НОВЫЙ!I11</f>
        <v>0</v>
      </c>
      <c r="J13" s="170"/>
    </row>
    <row r="14" spans="1:10" x14ac:dyDescent="0.25">
      <c r="A14" s="165"/>
      <c r="B14" s="108" t="s">
        <v>483</v>
      </c>
      <c r="C14" s="108" t="s">
        <v>828</v>
      </c>
      <c r="D14" s="24" t="s">
        <v>8</v>
      </c>
      <c r="E14" s="27">
        <f>НОВЫЙ!E12</f>
        <v>9947875.7374578435</v>
      </c>
      <c r="F14" s="27">
        <f>НОВЫЙ!F12</f>
        <v>9444880.1123600006</v>
      </c>
      <c r="G14" s="27">
        <f>НОВЫЙ!G12</f>
        <v>335189.18385000003</v>
      </c>
      <c r="H14" s="27">
        <f>НОВЫЙ!H12</f>
        <v>167806.44124784268</v>
      </c>
      <c r="I14" s="27">
        <f>НОВЫЙ!I12</f>
        <v>0</v>
      </c>
      <c r="J14" s="168" t="s">
        <v>484</v>
      </c>
    </row>
    <row r="15" spans="1:10" x14ac:dyDescent="0.25">
      <c r="A15" s="166"/>
      <c r="B15" s="109"/>
      <c r="C15" s="109"/>
      <c r="D15" s="29">
        <v>2021</v>
      </c>
      <c r="E15" s="27">
        <f>НОВЫЙ!E13</f>
        <v>1143437.1402100001</v>
      </c>
      <c r="F15" s="27">
        <f>НОВЫЙ!F13</f>
        <v>1079783.2501300001</v>
      </c>
      <c r="G15" s="27">
        <f>НОВЫЙ!G13</f>
        <v>44391.299000000028</v>
      </c>
      <c r="H15" s="27">
        <f>НОВЫЙ!H13</f>
        <v>19262.591080000006</v>
      </c>
      <c r="I15" s="27">
        <f>НОВЫЙ!I13</f>
        <v>0</v>
      </c>
      <c r="J15" s="169"/>
    </row>
    <row r="16" spans="1:10" x14ac:dyDescent="0.25">
      <c r="A16" s="166"/>
      <c r="B16" s="109"/>
      <c r="C16" s="109"/>
      <c r="D16" s="29">
        <v>2022</v>
      </c>
      <c r="E16" s="27">
        <f>НОВЫЙ!E14</f>
        <v>1725609.8373178432</v>
      </c>
      <c r="F16" s="27">
        <f>НОВЫЙ!F14</f>
        <v>1637815.2563600005</v>
      </c>
      <c r="G16" s="27">
        <f>НОВЫЙ!G14</f>
        <v>66437.87</v>
      </c>
      <c r="H16" s="27">
        <f>НОВЫЙ!H14</f>
        <v>21356.710957842668</v>
      </c>
      <c r="I16" s="27">
        <f>НОВЫЙ!I14</f>
        <v>0</v>
      </c>
      <c r="J16" s="169"/>
    </row>
    <row r="17" spans="1:10" x14ac:dyDescent="0.25">
      <c r="A17" s="166"/>
      <c r="B17" s="109"/>
      <c r="C17" s="109"/>
      <c r="D17" s="29">
        <v>2023</v>
      </c>
      <c r="E17" s="27">
        <f>НОВЫЙ!E15</f>
        <v>1506558.2592200004</v>
      </c>
      <c r="F17" s="27">
        <f>НОВЫЙ!F15</f>
        <v>1461119.3410300002</v>
      </c>
      <c r="G17" s="27">
        <f>НОВЫЙ!G15</f>
        <v>12210.214849999989</v>
      </c>
      <c r="H17" s="27">
        <f>НОВЫЙ!H15</f>
        <v>33228.70334</v>
      </c>
      <c r="I17" s="27">
        <f>НОВЫЙ!I15</f>
        <v>0</v>
      </c>
      <c r="J17" s="169"/>
    </row>
    <row r="18" spans="1:10" x14ac:dyDescent="0.25">
      <c r="A18" s="166"/>
      <c r="B18" s="109"/>
      <c r="C18" s="109"/>
      <c r="D18" s="29">
        <v>2024</v>
      </c>
      <c r="E18" s="27">
        <f>НОВЫЙ!E16</f>
        <v>2124713.2375299996</v>
      </c>
      <c r="F18" s="27">
        <f>НОВЫЙ!F16</f>
        <v>1977784.0482899996</v>
      </c>
      <c r="G18" s="27">
        <f>НОВЫЙ!G16</f>
        <v>86149.799999999988</v>
      </c>
      <c r="H18" s="27">
        <f>НОВЫЙ!H16</f>
        <v>60779.389240000004</v>
      </c>
      <c r="I18" s="27">
        <f>НОВЫЙ!I16</f>
        <v>0</v>
      </c>
      <c r="J18" s="169"/>
    </row>
    <row r="19" spans="1:10" x14ac:dyDescent="0.25">
      <c r="A19" s="166"/>
      <c r="B19" s="109"/>
      <c r="C19" s="109"/>
      <c r="D19" s="29">
        <v>2025</v>
      </c>
      <c r="E19" s="27">
        <f>НОВЫЙ!E17</f>
        <v>1597977.17408</v>
      </c>
      <c r="F19" s="27">
        <f>НОВЫЙ!F17</f>
        <v>1491387.65075</v>
      </c>
      <c r="G19" s="27">
        <f>НОВЫЙ!G17</f>
        <v>90000</v>
      </c>
      <c r="H19" s="27">
        <f>НОВЫЙ!H17</f>
        <v>16589.52333</v>
      </c>
      <c r="I19" s="27">
        <f>НОВЫЙ!I17</f>
        <v>0</v>
      </c>
      <c r="J19" s="169"/>
    </row>
    <row r="20" spans="1:10" s="53" customFormat="1" x14ac:dyDescent="0.25">
      <c r="A20" s="167"/>
      <c r="B20" s="110"/>
      <c r="C20" s="110"/>
      <c r="D20" s="54">
        <v>2026</v>
      </c>
      <c r="E20" s="27">
        <f>НОВЫЙ!E18</f>
        <v>1849580.0891000002</v>
      </c>
      <c r="F20" s="27">
        <f>НОВЫЙ!F18</f>
        <v>1796990.5658000002</v>
      </c>
      <c r="G20" s="27">
        <f>НОВЫЙ!G18</f>
        <v>36000</v>
      </c>
      <c r="H20" s="27">
        <f>НОВЫЙ!H18</f>
        <v>16589.523300000001</v>
      </c>
      <c r="I20" s="27">
        <f>НОВЫЙ!I18</f>
        <v>0</v>
      </c>
      <c r="J20" s="170"/>
    </row>
    <row r="21" spans="1:10" s="93" customFormat="1" x14ac:dyDescent="0.25">
      <c r="A21" s="165"/>
      <c r="B21" s="108" t="s">
        <v>624</v>
      </c>
      <c r="C21" s="108" t="s">
        <v>828</v>
      </c>
      <c r="D21" s="24" t="s">
        <v>8</v>
      </c>
      <c r="E21" s="96">
        <f>НОВЫЙ!E19</f>
        <v>4323036.7169169076</v>
      </c>
      <c r="F21" s="96">
        <f>НОВЫЙ!F19</f>
        <v>2989422.7011200003</v>
      </c>
      <c r="G21" s="96">
        <f>НОВЫЙ!G19</f>
        <v>1229915.9389999998</v>
      </c>
      <c r="H21" s="96">
        <f>НОВЫЙ!H19</f>
        <v>103698.07679690821</v>
      </c>
      <c r="I21" s="96">
        <f>НОВЫЙ!I19</f>
        <v>0</v>
      </c>
      <c r="J21" s="168" t="s">
        <v>20</v>
      </c>
    </row>
    <row r="22" spans="1:10" s="93" customFormat="1" x14ac:dyDescent="0.25">
      <c r="A22" s="166"/>
      <c r="B22" s="109"/>
      <c r="C22" s="109"/>
      <c r="D22" s="94">
        <v>2021</v>
      </c>
      <c r="E22" s="96">
        <f>НОВЫЙ!E20</f>
        <v>469791.46158165036</v>
      </c>
      <c r="F22" s="96">
        <f>НОВЫЙ!F20</f>
        <v>188127.04001999999</v>
      </c>
      <c r="G22" s="96">
        <f>НОВЫЙ!G20</f>
        <v>257488.69899999999</v>
      </c>
      <c r="H22" s="96">
        <f>НОВЫЙ!H20</f>
        <v>24175.722561650378</v>
      </c>
      <c r="I22" s="96">
        <f>НОВЫЙ!I20</f>
        <v>0</v>
      </c>
      <c r="J22" s="169"/>
    </row>
    <row r="23" spans="1:10" s="93" customFormat="1" x14ac:dyDescent="0.25">
      <c r="A23" s="166"/>
      <c r="B23" s="109"/>
      <c r="C23" s="109"/>
      <c r="D23" s="94">
        <v>2022</v>
      </c>
      <c r="E23" s="96">
        <f>НОВЫЙ!E21</f>
        <v>1157781.5735552579</v>
      </c>
      <c r="F23" s="96">
        <f>НОВЫЙ!F21</f>
        <v>921156.4460600001</v>
      </c>
      <c r="G23" s="96">
        <f>НОВЫЙ!G21</f>
        <v>177607.9</v>
      </c>
      <c r="H23" s="96">
        <f>НОВЫЙ!H21</f>
        <v>59017.227495257852</v>
      </c>
      <c r="I23" s="96">
        <f>НОВЫЙ!I21</f>
        <v>0</v>
      </c>
      <c r="J23" s="169"/>
    </row>
    <row r="24" spans="1:10" s="93" customFormat="1" x14ac:dyDescent="0.25">
      <c r="A24" s="166"/>
      <c r="B24" s="109"/>
      <c r="C24" s="109"/>
      <c r="D24" s="94">
        <v>2023</v>
      </c>
      <c r="E24" s="96">
        <f>НОВЫЙ!E22</f>
        <v>647821.80619999999</v>
      </c>
      <c r="F24" s="96">
        <f>НОВЫЙ!F22</f>
        <v>214914.47045999998</v>
      </c>
      <c r="G24" s="96">
        <f>НОВЫЙ!G22</f>
        <v>424710.74</v>
      </c>
      <c r="H24" s="96">
        <f>НОВЫЙ!H22</f>
        <v>8196.5957399999752</v>
      </c>
      <c r="I24" s="96">
        <f>НОВЫЙ!I22</f>
        <v>0</v>
      </c>
      <c r="J24" s="169"/>
    </row>
    <row r="25" spans="1:10" s="93" customFormat="1" x14ac:dyDescent="0.25">
      <c r="A25" s="166"/>
      <c r="B25" s="109"/>
      <c r="C25" s="109"/>
      <c r="D25" s="94">
        <v>2024</v>
      </c>
      <c r="E25" s="96">
        <f>НОВЫЙ!E23</f>
        <v>1486224.0755799999</v>
      </c>
      <c r="F25" s="96">
        <f>НОВЫЙ!F23</f>
        <v>1104599.5295800001</v>
      </c>
      <c r="G25" s="96">
        <f>НОВЫЙ!G23</f>
        <v>370108.6</v>
      </c>
      <c r="H25" s="96">
        <f>НОВЫЙ!H23</f>
        <v>11515.946</v>
      </c>
      <c r="I25" s="96">
        <f>НОВЫЙ!I23</f>
        <v>0</v>
      </c>
      <c r="J25" s="169"/>
    </row>
    <row r="26" spans="1:10" s="93" customFormat="1" x14ac:dyDescent="0.25">
      <c r="A26" s="166"/>
      <c r="B26" s="109"/>
      <c r="C26" s="109"/>
      <c r="D26" s="94">
        <v>2025</v>
      </c>
      <c r="E26" s="96">
        <f>НОВЫЙ!E24</f>
        <v>561417.79999999993</v>
      </c>
      <c r="F26" s="96">
        <f>НОВЫЙ!F24</f>
        <v>560625.21499999997</v>
      </c>
      <c r="G26" s="96">
        <f>НОВЫЙ!G24</f>
        <v>0</v>
      </c>
      <c r="H26" s="96">
        <f>НОВЫЙ!H24</f>
        <v>792.58500000000004</v>
      </c>
      <c r="I26" s="96">
        <f>НОВЫЙ!I24</f>
        <v>0</v>
      </c>
      <c r="J26" s="169"/>
    </row>
    <row r="27" spans="1:10" s="93" customFormat="1" x14ac:dyDescent="0.25">
      <c r="A27" s="167"/>
      <c r="B27" s="110"/>
      <c r="C27" s="110"/>
      <c r="D27" s="94">
        <v>2026</v>
      </c>
      <c r="E27" s="96">
        <f>НОВЫЙ!E25</f>
        <v>0</v>
      </c>
      <c r="F27" s="96">
        <f>НОВЫЙ!F25</f>
        <v>0</v>
      </c>
      <c r="G27" s="96">
        <f>НОВЫЙ!G25</f>
        <v>0</v>
      </c>
      <c r="H27" s="96">
        <f>НОВЫЙ!H25</f>
        <v>0</v>
      </c>
      <c r="I27" s="96">
        <f>НОВЫЙ!I25</f>
        <v>0</v>
      </c>
      <c r="J27" s="170"/>
    </row>
    <row r="28" spans="1:10" s="98" customFormat="1" x14ac:dyDescent="0.25">
      <c r="A28" s="108" t="s">
        <v>806</v>
      </c>
      <c r="B28" s="108" t="s">
        <v>818</v>
      </c>
      <c r="C28" s="108" t="s">
        <v>828</v>
      </c>
      <c r="D28" s="24" t="s">
        <v>8</v>
      </c>
      <c r="E28" s="96">
        <f>НОВЫЙ!E26</f>
        <v>1721484.62742</v>
      </c>
      <c r="F28" s="96">
        <f>НОВЫЙ!F26</f>
        <v>1645392.3293600001</v>
      </c>
      <c r="G28" s="96">
        <f>НОВЫЙ!G26</f>
        <v>23683.307479999996</v>
      </c>
      <c r="H28" s="96">
        <f>НОВЫЙ!H26</f>
        <v>52408.990579999998</v>
      </c>
      <c r="I28" s="96">
        <f>НОВЫЙ!I26</f>
        <v>0</v>
      </c>
      <c r="J28" s="108" t="s">
        <v>486</v>
      </c>
    </row>
    <row r="29" spans="1:10" s="98" customFormat="1" x14ac:dyDescent="0.25">
      <c r="A29" s="109"/>
      <c r="B29" s="109"/>
      <c r="C29" s="109"/>
      <c r="D29" s="99">
        <v>2021</v>
      </c>
      <c r="E29" s="96">
        <f>НОВЫЙ!E27</f>
        <v>138607.88275000002</v>
      </c>
      <c r="F29" s="96">
        <f>НОВЫЙ!F27</f>
        <v>118407.68375000001</v>
      </c>
      <c r="G29" s="96">
        <f>НОВЫЙ!G27</f>
        <v>20200.198999999997</v>
      </c>
      <c r="H29" s="96">
        <f>НОВЫЙ!H27</f>
        <v>0</v>
      </c>
      <c r="I29" s="96">
        <f>НОВЫЙ!I27</f>
        <v>0</v>
      </c>
      <c r="J29" s="109"/>
    </row>
    <row r="30" spans="1:10" s="98" customFormat="1" x14ac:dyDescent="0.25">
      <c r="A30" s="109"/>
      <c r="B30" s="109"/>
      <c r="C30" s="109"/>
      <c r="D30" s="99">
        <v>2022</v>
      </c>
      <c r="E30" s="96">
        <f>НОВЫЙ!E28</f>
        <v>284204.41166000004</v>
      </c>
      <c r="F30" s="96">
        <f>НОВЫЙ!F28</f>
        <v>281836.93466000003</v>
      </c>
      <c r="G30" s="96">
        <f>НОВЫЙ!G28</f>
        <v>2367.4769999999999</v>
      </c>
      <c r="H30" s="96">
        <f>НОВЫЙ!H28</f>
        <v>0</v>
      </c>
      <c r="I30" s="96">
        <f>НОВЫЙ!I28</f>
        <v>0</v>
      </c>
      <c r="J30" s="109"/>
    </row>
    <row r="31" spans="1:10" s="98" customFormat="1" x14ac:dyDescent="0.25">
      <c r="A31" s="109"/>
      <c r="B31" s="109"/>
      <c r="C31" s="109"/>
      <c r="D31" s="99">
        <v>2023</v>
      </c>
      <c r="E31" s="96">
        <f>НОВЫЙ!E29</f>
        <v>296877.74302999995</v>
      </c>
      <c r="F31" s="96">
        <f>НОВЫЙ!F29</f>
        <v>283276.32020999998</v>
      </c>
      <c r="G31" s="96">
        <f>НОВЫЙ!G29</f>
        <v>1115.63148</v>
      </c>
      <c r="H31" s="96">
        <f>НОВЫЙ!H29</f>
        <v>12485.79134</v>
      </c>
      <c r="I31" s="96">
        <f>НОВЫЙ!I29</f>
        <v>0</v>
      </c>
      <c r="J31" s="109"/>
    </row>
    <row r="32" spans="1:10" s="98" customFormat="1" x14ac:dyDescent="0.25">
      <c r="A32" s="109"/>
      <c r="B32" s="109"/>
      <c r="C32" s="109"/>
      <c r="D32" s="99">
        <v>2024</v>
      </c>
      <c r="E32" s="96">
        <f>НОВЫЙ!E30</f>
        <v>506679.79281999997</v>
      </c>
      <c r="F32" s="96">
        <f>НОВЫЙ!F30</f>
        <v>466756.59357999999</v>
      </c>
      <c r="G32" s="96">
        <f>НОВЫЙ!G30</f>
        <v>0</v>
      </c>
      <c r="H32" s="96">
        <f>НОВЫЙ!H30</f>
        <v>39923.199240000002</v>
      </c>
      <c r="I32" s="96">
        <f>НОВЫЙ!I30</f>
        <v>0</v>
      </c>
      <c r="J32" s="109"/>
    </row>
    <row r="33" spans="1:10" s="98" customFormat="1" x14ac:dyDescent="0.25">
      <c r="A33" s="109"/>
      <c r="B33" s="109"/>
      <c r="C33" s="109"/>
      <c r="D33" s="99">
        <v>2025</v>
      </c>
      <c r="E33" s="96">
        <f>НОВЫЙ!E31</f>
        <v>247557.39858000001</v>
      </c>
      <c r="F33" s="96">
        <f>НОВЫЙ!F31</f>
        <v>247557.39858000001</v>
      </c>
      <c r="G33" s="96">
        <f>НОВЫЙ!G31</f>
        <v>0</v>
      </c>
      <c r="H33" s="96">
        <f>НОВЫЙ!H31</f>
        <v>0</v>
      </c>
      <c r="I33" s="96">
        <f>НОВЫЙ!I31</f>
        <v>0</v>
      </c>
      <c r="J33" s="109"/>
    </row>
    <row r="34" spans="1:10" s="98" customFormat="1" x14ac:dyDescent="0.25">
      <c r="A34" s="110"/>
      <c r="B34" s="110"/>
      <c r="C34" s="110"/>
      <c r="D34" s="99">
        <v>2026</v>
      </c>
      <c r="E34" s="96">
        <f>НОВЫЙ!E32</f>
        <v>247557.39858000001</v>
      </c>
      <c r="F34" s="96">
        <f>НОВЫЙ!F32</f>
        <v>247557.39858000001</v>
      </c>
      <c r="G34" s="96">
        <f>НОВЫЙ!G32</f>
        <v>0</v>
      </c>
      <c r="H34" s="96">
        <f>НОВЫЙ!H32</f>
        <v>0</v>
      </c>
      <c r="I34" s="96">
        <f>НОВЫЙ!I32</f>
        <v>0</v>
      </c>
      <c r="J34" s="110"/>
    </row>
    <row r="35" spans="1:10" s="98" customFormat="1" x14ac:dyDescent="0.25">
      <c r="A35" s="108" t="s">
        <v>30</v>
      </c>
      <c r="B35" s="108" t="s">
        <v>608</v>
      </c>
      <c r="C35" s="108" t="s">
        <v>828</v>
      </c>
      <c r="D35" s="24" t="s">
        <v>8</v>
      </c>
      <c r="E35" s="96">
        <f>НОВЫЙ!E61</f>
        <v>1638507.9166699997</v>
      </c>
      <c r="F35" s="96">
        <f>НОВЫЙ!F61</f>
        <v>1586098.9260899997</v>
      </c>
      <c r="G35" s="96">
        <f>НОВЫЙ!G61</f>
        <v>0</v>
      </c>
      <c r="H35" s="96">
        <f>НОВЫЙ!H61</f>
        <v>52408.990579999998</v>
      </c>
      <c r="I35" s="96">
        <f>НОВЫЙ!I61</f>
        <v>0</v>
      </c>
      <c r="J35" s="164" t="s">
        <v>486</v>
      </c>
    </row>
    <row r="36" spans="1:10" s="98" customFormat="1" x14ac:dyDescent="0.25">
      <c r="A36" s="109"/>
      <c r="B36" s="109"/>
      <c r="C36" s="109"/>
      <c r="D36" s="99">
        <v>2021</v>
      </c>
      <c r="E36" s="96">
        <f>НОВЫЙ!E62</f>
        <v>108436.894</v>
      </c>
      <c r="F36" s="96">
        <f>НОВЫЙ!F62</f>
        <v>108436.894</v>
      </c>
      <c r="G36" s="96">
        <f>НОВЫЙ!G62</f>
        <v>0</v>
      </c>
      <c r="H36" s="96">
        <f>НОВЫЙ!H62</f>
        <v>0</v>
      </c>
      <c r="I36" s="96">
        <f>НОВЫЙ!I62</f>
        <v>0</v>
      </c>
      <c r="J36" s="164"/>
    </row>
    <row r="37" spans="1:10" s="98" customFormat="1" x14ac:dyDescent="0.25">
      <c r="A37" s="109"/>
      <c r="B37" s="109"/>
      <c r="C37" s="109"/>
      <c r="D37" s="99">
        <v>2022</v>
      </c>
      <c r="E37" s="96">
        <f>НОВЫЙ!E63</f>
        <v>274226.68966000003</v>
      </c>
      <c r="F37" s="96">
        <f>НОВЫЙ!F63</f>
        <v>274226.68966000003</v>
      </c>
      <c r="G37" s="96">
        <f>НОВЫЙ!G63</f>
        <v>0</v>
      </c>
      <c r="H37" s="96">
        <f>НОВЫЙ!H63</f>
        <v>0</v>
      </c>
      <c r="I37" s="96">
        <f>НОВЫЙ!I63</f>
        <v>0</v>
      </c>
      <c r="J37" s="164"/>
    </row>
    <row r="38" spans="1:10" s="98" customFormat="1" x14ac:dyDescent="0.25">
      <c r="A38" s="109"/>
      <c r="B38" s="109"/>
      <c r="C38" s="109"/>
      <c r="D38" s="99">
        <v>2023</v>
      </c>
      <c r="E38" s="96">
        <f>НОВЫЙ!E64</f>
        <v>286735.94302999997</v>
      </c>
      <c r="F38" s="96">
        <f>НОВЫЙ!F64</f>
        <v>274250.15168999997</v>
      </c>
      <c r="G38" s="96">
        <f>НОВЫЙ!G64</f>
        <v>0</v>
      </c>
      <c r="H38" s="96">
        <f>НОВЫЙ!H64</f>
        <v>12485.79134</v>
      </c>
      <c r="I38" s="96">
        <f>НОВЫЙ!I64</f>
        <v>0</v>
      </c>
      <c r="J38" s="164"/>
    </row>
    <row r="39" spans="1:10" s="98" customFormat="1" x14ac:dyDescent="0.25">
      <c r="A39" s="109"/>
      <c r="B39" s="109"/>
      <c r="C39" s="109"/>
      <c r="D39" s="99">
        <v>2024</v>
      </c>
      <c r="E39" s="96">
        <f>НОВЫЙ!E65</f>
        <v>488311.79281999997</v>
      </c>
      <c r="F39" s="96">
        <f>НОВЫЙ!F65</f>
        <v>448388.59357999999</v>
      </c>
      <c r="G39" s="96">
        <f>НОВЫЙ!G65</f>
        <v>0</v>
      </c>
      <c r="H39" s="96">
        <f>НОВЫЙ!H65</f>
        <v>39923.199240000002</v>
      </c>
      <c r="I39" s="96">
        <f>НОВЫЙ!I65</f>
        <v>0</v>
      </c>
      <c r="J39" s="164"/>
    </row>
    <row r="40" spans="1:10" s="98" customFormat="1" x14ac:dyDescent="0.25">
      <c r="A40" s="109"/>
      <c r="B40" s="109"/>
      <c r="C40" s="109"/>
      <c r="D40" s="99">
        <v>2025</v>
      </c>
      <c r="E40" s="96">
        <f>НОВЫЙ!E66</f>
        <v>240398.29858</v>
      </c>
      <c r="F40" s="96">
        <f>НОВЫЙ!F66</f>
        <v>240398.29858</v>
      </c>
      <c r="G40" s="96">
        <f>НОВЫЙ!G66</f>
        <v>0</v>
      </c>
      <c r="H40" s="96">
        <f>НОВЫЙ!H66</f>
        <v>0</v>
      </c>
      <c r="I40" s="96">
        <f>НОВЫЙ!I66</f>
        <v>0</v>
      </c>
      <c r="J40" s="164"/>
    </row>
    <row r="41" spans="1:10" s="98" customFormat="1" x14ac:dyDescent="0.25">
      <c r="A41" s="110"/>
      <c r="B41" s="110"/>
      <c r="C41" s="110"/>
      <c r="D41" s="99">
        <v>2026</v>
      </c>
      <c r="E41" s="96">
        <f>НОВЫЙ!E67</f>
        <v>240398.29858</v>
      </c>
      <c r="F41" s="96">
        <f>НОВЫЙ!F67</f>
        <v>240398.29858</v>
      </c>
      <c r="G41" s="96">
        <f>НОВЫЙ!G67</f>
        <v>0</v>
      </c>
      <c r="H41" s="96">
        <f>НОВЫЙ!H67</f>
        <v>0</v>
      </c>
      <c r="I41" s="96">
        <f>НОВЫЙ!I67</f>
        <v>0</v>
      </c>
      <c r="J41" s="164"/>
    </row>
    <row r="42" spans="1:10" s="102" customFormat="1" ht="15" customHeight="1" x14ac:dyDescent="0.25">
      <c r="A42" s="108">
        <v>2</v>
      </c>
      <c r="B42" s="108" t="s">
        <v>55</v>
      </c>
      <c r="C42" s="108" t="s">
        <v>828</v>
      </c>
      <c r="D42" s="24" t="s">
        <v>8</v>
      </c>
      <c r="E42" s="96">
        <f>НОВЫЙ!E207</f>
        <v>6911534.74988</v>
      </c>
      <c r="F42" s="96">
        <f>НОВЫЙ!F207</f>
        <v>6745002.6196699999</v>
      </c>
      <c r="G42" s="96">
        <f>НОВЫЙ!G207</f>
        <v>59624.783369999997</v>
      </c>
      <c r="H42" s="96">
        <f>НОВЫЙ!H207</f>
        <v>106907.34684</v>
      </c>
      <c r="I42" s="96">
        <f>НОВЫЙ!I207</f>
        <v>0</v>
      </c>
      <c r="J42" s="108" t="s">
        <v>510</v>
      </c>
    </row>
    <row r="43" spans="1:10" s="102" customFormat="1" x14ac:dyDescent="0.25">
      <c r="A43" s="109"/>
      <c r="B43" s="109"/>
      <c r="C43" s="109"/>
      <c r="D43" s="103">
        <v>2021</v>
      </c>
      <c r="E43" s="96">
        <f>НОВЫЙ!E208</f>
        <v>891879.98959000001</v>
      </c>
      <c r="F43" s="96">
        <f>НОВЫЙ!F208</f>
        <v>854371.18938</v>
      </c>
      <c r="G43" s="96">
        <f>НОВЫЙ!G208</f>
        <v>24191.1</v>
      </c>
      <c r="H43" s="96">
        <f>НОВЫЙ!H208</f>
        <v>13317.700210000001</v>
      </c>
      <c r="I43" s="96">
        <f>НОВЫЙ!I208</f>
        <v>0</v>
      </c>
      <c r="J43" s="109"/>
    </row>
    <row r="44" spans="1:10" s="102" customFormat="1" x14ac:dyDescent="0.25">
      <c r="A44" s="109"/>
      <c r="B44" s="109"/>
      <c r="C44" s="109"/>
      <c r="D44" s="103">
        <v>2022</v>
      </c>
      <c r="E44" s="96">
        <f>НОВЫЙ!E209</f>
        <v>1227311.4540000001</v>
      </c>
      <c r="F44" s="96">
        <f>НОВЫЙ!F209</f>
        <v>1191344.9740000002</v>
      </c>
      <c r="G44" s="96">
        <f>НОВЫЙ!G209</f>
        <v>16189.3</v>
      </c>
      <c r="H44" s="96">
        <f>НОВЫЙ!H209</f>
        <v>19777.18</v>
      </c>
      <c r="I44" s="96">
        <f>НОВЫЙ!I209</f>
        <v>0</v>
      </c>
      <c r="J44" s="109"/>
    </row>
    <row r="45" spans="1:10" s="102" customFormat="1" x14ac:dyDescent="0.25">
      <c r="A45" s="109"/>
      <c r="B45" s="109"/>
      <c r="C45" s="109"/>
      <c r="D45" s="103">
        <v>2023</v>
      </c>
      <c r="E45" s="96">
        <f>НОВЫЙ!E210</f>
        <v>1113485.8361899999</v>
      </c>
      <c r="F45" s="96">
        <f>НОВЫЙ!F210</f>
        <v>1082614.0228200001</v>
      </c>
      <c r="G45" s="96">
        <f>НОВЫЙ!G210</f>
        <v>11094.58337</v>
      </c>
      <c r="H45" s="96">
        <f>НОВЫЙ!H210</f>
        <v>19777.23</v>
      </c>
      <c r="I45" s="96">
        <f>НОВЫЙ!I210</f>
        <v>0</v>
      </c>
      <c r="J45" s="109"/>
    </row>
    <row r="46" spans="1:10" s="102" customFormat="1" x14ac:dyDescent="0.25">
      <c r="A46" s="109"/>
      <c r="B46" s="109"/>
      <c r="C46" s="109"/>
      <c r="D46" s="103">
        <v>2024</v>
      </c>
      <c r="E46" s="96">
        <f>НОВЫЙ!E211</f>
        <v>1430883.7283799998</v>
      </c>
      <c r="F46" s="96">
        <f>НОВЫЙ!F211</f>
        <v>1401877.7383799998</v>
      </c>
      <c r="G46" s="96">
        <f>НОВЫЙ!G211</f>
        <v>8149.8</v>
      </c>
      <c r="H46" s="96">
        <f>НОВЫЙ!H211</f>
        <v>20856.189999999999</v>
      </c>
      <c r="I46" s="96">
        <f>НОВЫЙ!I211</f>
        <v>0</v>
      </c>
      <c r="J46" s="109"/>
    </row>
    <row r="47" spans="1:10" s="102" customFormat="1" x14ac:dyDescent="0.25">
      <c r="A47" s="109"/>
      <c r="B47" s="109"/>
      <c r="C47" s="109"/>
      <c r="D47" s="103">
        <v>2025</v>
      </c>
      <c r="E47" s="96">
        <f>НОВЫЙ!E212</f>
        <v>1146360.4516799999</v>
      </c>
      <c r="F47" s="96">
        <f>НОВЫЙ!F212</f>
        <v>1129770.9283499999</v>
      </c>
      <c r="G47" s="96">
        <f>НОВЫЙ!G212</f>
        <v>0</v>
      </c>
      <c r="H47" s="96">
        <f>НОВЫЙ!H212</f>
        <v>16589.52333</v>
      </c>
      <c r="I47" s="96">
        <f>НОВЫЙ!I212</f>
        <v>0</v>
      </c>
      <c r="J47" s="109"/>
    </row>
    <row r="48" spans="1:10" s="102" customFormat="1" x14ac:dyDescent="0.25">
      <c r="A48" s="110"/>
      <c r="B48" s="110"/>
      <c r="C48" s="110"/>
      <c r="D48" s="103">
        <v>2026</v>
      </c>
      <c r="E48" s="96">
        <f>НОВЫЙ!E213</f>
        <v>1101613.2900400001</v>
      </c>
      <c r="F48" s="96">
        <f>НОВЫЙ!F213</f>
        <v>1085023.7667400001</v>
      </c>
      <c r="G48" s="96">
        <f>НОВЫЙ!G213</f>
        <v>0</v>
      </c>
      <c r="H48" s="96">
        <f>НОВЫЙ!H213</f>
        <v>16589.523300000001</v>
      </c>
      <c r="I48" s="96">
        <f>НОВЫЙ!I213</f>
        <v>0</v>
      </c>
      <c r="J48" s="110"/>
    </row>
    <row r="49" spans="1:10" s="102" customFormat="1" x14ac:dyDescent="0.25">
      <c r="A49" s="117" t="s">
        <v>84</v>
      </c>
      <c r="B49" s="108" t="s">
        <v>1813</v>
      </c>
      <c r="C49" s="117" t="s">
        <v>41</v>
      </c>
      <c r="D49" s="24" t="s">
        <v>8</v>
      </c>
      <c r="E49" s="96">
        <f>НОВЫЙ!E396</f>
        <v>67874.04681</v>
      </c>
      <c r="F49" s="96">
        <f>НОВЫЙ!F396</f>
        <v>8249.2634400000006</v>
      </c>
      <c r="G49" s="96">
        <f>НОВЫЙ!G396</f>
        <v>59624.783369999997</v>
      </c>
      <c r="H49" s="96">
        <f>НОВЫЙ!H396</f>
        <v>0</v>
      </c>
      <c r="I49" s="96">
        <f>НОВЫЙ!I396</f>
        <v>0</v>
      </c>
      <c r="J49" s="108" t="s">
        <v>486</v>
      </c>
    </row>
    <row r="50" spans="1:10" s="102" customFormat="1" x14ac:dyDescent="0.25">
      <c r="A50" s="117"/>
      <c r="B50" s="109"/>
      <c r="C50" s="117"/>
      <c r="D50" s="103">
        <v>2021</v>
      </c>
      <c r="E50" s="96">
        <f>НОВЫЙ!E397</f>
        <v>27296.712679999997</v>
      </c>
      <c r="F50" s="96">
        <f>НОВЫЙ!F397</f>
        <v>3105.6126800000002</v>
      </c>
      <c r="G50" s="96">
        <f>НОВЫЙ!G397</f>
        <v>24191.1</v>
      </c>
      <c r="H50" s="96">
        <f>НОВЫЙ!H397</f>
        <v>0</v>
      </c>
      <c r="I50" s="96">
        <f>НОВЫЙ!I397</f>
        <v>0</v>
      </c>
      <c r="J50" s="109"/>
    </row>
    <row r="51" spans="1:10" s="102" customFormat="1" x14ac:dyDescent="0.25">
      <c r="A51" s="117"/>
      <c r="B51" s="109"/>
      <c r="C51" s="117"/>
      <c r="D51" s="103">
        <v>2022</v>
      </c>
      <c r="E51" s="96">
        <f>НОВЫЙ!E398</f>
        <v>18900.377</v>
      </c>
      <c r="F51" s="96">
        <f>НОВЫЙ!F398</f>
        <v>2711.0770000000002</v>
      </c>
      <c r="G51" s="96">
        <f>НОВЫЙ!G398</f>
        <v>16189.3</v>
      </c>
      <c r="H51" s="96">
        <f>НОВЫЙ!H398</f>
        <v>0</v>
      </c>
      <c r="I51" s="96">
        <f>НОВЫЙ!I398</f>
        <v>0</v>
      </c>
      <c r="J51" s="109"/>
    </row>
    <row r="52" spans="1:10" s="102" customFormat="1" x14ac:dyDescent="0.25">
      <c r="A52" s="117"/>
      <c r="B52" s="109"/>
      <c r="C52" s="117"/>
      <c r="D52" s="103">
        <v>2023</v>
      </c>
      <c r="E52" s="96">
        <f>НОВЫЙ!E399</f>
        <v>11802.74826</v>
      </c>
      <c r="F52" s="96">
        <f>НОВЫЙ!F399</f>
        <v>708.16489000000001</v>
      </c>
      <c r="G52" s="96">
        <f>НОВЫЙ!G399</f>
        <v>11094.58337</v>
      </c>
      <c r="H52" s="96">
        <f>НОВЫЙ!H399</f>
        <v>0</v>
      </c>
      <c r="I52" s="96">
        <f>НОВЫЙ!I399</f>
        <v>0</v>
      </c>
      <c r="J52" s="109"/>
    </row>
    <row r="53" spans="1:10" s="102" customFormat="1" x14ac:dyDescent="0.25">
      <c r="A53" s="117"/>
      <c r="B53" s="109"/>
      <c r="C53" s="117"/>
      <c r="D53" s="103">
        <v>2024</v>
      </c>
      <c r="E53" s="96">
        <f>НОВЫЙ!E400</f>
        <v>9874.2088700000004</v>
      </c>
      <c r="F53" s="96">
        <f>НОВЫЙ!F400</f>
        <v>1724.40887</v>
      </c>
      <c r="G53" s="96">
        <f>НОВЫЙ!G400</f>
        <v>8149.8</v>
      </c>
      <c r="H53" s="96">
        <f>НОВЫЙ!H400</f>
        <v>0</v>
      </c>
      <c r="I53" s="96">
        <f>НОВЫЙ!I400</f>
        <v>0</v>
      </c>
      <c r="J53" s="109"/>
    </row>
    <row r="54" spans="1:10" s="102" customFormat="1" x14ac:dyDescent="0.25">
      <c r="A54" s="117"/>
      <c r="B54" s="109"/>
      <c r="C54" s="117"/>
      <c r="D54" s="104">
        <v>2025</v>
      </c>
      <c r="E54" s="96">
        <v>0</v>
      </c>
      <c r="F54" s="96">
        <v>0</v>
      </c>
      <c r="G54" s="96">
        <v>0</v>
      </c>
      <c r="H54" s="96">
        <v>0</v>
      </c>
      <c r="I54" s="96">
        <v>0</v>
      </c>
      <c r="J54" s="110"/>
    </row>
    <row r="55" spans="1:10" ht="15" customHeight="1" x14ac:dyDescent="0.25">
      <c r="A55" s="174" t="s">
        <v>93</v>
      </c>
      <c r="B55" s="171" t="s">
        <v>94</v>
      </c>
      <c r="C55" s="171" t="s">
        <v>828</v>
      </c>
      <c r="D55" s="28" t="s">
        <v>8</v>
      </c>
      <c r="E55" s="27">
        <f>НОВЫЙ!E415</f>
        <v>5320839.4366147509</v>
      </c>
      <c r="F55" s="27">
        <f>НОВЫЙ!F415</f>
        <v>3726854.2239900003</v>
      </c>
      <c r="G55" s="27">
        <f>НОВЫЙ!G415</f>
        <v>1481797.0320000001</v>
      </c>
      <c r="H55" s="27">
        <f>НОВЫЙ!H415</f>
        <v>112188.18062475088</v>
      </c>
      <c r="I55" s="27">
        <f>НОВЫЙ!I415</f>
        <v>0</v>
      </c>
      <c r="J55" s="135" t="s">
        <v>1735</v>
      </c>
    </row>
    <row r="56" spans="1:10" x14ac:dyDescent="0.25">
      <c r="A56" s="175"/>
      <c r="B56" s="172"/>
      <c r="C56" s="172"/>
      <c r="D56" s="28">
        <v>2021</v>
      </c>
      <c r="E56" s="27">
        <f>НОВЫЙ!E416</f>
        <v>542284.02945165033</v>
      </c>
      <c r="F56" s="27">
        <f>НОВЫЙ!F416</f>
        <v>254674.71701999998</v>
      </c>
      <c r="G56" s="27">
        <f>НОВЫЙ!G416</f>
        <v>257488.69899999999</v>
      </c>
      <c r="H56" s="27">
        <f>НОВЫЙ!H416</f>
        <v>30120.613431650385</v>
      </c>
      <c r="I56" s="27">
        <f>НОВЫЙ!I416</f>
        <v>0</v>
      </c>
      <c r="J56" s="136"/>
    </row>
    <row r="57" spans="1:10" x14ac:dyDescent="0.25">
      <c r="A57" s="175"/>
      <c r="B57" s="172"/>
      <c r="C57" s="172"/>
      <c r="D57" s="28">
        <v>2022</v>
      </c>
      <c r="E57" s="27">
        <f>НОВЫЙ!E417</f>
        <v>1321007.9192131003</v>
      </c>
      <c r="F57" s="27">
        <f>НОВЫЙ!F417</f>
        <v>1034922.16776</v>
      </c>
      <c r="G57" s="27">
        <f>НОВЫЙ!G417</f>
        <v>225488.99299999999</v>
      </c>
      <c r="H57" s="27">
        <f>НОВЫЙ!H417</f>
        <v>60596.75845310052</v>
      </c>
      <c r="I57" s="27">
        <f>НОВЫЙ!I417</f>
        <v>0</v>
      </c>
      <c r="J57" s="136"/>
    </row>
    <row r="58" spans="1:10" x14ac:dyDescent="0.25">
      <c r="A58" s="175"/>
      <c r="B58" s="172"/>
      <c r="C58" s="172"/>
      <c r="D58" s="28">
        <v>2023</v>
      </c>
      <c r="E58" s="27">
        <f>НОВЫЙ!E418</f>
        <v>689220.44319999998</v>
      </c>
      <c r="F58" s="27">
        <f>НОВЫЙ!F418</f>
        <v>255347.42546</v>
      </c>
      <c r="G58" s="27">
        <f>НОВЫЙ!G418</f>
        <v>424710.74</v>
      </c>
      <c r="H58" s="27">
        <f>НОВЫЙ!H418</f>
        <v>9162.2777399999759</v>
      </c>
      <c r="I58" s="27">
        <f>НОВЫЙ!I418</f>
        <v>0</v>
      </c>
      <c r="J58" s="136"/>
    </row>
    <row r="59" spans="1:10" x14ac:dyDescent="0.25">
      <c r="A59" s="175"/>
      <c r="B59" s="172"/>
      <c r="C59" s="172"/>
      <c r="D59" s="28">
        <v>2024</v>
      </c>
      <c r="E59" s="27">
        <f>НОВЫЙ!E419</f>
        <v>1616425.1960399998</v>
      </c>
      <c r="F59" s="27">
        <f>НОВЫЙ!F419</f>
        <v>1156800.65004</v>
      </c>
      <c r="G59" s="27">
        <f>НОВЫЙ!G419</f>
        <v>448108.6</v>
      </c>
      <c r="H59" s="27">
        <f>НОВЫЙ!H419</f>
        <v>11515.946</v>
      </c>
      <c r="I59" s="27">
        <f>НОВЫЙ!I419</f>
        <v>0</v>
      </c>
      <c r="J59" s="136"/>
    </row>
    <row r="60" spans="1:10" x14ac:dyDescent="0.25">
      <c r="A60" s="175"/>
      <c r="B60" s="172"/>
      <c r="C60" s="172"/>
      <c r="D60" s="28">
        <v>2025</v>
      </c>
      <c r="E60" s="27">
        <f>НОВЫЙ!E420</f>
        <v>708502.58260999992</v>
      </c>
      <c r="F60" s="27">
        <f>НОВЫЙ!F420</f>
        <v>617709.99760999996</v>
      </c>
      <c r="G60" s="27">
        <f>НОВЫЙ!G420</f>
        <v>90000</v>
      </c>
      <c r="H60" s="27">
        <f>НОВЫЙ!H420</f>
        <v>792.58500000000004</v>
      </c>
      <c r="I60" s="27">
        <f>НОВЫЙ!I420</f>
        <v>0</v>
      </c>
      <c r="J60" s="136"/>
    </row>
    <row r="61" spans="1:10" s="53" customFormat="1" x14ac:dyDescent="0.25">
      <c r="A61" s="176"/>
      <c r="B61" s="173"/>
      <c r="C61" s="173"/>
      <c r="D61" s="28">
        <v>2026</v>
      </c>
      <c r="E61" s="27">
        <f>НОВЫЙ!E421</f>
        <v>443399.26610000007</v>
      </c>
      <c r="F61" s="27">
        <f>НОВЫЙ!F421</f>
        <v>407399.26610000007</v>
      </c>
      <c r="G61" s="27">
        <f>НОВЫЙ!G421</f>
        <v>36000</v>
      </c>
      <c r="H61" s="27">
        <f>НОВЫЙ!H421</f>
        <v>0</v>
      </c>
      <c r="I61" s="27">
        <f>НОВЫЙ!I421</f>
        <v>0</v>
      </c>
      <c r="J61" s="137"/>
    </row>
    <row r="62" spans="1:10" s="53" customFormat="1" ht="15" customHeight="1" x14ac:dyDescent="0.25">
      <c r="A62" s="108" t="s">
        <v>1210</v>
      </c>
      <c r="B62" s="108" t="s">
        <v>1211</v>
      </c>
      <c r="C62" s="171" t="s">
        <v>828</v>
      </c>
      <c r="D62" s="28" t="s">
        <v>8</v>
      </c>
      <c r="E62" s="27">
        <f>НОВЫЙ!E826</f>
        <v>364102.02817000001</v>
      </c>
      <c r="F62" s="27">
        <f>НОВЫЙ!F826</f>
        <v>112220.93517</v>
      </c>
      <c r="G62" s="27">
        <f>НОВЫЙ!G826</f>
        <v>251881.09299999999</v>
      </c>
      <c r="H62" s="27">
        <f>НОВЫЙ!H826</f>
        <v>0</v>
      </c>
      <c r="I62" s="27">
        <f>НОВЫЙ!I826</f>
        <v>0</v>
      </c>
      <c r="J62" s="135" t="s">
        <v>484</v>
      </c>
    </row>
    <row r="63" spans="1:10" s="53" customFormat="1" x14ac:dyDescent="0.25">
      <c r="A63" s="109"/>
      <c r="B63" s="109"/>
      <c r="C63" s="172"/>
      <c r="D63" s="28">
        <v>2021</v>
      </c>
      <c r="E63" s="27">
        <f>НОВЫЙ!E827</f>
        <v>0</v>
      </c>
      <c r="F63" s="27">
        <f>НОВЫЙ!F827</f>
        <v>0</v>
      </c>
      <c r="G63" s="27">
        <f>НОВЫЙ!G827</f>
        <v>0</v>
      </c>
      <c r="H63" s="27">
        <f>НОВЫЙ!H827</f>
        <v>0</v>
      </c>
      <c r="I63" s="27">
        <f>НОВЫЙ!I827</f>
        <v>0</v>
      </c>
      <c r="J63" s="136"/>
    </row>
    <row r="64" spans="1:10" s="53" customFormat="1" x14ac:dyDescent="0.25">
      <c r="A64" s="109"/>
      <c r="B64" s="109"/>
      <c r="C64" s="172"/>
      <c r="D64" s="28">
        <v>2022</v>
      </c>
      <c r="E64" s="27">
        <f>НОВЫЙ!E828</f>
        <v>67438.159</v>
      </c>
      <c r="F64" s="27">
        <f>НОВЫЙ!F828</f>
        <v>19557.065999999999</v>
      </c>
      <c r="G64" s="27">
        <f>НОВЫЙ!G828</f>
        <v>47881.093000000001</v>
      </c>
      <c r="H64" s="27">
        <f>НОВЫЙ!H828</f>
        <v>0</v>
      </c>
      <c r="I64" s="27">
        <f>НОВЫЙ!I828</f>
        <v>0</v>
      </c>
      <c r="J64" s="136"/>
    </row>
    <row r="65" spans="1:10" s="53" customFormat="1" x14ac:dyDescent="0.25">
      <c r="A65" s="109"/>
      <c r="B65" s="109"/>
      <c r="C65" s="172"/>
      <c r="D65" s="28">
        <v>2023</v>
      </c>
      <c r="E65" s="27">
        <f>НОВЫЙ!E829</f>
        <v>0</v>
      </c>
      <c r="F65" s="27">
        <f>НОВЫЙ!F829</f>
        <v>0</v>
      </c>
      <c r="G65" s="27">
        <f>НОВЫЙ!G829</f>
        <v>0</v>
      </c>
      <c r="H65" s="27">
        <f>НОВЫЙ!H829</f>
        <v>0</v>
      </c>
      <c r="I65" s="27">
        <f>НОВЫЙ!I829</f>
        <v>0</v>
      </c>
      <c r="J65" s="136"/>
    </row>
    <row r="66" spans="1:10" s="53" customFormat="1" x14ac:dyDescent="0.25">
      <c r="A66" s="109"/>
      <c r="B66" s="109"/>
      <c r="C66" s="172"/>
      <c r="D66" s="28">
        <v>2024</v>
      </c>
      <c r="E66" s="27">
        <f>НОВЫЙ!E830</f>
        <v>113551.12046000001</v>
      </c>
      <c r="F66" s="27">
        <f>НОВЫЙ!F830</f>
        <v>35551.120459999998</v>
      </c>
      <c r="G66" s="27">
        <f>НОВЫЙ!G830</f>
        <v>78000</v>
      </c>
      <c r="H66" s="27">
        <f>НОВЫЙ!H830</f>
        <v>0</v>
      </c>
      <c r="I66" s="27">
        <f>НОВЫЙ!I830</f>
        <v>0</v>
      </c>
      <c r="J66" s="136"/>
    </row>
    <row r="67" spans="1:10" s="53" customFormat="1" x14ac:dyDescent="0.25">
      <c r="A67" s="109"/>
      <c r="B67" s="109"/>
      <c r="C67" s="172"/>
      <c r="D67" s="28">
        <v>2025</v>
      </c>
      <c r="E67" s="27">
        <f>НОВЫЙ!E831</f>
        <v>130434.78260999999</v>
      </c>
      <c r="F67" s="27">
        <f>НОВЫЙ!F831</f>
        <v>40434.782610000002</v>
      </c>
      <c r="G67" s="27">
        <f>НОВЫЙ!G831</f>
        <v>90000</v>
      </c>
      <c r="H67" s="27">
        <f>НОВЫЙ!H831</f>
        <v>0</v>
      </c>
      <c r="I67" s="27">
        <f>НОВЫЙ!I831</f>
        <v>0</v>
      </c>
      <c r="J67" s="136"/>
    </row>
    <row r="68" spans="1:10" s="53" customFormat="1" x14ac:dyDescent="0.25">
      <c r="A68" s="110"/>
      <c r="B68" s="110"/>
      <c r="C68" s="173"/>
      <c r="D68" s="28">
        <v>2026</v>
      </c>
      <c r="E68" s="27">
        <f>НОВЫЙ!E832</f>
        <v>52677.966100000005</v>
      </c>
      <c r="F68" s="27">
        <f>НОВЫЙ!F832</f>
        <v>16677.966100000001</v>
      </c>
      <c r="G68" s="27">
        <f>НОВЫЙ!G832</f>
        <v>36000</v>
      </c>
      <c r="H68" s="27">
        <f>НОВЫЙ!H832</f>
        <v>0</v>
      </c>
      <c r="I68" s="27">
        <f>НОВЫЙ!I832</f>
        <v>0</v>
      </c>
      <c r="J68" s="137"/>
    </row>
    <row r="69" spans="1:10" x14ac:dyDescent="0.25">
      <c r="A69" s="108" t="s">
        <v>1214</v>
      </c>
      <c r="B69" s="108" t="s">
        <v>1215</v>
      </c>
      <c r="C69" s="171" t="s">
        <v>1778</v>
      </c>
      <c r="D69" s="28" t="s">
        <v>8</v>
      </c>
      <c r="E69" s="105">
        <f>НОВЫЙ!E840</f>
        <v>2001331.9737799999</v>
      </c>
      <c r="F69" s="105">
        <f>НОВЫЙ!F840</f>
        <v>1333903.63378</v>
      </c>
      <c r="G69" s="105">
        <f>НОВЫЙ!G840</f>
        <v>667428.34</v>
      </c>
      <c r="H69" s="95">
        <f>НОВЫЙ!H840</f>
        <v>0</v>
      </c>
      <c r="I69" s="95">
        <f>НОВЫЙ!I840</f>
        <v>0</v>
      </c>
      <c r="J69" s="108" t="s">
        <v>1760</v>
      </c>
    </row>
    <row r="70" spans="1:10" x14ac:dyDescent="0.25">
      <c r="A70" s="109"/>
      <c r="B70" s="109"/>
      <c r="C70" s="172"/>
      <c r="D70" s="28">
        <v>2021</v>
      </c>
      <c r="E70" s="105">
        <f>НОВЫЙ!E841</f>
        <v>0</v>
      </c>
      <c r="F70" s="105">
        <f>НОВЫЙ!F841</f>
        <v>0</v>
      </c>
      <c r="G70" s="105">
        <f>НОВЫЙ!G841</f>
        <v>0</v>
      </c>
      <c r="H70" s="95">
        <f>НОВЫЙ!H841</f>
        <v>0</v>
      </c>
      <c r="I70" s="95">
        <f>НОВЫЙ!I841</f>
        <v>0</v>
      </c>
      <c r="J70" s="109"/>
    </row>
    <row r="71" spans="1:10" x14ac:dyDescent="0.25">
      <c r="A71" s="109"/>
      <c r="B71" s="109"/>
      <c r="C71" s="172"/>
      <c r="D71" s="28">
        <v>2022</v>
      </c>
      <c r="E71" s="105">
        <f>НОВЫЙ!E842</f>
        <v>0</v>
      </c>
      <c r="F71" s="105">
        <f>НОВЫЙ!F842</f>
        <v>0</v>
      </c>
      <c r="G71" s="105">
        <f>НОВЫЙ!G842</f>
        <v>0</v>
      </c>
      <c r="H71" s="95">
        <f>НОВЫЙ!H842</f>
        <v>0</v>
      </c>
      <c r="I71" s="95">
        <f>НОВЫЙ!I842</f>
        <v>0</v>
      </c>
      <c r="J71" s="109"/>
    </row>
    <row r="72" spans="1:10" x14ac:dyDescent="0.25">
      <c r="A72" s="109"/>
      <c r="B72" s="109"/>
      <c r="C72" s="172"/>
      <c r="D72" s="28">
        <v>2023</v>
      </c>
      <c r="E72" s="105">
        <f>НОВЫЙ!E843</f>
        <v>381844.82530999999</v>
      </c>
      <c r="F72" s="105">
        <f>НОВЫЙ!F843</f>
        <v>84525.085309999995</v>
      </c>
      <c r="G72" s="105">
        <f>НОВЫЙ!G843</f>
        <v>297319.74</v>
      </c>
      <c r="H72" s="95">
        <f>НОВЫЙ!H843</f>
        <v>0</v>
      </c>
      <c r="I72" s="95">
        <f>НОВЫЙ!I843</f>
        <v>0</v>
      </c>
      <c r="J72" s="109"/>
    </row>
    <row r="73" spans="1:10" x14ac:dyDescent="0.25">
      <c r="A73" s="109"/>
      <c r="B73" s="109"/>
      <c r="C73" s="172"/>
      <c r="D73" s="28">
        <v>2024</v>
      </c>
      <c r="E73" s="105">
        <f>НОВЫЙ!E844</f>
        <v>1137317.1484699999</v>
      </c>
      <c r="F73" s="105">
        <f>НОВЫЙ!F844</f>
        <v>767208.54847000004</v>
      </c>
      <c r="G73" s="105">
        <f>НОВЫЙ!G844</f>
        <v>370108.6</v>
      </c>
      <c r="H73" s="95">
        <f>НОВЫЙ!H844</f>
        <v>0</v>
      </c>
      <c r="I73" s="95">
        <f>НОВЫЙ!I844</f>
        <v>0</v>
      </c>
      <c r="J73" s="109"/>
    </row>
    <row r="74" spans="1:10" x14ac:dyDescent="0.25">
      <c r="A74" s="109"/>
      <c r="B74" s="109"/>
      <c r="C74" s="172"/>
      <c r="D74" s="28">
        <v>2025</v>
      </c>
      <c r="E74" s="105">
        <f>НОВЫЙ!E845</f>
        <v>482170</v>
      </c>
      <c r="F74" s="105">
        <f>НОВЫЙ!F845</f>
        <v>482170</v>
      </c>
      <c r="G74" s="105">
        <f>НОВЫЙ!G845</f>
        <v>0</v>
      </c>
      <c r="H74" s="95">
        <f>НОВЫЙ!H845</f>
        <v>0</v>
      </c>
      <c r="I74" s="95">
        <f>НОВЫЙ!I845</f>
        <v>0</v>
      </c>
      <c r="J74" s="109"/>
    </row>
    <row r="75" spans="1:10" x14ac:dyDescent="0.25">
      <c r="A75" s="110"/>
      <c r="B75" s="110"/>
      <c r="C75" s="173"/>
      <c r="D75" s="28">
        <v>2026</v>
      </c>
      <c r="E75" s="95">
        <f>НОВЫЙ!E846</f>
        <v>0</v>
      </c>
      <c r="F75" s="95">
        <f>НОВЫЙ!F846</f>
        <v>0</v>
      </c>
      <c r="G75" s="95">
        <f>НОВЫЙ!G846</f>
        <v>0</v>
      </c>
      <c r="H75" s="95">
        <f>НОВЫЙ!H846</f>
        <v>0</v>
      </c>
      <c r="I75" s="95">
        <f>НОВЫЙ!I846</f>
        <v>0</v>
      </c>
      <c r="J75" s="110"/>
    </row>
  </sheetData>
  <mergeCells count="46">
    <mergeCell ref="B42:B48"/>
    <mergeCell ref="C42:C48"/>
    <mergeCell ref="A42:A48"/>
    <mergeCell ref="J42:J48"/>
    <mergeCell ref="B49:B54"/>
    <mergeCell ref="A49:A54"/>
    <mergeCell ref="C49:C54"/>
    <mergeCell ref="J49:J54"/>
    <mergeCell ref="C7:C13"/>
    <mergeCell ref="B7:B13"/>
    <mergeCell ref="A7:A13"/>
    <mergeCell ref="J7:J13"/>
    <mergeCell ref="J14:J20"/>
    <mergeCell ref="C14:C20"/>
    <mergeCell ref="B14:B20"/>
    <mergeCell ref="A14:A20"/>
    <mergeCell ref="A3:J3"/>
    <mergeCell ref="A5:A6"/>
    <mergeCell ref="B5:B6"/>
    <mergeCell ref="C5:C6"/>
    <mergeCell ref="D5:I5"/>
    <mergeCell ref="J5:J6"/>
    <mergeCell ref="B21:B27"/>
    <mergeCell ref="A21:A27"/>
    <mergeCell ref="C21:C27"/>
    <mergeCell ref="J21:J27"/>
    <mergeCell ref="C69:C75"/>
    <mergeCell ref="B69:B75"/>
    <mergeCell ref="A69:A75"/>
    <mergeCell ref="J69:J75"/>
    <mergeCell ref="C55:C61"/>
    <mergeCell ref="B55:B61"/>
    <mergeCell ref="A55:A61"/>
    <mergeCell ref="J55:J61"/>
    <mergeCell ref="B62:B68"/>
    <mergeCell ref="A62:A68"/>
    <mergeCell ref="C62:C68"/>
    <mergeCell ref="J62:J68"/>
    <mergeCell ref="J28:J34"/>
    <mergeCell ref="B35:B41"/>
    <mergeCell ref="C35:C41"/>
    <mergeCell ref="A35:A41"/>
    <mergeCell ref="J35:J41"/>
    <mergeCell ref="B28:B34"/>
    <mergeCell ref="C28:C34"/>
    <mergeCell ref="A28:A34"/>
  </mergeCells>
  <pageMargins left="0.70866141732283472" right="0.70866141732283472" top="0.74803149606299213" bottom="0.74803149606299213" header="0.31496062992125984" footer="0.31496062992125984"/>
  <pageSetup paperSize="9" scale="60" firstPageNumber="4294967295"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E120"/>
  <sheetViews>
    <sheetView topLeftCell="B1" zoomScale="33" workbookViewId="0">
      <pane ySplit="6" topLeftCell="A7" activePane="bottomLeft" state="frozen"/>
      <selection activeCell="K91" sqref="K91"/>
      <selection pane="bottomLeft" activeCell="B1" sqref="B1"/>
    </sheetView>
  </sheetViews>
  <sheetFormatPr defaultRowHeight="15" x14ac:dyDescent="0.25"/>
  <cols>
    <col min="1" max="1" width="19.140625" hidden="1" customWidth="1"/>
    <col min="2" max="2" width="7.85546875" customWidth="1"/>
    <col min="3" max="3" width="7.28515625" hidden="1" customWidth="1"/>
    <col min="4" max="4" width="9.140625" hidden="1" customWidth="1"/>
    <col min="5" max="5" width="8.140625" hidden="1" customWidth="1"/>
    <col min="6" max="6" width="14.5703125" hidden="1" customWidth="1"/>
    <col min="7" max="7" width="9.5703125" hidden="1" customWidth="1"/>
    <col min="8" max="8" width="18.140625" hidden="1" customWidth="1"/>
    <col min="9" max="9" width="14.140625" hidden="1" customWidth="1"/>
    <col min="10" max="10" width="20.85546875" customWidth="1"/>
    <col min="11" max="11" width="73.42578125" customWidth="1"/>
    <col min="12" max="12" width="34.140625" bestFit="1" customWidth="1"/>
    <col min="13" max="15" width="35.28515625" customWidth="1"/>
    <col min="16" max="17" width="34.28515625" customWidth="1"/>
    <col min="18" max="18" width="34.140625" customWidth="1"/>
    <col min="19" max="19" width="44.42578125" customWidth="1"/>
    <col min="20" max="21" width="33.5703125" customWidth="1"/>
    <col min="22" max="22" width="41.42578125" customWidth="1"/>
    <col min="23" max="23" width="36.7109375" customWidth="1"/>
    <col min="24" max="25" width="33.5703125" customWidth="1"/>
    <col min="26" max="26" width="18.7109375" customWidth="1"/>
    <col min="27" max="27" width="255" customWidth="1"/>
    <col min="28" max="28" width="100" customWidth="1"/>
    <col min="29" max="29" width="29.5703125" hidden="1" customWidth="1"/>
    <col min="30" max="30" width="65.7109375" hidden="1" customWidth="1"/>
    <col min="31" max="31" width="89.7109375" customWidth="1"/>
  </cols>
  <sheetData>
    <row r="1" spans="1:31" ht="20.25" customHeight="1" x14ac:dyDescent="0.25"/>
    <row r="2" spans="1:31" x14ac:dyDescent="0.25">
      <c r="C2" s="107"/>
      <c r="D2" s="107"/>
      <c r="E2" s="107"/>
      <c r="F2" s="107"/>
      <c r="G2" s="107"/>
      <c r="H2" s="107"/>
      <c r="I2" s="107"/>
      <c r="J2" s="107"/>
      <c r="K2" s="107"/>
      <c r="L2" s="107"/>
      <c r="M2" s="107"/>
      <c r="N2" s="107"/>
      <c r="O2" s="107"/>
      <c r="P2" s="107"/>
      <c r="Q2" s="107"/>
      <c r="R2" s="107"/>
      <c r="S2" s="107"/>
      <c r="T2" s="107"/>
      <c r="U2" s="107"/>
      <c r="V2" s="107"/>
      <c r="W2" s="107"/>
      <c r="X2" s="107"/>
      <c r="Y2" s="107"/>
      <c r="Z2" s="107"/>
      <c r="AA2" s="107"/>
    </row>
    <row r="3" spans="1:31" ht="36.75" customHeight="1" x14ac:dyDescent="0.25">
      <c r="I3" s="107"/>
      <c r="J3" s="107"/>
      <c r="K3" s="107"/>
      <c r="AE3" t="s">
        <v>138</v>
      </c>
    </row>
    <row r="4" spans="1:31" ht="46.5" customHeight="1" x14ac:dyDescent="0.25">
      <c r="B4" s="107" t="s">
        <v>139</v>
      </c>
      <c r="C4" s="107" t="s">
        <v>140</v>
      </c>
      <c r="D4" s="107"/>
      <c r="E4" s="107"/>
      <c r="F4" s="107"/>
      <c r="G4" s="107"/>
      <c r="H4" s="107"/>
      <c r="I4" s="107"/>
      <c r="J4" s="107"/>
      <c r="K4" s="107" t="s">
        <v>141</v>
      </c>
      <c r="L4" s="107" t="s">
        <v>142</v>
      </c>
      <c r="M4" s="107"/>
      <c r="N4" s="107"/>
      <c r="O4" s="107"/>
      <c r="P4" s="107"/>
      <c r="Q4" s="107" t="s">
        <v>143</v>
      </c>
      <c r="R4" s="107" t="s">
        <v>144</v>
      </c>
      <c r="S4" s="107"/>
      <c r="T4" s="107"/>
      <c r="U4" s="107" t="s">
        <v>143</v>
      </c>
      <c r="V4" s="107" t="s">
        <v>145</v>
      </c>
      <c r="W4" s="107"/>
      <c r="X4" s="107"/>
      <c r="Y4" s="107" t="s">
        <v>143</v>
      </c>
      <c r="Z4" s="107" t="s">
        <v>146</v>
      </c>
      <c r="AA4" s="107" t="s">
        <v>147</v>
      </c>
      <c r="AB4" s="107" t="s">
        <v>148</v>
      </c>
      <c r="AC4" s="107" t="s">
        <v>149</v>
      </c>
      <c r="AD4" s="107" t="s">
        <v>150</v>
      </c>
      <c r="AE4" s="107" t="s">
        <v>151</v>
      </c>
    </row>
    <row r="5" spans="1:31" ht="79.5" customHeight="1" x14ac:dyDescent="0.25">
      <c r="B5" s="107"/>
      <c r="C5" t="s">
        <v>152</v>
      </c>
      <c r="D5" t="s">
        <v>153</v>
      </c>
      <c r="E5" t="s">
        <v>154</v>
      </c>
      <c r="F5" t="s">
        <v>155</v>
      </c>
      <c r="G5" t="s">
        <v>156</v>
      </c>
      <c r="H5" t="s">
        <v>157</v>
      </c>
      <c r="I5" t="s">
        <v>158</v>
      </c>
      <c r="J5" t="s">
        <v>159</v>
      </c>
      <c r="K5" s="107"/>
      <c r="L5" t="s">
        <v>160</v>
      </c>
      <c r="M5" t="s">
        <v>161</v>
      </c>
      <c r="N5" t="s">
        <v>162</v>
      </c>
      <c r="O5" t="s">
        <v>163</v>
      </c>
      <c r="P5" t="s">
        <v>164</v>
      </c>
      <c r="Q5" s="107"/>
      <c r="R5" t="s">
        <v>160</v>
      </c>
      <c r="S5" t="s">
        <v>161</v>
      </c>
      <c r="T5" t="s">
        <v>164</v>
      </c>
      <c r="U5" s="107"/>
      <c r="V5" t="s">
        <v>160</v>
      </c>
      <c r="W5" t="s">
        <v>161</v>
      </c>
      <c r="X5" t="s">
        <v>164</v>
      </c>
      <c r="Y5" s="107"/>
      <c r="Z5" s="107"/>
      <c r="AA5" s="107"/>
      <c r="AB5" s="107"/>
      <c r="AC5" s="107"/>
      <c r="AD5" s="107"/>
      <c r="AE5" s="107"/>
    </row>
    <row r="6" spans="1:31" hidden="1" x14ac:dyDescent="0.25">
      <c r="B6" s="107"/>
      <c r="C6">
        <v>1</v>
      </c>
      <c r="D6">
        <v>2</v>
      </c>
      <c r="E6">
        <v>3</v>
      </c>
      <c r="F6">
        <v>4</v>
      </c>
      <c r="G6">
        <v>5</v>
      </c>
      <c r="H6">
        <v>6</v>
      </c>
      <c r="I6">
        <v>7</v>
      </c>
      <c r="J6">
        <v>8</v>
      </c>
      <c r="K6">
        <v>9</v>
      </c>
      <c r="L6">
        <v>10</v>
      </c>
      <c r="M6">
        <v>11</v>
      </c>
      <c r="P6" t="s">
        <v>165</v>
      </c>
      <c r="R6">
        <v>13</v>
      </c>
      <c r="S6">
        <v>14</v>
      </c>
      <c r="T6" t="s">
        <v>166</v>
      </c>
      <c r="V6">
        <v>16</v>
      </c>
      <c r="W6">
        <v>17</v>
      </c>
      <c r="X6" t="s">
        <v>167</v>
      </c>
      <c r="Z6">
        <v>19</v>
      </c>
      <c r="AA6">
        <v>20</v>
      </c>
      <c r="AB6">
        <v>21</v>
      </c>
      <c r="AC6">
        <v>22</v>
      </c>
      <c r="AD6">
        <v>23</v>
      </c>
      <c r="AE6">
        <v>23</v>
      </c>
    </row>
    <row r="7" spans="1:31" ht="36" customHeight="1" x14ac:dyDescent="0.25">
      <c r="K7" t="s">
        <v>168</v>
      </c>
      <c r="M7">
        <f>M8+M9</f>
        <v>3261763882.0115499</v>
      </c>
      <c r="N7">
        <f>N8+N9</f>
        <v>2513966685.2067499</v>
      </c>
      <c r="O7">
        <f>O8+O9</f>
        <v>-104960854.37</v>
      </c>
      <c r="P7">
        <f>P8+P9</f>
        <v>2409005830.83675</v>
      </c>
    </row>
    <row r="8" spans="1:31" x14ac:dyDescent="0.25">
      <c r="K8" t="s">
        <v>9</v>
      </c>
      <c r="M8">
        <f>M11+M12+M13+M14+M15+M16+M17+M18+M21+M22+M23+M27+M28+M29+M30+M31+M32+M33+M34+M35+M36+M37+M38+M39+M40+M41+M42+M43+M44+M45+M46+M47+M48+M49+M50+M51+M52+M53+M54+M55+M56+M57+M58+M59+M60+M61+M62+M63+M64+M65+M66+M68+M70+M72+M74+M76+M77+M78+M79+M80+M81+M82+M83+M84+M85+M86+M87+M88+M89+M90+M91+M92+M93+M94+M96+M97+M100+M101+M102+M104+M105</f>
        <v>1763055740.5115502</v>
      </c>
      <c r="N8">
        <f>N11+N12+N13+N14+N15+N16+N17+N18+N21+N22+N23+N27+N28+N29+N30+N31+N32+N33+N34+N35+N36+N37+N38+N39+N40+N41+N42+N43+N44+N45+N46+N47+N48+N49+N50+N51+N52+N53+N54+N55+N56+N57+N58+N59+N60+N61+N62+N63+N64+N65+N66+N68+N70+N72+N74+N76+N77+N78+N79+N80+N81+N82+N83+N84+N85+N86+N87+N88+N89+N90+N91+N92+N93+N94+N96+N97+N100+N101+N102+N104+N105</f>
        <v>1015258543.7067503</v>
      </c>
      <c r="O8">
        <f>O11+O12+O13+O14+O15+O16+O17+O18+O21+O22+O23+O27+O28+O29+O30+O31+O32+O33+O34+O35+O36+O37+O38+O39+O40+O41+O42+O43+O44+O45+O46+O47+O48+O49+O50+O51+O52+O53+O54+O55+O56+O57+O58+O59+O60+O61+O62+O63+O64+O65+O66+O68+O70+O72+O74+O76+O77+O78+O79+O80+O81+O82+O83+O84+O85+O86+O87+O88+O89+O90+O91+O92+O93+O94+O96+O97+O100+O101+O102+O104+O105</f>
        <v>-101225854.37</v>
      </c>
      <c r="P8">
        <f>P11+P12+P13+P14+P15+P16+P17+P18+P21+P22+P23+P27+P28+P29+P30+P31+P32+P33+P34+P35+P36+P37+P38+P39+P40+P41+P42+P43+P44+P45+P46+P47+P48+P49+P50+P51+P52+P53+P54+P55+P56+P57+P58+P59+P60+P61+P62+P63+P64+P65+P66+P68+P70+P72+P74+P76+P77+P78+P79+P80+P81+P82+P83+P84+P85+P86+P87+P88+P89+P90+P91+P92+P93+P94+P96+P97+P100+P101+P102+P104+P105</f>
        <v>914032689.33675027</v>
      </c>
      <c r="AB8">
        <f>P8</f>
        <v>914032689.33675027</v>
      </c>
    </row>
    <row r="9" spans="1:31" x14ac:dyDescent="0.25">
      <c r="K9" t="s">
        <v>10</v>
      </c>
      <c r="M9">
        <f>M19+M20+M24+M25+M26+M67+M69+M71+M73+M75+M95++M98+M99+M103</f>
        <v>1498708141.4999998</v>
      </c>
      <c r="N9">
        <f>N19+N20+N24+N25+N26+N67+N69+N71+N73+N75+N95++N98+N99+N103</f>
        <v>1498708141.4999998</v>
      </c>
      <c r="O9">
        <f>O19+O20+O24+O25+O26+O67+O69+O71+O73+O75+O95++O98+O99+O103</f>
        <v>-3735000</v>
      </c>
      <c r="P9">
        <f>P19+P20+P24+P25+P26+P67+P69+P71+P73+P75+P95++P98+P99+P103</f>
        <v>1494973141.4999998</v>
      </c>
      <c r="AB9" t="e">
        <f>#REF!+#REF!+#REF!+#REF!+#REF!</f>
        <v>#REF!</v>
      </c>
    </row>
    <row r="11" spans="1:31" ht="194.25" hidden="1" customHeight="1" x14ac:dyDescent="0.25">
      <c r="A11">
        <f t="shared" ref="A11:A27" si="0">N11-P11-O11</f>
        <v>0</v>
      </c>
      <c r="B11">
        <v>1</v>
      </c>
      <c r="C11" t="s">
        <v>169</v>
      </c>
      <c r="D11" t="s">
        <v>170</v>
      </c>
      <c r="E11" t="s">
        <v>171</v>
      </c>
      <c r="F11" t="s">
        <v>172</v>
      </c>
      <c r="G11" t="s">
        <v>173</v>
      </c>
      <c r="H11" t="s">
        <v>174</v>
      </c>
      <c r="I11" t="s">
        <v>175</v>
      </c>
      <c r="J11" t="s">
        <v>9</v>
      </c>
      <c r="K11" t="s">
        <v>176</v>
      </c>
      <c r="L11">
        <v>52664835.880000003</v>
      </c>
      <c r="M11">
        <v>208893.48</v>
      </c>
      <c r="N11">
        <f t="shared" ref="N11:N74" si="1">M11</f>
        <v>208893.48</v>
      </c>
      <c r="O11">
        <v>0</v>
      </c>
      <c r="P11">
        <f t="shared" ref="P11:P74" si="2">N11+O11</f>
        <v>208893.48</v>
      </c>
      <c r="Q11">
        <f t="shared" ref="Q11:Q12" si="3">L11+P11</f>
        <v>52873729.359999999</v>
      </c>
      <c r="R11">
        <v>51578701.93</v>
      </c>
      <c r="S11">
        <v>1812481.43</v>
      </c>
      <c r="T11">
        <f t="shared" ref="T11:T39" si="4">SUM(R11:S11)</f>
        <v>53391183.359999999</v>
      </c>
      <c r="U11">
        <f t="shared" ref="U11:U43" si="5">T11</f>
        <v>53391183.359999999</v>
      </c>
      <c r="V11">
        <v>53626384.619999997</v>
      </c>
      <c r="W11">
        <v>1900741.78</v>
      </c>
      <c r="X11">
        <f t="shared" ref="X11:X39" si="6">SUM(V11:W11)</f>
        <v>55527126.399999999</v>
      </c>
      <c r="Z11" t="s">
        <v>177</v>
      </c>
      <c r="AA11" t="s">
        <v>178</v>
      </c>
      <c r="AB11" t="s">
        <v>179</v>
      </c>
      <c r="AC11" t="s">
        <v>180</v>
      </c>
      <c r="AE11" t="s">
        <v>181</v>
      </c>
    </row>
    <row r="12" spans="1:31" ht="105" hidden="1" customHeight="1" x14ac:dyDescent="0.25">
      <c r="A12">
        <f t="shared" si="0"/>
        <v>0</v>
      </c>
      <c r="B12">
        <v>2</v>
      </c>
      <c r="C12" t="s">
        <v>169</v>
      </c>
      <c r="D12" t="s">
        <v>170</v>
      </c>
      <c r="E12" t="s">
        <v>171</v>
      </c>
      <c r="F12" t="s">
        <v>172</v>
      </c>
      <c r="G12" t="s">
        <v>182</v>
      </c>
      <c r="H12" t="s">
        <v>174</v>
      </c>
      <c r="I12" t="s">
        <v>175</v>
      </c>
      <c r="J12" t="s">
        <v>9</v>
      </c>
      <c r="K12" t="s">
        <v>176</v>
      </c>
      <c r="L12">
        <v>15342386.279999999</v>
      </c>
      <c r="M12">
        <v>60850.67</v>
      </c>
      <c r="N12">
        <f t="shared" si="1"/>
        <v>60850.67</v>
      </c>
      <c r="O12">
        <v>0</v>
      </c>
      <c r="P12">
        <f t="shared" si="2"/>
        <v>60850.67</v>
      </c>
      <c r="Q12">
        <f t="shared" si="3"/>
        <v>15403236.949999999</v>
      </c>
      <c r="R12">
        <v>14992127.609999999</v>
      </c>
      <c r="S12">
        <v>527975.84</v>
      </c>
      <c r="T12">
        <f t="shared" si="4"/>
        <v>15520103.449999999</v>
      </c>
      <c r="U12">
        <f t="shared" si="5"/>
        <v>15520103.449999999</v>
      </c>
      <c r="V12">
        <v>15585449.74</v>
      </c>
      <c r="W12">
        <v>553686.07999999996</v>
      </c>
      <c r="X12">
        <f t="shared" si="6"/>
        <v>16139135.82</v>
      </c>
      <c r="Z12" t="s">
        <v>177</v>
      </c>
      <c r="AA12" t="s">
        <v>183</v>
      </c>
      <c r="AB12" t="s">
        <v>184</v>
      </c>
      <c r="AC12" t="s">
        <v>180</v>
      </c>
      <c r="AE12" t="s">
        <v>181</v>
      </c>
    </row>
    <row r="13" spans="1:31" hidden="1" x14ac:dyDescent="0.25">
      <c r="A13">
        <f t="shared" si="0"/>
        <v>0</v>
      </c>
      <c r="B13">
        <v>3</v>
      </c>
      <c r="J13" t="s">
        <v>9</v>
      </c>
      <c r="K13" t="s">
        <v>185</v>
      </c>
      <c r="M13">
        <v>1500000</v>
      </c>
      <c r="N13">
        <v>1500000</v>
      </c>
      <c r="O13">
        <v>0</v>
      </c>
      <c r="P13">
        <f t="shared" si="2"/>
        <v>1500000</v>
      </c>
      <c r="Q13">
        <f>P13</f>
        <v>1500000</v>
      </c>
      <c r="AA13" t="s">
        <v>186</v>
      </c>
      <c r="AB13" t="s">
        <v>187</v>
      </c>
      <c r="AE13" t="s">
        <v>188</v>
      </c>
    </row>
    <row r="14" spans="1:31" hidden="1" x14ac:dyDescent="0.25">
      <c r="A14">
        <f t="shared" si="0"/>
        <v>0</v>
      </c>
      <c r="B14">
        <v>4</v>
      </c>
      <c r="J14" t="s">
        <v>9</v>
      </c>
      <c r="M14">
        <v>5000000</v>
      </c>
      <c r="N14">
        <v>0</v>
      </c>
      <c r="O14">
        <v>0</v>
      </c>
      <c r="P14">
        <f t="shared" si="2"/>
        <v>0</v>
      </c>
      <c r="Q14">
        <v>0</v>
      </c>
      <c r="AB14" t="s">
        <v>187</v>
      </c>
      <c r="AE14" t="s">
        <v>188</v>
      </c>
    </row>
    <row r="15" spans="1:31" ht="317.25" hidden="1" customHeight="1" x14ac:dyDescent="0.35">
      <c r="A15">
        <f t="shared" si="0"/>
        <v>0</v>
      </c>
      <c r="B15">
        <v>5</v>
      </c>
      <c r="C15" t="s">
        <v>169</v>
      </c>
      <c r="D15" t="s">
        <v>189</v>
      </c>
      <c r="E15" t="s">
        <v>190</v>
      </c>
      <c r="F15" t="s">
        <v>191</v>
      </c>
      <c r="G15" t="s">
        <v>192</v>
      </c>
      <c r="H15" t="s">
        <v>193</v>
      </c>
      <c r="I15" t="s">
        <v>194</v>
      </c>
      <c r="J15" t="s">
        <v>9</v>
      </c>
      <c r="K15" t="s">
        <v>195</v>
      </c>
      <c r="L15">
        <v>65610000</v>
      </c>
      <c r="M15">
        <v>32805000</v>
      </c>
      <c r="N15">
        <f t="shared" si="1"/>
        <v>32805000</v>
      </c>
      <c r="O15">
        <v>0</v>
      </c>
      <c r="P15">
        <f t="shared" si="2"/>
        <v>32805000</v>
      </c>
      <c r="Q15">
        <f t="shared" ref="Q15:Q78" si="7">L15+P15</f>
        <v>98415000</v>
      </c>
      <c r="R15">
        <v>65610000</v>
      </c>
      <c r="S15">
        <v>32805000</v>
      </c>
      <c r="T15">
        <f t="shared" si="4"/>
        <v>98415000</v>
      </c>
      <c r="U15">
        <f t="shared" si="5"/>
        <v>98415000</v>
      </c>
      <c r="V15">
        <v>65610000</v>
      </c>
      <c r="W15">
        <v>32805000</v>
      </c>
      <c r="X15">
        <f t="shared" si="6"/>
        <v>98415000</v>
      </c>
      <c r="Z15" t="s">
        <v>177</v>
      </c>
      <c r="AA15" t="s">
        <v>196</v>
      </c>
      <c r="AB15" t="s">
        <v>197</v>
      </c>
      <c r="AC15" t="s">
        <v>180</v>
      </c>
      <c r="AE15" t="s">
        <v>181</v>
      </c>
    </row>
    <row r="16" spans="1:31" ht="208.5" hidden="1" customHeight="1" x14ac:dyDescent="0.25">
      <c r="A16">
        <f t="shared" si="0"/>
        <v>0</v>
      </c>
      <c r="B16">
        <v>6</v>
      </c>
      <c r="C16" t="s">
        <v>169</v>
      </c>
      <c r="D16" t="s">
        <v>189</v>
      </c>
      <c r="E16" t="s">
        <v>198</v>
      </c>
      <c r="F16" t="s">
        <v>199</v>
      </c>
      <c r="G16" t="s">
        <v>200</v>
      </c>
      <c r="H16" t="s">
        <v>201</v>
      </c>
      <c r="I16" t="s">
        <v>202</v>
      </c>
      <c r="J16" t="s">
        <v>9</v>
      </c>
      <c r="K16" t="s">
        <v>203</v>
      </c>
      <c r="L16">
        <v>11000000</v>
      </c>
      <c r="M16">
        <v>32321321</v>
      </c>
      <c r="N16">
        <f t="shared" si="1"/>
        <v>32321321</v>
      </c>
      <c r="O16">
        <v>0</v>
      </c>
      <c r="P16">
        <f t="shared" si="2"/>
        <v>32321321</v>
      </c>
      <c r="Q16">
        <f t="shared" si="7"/>
        <v>43321321</v>
      </c>
      <c r="R16">
        <v>11000000</v>
      </c>
      <c r="S16">
        <v>13918858.25</v>
      </c>
      <c r="T16">
        <v>24918858.25</v>
      </c>
      <c r="U16">
        <f t="shared" si="5"/>
        <v>24918858.25</v>
      </c>
      <c r="V16">
        <v>71159037.5</v>
      </c>
      <c r="W16">
        <v>-46240179.25</v>
      </c>
      <c r="X16">
        <v>24918858.25</v>
      </c>
      <c r="Z16" t="s">
        <v>204</v>
      </c>
      <c r="AA16" t="s">
        <v>205</v>
      </c>
      <c r="AB16" t="s">
        <v>206</v>
      </c>
      <c r="AC16" t="s">
        <v>180</v>
      </c>
      <c r="AD16" t="s">
        <v>207</v>
      </c>
      <c r="AE16" t="s">
        <v>208</v>
      </c>
    </row>
    <row r="17" spans="1:31" ht="306" hidden="1" customHeight="1" x14ac:dyDescent="0.25">
      <c r="A17">
        <f t="shared" si="0"/>
        <v>0</v>
      </c>
      <c r="B17">
        <v>7</v>
      </c>
      <c r="C17" t="s">
        <v>169</v>
      </c>
      <c r="D17" t="s">
        <v>189</v>
      </c>
      <c r="E17" t="s">
        <v>198</v>
      </c>
      <c r="F17" t="s">
        <v>199</v>
      </c>
      <c r="G17" t="s">
        <v>200</v>
      </c>
      <c r="H17" t="s">
        <v>209</v>
      </c>
      <c r="I17" t="s">
        <v>210</v>
      </c>
      <c r="J17" t="s">
        <v>9</v>
      </c>
      <c r="K17" t="s">
        <v>211</v>
      </c>
      <c r="L17">
        <v>24338400</v>
      </c>
      <c r="M17">
        <v>9210611</v>
      </c>
      <c r="N17">
        <f t="shared" si="1"/>
        <v>9210611</v>
      </c>
      <c r="O17">
        <v>0</v>
      </c>
      <c r="P17">
        <f t="shared" si="2"/>
        <v>9210611</v>
      </c>
      <c r="Q17">
        <f t="shared" si="7"/>
        <v>33549011</v>
      </c>
      <c r="R17">
        <v>25408000</v>
      </c>
      <c r="S17">
        <v>0</v>
      </c>
      <c r="T17">
        <v>25408000</v>
      </c>
      <c r="U17">
        <f t="shared" si="5"/>
        <v>25408000</v>
      </c>
      <c r="V17">
        <v>0</v>
      </c>
      <c r="W17">
        <v>0</v>
      </c>
      <c r="X17">
        <v>0</v>
      </c>
      <c r="Z17" t="s">
        <v>212</v>
      </c>
      <c r="AA17" t="s">
        <v>213</v>
      </c>
      <c r="AB17" t="s">
        <v>214</v>
      </c>
      <c r="AC17" t="s">
        <v>180</v>
      </c>
      <c r="AE17" t="s">
        <v>208</v>
      </c>
    </row>
    <row r="18" spans="1:31" ht="161.25" hidden="1" customHeight="1" x14ac:dyDescent="0.25">
      <c r="A18">
        <f t="shared" si="0"/>
        <v>0</v>
      </c>
      <c r="B18">
        <v>8</v>
      </c>
      <c r="J18" t="s">
        <v>9</v>
      </c>
      <c r="K18" t="s">
        <v>215</v>
      </c>
      <c r="L18">
        <v>250000000</v>
      </c>
      <c r="M18">
        <v>33347498.989999998</v>
      </c>
      <c r="N18">
        <f t="shared" si="1"/>
        <v>33347498.989999998</v>
      </c>
      <c r="O18">
        <v>0</v>
      </c>
      <c r="P18">
        <f t="shared" si="2"/>
        <v>33347498.989999998</v>
      </c>
      <c r="Q18">
        <f t="shared" si="7"/>
        <v>283347498.99000001</v>
      </c>
      <c r="AA18" t="s">
        <v>216</v>
      </c>
      <c r="AE18" t="s">
        <v>181</v>
      </c>
    </row>
    <row r="19" spans="1:31" ht="136.5" hidden="1" customHeight="1" x14ac:dyDescent="0.25">
      <c r="A19">
        <f t="shared" si="0"/>
        <v>0</v>
      </c>
      <c r="B19">
        <v>9</v>
      </c>
      <c r="C19" t="s">
        <v>169</v>
      </c>
      <c r="D19" t="s">
        <v>189</v>
      </c>
      <c r="E19" t="s">
        <v>190</v>
      </c>
      <c r="F19" t="s">
        <v>217</v>
      </c>
      <c r="G19" t="s">
        <v>218</v>
      </c>
      <c r="H19" t="s">
        <v>219</v>
      </c>
      <c r="I19" t="s">
        <v>220</v>
      </c>
      <c r="J19" t="s">
        <v>10</v>
      </c>
      <c r="K19" t="s">
        <v>221</v>
      </c>
      <c r="L19">
        <v>377274886.70999998</v>
      </c>
      <c r="M19">
        <v>-106076840.42</v>
      </c>
      <c r="N19">
        <f t="shared" si="1"/>
        <v>-106076840.42</v>
      </c>
      <c r="O19">
        <v>0</v>
      </c>
      <c r="P19">
        <f t="shared" si="2"/>
        <v>-106076840.42</v>
      </c>
      <c r="Q19">
        <f t="shared" si="7"/>
        <v>271198046.28999996</v>
      </c>
      <c r="R19">
        <v>581905549.29999995</v>
      </c>
      <c r="S19">
        <v>-343225204.25</v>
      </c>
      <c r="T19">
        <f t="shared" si="4"/>
        <v>238680345.04999995</v>
      </c>
      <c r="U19">
        <f t="shared" si="5"/>
        <v>238680345.04999995</v>
      </c>
      <c r="V19">
        <v>1164346944.6900001</v>
      </c>
      <c r="W19">
        <v>0</v>
      </c>
      <c r="X19">
        <f t="shared" si="6"/>
        <v>1164346944.6900001</v>
      </c>
      <c r="Z19" t="s">
        <v>177</v>
      </c>
      <c r="AA19" s="107" t="s">
        <v>222</v>
      </c>
      <c r="AB19" t="s">
        <v>223</v>
      </c>
      <c r="AC19" t="s">
        <v>180</v>
      </c>
      <c r="AE19" t="s">
        <v>224</v>
      </c>
    </row>
    <row r="20" spans="1:31" ht="130.5" hidden="1" customHeight="1" x14ac:dyDescent="0.25">
      <c r="A20">
        <f t="shared" si="0"/>
        <v>0</v>
      </c>
      <c r="B20">
        <v>10</v>
      </c>
      <c r="G20" t="s">
        <v>225</v>
      </c>
      <c r="J20" t="s">
        <v>10</v>
      </c>
      <c r="K20" t="s">
        <v>226</v>
      </c>
      <c r="M20">
        <v>585498911.67999995</v>
      </c>
      <c r="N20">
        <f t="shared" si="1"/>
        <v>585498911.67999995</v>
      </c>
      <c r="O20">
        <v>0</v>
      </c>
      <c r="P20">
        <f t="shared" si="2"/>
        <v>585498911.67999995</v>
      </c>
      <c r="Q20">
        <f t="shared" si="7"/>
        <v>585498911.67999995</v>
      </c>
      <c r="S20">
        <v>343225204.25</v>
      </c>
      <c r="T20">
        <f t="shared" si="4"/>
        <v>343225204.25</v>
      </c>
      <c r="U20">
        <f t="shared" si="5"/>
        <v>343225204.25</v>
      </c>
      <c r="Z20" t="s">
        <v>177</v>
      </c>
      <c r="AA20" s="107"/>
      <c r="AB20" t="s">
        <v>227</v>
      </c>
      <c r="AC20" t="s">
        <v>180</v>
      </c>
      <c r="AD20" t="s">
        <v>228</v>
      </c>
      <c r="AE20" t="s">
        <v>229</v>
      </c>
    </row>
    <row r="21" spans="1:31" ht="129.75" hidden="1" customHeight="1" x14ac:dyDescent="0.25">
      <c r="A21">
        <f t="shared" si="0"/>
        <v>0</v>
      </c>
      <c r="B21">
        <v>11</v>
      </c>
      <c r="C21" t="s">
        <v>169</v>
      </c>
      <c r="D21" t="s">
        <v>189</v>
      </c>
      <c r="E21" t="s">
        <v>190</v>
      </c>
      <c r="F21" t="s">
        <v>230</v>
      </c>
      <c r="G21" t="s">
        <v>218</v>
      </c>
      <c r="H21" t="s">
        <v>219</v>
      </c>
      <c r="I21" t="s">
        <v>231</v>
      </c>
      <c r="J21" t="s">
        <v>9</v>
      </c>
      <c r="K21" t="s">
        <v>221</v>
      </c>
      <c r="L21">
        <v>130767200</v>
      </c>
      <c r="M21">
        <v>-111585278.45</v>
      </c>
      <c r="N21">
        <f t="shared" si="1"/>
        <v>-111585278.45</v>
      </c>
      <c r="O21">
        <v>0</v>
      </c>
      <c r="P21">
        <f t="shared" si="2"/>
        <v>-111585278.45</v>
      </c>
      <c r="Q21">
        <f t="shared" si="7"/>
        <v>19181921.549999997</v>
      </c>
      <c r="R21">
        <v>168197400</v>
      </c>
      <c r="S21">
        <v>-126176810.63</v>
      </c>
      <c r="T21">
        <f t="shared" si="4"/>
        <v>42020589.370000005</v>
      </c>
      <c r="U21">
        <f t="shared" si="5"/>
        <v>42020589.370000005</v>
      </c>
      <c r="V21">
        <v>85301700</v>
      </c>
      <c r="W21">
        <v>0</v>
      </c>
      <c r="X21">
        <f t="shared" si="6"/>
        <v>85301700</v>
      </c>
      <c r="Z21" t="s">
        <v>177</v>
      </c>
      <c r="AA21" s="107"/>
      <c r="AB21" t="s">
        <v>232</v>
      </c>
      <c r="AC21" t="s">
        <v>180</v>
      </c>
      <c r="AD21" t="s">
        <v>233</v>
      </c>
      <c r="AE21" t="s">
        <v>234</v>
      </c>
    </row>
    <row r="22" spans="1:31" ht="120.75" hidden="1" customHeight="1" x14ac:dyDescent="0.25">
      <c r="A22">
        <f t="shared" si="0"/>
        <v>0</v>
      </c>
      <c r="B22">
        <v>12</v>
      </c>
      <c r="G22" t="s">
        <v>225</v>
      </c>
      <c r="J22" t="s">
        <v>9</v>
      </c>
      <c r="K22" t="s">
        <v>235</v>
      </c>
      <c r="M22">
        <v>111585278.45</v>
      </c>
      <c r="N22">
        <f t="shared" si="1"/>
        <v>111585278.45</v>
      </c>
      <c r="O22">
        <v>0</v>
      </c>
      <c r="P22">
        <f t="shared" si="2"/>
        <v>111585278.45</v>
      </c>
      <c r="Q22">
        <f t="shared" si="7"/>
        <v>111585278.45</v>
      </c>
      <c r="S22">
        <v>126176810.63</v>
      </c>
      <c r="T22">
        <f t="shared" si="4"/>
        <v>126176810.63</v>
      </c>
      <c r="U22">
        <f t="shared" si="5"/>
        <v>126176810.63</v>
      </c>
      <c r="Z22" t="s">
        <v>177</v>
      </c>
      <c r="AA22" s="107"/>
      <c r="AB22" t="s">
        <v>236</v>
      </c>
      <c r="AC22" t="s">
        <v>180</v>
      </c>
      <c r="AD22" t="s">
        <v>237</v>
      </c>
      <c r="AE22" t="s">
        <v>238</v>
      </c>
    </row>
    <row r="23" spans="1:31" ht="138" hidden="1" customHeight="1" x14ac:dyDescent="0.25">
      <c r="A23">
        <f t="shared" si="0"/>
        <v>0</v>
      </c>
      <c r="B23">
        <v>13</v>
      </c>
      <c r="C23">
        <v>807</v>
      </c>
      <c r="D23" t="s">
        <v>239</v>
      </c>
      <c r="E23" t="s">
        <v>198</v>
      </c>
      <c r="F23" t="s">
        <v>240</v>
      </c>
      <c r="G23" t="s">
        <v>218</v>
      </c>
      <c r="H23" t="s">
        <v>241</v>
      </c>
      <c r="I23" t="s">
        <v>242</v>
      </c>
      <c r="J23" t="s">
        <v>9</v>
      </c>
      <c r="K23" t="s">
        <v>243</v>
      </c>
      <c r="M23">
        <v>238059442.90000001</v>
      </c>
      <c r="N23">
        <f t="shared" si="1"/>
        <v>238059442.90000001</v>
      </c>
      <c r="O23">
        <v>0</v>
      </c>
      <c r="P23">
        <f t="shared" si="2"/>
        <v>238059442.90000001</v>
      </c>
      <c r="Q23">
        <f t="shared" si="7"/>
        <v>238059442.90000001</v>
      </c>
      <c r="S23">
        <v>284711824.69999999</v>
      </c>
      <c r="T23">
        <f t="shared" si="4"/>
        <v>284711824.69999999</v>
      </c>
      <c r="U23">
        <f t="shared" si="5"/>
        <v>284711824.69999999</v>
      </c>
      <c r="W23">
        <v>61020630.5</v>
      </c>
      <c r="X23">
        <f t="shared" si="6"/>
        <v>61020630.5</v>
      </c>
      <c r="Z23" t="s">
        <v>177</v>
      </c>
      <c r="AA23" t="s">
        <v>244</v>
      </c>
      <c r="AB23" t="s">
        <v>245</v>
      </c>
      <c r="AC23" t="s">
        <v>180</v>
      </c>
      <c r="AE23" t="s">
        <v>246</v>
      </c>
    </row>
    <row r="24" spans="1:31" ht="142.5" hidden="1" customHeight="1" x14ac:dyDescent="0.25">
      <c r="A24">
        <f t="shared" si="0"/>
        <v>0</v>
      </c>
      <c r="B24">
        <v>14</v>
      </c>
      <c r="C24">
        <v>807</v>
      </c>
      <c r="D24" t="s">
        <v>239</v>
      </c>
      <c r="E24" t="s">
        <v>198</v>
      </c>
      <c r="F24" t="s">
        <v>240</v>
      </c>
      <c r="G24" t="s">
        <v>218</v>
      </c>
      <c r="H24" t="s">
        <v>241</v>
      </c>
      <c r="I24" t="s">
        <v>242</v>
      </c>
      <c r="J24" t="s">
        <v>10</v>
      </c>
      <c r="K24" t="s">
        <v>243</v>
      </c>
      <c r="M24">
        <v>820894600</v>
      </c>
      <c r="N24">
        <f t="shared" si="1"/>
        <v>820894600</v>
      </c>
      <c r="O24">
        <v>0</v>
      </c>
      <c r="P24">
        <f t="shared" si="2"/>
        <v>820894600</v>
      </c>
      <c r="Q24">
        <f t="shared" si="7"/>
        <v>820894600</v>
      </c>
      <c r="S24">
        <v>981764800</v>
      </c>
      <c r="T24">
        <f t="shared" si="4"/>
        <v>981764800</v>
      </c>
      <c r="U24">
        <f t="shared" si="5"/>
        <v>981764800</v>
      </c>
      <c r="W24">
        <v>210415900</v>
      </c>
      <c r="X24">
        <f t="shared" si="6"/>
        <v>210415900</v>
      </c>
      <c r="Z24" t="s">
        <v>177</v>
      </c>
      <c r="AA24" t="s">
        <v>244</v>
      </c>
      <c r="AB24" t="s">
        <v>245</v>
      </c>
      <c r="AC24" t="s">
        <v>180</v>
      </c>
      <c r="AE24" t="s">
        <v>246</v>
      </c>
    </row>
    <row r="25" spans="1:31" ht="96" hidden="1" customHeight="1" x14ac:dyDescent="0.25">
      <c r="A25">
        <f t="shared" si="0"/>
        <v>0</v>
      </c>
      <c r="B25" s="107">
        <v>15</v>
      </c>
      <c r="J25" s="107" t="s">
        <v>10</v>
      </c>
      <c r="K25" s="107" t="s">
        <v>247</v>
      </c>
      <c r="M25">
        <v>83431080.560000002</v>
      </c>
      <c r="N25">
        <f t="shared" si="1"/>
        <v>83431080.560000002</v>
      </c>
      <c r="O25">
        <v>0</v>
      </c>
      <c r="P25">
        <f t="shared" si="2"/>
        <v>83431080.560000002</v>
      </c>
      <c r="Q25">
        <f t="shared" si="7"/>
        <v>83431080.560000002</v>
      </c>
      <c r="AA25" t="s">
        <v>248</v>
      </c>
      <c r="AB25" s="107" t="s">
        <v>245</v>
      </c>
      <c r="AC25" t="s">
        <v>180</v>
      </c>
      <c r="AE25" t="s">
        <v>249</v>
      </c>
    </row>
    <row r="26" spans="1:31" ht="77.25" hidden="1" customHeight="1" x14ac:dyDescent="0.25">
      <c r="A26">
        <f t="shared" si="0"/>
        <v>0</v>
      </c>
      <c r="B26" s="107"/>
      <c r="J26" s="107"/>
      <c r="K26" s="107"/>
      <c r="M26">
        <v>107634989.68000001</v>
      </c>
      <c r="N26">
        <f t="shared" si="1"/>
        <v>107634989.68000001</v>
      </c>
      <c r="O26">
        <v>0</v>
      </c>
      <c r="P26">
        <f t="shared" si="2"/>
        <v>107634989.68000001</v>
      </c>
      <c r="Q26">
        <f t="shared" si="7"/>
        <v>107634989.68000001</v>
      </c>
      <c r="AA26" t="s">
        <v>250</v>
      </c>
      <c r="AB26" s="107"/>
      <c r="AC26" t="s">
        <v>180</v>
      </c>
      <c r="AE26" t="s">
        <v>251</v>
      </c>
    </row>
    <row r="27" spans="1:31" ht="96" hidden="1" customHeight="1" x14ac:dyDescent="0.25">
      <c r="A27">
        <f t="shared" si="0"/>
        <v>0</v>
      </c>
      <c r="B27" s="107">
        <v>16</v>
      </c>
      <c r="J27" t="s">
        <v>9</v>
      </c>
      <c r="K27" t="s">
        <v>247</v>
      </c>
      <c r="M27">
        <v>12741919.439999999</v>
      </c>
      <c r="N27">
        <f t="shared" si="1"/>
        <v>12741919.439999999</v>
      </c>
      <c r="O27">
        <v>0</v>
      </c>
      <c r="P27">
        <f t="shared" si="2"/>
        <v>12741919.439999999</v>
      </c>
      <c r="Q27">
        <f t="shared" si="7"/>
        <v>12741919.439999999</v>
      </c>
      <c r="AA27" t="s">
        <v>248</v>
      </c>
      <c r="AB27" s="107" t="s">
        <v>245</v>
      </c>
      <c r="AC27" t="s">
        <v>180</v>
      </c>
      <c r="AE27" t="s">
        <v>252</v>
      </c>
    </row>
    <row r="28" spans="1:31" ht="80.25" hidden="1" customHeight="1" x14ac:dyDescent="0.25">
      <c r="A28">
        <f t="shared" ref="A28:A91" si="8">P28-N28-O28</f>
        <v>-5.2386894822120667E-10</v>
      </c>
      <c r="B28" s="107"/>
      <c r="J28" t="s">
        <v>9</v>
      </c>
      <c r="K28" t="s">
        <v>247</v>
      </c>
      <c r="M28">
        <v>10222519.68</v>
      </c>
      <c r="N28">
        <f t="shared" si="1"/>
        <v>10222519.68</v>
      </c>
      <c r="O28">
        <v>124716.19</v>
      </c>
      <c r="P28">
        <f t="shared" si="2"/>
        <v>10347235.869999999</v>
      </c>
      <c r="Q28">
        <f t="shared" si="7"/>
        <v>10347235.869999999</v>
      </c>
      <c r="AA28" t="s">
        <v>250</v>
      </c>
      <c r="AB28" s="107"/>
      <c r="AC28" t="s">
        <v>180</v>
      </c>
      <c r="AE28" t="s">
        <v>253</v>
      </c>
    </row>
    <row r="29" spans="1:31" ht="312" hidden="1" customHeight="1" x14ac:dyDescent="0.25">
      <c r="A29">
        <f t="shared" si="8"/>
        <v>-7.1013346314430237E-9</v>
      </c>
      <c r="B29">
        <v>17</v>
      </c>
      <c r="J29" t="s">
        <v>9</v>
      </c>
      <c r="K29" t="s">
        <v>254</v>
      </c>
      <c r="M29">
        <f>45691399+52597543.52</f>
        <v>98288942.520000011</v>
      </c>
      <c r="N29">
        <f t="shared" si="1"/>
        <v>98288942.520000011</v>
      </c>
      <c r="O29">
        <v>-600280.43000000005</v>
      </c>
      <c r="P29">
        <f t="shared" si="2"/>
        <v>97688662.090000004</v>
      </c>
      <c r="Q29">
        <f t="shared" si="7"/>
        <v>97688662.090000004</v>
      </c>
      <c r="AA29" t="s">
        <v>255</v>
      </c>
      <c r="AB29" t="s">
        <v>256</v>
      </c>
      <c r="AC29" t="s">
        <v>257</v>
      </c>
      <c r="AE29" t="s">
        <v>258</v>
      </c>
    </row>
    <row r="30" spans="1:31" ht="94.5" hidden="1" customHeight="1" x14ac:dyDescent="0.25">
      <c r="A30">
        <f t="shared" si="8"/>
        <v>0</v>
      </c>
      <c r="B30">
        <v>18</v>
      </c>
      <c r="G30" t="s">
        <v>218</v>
      </c>
      <c r="J30" t="s">
        <v>9</v>
      </c>
      <c r="K30" t="s">
        <v>259</v>
      </c>
      <c r="M30">
        <v>12064681.164799999</v>
      </c>
      <c r="N30">
        <v>0</v>
      </c>
      <c r="O30">
        <v>0</v>
      </c>
      <c r="P30">
        <f t="shared" si="2"/>
        <v>0</v>
      </c>
      <c r="Q30">
        <f t="shared" si="7"/>
        <v>0</v>
      </c>
      <c r="Z30" t="s">
        <v>177</v>
      </c>
      <c r="AA30" t="s">
        <v>260</v>
      </c>
      <c r="AB30" t="s">
        <v>261</v>
      </c>
      <c r="AC30" t="s">
        <v>257</v>
      </c>
      <c r="AE30" t="s">
        <v>262</v>
      </c>
    </row>
    <row r="31" spans="1:31" ht="404.25" hidden="1" customHeight="1" x14ac:dyDescent="0.25">
      <c r="A31">
        <f t="shared" si="8"/>
        <v>0</v>
      </c>
      <c r="B31">
        <v>19</v>
      </c>
      <c r="G31" t="s">
        <v>218</v>
      </c>
      <c r="J31" t="s">
        <v>9</v>
      </c>
      <c r="K31" t="s">
        <v>263</v>
      </c>
      <c r="M31">
        <v>26954095.32</v>
      </c>
      <c r="N31">
        <v>17000000</v>
      </c>
      <c r="O31">
        <f>6214040+250163.26</f>
        <v>6464203.2599999998</v>
      </c>
      <c r="P31">
        <f t="shared" si="2"/>
        <v>23464203.259999998</v>
      </c>
      <c r="Q31">
        <f t="shared" si="7"/>
        <v>23464203.259999998</v>
      </c>
      <c r="Z31" t="s">
        <v>264</v>
      </c>
      <c r="AA31" t="s">
        <v>265</v>
      </c>
      <c r="AB31" t="s">
        <v>266</v>
      </c>
      <c r="AC31" t="s">
        <v>267</v>
      </c>
      <c r="AE31" t="s">
        <v>268</v>
      </c>
    </row>
    <row r="32" spans="1:31" hidden="1" x14ac:dyDescent="0.25">
      <c r="A32">
        <f t="shared" si="8"/>
        <v>0</v>
      </c>
      <c r="B32">
        <v>20</v>
      </c>
      <c r="G32" t="s">
        <v>218</v>
      </c>
      <c r="J32" t="s">
        <v>9</v>
      </c>
      <c r="K32" t="s">
        <v>269</v>
      </c>
      <c r="M32">
        <v>19471066.329999998</v>
      </c>
      <c r="N32">
        <f t="shared" si="1"/>
        <v>19471066.329999998</v>
      </c>
      <c r="O32">
        <v>0</v>
      </c>
      <c r="P32">
        <f t="shared" si="2"/>
        <v>19471066.329999998</v>
      </c>
      <c r="Q32">
        <f t="shared" si="7"/>
        <v>19471066.329999998</v>
      </c>
      <c r="Z32" t="s">
        <v>212</v>
      </c>
      <c r="AA32" t="s">
        <v>270</v>
      </c>
      <c r="AB32" t="s">
        <v>271</v>
      </c>
      <c r="AC32" t="s">
        <v>267</v>
      </c>
      <c r="AE32" t="s">
        <v>272</v>
      </c>
    </row>
    <row r="33" spans="1:31" ht="409.5" hidden="1" customHeight="1" x14ac:dyDescent="0.25">
      <c r="A33">
        <f t="shared" si="8"/>
        <v>0</v>
      </c>
      <c r="B33">
        <v>21</v>
      </c>
      <c r="C33" t="s">
        <v>169</v>
      </c>
      <c r="D33" t="s">
        <v>189</v>
      </c>
      <c r="E33" t="s">
        <v>190</v>
      </c>
      <c r="F33" t="s">
        <v>273</v>
      </c>
      <c r="G33" t="s">
        <v>218</v>
      </c>
      <c r="H33" t="s">
        <v>274</v>
      </c>
      <c r="I33" t="s">
        <v>275</v>
      </c>
      <c r="J33" t="s">
        <v>9</v>
      </c>
      <c r="K33" t="s">
        <v>276</v>
      </c>
      <c r="L33">
        <v>45760000</v>
      </c>
      <c r="M33">
        <f>27350000+7252500</f>
        <v>34602500</v>
      </c>
      <c r="N33">
        <v>0</v>
      </c>
      <c r="O33">
        <v>0</v>
      </c>
      <c r="P33">
        <f t="shared" si="2"/>
        <v>0</v>
      </c>
      <c r="Q33">
        <f t="shared" si="7"/>
        <v>45760000</v>
      </c>
      <c r="R33">
        <v>45760000</v>
      </c>
      <c r="S33">
        <v>0</v>
      </c>
      <c r="T33">
        <f t="shared" si="4"/>
        <v>45760000</v>
      </c>
      <c r="U33">
        <f t="shared" si="5"/>
        <v>45760000</v>
      </c>
      <c r="V33">
        <v>45760000</v>
      </c>
      <c r="W33">
        <v>0</v>
      </c>
      <c r="X33">
        <f t="shared" si="6"/>
        <v>45760000</v>
      </c>
      <c r="Z33" t="s">
        <v>177</v>
      </c>
      <c r="AA33" t="s">
        <v>277</v>
      </c>
      <c r="AB33" t="s">
        <v>278</v>
      </c>
      <c r="AC33" t="s">
        <v>257</v>
      </c>
      <c r="AE33" t="s">
        <v>279</v>
      </c>
    </row>
    <row r="34" spans="1:31" ht="156" hidden="1" customHeight="1" x14ac:dyDescent="0.25">
      <c r="A34">
        <f t="shared" si="8"/>
        <v>0</v>
      </c>
      <c r="B34">
        <v>22</v>
      </c>
      <c r="C34" t="s">
        <v>169</v>
      </c>
      <c r="D34" t="s">
        <v>189</v>
      </c>
      <c r="E34" t="s">
        <v>198</v>
      </c>
      <c r="F34" t="s">
        <v>199</v>
      </c>
      <c r="G34" t="s">
        <v>200</v>
      </c>
      <c r="H34" t="s">
        <v>280</v>
      </c>
      <c r="I34" t="s">
        <v>281</v>
      </c>
      <c r="J34" t="s">
        <v>9</v>
      </c>
      <c r="K34" t="s">
        <v>282</v>
      </c>
      <c r="L34">
        <v>16600000</v>
      </c>
      <c r="M34">
        <v>33292896</v>
      </c>
      <c r="N34">
        <v>0</v>
      </c>
      <c r="O34">
        <v>0</v>
      </c>
      <c r="P34">
        <f t="shared" si="2"/>
        <v>0</v>
      </c>
      <c r="Q34">
        <f t="shared" si="7"/>
        <v>16600000</v>
      </c>
      <c r="R34">
        <v>33292900</v>
      </c>
      <c r="S34">
        <v>-13324298</v>
      </c>
      <c r="T34">
        <v>19968602</v>
      </c>
      <c r="U34">
        <f t="shared" si="5"/>
        <v>19968602</v>
      </c>
      <c r="V34">
        <v>39937200</v>
      </c>
      <c r="W34">
        <v>-19968598</v>
      </c>
      <c r="X34">
        <v>19968602</v>
      </c>
      <c r="Z34" t="s">
        <v>212</v>
      </c>
      <c r="AA34" t="s">
        <v>283</v>
      </c>
      <c r="AB34" t="s">
        <v>206</v>
      </c>
      <c r="AC34" t="s">
        <v>257</v>
      </c>
      <c r="AE34" t="s">
        <v>208</v>
      </c>
    </row>
    <row r="35" spans="1:31" ht="278.25" hidden="1" customHeight="1" x14ac:dyDescent="0.25">
      <c r="A35">
        <f t="shared" si="8"/>
        <v>0</v>
      </c>
      <c r="B35">
        <v>23</v>
      </c>
      <c r="C35" t="s">
        <v>169</v>
      </c>
      <c r="D35" t="s">
        <v>284</v>
      </c>
      <c r="E35" t="s">
        <v>198</v>
      </c>
      <c r="F35" t="s">
        <v>285</v>
      </c>
      <c r="G35" t="s">
        <v>192</v>
      </c>
      <c r="H35" t="s">
        <v>286</v>
      </c>
      <c r="I35" t="s">
        <v>287</v>
      </c>
      <c r="J35" t="s">
        <v>9</v>
      </c>
      <c r="K35" t="s">
        <v>288</v>
      </c>
      <c r="L35">
        <v>2000000</v>
      </c>
      <c r="M35">
        <v>8000000</v>
      </c>
      <c r="N35">
        <v>0</v>
      </c>
      <c r="O35">
        <v>0</v>
      </c>
      <c r="P35">
        <f t="shared" si="2"/>
        <v>0</v>
      </c>
      <c r="Q35">
        <f t="shared" si="7"/>
        <v>2000000</v>
      </c>
      <c r="R35">
        <v>2000000</v>
      </c>
      <c r="S35">
        <v>8000000</v>
      </c>
      <c r="T35">
        <f t="shared" si="4"/>
        <v>10000000</v>
      </c>
      <c r="U35">
        <f t="shared" si="5"/>
        <v>10000000</v>
      </c>
      <c r="V35">
        <v>2000000</v>
      </c>
      <c r="W35">
        <v>8000000</v>
      </c>
      <c r="X35">
        <f t="shared" si="6"/>
        <v>10000000</v>
      </c>
      <c r="Z35" t="s">
        <v>177</v>
      </c>
      <c r="AA35" t="s">
        <v>289</v>
      </c>
      <c r="AB35" t="s">
        <v>290</v>
      </c>
      <c r="AC35" t="s">
        <v>257</v>
      </c>
      <c r="AE35" t="s">
        <v>291</v>
      </c>
    </row>
    <row r="36" spans="1:31" ht="294.75" hidden="1" customHeight="1" x14ac:dyDescent="0.25">
      <c r="A36">
        <f t="shared" si="8"/>
        <v>0</v>
      </c>
      <c r="B36">
        <v>24</v>
      </c>
      <c r="C36" t="s">
        <v>169</v>
      </c>
      <c r="D36" t="s">
        <v>292</v>
      </c>
      <c r="E36" t="s">
        <v>190</v>
      </c>
      <c r="F36" t="s">
        <v>293</v>
      </c>
      <c r="G36" t="s">
        <v>192</v>
      </c>
      <c r="H36" t="s">
        <v>294</v>
      </c>
      <c r="I36" t="s">
        <v>295</v>
      </c>
      <c r="J36" t="s">
        <v>9</v>
      </c>
      <c r="K36" t="s">
        <v>296</v>
      </c>
      <c r="L36">
        <v>56821200</v>
      </c>
      <c r="M36">
        <v>21581824.210000001</v>
      </c>
      <c r="N36">
        <v>0</v>
      </c>
      <c r="O36">
        <v>0</v>
      </c>
      <c r="P36">
        <f t="shared" si="2"/>
        <v>0</v>
      </c>
      <c r="Q36">
        <f t="shared" si="7"/>
        <v>56821200</v>
      </c>
      <c r="S36">
        <v>0</v>
      </c>
      <c r="T36">
        <f t="shared" si="4"/>
        <v>0</v>
      </c>
      <c r="V36">
        <v>0</v>
      </c>
      <c r="W36">
        <v>0</v>
      </c>
      <c r="X36">
        <f t="shared" si="6"/>
        <v>0</v>
      </c>
      <c r="Z36" t="s">
        <v>297</v>
      </c>
      <c r="AA36" t="s">
        <v>298</v>
      </c>
      <c r="AB36" t="s">
        <v>299</v>
      </c>
      <c r="AC36" t="s">
        <v>267</v>
      </c>
      <c r="AD36" t="s">
        <v>300</v>
      </c>
      <c r="AE36" t="s">
        <v>301</v>
      </c>
    </row>
    <row r="37" spans="1:31" ht="225.75" hidden="1" customHeight="1" x14ac:dyDescent="0.25">
      <c r="A37">
        <f t="shared" si="8"/>
        <v>0</v>
      </c>
      <c r="B37">
        <v>25</v>
      </c>
      <c r="C37" t="s">
        <v>169</v>
      </c>
      <c r="D37" t="s">
        <v>292</v>
      </c>
      <c r="G37" t="s">
        <v>192</v>
      </c>
      <c r="J37" t="s">
        <v>9</v>
      </c>
      <c r="K37" t="s">
        <v>302</v>
      </c>
      <c r="L37">
        <v>0</v>
      </c>
      <c r="M37">
        <v>1500000</v>
      </c>
      <c r="N37">
        <f t="shared" si="1"/>
        <v>1500000</v>
      </c>
      <c r="O37">
        <v>0</v>
      </c>
      <c r="P37">
        <f t="shared" si="2"/>
        <v>1500000</v>
      </c>
      <c r="Q37">
        <f t="shared" si="7"/>
        <v>1500000</v>
      </c>
      <c r="T37">
        <f t="shared" si="4"/>
        <v>0</v>
      </c>
      <c r="X37">
        <f t="shared" si="6"/>
        <v>0</v>
      </c>
      <c r="Z37" t="s">
        <v>177</v>
      </c>
      <c r="AA37" t="s">
        <v>303</v>
      </c>
      <c r="AB37" t="s">
        <v>304</v>
      </c>
      <c r="AC37" t="s">
        <v>180</v>
      </c>
      <c r="AE37" t="s">
        <v>305</v>
      </c>
    </row>
    <row r="38" spans="1:31" hidden="1" x14ac:dyDescent="0.25">
      <c r="A38">
        <f t="shared" si="8"/>
        <v>0</v>
      </c>
      <c r="B38">
        <v>26</v>
      </c>
      <c r="C38" t="s">
        <v>169</v>
      </c>
      <c r="D38" t="s">
        <v>292</v>
      </c>
      <c r="G38" t="s">
        <v>192</v>
      </c>
      <c r="J38" t="s">
        <v>9</v>
      </c>
      <c r="K38" t="s">
        <v>306</v>
      </c>
      <c r="M38">
        <f>9137.94*1.051*0.95*1000</f>
        <v>9123776.193</v>
      </c>
      <c r="N38">
        <f t="shared" si="1"/>
        <v>9123776.193</v>
      </c>
      <c r="O38">
        <v>0</v>
      </c>
      <c r="P38">
        <f t="shared" si="2"/>
        <v>9123776.193</v>
      </c>
      <c r="Q38">
        <f t="shared" si="7"/>
        <v>9123776.193</v>
      </c>
      <c r="T38">
        <f t="shared" si="4"/>
        <v>0</v>
      </c>
      <c r="X38">
        <f t="shared" si="6"/>
        <v>0</v>
      </c>
      <c r="Z38" t="s">
        <v>204</v>
      </c>
      <c r="AA38" t="s">
        <v>307</v>
      </c>
      <c r="AB38" t="s">
        <v>308</v>
      </c>
      <c r="AC38" t="s">
        <v>180</v>
      </c>
      <c r="AE38" t="s">
        <v>301</v>
      </c>
    </row>
    <row r="39" spans="1:31" ht="237" hidden="1" customHeight="1" x14ac:dyDescent="0.25">
      <c r="A39">
        <f t="shared" si="8"/>
        <v>0</v>
      </c>
      <c r="B39">
        <v>27</v>
      </c>
      <c r="C39" t="s">
        <v>169</v>
      </c>
      <c r="D39" t="s">
        <v>292</v>
      </c>
      <c r="G39" t="s">
        <v>192</v>
      </c>
      <c r="J39" t="s">
        <v>9</v>
      </c>
      <c r="K39" t="s">
        <v>309</v>
      </c>
      <c r="M39">
        <f>12710.94*1.051*0.95*1000</f>
        <v>12691238.043</v>
      </c>
      <c r="N39">
        <f t="shared" si="1"/>
        <v>12691238.043</v>
      </c>
      <c r="O39">
        <v>0</v>
      </c>
      <c r="P39">
        <f t="shared" si="2"/>
        <v>12691238.043</v>
      </c>
      <c r="Q39">
        <f t="shared" si="7"/>
        <v>12691238.043</v>
      </c>
      <c r="T39">
        <f t="shared" si="4"/>
        <v>0</v>
      </c>
      <c r="X39">
        <f t="shared" si="6"/>
        <v>0</v>
      </c>
      <c r="Z39" t="s">
        <v>204</v>
      </c>
      <c r="AA39" t="s">
        <v>310</v>
      </c>
      <c r="AB39" t="s">
        <v>308</v>
      </c>
      <c r="AC39" t="s">
        <v>180</v>
      </c>
      <c r="AE39" t="s">
        <v>301</v>
      </c>
    </row>
    <row r="40" spans="1:31" ht="276" hidden="1" customHeight="1" x14ac:dyDescent="0.25">
      <c r="A40">
        <f t="shared" si="8"/>
        <v>0</v>
      </c>
      <c r="B40">
        <v>28</v>
      </c>
      <c r="G40" t="s">
        <v>192</v>
      </c>
      <c r="J40" t="s">
        <v>9</v>
      </c>
      <c r="K40" t="s">
        <v>311</v>
      </c>
      <c r="M40">
        <v>12877800</v>
      </c>
      <c r="N40">
        <f t="shared" si="1"/>
        <v>12877800</v>
      </c>
      <c r="O40">
        <v>0</v>
      </c>
      <c r="P40">
        <f t="shared" si="2"/>
        <v>12877800</v>
      </c>
      <c r="Q40">
        <f t="shared" si="7"/>
        <v>12877800</v>
      </c>
      <c r="AA40" t="s">
        <v>312</v>
      </c>
      <c r="AB40" t="s">
        <v>313</v>
      </c>
      <c r="AC40" t="s">
        <v>180</v>
      </c>
      <c r="AE40" t="s">
        <v>314</v>
      </c>
    </row>
    <row r="41" spans="1:31" ht="205.5" hidden="1" customHeight="1" x14ac:dyDescent="0.25">
      <c r="A41">
        <f t="shared" si="8"/>
        <v>0</v>
      </c>
      <c r="B41">
        <v>29</v>
      </c>
      <c r="J41" t="s">
        <v>9</v>
      </c>
      <c r="K41" t="s">
        <v>315</v>
      </c>
      <c r="M41">
        <v>1433820</v>
      </c>
      <c r="N41">
        <f t="shared" si="1"/>
        <v>1433820</v>
      </c>
      <c r="O41">
        <v>0</v>
      </c>
      <c r="P41">
        <f t="shared" si="2"/>
        <v>1433820</v>
      </c>
      <c r="Q41">
        <f t="shared" si="7"/>
        <v>1433820</v>
      </c>
      <c r="Z41" t="s">
        <v>212</v>
      </c>
      <c r="AA41" t="s">
        <v>316</v>
      </c>
      <c r="AB41" t="s">
        <v>317</v>
      </c>
      <c r="AE41" t="s">
        <v>318</v>
      </c>
    </row>
    <row r="42" spans="1:31" hidden="1" x14ac:dyDescent="0.25">
      <c r="A42">
        <f t="shared" si="8"/>
        <v>0</v>
      </c>
      <c r="B42">
        <v>30</v>
      </c>
      <c r="G42" t="s">
        <v>192</v>
      </c>
      <c r="J42" t="s">
        <v>9</v>
      </c>
      <c r="K42" t="s">
        <v>319</v>
      </c>
      <c r="M42">
        <v>18167600</v>
      </c>
      <c r="N42">
        <v>0</v>
      </c>
      <c r="O42">
        <v>0</v>
      </c>
      <c r="P42">
        <f t="shared" si="2"/>
        <v>0</v>
      </c>
      <c r="Q42">
        <f t="shared" si="7"/>
        <v>0</v>
      </c>
      <c r="AA42" t="s">
        <v>320</v>
      </c>
      <c r="AB42" t="s">
        <v>313</v>
      </c>
      <c r="AC42" t="s">
        <v>180</v>
      </c>
      <c r="AE42" t="s">
        <v>314</v>
      </c>
    </row>
    <row r="43" spans="1:31" ht="172.5" hidden="1" customHeight="1" x14ac:dyDescent="0.25">
      <c r="A43">
        <f t="shared" si="8"/>
        <v>0</v>
      </c>
      <c r="B43">
        <v>31</v>
      </c>
      <c r="J43" t="s">
        <v>9</v>
      </c>
      <c r="K43" t="s">
        <v>321</v>
      </c>
      <c r="P43">
        <f t="shared" si="2"/>
        <v>0</v>
      </c>
      <c r="S43">
        <v>252719077.13859999</v>
      </c>
      <c r="T43">
        <f>S43</f>
        <v>252719077.13859999</v>
      </c>
      <c r="U43">
        <f t="shared" si="5"/>
        <v>252719077.13859999</v>
      </c>
      <c r="W43">
        <v>264596873.76411417</v>
      </c>
      <c r="X43">
        <f>W43</f>
        <v>264596873.76411417</v>
      </c>
      <c r="Y43">
        <f>X43</f>
        <v>264596873.76411417</v>
      </c>
      <c r="Z43" t="s">
        <v>322</v>
      </c>
      <c r="AA43" t="s">
        <v>323</v>
      </c>
    </row>
    <row r="44" spans="1:31" ht="104.25" hidden="1" customHeight="1" x14ac:dyDescent="0.25">
      <c r="A44">
        <f t="shared" si="8"/>
        <v>0</v>
      </c>
      <c r="B44">
        <v>32</v>
      </c>
      <c r="G44" t="s">
        <v>192</v>
      </c>
      <c r="J44" t="s">
        <v>9</v>
      </c>
      <c r="K44" t="s">
        <v>324</v>
      </c>
      <c r="M44">
        <v>37800000</v>
      </c>
      <c r="N44">
        <v>0</v>
      </c>
      <c r="O44">
        <v>0</v>
      </c>
      <c r="P44">
        <f t="shared" si="2"/>
        <v>0</v>
      </c>
      <c r="Q44">
        <f t="shared" si="7"/>
        <v>0</v>
      </c>
      <c r="AA44" t="s">
        <v>325</v>
      </c>
      <c r="AB44" t="s">
        <v>308</v>
      </c>
      <c r="AC44" t="s">
        <v>257</v>
      </c>
      <c r="AE44" t="s">
        <v>301</v>
      </c>
    </row>
    <row r="45" spans="1:31" ht="185.25" hidden="1" customHeight="1" x14ac:dyDescent="0.25">
      <c r="A45">
        <f t="shared" si="8"/>
        <v>0</v>
      </c>
      <c r="B45">
        <v>33</v>
      </c>
      <c r="C45" t="s">
        <v>169</v>
      </c>
      <c r="D45" t="s">
        <v>292</v>
      </c>
      <c r="E45" t="s">
        <v>190</v>
      </c>
      <c r="G45" t="s">
        <v>192</v>
      </c>
      <c r="J45" t="s">
        <v>9</v>
      </c>
      <c r="K45" t="s">
        <v>326</v>
      </c>
      <c r="M45">
        <v>13202310</v>
      </c>
      <c r="N45">
        <v>0</v>
      </c>
      <c r="O45">
        <v>0</v>
      </c>
      <c r="P45">
        <f t="shared" si="2"/>
        <v>0</v>
      </c>
      <c r="Q45">
        <f t="shared" si="7"/>
        <v>0</v>
      </c>
      <c r="R45">
        <v>0</v>
      </c>
      <c r="S45">
        <v>0</v>
      </c>
      <c r="T45">
        <f t="shared" ref="T45:T85" si="9">SUM(R45:S45)</f>
        <v>0</v>
      </c>
      <c r="V45">
        <v>0</v>
      </c>
      <c r="W45">
        <v>0</v>
      </c>
      <c r="X45">
        <f t="shared" ref="X45:X85" si="10">SUM(V45:W45)</f>
        <v>0</v>
      </c>
      <c r="Z45" t="s">
        <v>327</v>
      </c>
      <c r="AA45" t="s">
        <v>328</v>
      </c>
      <c r="AB45" t="s">
        <v>308</v>
      </c>
      <c r="AC45" t="s">
        <v>257</v>
      </c>
      <c r="AE45" t="s">
        <v>301</v>
      </c>
    </row>
    <row r="46" spans="1:31" ht="211.5" hidden="1" customHeight="1" x14ac:dyDescent="0.35">
      <c r="A46">
        <f t="shared" si="8"/>
        <v>0</v>
      </c>
      <c r="B46">
        <v>34</v>
      </c>
      <c r="C46" t="s">
        <v>169</v>
      </c>
      <c r="D46" t="s">
        <v>292</v>
      </c>
      <c r="F46" t="s">
        <v>329</v>
      </c>
      <c r="G46" t="s">
        <v>192</v>
      </c>
      <c r="J46" t="s">
        <v>9</v>
      </c>
      <c r="K46" t="s">
        <v>330</v>
      </c>
      <c r="M46">
        <f>57500*1.051*0.95*1000</f>
        <v>57410874.999999993</v>
      </c>
      <c r="N46">
        <v>0</v>
      </c>
      <c r="P46">
        <f t="shared" si="2"/>
        <v>0</v>
      </c>
      <c r="Q46">
        <f t="shared" si="7"/>
        <v>0</v>
      </c>
      <c r="T46">
        <f t="shared" si="9"/>
        <v>0</v>
      </c>
      <c r="X46">
        <f t="shared" si="10"/>
        <v>0</v>
      </c>
      <c r="AA46" t="s">
        <v>331</v>
      </c>
      <c r="AB46" t="s">
        <v>332</v>
      </c>
      <c r="AC46" t="s">
        <v>333</v>
      </c>
      <c r="AD46" t="s">
        <v>334</v>
      </c>
      <c r="AE46" t="s">
        <v>301</v>
      </c>
    </row>
    <row r="47" spans="1:31" hidden="1" x14ac:dyDescent="0.25">
      <c r="A47">
        <f t="shared" si="8"/>
        <v>0</v>
      </c>
      <c r="B47">
        <v>35</v>
      </c>
      <c r="G47" t="s">
        <v>192</v>
      </c>
      <c r="J47" t="s">
        <v>9</v>
      </c>
      <c r="K47" t="s">
        <v>335</v>
      </c>
      <c r="M47">
        <v>22955700</v>
      </c>
      <c r="N47">
        <v>0</v>
      </c>
      <c r="O47">
        <v>0</v>
      </c>
      <c r="P47">
        <f t="shared" si="2"/>
        <v>0</v>
      </c>
      <c r="Q47">
        <f t="shared" si="7"/>
        <v>0</v>
      </c>
      <c r="AB47" t="s">
        <v>313</v>
      </c>
      <c r="AC47" t="s">
        <v>257</v>
      </c>
      <c r="AE47" t="s">
        <v>314</v>
      </c>
    </row>
    <row r="48" spans="1:31" hidden="1" x14ac:dyDescent="0.25">
      <c r="A48">
        <f t="shared" si="8"/>
        <v>0</v>
      </c>
      <c r="B48">
        <v>36</v>
      </c>
      <c r="G48" t="s">
        <v>192</v>
      </c>
      <c r="J48" t="s">
        <v>9</v>
      </c>
      <c r="K48" t="s">
        <v>336</v>
      </c>
      <c r="M48">
        <v>32141900</v>
      </c>
      <c r="N48">
        <v>0</v>
      </c>
      <c r="O48">
        <v>0</v>
      </c>
      <c r="P48">
        <f t="shared" si="2"/>
        <v>0</v>
      </c>
      <c r="Q48">
        <f t="shared" si="7"/>
        <v>0</v>
      </c>
      <c r="AA48" t="s">
        <v>337</v>
      </c>
      <c r="AB48" t="s">
        <v>313</v>
      </c>
      <c r="AC48" t="s">
        <v>267</v>
      </c>
      <c r="AE48" t="s">
        <v>314</v>
      </c>
    </row>
    <row r="49" spans="1:31" ht="167.25" hidden="1" customHeight="1" x14ac:dyDescent="0.25">
      <c r="A49">
        <f t="shared" si="8"/>
        <v>0</v>
      </c>
      <c r="B49">
        <v>37</v>
      </c>
      <c r="J49" t="s">
        <v>9</v>
      </c>
      <c r="K49" t="s">
        <v>338</v>
      </c>
      <c r="M49">
        <v>575347.18000000005</v>
      </c>
      <c r="N49">
        <f t="shared" si="1"/>
        <v>575347.18000000005</v>
      </c>
      <c r="O49">
        <v>0</v>
      </c>
      <c r="P49">
        <f t="shared" si="2"/>
        <v>575347.18000000005</v>
      </c>
      <c r="Q49">
        <f t="shared" si="7"/>
        <v>575347.18000000005</v>
      </c>
      <c r="Z49" t="s">
        <v>212</v>
      </c>
      <c r="AA49" t="s">
        <v>339</v>
      </c>
      <c r="AB49" t="s">
        <v>340</v>
      </c>
      <c r="AE49" t="s">
        <v>341</v>
      </c>
    </row>
    <row r="50" spans="1:31" ht="409.5" hidden="1" customHeight="1" x14ac:dyDescent="0.35">
      <c r="A50">
        <f t="shared" si="8"/>
        <v>0</v>
      </c>
      <c r="B50">
        <v>38</v>
      </c>
      <c r="C50" t="s">
        <v>169</v>
      </c>
      <c r="G50" t="s">
        <v>192</v>
      </c>
      <c r="J50" t="s">
        <v>9</v>
      </c>
      <c r="K50" t="s">
        <v>342</v>
      </c>
      <c r="M50">
        <f>48784.34688*1000</f>
        <v>48784346.879999995</v>
      </c>
      <c r="N50">
        <v>0</v>
      </c>
      <c r="O50">
        <v>0</v>
      </c>
      <c r="P50">
        <f t="shared" si="2"/>
        <v>0</v>
      </c>
      <c r="Q50">
        <f t="shared" si="7"/>
        <v>0</v>
      </c>
      <c r="T50">
        <f t="shared" si="9"/>
        <v>0</v>
      </c>
      <c r="X50">
        <f t="shared" si="10"/>
        <v>0</v>
      </c>
      <c r="Z50" t="s">
        <v>343</v>
      </c>
      <c r="AA50" t="s">
        <v>344</v>
      </c>
      <c r="AB50" t="s">
        <v>345</v>
      </c>
      <c r="AC50" t="s">
        <v>267</v>
      </c>
      <c r="AE50" t="s">
        <v>346</v>
      </c>
    </row>
    <row r="51" spans="1:31" ht="207" hidden="1" customHeight="1" x14ac:dyDescent="0.25">
      <c r="A51">
        <f t="shared" si="8"/>
        <v>0</v>
      </c>
      <c r="B51">
        <v>39</v>
      </c>
      <c r="G51" t="s">
        <v>347</v>
      </c>
      <c r="J51" t="s">
        <v>9</v>
      </c>
      <c r="K51" t="s">
        <v>348</v>
      </c>
      <c r="M51">
        <v>2500000</v>
      </c>
      <c r="N51">
        <f t="shared" si="1"/>
        <v>2500000</v>
      </c>
      <c r="O51">
        <v>0</v>
      </c>
      <c r="P51">
        <f t="shared" si="2"/>
        <v>2500000</v>
      </c>
      <c r="Q51">
        <f t="shared" si="7"/>
        <v>2500000</v>
      </c>
      <c r="Z51" t="s">
        <v>212</v>
      </c>
      <c r="AA51" t="s">
        <v>349</v>
      </c>
      <c r="AB51" t="s">
        <v>350</v>
      </c>
      <c r="AC51" t="s">
        <v>180</v>
      </c>
      <c r="AE51" t="s">
        <v>351</v>
      </c>
    </row>
    <row r="52" spans="1:31" ht="23.25" hidden="1" x14ac:dyDescent="0.35">
      <c r="A52">
        <f t="shared" si="8"/>
        <v>0</v>
      </c>
      <c r="B52">
        <v>40</v>
      </c>
      <c r="G52">
        <v>521</v>
      </c>
      <c r="J52" t="s">
        <v>9</v>
      </c>
      <c r="K52" t="s">
        <v>352</v>
      </c>
      <c r="M52">
        <f>(16777.32*1000)*95%</f>
        <v>15938454</v>
      </c>
      <c r="N52">
        <f t="shared" si="1"/>
        <v>15938454</v>
      </c>
      <c r="O52">
        <v>0</v>
      </c>
      <c r="P52">
        <f t="shared" si="2"/>
        <v>15938454</v>
      </c>
      <c r="Q52">
        <f t="shared" si="7"/>
        <v>15938454</v>
      </c>
      <c r="Z52" t="s">
        <v>353</v>
      </c>
      <c r="AA52" t="s">
        <v>354</v>
      </c>
      <c r="AB52" t="s">
        <v>355</v>
      </c>
      <c r="AC52" t="s">
        <v>180</v>
      </c>
      <c r="AE52" t="s">
        <v>356</v>
      </c>
    </row>
    <row r="53" spans="1:31" hidden="1" x14ac:dyDescent="0.25">
      <c r="A53">
        <f t="shared" si="8"/>
        <v>0</v>
      </c>
      <c r="B53">
        <v>41</v>
      </c>
      <c r="G53" t="s">
        <v>192</v>
      </c>
      <c r="J53" t="s">
        <v>9</v>
      </c>
      <c r="K53" t="s">
        <v>357</v>
      </c>
      <c r="M53">
        <f>24674.4*1000*1.051*0.5</f>
        <v>12966397.199999999</v>
      </c>
      <c r="N53">
        <f t="shared" si="1"/>
        <v>12966397.199999999</v>
      </c>
      <c r="O53">
        <v>0</v>
      </c>
      <c r="P53">
        <f t="shared" si="2"/>
        <v>12966397.199999999</v>
      </c>
      <c r="Q53">
        <f t="shared" si="7"/>
        <v>12966397.199999999</v>
      </c>
      <c r="Z53" t="s">
        <v>212</v>
      </c>
      <c r="AA53" t="s">
        <v>358</v>
      </c>
      <c r="AB53" t="s">
        <v>359</v>
      </c>
      <c r="AC53" t="s">
        <v>180</v>
      </c>
      <c r="AE53" t="s">
        <v>301</v>
      </c>
    </row>
    <row r="54" spans="1:31" hidden="1" x14ac:dyDescent="0.25">
      <c r="A54">
        <f t="shared" si="8"/>
        <v>0</v>
      </c>
      <c r="B54">
        <v>42</v>
      </c>
      <c r="G54" t="s">
        <v>192</v>
      </c>
      <c r="J54" t="s">
        <v>9</v>
      </c>
      <c r="K54" t="s">
        <v>360</v>
      </c>
      <c r="M54">
        <f>30832.65*1000*1.051*0.5</f>
        <v>16202557.574999999</v>
      </c>
      <c r="N54">
        <f t="shared" si="1"/>
        <v>16202557.574999999</v>
      </c>
      <c r="O54">
        <v>0</v>
      </c>
      <c r="P54">
        <f t="shared" si="2"/>
        <v>16202557.574999999</v>
      </c>
      <c r="Q54">
        <f t="shared" si="7"/>
        <v>16202557.574999999</v>
      </c>
      <c r="Z54" t="s">
        <v>212</v>
      </c>
      <c r="AA54" t="s">
        <v>361</v>
      </c>
      <c r="AB54" t="s">
        <v>359</v>
      </c>
      <c r="AC54" t="s">
        <v>180</v>
      </c>
      <c r="AE54" t="s">
        <v>301</v>
      </c>
    </row>
    <row r="55" spans="1:31" ht="170.25" hidden="1" customHeight="1" x14ac:dyDescent="0.25">
      <c r="A55">
        <f>P55-N55</f>
        <v>0</v>
      </c>
      <c r="B55">
        <v>43</v>
      </c>
      <c r="G55" t="s">
        <v>347</v>
      </c>
      <c r="J55" t="s">
        <v>9</v>
      </c>
      <c r="K55" t="s">
        <v>362</v>
      </c>
      <c r="M55">
        <v>35000000</v>
      </c>
      <c r="N55">
        <f>M55-1650627.34</f>
        <v>33349372.66</v>
      </c>
      <c r="O55">
        <v>0</v>
      </c>
      <c r="P55">
        <f t="shared" si="2"/>
        <v>33349372.66</v>
      </c>
      <c r="Q55">
        <f t="shared" si="7"/>
        <v>33349372.66</v>
      </c>
      <c r="AA55" t="s">
        <v>363</v>
      </c>
      <c r="AB55" t="s">
        <v>350</v>
      </c>
      <c r="AC55" t="s">
        <v>180</v>
      </c>
      <c r="AE55" t="s">
        <v>314</v>
      </c>
    </row>
    <row r="56" spans="1:31" hidden="1" x14ac:dyDescent="0.25">
      <c r="A56">
        <f t="shared" si="8"/>
        <v>0</v>
      </c>
      <c r="B56">
        <v>44</v>
      </c>
      <c r="G56" t="s">
        <v>192</v>
      </c>
      <c r="J56" t="s">
        <v>9</v>
      </c>
      <c r="K56" t="s">
        <v>364</v>
      </c>
      <c r="M56">
        <f>20433190</f>
        <v>20433190</v>
      </c>
      <c r="N56">
        <f t="shared" si="1"/>
        <v>20433190</v>
      </c>
      <c r="O56">
        <v>0</v>
      </c>
      <c r="P56">
        <f t="shared" si="2"/>
        <v>20433190</v>
      </c>
      <c r="Q56">
        <f t="shared" si="7"/>
        <v>20433190</v>
      </c>
      <c r="AA56" t="s">
        <v>365</v>
      </c>
      <c r="AB56" t="s">
        <v>350</v>
      </c>
      <c r="AC56" t="s">
        <v>180</v>
      </c>
      <c r="AE56" t="s">
        <v>314</v>
      </c>
    </row>
    <row r="57" spans="1:31" hidden="1" x14ac:dyDescent="0.25">
      <c r="A57">
        <f t="shared" si="8"/>
        <v>0</v>
      </c>
      <c r="B57">
        <v>45</v>
      </c>
      <c r="G57" t="s">
        <v>192</v>
      </c>
      <c r="J57" t="s">
        <v>9</v>
      </c>
      <c r="K57" t="s">
        <v>366</v>
      </c>
      <c r="M57">
        <v>46467470</v>
      </c>
      <c r="N57">
        <f t="shared" si="1"/>
        <v>46467470</v>
      </c>
      <c r="O57">
        <f t="shared" ref="O57:O65" si="11">-N57</f>
        <v>-46467470</v>
      </c>
      <c r="P57">
        <f t="shared" si="2"/>
        <v>0</v>
      </c>
      <c r="Q57">
        <f t="shared" si="7"/>
        <v>0</v>
      </c>
      <c r="AA57" t="s">
        <v>367</v>
      </c>
      <c r="AB57" t="s">
        <v>350</v>
      </c>
      <c r="AC57" t="s">
        <v>267</v>
      </c>
      <c r="AE57" t="s">
        <v>314</v>
      </c>
    </row>
    <row r="58" spans="1:31" ht="219.75" hidden="1" customHeight="1" x14ac:dyDescent="0.25">
      <c r="A58">
        <f t="shared" si="8"/>
        <v>0</v>
      </c>
      <c r="B58">
        <v>46</v>
      </c>
      <c r="J58" t="s">
        <v>9</v>
      </c>
      <c r="K58" t="s">
        <v>368</v>
      </c>
      <c r="M58">
        <v>1743000</v>
      </c>
      <c r="N58">
        <f t="shared" si="1"/>
        <v>1743000</v>
      </c>
      <c r="O58">
        <f t="shared" si="11"/>
        <v>-1743000</v>
      </c>
      <c r="P58">
        <f t="shared" si="2"/>
        <v>0</v>
      </c>
      <c r="Q58">
        <f t="shared" si="7"/>
        <v>0</v>
      </c>
      <c r="Z58" t="s">
        <v>212</v>
      </c>
      <c r="AB58" t="s">
        <v>369</v>
      </c>
      <c r="AE58" t="s">
        <v>370</v>
      </c>
    </row>
    <row r="59" spans="1:31" ht="228" hidden="1" customHeight="1" x14ac:dyDescent="0.25">
      <c r="A59">
        <f t="shared" si="8"/>
        <v>0</v>
      </c>
      <c r="B59">
        <v>47</v>
      </c>
      <c r="J59" t="s">
        <v>9</v>
      </c>
      <c r="K59" t="s">
        <v>371</v>
      </c>
      <c r="M59">
        <v>10111630</v>
      </c>
      <c r="N59">
        <f t="shared" si="1"/>
        <v>10111630</v>
      </c>
      <c r="O59">
        <f t="shared" si="11"/>
        <v>-10111630</v>
      </c>
      <c r="P59">
        <f t="shared" si="2"/>
        <v>0</v>
      </c>
      <c r="Q59">
        <f t="shared" si="7"/>
        <v>0</v>
      </c>
      <c r="AA59" t="s">
        <v>372</v>
      </c>
      <c r="AB59" t="s">
        <v>350</v>
      </c>
      <c r="AE59" t="s">
        <v>314</v>
      </c>
    </row>
    <row r="60" spans="1:31" ht="26.25" hidden="1" x14ac:dyDescent="0.4">
      <c r="A60">
        <f t="shared" si="8"/>
        <v>0</v>
      </c>
      <c r="B60">
        <v>48</v>
      </c>
      <c r="J60" t="s">
        <v>9</v>
      </c>
      <c r="K60" t="s">
        <v>373</v>
      </c>
      <c r="M60">
        <v>15889750</v>
      </c>
      <c r="N60">
        <f t="shared" si="1"/>
        <v>15889750</v>
      </c>
      <c r="O60">
        <f t="shared" si="11"/>
        <v>-15889750</v>
      </c>
      <c r="P60">
        <f t="shared" si="2"/>
        <v>0</v>
      </c>
      <c r="Q60">
        <f t="shared" si="7"/>
        <v>0</v>
      </c>
      <c r="AA60" t="s">
        <v>374</v>
      </c>
      <c r="AB60" t="s">
        <v>350</v>
      </c>
      <c r="AE60" t="s">
        <v>314</v>
      </c>
    </row>
    <row r="61" spans="1:31" hidden="1" x14ac:dyDescent="0.25">
      <c r="A61">
        <f t="shared" si="8"/>
        <v>0</v>
      </c>
      <c r="B61">
        <v>49</v>
      </c>
      <c r="J61" t="s">
        <v>9</v>
      </c>
      <c r="K61" t="s">
        <v>375</v>
      </c>
      <c r="M61">
        <v>21894410</v>
      </c>
      <c r="N61">
        <f t="shared" si="1"/>
        <v>21894410</v>
      </c>
      <c r="O61">
        <f t="shared" si="11"/>
        <v>-21894410</v>
      </c>
      <c r="P61">
        <f t="shared" si="2"/>
        <v>0</v>
      </c>
      <c r="Q61">
        <f t="shared" si="7"/>
        <v>0</v>
      </c>
      <c r="AA61" t="s">
        <v>376</v>
      </c>
      <c r="AB61" t="s">
        <v>350</v>
      </c>
      <c r="AE61" t="s">
        <v>314</v>
      </c>
    </row>
    <row r="62" spans="1:31" hidden="1" x14ac:dyDescent="0.25">
      <c r="A62">
        <f t="shared" si="8"/>
        <v>0</v>
      </c>
      <c r="B62">
        <v>50</v>
      </c>
      <c r="J62" t="s">
        <v>9</v>
      </c>
      <c r="K62" t="s">
        <v>377</v>
      </c>
      <c r="M62">
        <v>6214040</v>
      </c>
      <c r="N62">
        <f t="shared" si="1"/>
        <v>6214040</v>
      </c>
      <c r="O62">
        <v>-6214040</v>
      </c>
      <c r="P62">
        <f t="shared" si="2"/>
        <v>0</v>
      </c>
      <c r="Q62">
        <f t="shared" si="7"/>
        <v>0</v>
      </c>
      <c r="AA62" t="s">
        <v>378</v>
      </c>
      <c r="AB62" t="s">
        <v>350</v>
      </c>
      <c r="AE62" t="s">
        <v>314</v>
      </c>
    </row>
    <row r="63" spans="1:31" hidden="1" x14ac:dyDescent="0.25">
      <c r="A63">
        <f t="shared" si="8"/>
        <v>0</v>
      </c>
      <c r="B63">
        <v>51</v>
      </c>
      <c r="J63" t="s">
        <v>9</v>
      </c>
      <c r="K63" t="s">
        <v>379</v>
      </c>
      <c r="M63">
        <v>12619980</v>
      </c>
      <c r="N63">
        <f t="shared" si="1"/>
        <v>12619980</v>
      </c>
      <c r="O63">
        <f t="shared" si="11"/>
        <v>-12619980</v>
      </c>
      <c r="P63">
        <f t="shared" si="2"/>
        <v>0</v>
      </c>
      <c r="Q63">
        <f t="shared" si="7"/>
        <v>0</v>
      </c>
      <c r="AA63" t="s">
        <v>380</v>
      </c>
      <c r="AB63" t="s">
        <v>350</v>
      </c>
      <c r="AE63" t="s">
        <v>314</v>
      </c>
    </row>
    <row r="64" spans="1:31" ht="25.5" hidden="1" x14ac:dyDescent="0.35">
      <c r="A64">
        <f t="shared" si="8"/>
        <v>0</v>
      </c>
      <c r="B64">
        <v>52</v>
      </c>
      <c r="J64" t="s">
        <v>9</v>
      </c>
      <c r="K64" t="s">
        <v>381</v>
      </c>
      <c r="M64">
        <v>2049158</v>
      </c>
      <c r="N64">
        <f t="shared" si="1"/>
        <v>2049158</v>
      </c>
      <c r="O64">
        <f t="shared" si="11"/>
        <v>-2049158</v>
      </c>
      <c r="P64">
        <f t="shared" si="2"/>
        <v>0</v>
      </c>
      <c r="Q64">
        <f t="shared" si="7"/>
        <v>0</v>
      </c>
      <c r="AA64" t="s">
        <v>382</v>
      </c>
      <c r="AB64" t="s">
        <v>350</v>
      </c>
      <c r="AE64" t="s">
        <v>314</v>
      </c>
    </row>
    <row r="65" spans="1:31" ht="25.5" hidden="1" x14ac:dyDescent="0.35">
      <c r="A65">
        <f t="shared" si="8"/>
        <v>0</v>
      </c>
      <c r="B65">
        <v>53</v>
      </c>
      <c r="J65" t="s">
        <v>9</v>
      </c>
      <c r="K65" t="s">
        <v>383</v>
      </c>
      <c r="M65">
        <v>7000000</v>
      </c>
      <c r="N65">
        <f t="shared" si="1"/>
        <v>7000000</v>
      </c>
      <c r="O65">
        <f t="shared" si="11"/>
        <v>-7000000</v>
      </c>
      <c r="P65">
        <f t="shared" si="2"/>
        <v>0</v>
      </c>
      <c r="Q65">
        <f t="shared" si="7"/>
        <v>0</v>
      </c>
      <c r="AA65" t="s">
        <v>384</v>
      </c>
      <c r="AB65" t="s">
        <v>350</v>
      </c>
      <c r="AE65" t="s">
        <v>314</v>
      </c>
    </row>
    <row r="66" spans="1:31" ht="126.75" hidden="1" customHeight="1" x14ac:dyDescent="0.25">
      <c r="A66">
        <f t="shared" si="8"/>
        <v>0</v>
      </c>
      <c r="B66">
        <v>54</v>
      </c>
      <c r="J66" t="s">
        <v>9</v>
      </c>
      <c r="K66" t="s">
        <v>385</v>
      </c>
      <c r="L66">
        <v>21899135.48</v>
      </c>
      <c r="M66">
        <v>-386697.8</v>
      </c>
      <c r="N66">
        <f t="shared" si="1"/>
        <v>-386697.8</v>
      </c>
      <c r="O66">
        <v>0</v>
      </c>
      <c r="P66">
        <f t="shared" si="2"/>
        <v>-386697.8</v>
      </c>
      <c r="Q66">
        <f t="shared" si="7"/>
        <v>21512437.68</v>
      </c>
      <c r="Z66" t="s">
        <v>386</v>
      </c>
      <c r="AA66" t="s">
        <v>387</v>
      </c>
      <c r="AB66" s="107" t="s">
        <v>388</v>
      </c>
      <c r="AC66" s="107"/>
      <c r="AE66" s="107" t="s">
        <v>388</v>
      </c>
    </row>
    <row r="67" spans="1:31" ht="74.25" hidden="1" customHeight="1" x14ac:dyDescent="0.25">
      <c r="A67">
        <f t="shared" si="8"/>
        <v>0</v>
      </c>
      <c r="B67">
        <v>55</v>
      </c>
      <c r="J67" t="s">
        <v>10</v>
      </c>
      <c r="K67" t="s">
        <v>389</v>
      </c>
      <c r="L67">
        <v>33522589.039999999</v>
      </c>
      <c r="M67">
        <v>773395.6</v>
      </c>
      <c r="N67">
        <f t="shared" si="1"/>
        <v>773395.6</v>
      </c>
      <c r="O67">
        <v>0</v>
      </c>
      <c r="P67">
        <f t="shared" si="2"/>
        <v>773395.6</v>
      </c>
      <c r="Q67">
        <f t="shared" si="7"/>
        <v>34295984.640000001</v>
      </c>
      <c r="Z67" t="s">
        <v>10</v>
      </c>
      <c r="AA67" t="s">
        <v>390</v>
      </c>
      <c r="AB67" s="107"/>
      <c r="AC67" s="107"/>
      <c r="AE67" s="107"/>
    </row>
    <row r="68" spans="1:31" hidden="1" x14ac:dyDescent="0.25">
      <c r="A68">
        <f t="shared" si="8"/>
        <v>0</v>
      </c>
      <c r="B68">
        <v>56</v>
      </c>
      <c r="J68" t="s">
        <v>9</v>
      </c>
      <c r="K68" t="s">
        <v>391</v>
      </c>
      <c r="L68">
        <v>47439733.780000001</v>
      </c>
      <c r="M68">
        <v>-918407.43</v>
      </c>
      <c r="N68">
        <f t="shared" si="1"/>
        <v>-918407.43</v>
      </c>
      <c r="O68">
        <v>0</v>
      </c>
      <c r="P68">
        <f t="shared" si="2"/>
        <v>-918407.43</v>
      </c>
      <c r="Q68">
        <f t="shared" si="7"/>
        <v>46521326.350000001</v>
      </c>
      <c r="Z68" t="s">
        <v>386</v>
      </c>
      <c r="AA68" t="s">
        <v>390</v>
      </c>
      <c r="AB68" s="107"/>
      <c r="AC68" s="107"/>
      <c r="AE68" s="107"/>
    </row>
    <row r="69" spans="1:31" ht="77.25" hidden="1" customHeight="1" x14ac:dyDescent="0.25">
      <c r="A69">
        <f t="shared" si="8"/>
        <v>0</v>
      </c>
      <c r="B69">
        <v>57</v>
      </c>
      <c r="J69" t="s">
        <v>10</v>
      </c>
      <c r="K69" t="s">
        <v>391</v>
      </c>
      <c r="L69">
        <v>79616162.450000003</v>
      </c>
      <c r="M69">
        <v>1836814.84</v>
      </c>
      <c r="N69">
        <f t="shared" si="1"/>
        <v>1836814.84</v>
      </c>
      <c r="O69">
        <v>0</v>
      </c>
      <c r="P69">
        <f t="shared" si="2"/>
        <v>1836814.84</v>
      </c>
      <c r="Q69">
        <f t="shared" si="7"/>
        <v>81452977.290000007</v>
      </c>
      <c r="Z69" t="s">
        <v>10</v>
      </c>
      <c r="AA69" t="s">
        <v>390</v>
      </c>
      <c r="AB69" s="107"/>
      <c r="AC69" s="107"/>
      <c r="AE69" s="107"/>
    </row>
    <row r="70" spans="1:31" hidden="1" x14ac:dyDescent="0.25">
      <c r="A70">
        <f t="shared" si="8"/>
        <v>0</v>
      </c>
      <c r="B70">
        <v>58</v>
      </c>
      <c r="J70" t="s">
        <v>9</v>
      </c>
      <c r="K70" t="s">
        <v>392</v>
      </c>
      <c r="L70">
        <v>85996334.129999995</v>
      </c>
      <c r="M70">
        <v>-1815165.13</v>
      </c>
      <c r="N70">
        <f t="shared" si="1"/>
        <v>-1815165.13</v>
      </c>
      <c r="O70">
        <v>0</v>
      </c>
      <c r="P70">
        <f t="shared" si="2"/>
        <v>-1815165.13</v>
      </c>
      <c r="Q70">
        <f t="shared" si="7"/>
        <v>84181169</v>
      </c>
      <c r="Z70" t="s">
        <v>386</v>
      </c>
      <c r="AA70" t="s">
        <v>390</v>
      </c>
      <c r="AB70" s="107"/>
      <c r="AC70" s="107"/>
      <c r="AE70" s="107"/>
    </row>
    <row r="71" spans="1:31" ht="52.5" hidden="1" customHeight="1" x14ac:dyDescent="0.25">
      <c r="A71">
        <f t="shared" si="8"/>
        <v>0</v>
      </c>
      <c r="B71">
        <v>59</v>
      </c>
      <c r="J71" t="s">
        <v>10</v>
      </c>
      <c r="K71" t="s">
        <v>392</v>
      </c>
      <c r="L71">
        <v>98756698.870000005</v>
      </c>
      <c r="M71">
        <v>2192234.11</v>
      </c>
      <c r="N71">
        <f t="shared" si="1"/>
        <v>2192234.11</v>
      </c>
      <c r="O71">
        <v>-3735000</v>
      </c>
      <c r="P71">
        <f t="shared" si="2"/>
        <v>-1542765.8900000001</v>
      </c>
      <c r="Q71">
        <f>L71+M71-(-O71)</f>
        <v>97213932.980000004</v>
      </c>
      <c r="Z71" t="s">
        <v>10</v>
      </c>
      <c r="AA71" t="s">
        <v>390</v>
      </c>
      <c r="AB71" t="s">
        <v>393</v>
      </c>
      <c r="AC71" s="107"/>
      <c r="AE71" t="s">
        <v>208</v>
      </c>
    </row>
    <row r="72" spans="1:31" hidden="1" x14ac:dyDescent="0.25">
      <c r="A72">
        <f t="shared" si="8"/>
        <v>0</v>
      </c>
      <c r="B72">
        <v>60</v>
      </c>
      <c r="J72" t="s">
        <v>9</v>
      </c>
      <c r="K72" t="s">
        <v>394</v>
      </c>
      <c r="L72">
        <v>66379635.789999999</v>
      </c>
      <c r="M72">
        <v>-738867.3</v>
      </c>
      <c r="N72">
        <f t="shared" si="1"/>
        <v>-738867.3</v>
      </c>
      <c r="O72">
        <v>0</v>
      </c>
      <c r="P72">
        <f t="shared" si="2"/>
        <v>-738867.3</v>
      </c>
      <c r="Q72">
        <f t="shared" si="7"/>
        <v>65640768.490000002</v>
      </c>
      <c r="Z72" t="s">
        <v>386</v>
      </c>
      <c r="AA72" t="s">
        <v>390</v>
      </c>
      <c r="AB72" s="107" t="s">
        <v>388</v>
      </c>
      <c r="AC72" s="107"/>
      <c r="AE72" s="107" t="s">
        <v>388</v>
      </c>
    </row>
    <row r="73" spans="1:31" ht="51" hidden="1" customHeight="1" x14ac:dyDescent="0.25">
      <c r="A73">
        <f t="shared" si="8"/>
        <v>0</v>
      </c>
      <c r="B73">
        <v>61</v>
      </c>
      <c r="J73" t="s">
        <v>10</v>
      </c>
      <c r="K73" t="s">
        <v>394</v>
      </c>
      <c r="L73">
        <v>33714970.75</v>
      </c>
      <c r="M73">
        <v>777834</v>
      </c>
      <c r="N73">
        <f t="shared" si="1"/>
        <v>777834</v>
      </c>
      <c r="O73">
        <v>0</v>
      </c>
      <c r="P73">
        <f t="shared" si="2"/>
        <v>777834</v>
      </c>
      <c r="Q73">
        <f t="shared" si="7"/>
        <v>34492804.75</v>
      </c>
      <c r="Z73" t="s">
        <v>10</v>
      </c>
      <c r="AA73" t="s">
        <v>390</v>
      </c>
      <c r="AB73" s="107"/>
      <c r="AC73" s="107"/>
      <c r="AE73" s="107"/>
    </row>
    <row r="74" spans="1:31" ht="23.25" hidden="1" x14ac:dyDescent="0.35">
      <c r="A74">
        <f t="shared" si="8"/>
        <v>0</v>
      </c>
      <c r="B74">
        <v>62</v>
      </c>
      <c r="J74" t="s">
        <v>9</v>
      </c>
      <c r="K74" t="s">
        <v>395</v>
      </c>
      <c r="L74">
        <v>42532232.549999997</v>
      </c>
      <c r="M74">
        <f>-642885.38+8287638.5</f>
        <v>7644753.1200000001</v>
      </c>
      <c r="N74">
        <f t="shared" si="1"/>
        <v>7644753.1200000001</v>
      </c>
      <c r="O74">
        <v>0</v>
      </c>
      <c r="P74">
        <f t="shared" si="2"/>
        <v>7644753.1200000001</v>
      </c>
      <c r="Q74">
        <f t="shared" si="7"/>
        <v>50176985.669999994</v>
      </c>
      <c r="Z74" t="s">
        <v>386</v>
      </c>
      <c r="AA74" t="s">
        <v>396</v>
      </c>
      <c r="AB74" t="s">
        <v>397</v>
      </c>
      <c r="AC74" t="s">
        <v>180</v>
      </c>
      <c r="AE74" t="s">
        <v>208</v>
      </c>
    </row>
    <row r="75" spans="1:31" ht="47.25" hidden="1" customHeight="1" x14ac:dyDescent="0.25">
      <c r="A75">
        <f t="shared" si="8"/>
        <v>0</v>
      </c>
      <c r="B75">
        <v>63</v>
      </c>
      <c r="J75" t="s">
        <v>10</v>
      </c>
      <c r="K75" t="s">
        <v>395</v>
      </c>
      <c r="L75">
        <v>29332278.890000001</v>
      </c>
      <c r="M75">
        <v>676721.45</v>
      </c>
      <c r="N75">
        <f t="shared" ref="N75:N97" si="12">M75</f>
        <v>676721.45</v>
      </c>
      <c r="O75">
        <v>0</v>
      </c>
      <c r="P75">
        <f t="shared" ref="P75:P105" si="13">N75+O75</f>
        <v>676721.45</v>
      </c>
      <c r="Q75">
        <f t="shared" si="7"/>
        <v>30009000.34</v>
      </c>
      <c r="Z75" t="s">
        <v>10</v>
      </c>
      <c r="AA75" t="s">
        <v>390</v>
      </c>
      <c r="AB75" t="s">
        <v>398</v>
      </c>
      <c r="AE75" t="s">
        <v>398</v>
      </c>
    </row>
    <row r="76" spans="1:31" hidden="1" x14ac:dyDescent="0.25">
      <c r="A76">
        <f t="shared" si="8"/>
        <v>0</v>
      </c>
      <c r="B76">
        <v>64</v>
      </c>
      <c r="G76" t="s">
        <v>347</v>
      </c>
      <c r="J76" t="s">
        <v>9</v>
      </c>
      <c r="K76" t="s">
        <v>399</v>
      </c>
      <c r="M76">
        <v>59070000</v>
      </c>
      <c r="N76">
        <v>0</v>
      </c>
      <c r="O76">
        <v>0</v>
      </c>
      <c r="P76">
        <f t="shared" si="13"/>
        <v>0</v>
      </c>
      <c r="Q76">
        <f t="shared" si="7"/>
        <v>0</v>
      </c>
      <c r="Z76" t="s">
        <v>212</v>
      </c>
      <c r="AA76" t="s">
        <v>400</v>
      </c>
      <c r="AB76" t="s">
        <v>401</v>
      </c>
      <c r="AC76" t="s">
        <v>267</v>
      </c>
    </row>
    <row r="77" spans="1:31" hidden="1" x14ac:dyDescent="0.25">
      <c r="A77">
        <f t="shared" si="8"/>
        <v>0</v>
      </c>
      <c r="B77">
        <v>65</v>
      </c>
      <c r="G77" t="s">
        <v>225</v>
      </c>
      <c r="J77" t="s">
        <v>9</v>
      </c>
      <c r="K77" t="s">
        <v>402</v>
      </c>
      <c r="M77">
        <v>30000000</v>
      </c>
      <c r="N77">
        <v>0</v>
      </c>
      <c r="O77">
        <v>0</v>
      </c>
      <c r="P77">
        <f t="shared" si="13"/>
        <v>0</v>
      </c>
      <c r="Q77">
        <f t="shared" si="7"/>
        <v>0</v>
      </c>
      <c r="AA77" t="s">
        <v>403</v>
      </c>
      <c r="AB77" t="s">
        <v>404</v>
      </c>
      <c r="AC77" t="s">
        <v>267</v>
      </c>
      <c r="AE77" t="s">
        <v>314</v>
      </c>
    </row>
    <row r="78" spans="1:31" ht="90.75" hidden="1" customHeight="1" x14ac:dyDescent="0.25">
      <c r="A78">
        <f t="shared" si="8"/>
        <v>0</v>
      </c>
      <c r="B78">
        <v>66</v>
      </c>
      <c r="G78" t="s">
        <v>192</v>
      </c>
      <c r="J78" t="s">
        <v>9</v>
      </c>
      <c r="K78" t="s">
        <v>405</v>
      </c>
      <c r="M78">
        <v>71300000</v>
      </c>
      <c r="N78">
        <v>0</v>
      </c>
      <c r="O78">
        <v>0</v>
      </c>
      <c r="P78">
        <f t="shared" si="13"/>
        <v>0</v>
      </c>
      <c r="Q78">
        <f t="shared" si="7"/>
        <v>0</v>
      </c>
      <c r="AA78" t="s">
        <v>406</v>
      </c>
      <c r="AB78" t="s">
        <v>407</v>
      </c>
      <c r="AC78" t="s">
        <v>267</v>
      </c>
      <c r="AE78" t="s">
        <v>314</v>
      </c>
    </row>
    <row r="79" spans="1:31" ht="152.25" hidden="1" customHeight="1" x14ac:dyDescent="0.25">
      <c r="A79">
        <f t="shared" si="8"/>
        <v>0</v>
      </c>
      <c r="B79">
        <v>67</v>
      </c>
      <c r="C79" t="s">
        <v>169</v>
      </c>
      <c r="G79" t="s">
        <v>347</v>
      </c>
      <c r="J79" t="s">
        <v>9</v>
      </c>
      <c r="K79" t="s">
        <v>408</v>
      </c>
      <c r="M79">
        <v>118848540.89</v>
      </c>
      <c r="N79">
        <v>0</v>
      </c>
      <c r="O79">
        <v>0</v>
      </c>
      <c r="P79">
        <f t="shared" si="13"/>
        <v>0</v>
      </c>
      <c r="Q79">
        <f t="shared" ref="Q79:Q105" si="14">L79+P79</f>
        <v>0</v>
      </c>
      <c r="T79">
        <f t="shared" si="9"/>
        <v>0</v>
      </c>
      <c r="X79">
        <f t="shared" si="10"/>
        <v>0</v>
      </c>
      <c r="Z79" t="s">
        <v>177</v>
      </c>
      <c r="AA79" t="s">
        <v>409</v>
      </c>
      <c r="AB79" t="s">
        <v>410</v>
      </c>
      <c r="AC79" t="s">
        <v>411</v>
      </c>
      <c r="AE79" t="s">
        <v>301</v>
      </c>
    </row>
    <row r="80" spans="1:31" ht="392.25" customHeight="1" x14ac:dyDescent="0.25">
      <c r="A80">
        <f t="shared" si="8"/>
        <v>0</v>
      </c>
      <c r="B80">
        <v>68</v>
      </c>
      <c r="G80" t="s">
        <v>192</v>
      </c>
      <c r="J80" t="s">
        <v>9</v>
      </c>
      <c r="K80" t="s">
        <v>412</v>
      </c>
      <c r="M80">
        <v>12595681.385749999</v>
      </c>
      <c r="N80">
        <f t="shared" si="12"/>
        <v>12595681.385749999</v>
      </c>
      <c r="O80">
        <v>0</v>
      </c>
      <c r="P80">
        <f t="shared" si="13"/>
        <v>12595681.385749999</v>
      </c>
      <c r="Q80">
        <f t="shared" si="14"/>
        <v>12595681.385749999</v>
      </c>
      <c r="Z80" t="s">
        <v>204</v>
      </c>
      <c r="AA80" t="s">
        <v>413</v>
      </c>
      <c r="AB80" t="s">
        <v>308</v>
      </c>
      <c r="AC80" t="s">
        <v>180</v>
      </c>
      <c r="AE80" t="s">
        <v>301</v>
      </c>
    </row>
    <row r="81" spans="1:31" ht="146.25" customHeight="1" x14ac:dyDescent="0.25">
      <c r="A81">
        <f t="shared" si="8"/>
        <v>0</v>
      </c>
      <c r="B81">
        <v>69</v>
      </c>
      <c r="G81" t="s">
        <v>192</v>
      </c>
      <c r="J81" t="s">
        <v>9</v>
      </c>
      <c r="K81" t="s">
        <v>414</v>
      </c>
      <c r="M81">
        <v>7079010.5</v>
      </c>
      <c r="N81">
        <f t="shared" si="12"/>
        <v>7079010.5</v>
      </c>
      <c r="O81">
        <v>0</v>
      </c>
      <c r="P81">
        <f t="shared" si="13"/>
        <v>7079010.5</v>
      </c>
      <c r="Q81">
        <f t="shared" si="14"/>
        <v>7079010.5</v>
      </c>
      <c r="Z81" t="s">
        <v>204</v>
      </c>
      <c r="AA81" t="s">
        <v>415</v>
      </c>
      <c r="AB81" t="s">
        <v>308</v>
      </c>
      <c r="AC81" t="s">
        <v>180</v>
      </c>
      <c r="AE81" t="s">
        <v>301</v>
      </c>
    </row>
    <row r="82" spans="1:31" x14ac:dyDescent="0.25">
      <c r="A82">
        <f t="shared" si="8"/>
        <v>0</v>
      </c>
      <c r="B82">
        <v>70</v>
      </c>
      <c r="G82" t="s">
        <v>192</v>
      </c>
      <c r="J82" t="s">
        <v>9</v>
      </c>
      <c r="K82" t="s">
        <v>416</v>
      </c>
      <c r="M82">
        <v>47512840.769999996</v>
      </c>
      <c r="N82">
        <f t="shared" si="12"/>
        <v>47512840.769999996</v>
      </c>
      <c r="O82">
        <v>0</v>
      </c>
      <c r="P82">
        <f t="shared" si="13"/>
        <v>47512840.769999996</v>
      </c>
      <c r="Q82">
        <f t="shared" si="14"/>
        <v>47512840.769999996</v>
      </c>
      <c r="Z82" t="s">
        <v>204</v>
      </c>
      <c r="AA82" t="s">
        <v>417</v>
      </c>
      <c r="AB82" t="s">
        <v>308</v>
      </c>
      <c r="AC82" t="s">
        <v>180</v>
      </c>
      <c r="AD82" t="s">
        <v>418</v>
      </c>
      <c r="AE82" t="s">
        <v>301</v>
      </c>
    </row>
    <row r="83" spans="1:31" ht="408.75" customHeight="1" x14ac:dyDescent="0.35">
      <c r="A83">
        <f t="shared" si="8"/>
        <v>0</v>
      </c>
      <c r="B83">
        <v>71</v>
      </c>
      <c r="G83" t="s">
        <v>192</v>
      </c>
      <c r="J83" t="s">
        <v>9</v>
      </c>
      <c r="K83" t="s">
        <v>419</v>
      </c>
      <c r="M83">
        <v>7549333</v>
      </c>
      <c r="N83">
        <f t="shared" si="12"/>
        <v>7549333</v>
      </c>
      <c r="O83">
        <v>0</v>
      </c>
      <c r="P83">
        <f t="shared" si="13"/>
        <v>7549333</v>
      </c>
      <c r="Q83">
        <f t="shared" si="14"/>
        <v>7549333</v>
      </c>
      <c r="Z83" t="s">
        <v>420</v>
      </c>
      <c r="AA83" t="s">
        <v>421</v>
      </c>
      <c r="AB83" t="s">
        <v>422</v>
      </c>
      <c r="AC83" t="s">
        <v>267</v>
      </c>
      <c r="AD83" t="s">
        <v>423</v>
      </c>
      <c r="AE83" t="s">
        <v>301</v>
      </c>
    </row>
    <row r="84" spans="1:31" ht="159.75" customHeight="1" x14ac:dyDescent="0.25">
      <c r="A84">
        <f t="shared" si="8"/>
        <v>0</v>
      </c>
      <c r="B84">
        <v>72</v>
      </c>
      <c r="G84" t="s">
        <v>192</v>
      </c>
      <c r="J84" t="s">
        <v>9</v>
      </c>
      <c r="K84" t="s">
        <v>424</v>
      </c>
      <c r="M84">
        <v>17000000</v>
      </c>
      <c r="N84">
        <f t="shared" si="12"/>
        <v>17000000</v>
      </c>
      <c r="O84">
        <v>0</v>
      </c>
      <c r="P84">
        <f t="shared" si="13"/>
        <v>17000000</v>
      </c>
      <c r="Q84">
        <f t="shared" si="14"/>
        <v>17000000</v>
      </c>
      <c r="Z84" t="s">
        <v>177</v>
      </c>
      <c r="AA84" t="s">
        <v>425</v>
      </c>
      <c r="AB84" t="s">
        <v>426</v>
      </c>
      <c r="AC84" t="s">
        <v>267</v>
      </c>
      <c r="AD84" t="s">
        <v>427</v>
      </c>
      <c r="AE84" t="s">
        <v>301</v>
      </c>
    </row>
    <row r="85" spans="1:31" ht="23.25" x14ac:dyDescent="0.35">
      <c r="A85">
        <f t="shared" si="8"/>
        <v>0</v>
      </c>
      <c r="B85">
        <v>73</v>
      </c>
      <c r="C85" t="s">
        <v>169</v>
      </c>
      <c r="D85" t="s">
        <v>292</v>
      </c>
      <c r="E85" t="s">
        <v>190</v>
      </c>
      <c r="F85" t="s">
        <v>428</v>
      </c>
      <c r="G85" t="s">
        <v>200</v>
      </c>
      <c r="H85" t="s">
        <v>429</v>
      </c>
      <c r="I85" t="s">
        <v>430</v>
      </c>
      <c r="J85" t="s">
        <v>9</v>
      </c>
      <c r="K85" t="s">
        <v>431</v>
      </c>
      <c r="L85">
        <v>6530000</v>
      </c>
      <c r="M85">
        <v>5224000</v>
      </c>
      <c r="N85">
        <f t="shared" si="12"/>
        <v>5224000</v>
      </c>
      <c r="O85">
        <v>0</v>
      </c>
      <c r="P85">
        <f t="shared" si="13"/>
        <v>5224000</v>
      </c>
      <c r="Q85">
        <f t="shared" si="14"/>
        <v>11754000</v>
      </c>
      <c r="S85">
        <v>0</v>
      </c>
      <c r="T85">
        <f t="shared" si="9"/>
        <v>0</v>
      </c>
      <c r="V85">
        <v>0</v>
      </c>
      <c r="W85">
        <v>0</v>
      </c>
      <c r="X85">
        <f t="shared" si="10"/>
        <v>0</v>
      </c>
      <c r="Z85" t="s">
        <v>420</v>
      </c>
      <c r="AA85" t="s">
        <v>432</v>
      </c>
      <c r="AB85" t="s">
        <v>433</v>
      </c>
      <c r="AC85" t="s">
        <v>180</v>
      </c>
      <c r="AE85" t="s">
        <v>208</v>
      </c>
    </row>
    <row r="86" spans="1:31" ht="23.25" x14ac:dyDescent="0.35">
      <c r="A86">
        <f t="shared" si="8"/>
        <v>0</v>
      </c>
      <c r="B86">
        <v>74</v>
      </c>
      <c r="C86" t="s">
        <v>169</v>
      </c>
      <c r="D86" t="s">
        <v>170</v>
      </c>
      <c r="E86" t="s">
        <v>171</v>
      </c>
      <c r="F86" t="s">
        <v>434</v>
      </c>
      <c r="G86" t="s">
        <v>200</v>
      </c>
      <c r="H86" t="s">
        <v>174</v>
      </c>
      <c r="I86" t="s">
        <v>435</v>
      </c>
      <c r="J86" t="s">
        <v>9</v>
      </c>
      <c r="K86" t="s">
        <v>436</v>
      </c>
      <c r="M86">
        <v>48497208.390000001</v>
      </c>
      <c r="N86">
        <f t="shared" si="12"/>
        <v>48497208.390000001</v>
      </c>
      <c r="O86">
        <f>'[1]Приложение (2)'!$M$99-N86</f>
        <v>25771104.609999999</v>
      </c>
      <c r="P86">
        <f t="shared" si="13"/>
        <v>74268313</v>
      </c>
      <c r="Q86">
        <f t="shared" si="14"/>
        <v>74268313</v>
      </c>
      <c r="Z86" t="s">
        <v>420</v>
      </c>
      <c r="AA86" t="s">
        <v>437</v>
      </c>
      <c r="AB86" t="s">
        <v>433</v>
      </c>
      <c r="AC86" t="s">
        <v>180</v>
      </c>
      <c r="AE86" t="s">
        <v>208</v>
      </c>
    </row>
    <row r="87" spans="1:31" hidden="1" x14ac:dyDescent="0.25">
      <c r="A87">
        <f t="shared" si="8"/>
        <v>0</v>
      </c>
      <c r="B87">
        <v>75</v>
      </c>
      <c r="J87" t="s">
        <v>9</v>
      </c>
      <c r="K87" t="s">
        <v>438</v>
      </c>
      <c r="M87">
        <v>8996160</v>
      </c>
      <c r="N87">
        <f t="shared" si="12"/>
        <v>8996160</v>
      </c>
      <c r="O87">
        <f>-N87</f>
        <v>-8996160</v>
      </c>
      <c r="P87">
        <f t="shared" si="13"/>
        <v>0</v>
      </c>
      <c r="Q87">
        <f t="shared" si="14"/>
        <v>0</v>
      </c>
      <c r="AA87" t="s">
        <v>439</v>
      </c>
      <c r="AB87" t="s">
        <v>440</v>
      </c>
      <c r="AE87" t="s">
        <v>441</v>
      </c>
    </row>
    <row r="88" spans="1:31" ht="168.75" customHeight="1" x14ac:dyDescent="0.35">
      <c r="A88">
        <f t="shared" si="8"/>
        <v>0</v>
      </c>
      <c r="B88">
        <v>76</v>
      </c>
      <c r="G88" t="s">
        <v>200</v>
      </c>
      <c r="J88" t="s">
        <v>9</v>
      </c>
      <c r="K88" t="s">
        <v>442</v>
      </c>
      <c r="M88">
        <f>31280.92*1000</f>
        <v>31280920</v>
      </c>
      <c r="N88">
        <f t="shared" si="12"/>
        <v>31280920</v>
      </c>
      <c r="O88">
        <v>0</v>
      </c>
      <c r="P88">
        <f t="shared" si="13"/>
        <v>31280920</v>
      </c>
      <c r="Q88">
        <f t="shared" si="14"/>
        <v>31280920</v>
      </c>
      <c r="Z88" t="s">
        <v>420</v>
      </c>
      <c r="AA88" t="s">
        <v>443</v>
      </c>
      <c r="AB88" t="s">
        <v>444</v>
      </c>
      <c r="AC88" t="s">
        <v>180</v>
      </c>
      <c r="AE88" t="s">
        <v>208</v>
      </c>
    </row>
    <row r="89" spans="1:31" ht="322.5" customHeight="1" x14ac:dyDescent="0.25">
      <c r="A89">
        <f t="shared" si="8"/>
        <v>0</v>
      </c>
      <c r="B89">
        <v>77</v>
      </c>
      <c r="G89" t="s">
        <v>192</v>
      </c>
      <c r="J89" t="s">
        <v>9</v>
      </c>
      <c r="K89" t="s">
        <v>445</v>
      </c>
      <c r="M89">
        <v>25267690</v>
      </c>
      <c r="N89">
        <f t="shared" si="12"/>
        <v>25267690</v>
      </c>
      <c r="P89">
        <f t="shared" si="13"/>
        <v>25267690</v>
      </c>
      <c r="Q89">
        <f t="shared" si="14"/>
        <v>25267690</v>
      </c>
      <c r="Z89" t="s">
        <v>204</v>
      </c>
      <c r="AA89" t="s">
        <v>446</v>
      </c>
      <c r="AB89" t="s">
        <v>447</v>
      </c>
      <c r="AC89" t="s">
        <v>267</v>
      </c>
      <c r="AD89" t="s">
        <v>448</v>
      </c>
      <c r="AE89" t="s">
        <v>301</v>
      </c>
    </row>
    <row r="90" spans="1:31" ht="186" hidden="1" customHeight="1" x14ac:dyDescent="0.25">
      <c r="A90">
        <f t="shared" si="8"/>
        <v>0</v>
      </c>
      <c r="B90">
        <v>78</v>
      </c>
      <c r="G90" t="s">
        <v>192</v>
      </c>
      <c r="J90" t="s">
        <v>9</v>
      </c>
      <c r="K90" t="s">
        <v>449</v>
      </c>
      <c r="M90">
        <v>1000000</v>
      </c>
      <c r="P90">
        <f t="shared" si="13"/>
        <v>0</v>
      </c>
      <c r="Q90">
        <f t="shared" si="14"/>
        <v>0</v>
      </c>
      <c r="Z90" t="s">
        <v>204</v>
      </c>
      <c r="AA90" t="s">
        <v>450</v>
      </c>
      <c r="AB90" t="s">
        <v>451</v>
      </c>
      <c r="AC90" t="s">
        <v>257</v>
      </c>
      <c r="AE90" t="s">
        <v>452</v>
      </c>
    </row>
    <row r="91" spans="1:31" ht="23.25" x14ac:dyDescent="0.35">
      <c r="A91">
        <f t="shared" si="8"/>
        <v>0</v>
      </c>
      <c r="B91">
        <v>79</v>
      </c>
      <c r="G91" t="s">
        <v>200</v>
      </c>
      <c r="J91" t="s">
        <v>9</v>
      </c>
      <c r="K91" t="s">
        <v>453</v>
      </c>
      <c r="M91">
        <v>53969300</v>
      </c>
      <c r="P91">
        <f t="shared" si="13"/>
        <v>0</v>
      </c>
      <c r="Q91">
        <f t="shared" si="14"/>
        <v>0</v>
      </c>
      <c r="Z91" t="s">
        <v>420</v>
      </c>
      <c r="AA91" t="s">
        <v>454</v>
      </c>
      <c r="AB91" t="s">
        <v>455</v>
      </c>
      <c r="AC91" t="s">
        <v>257</v>
      </c>
      <c r="AE91" t="s">
        <v>208</v>
      </c>
    </row>
    <row r="92" spans="1:31" ht="175.5" hidden="1" customHeight="1" x14ac:dyDescent="0.25">
      <c r="A92">
        <f t="shared" ref="A92:A105" si="15">P92-N92-O92</f>
        <v>0</v>
      </c>
      <c r="B92">
        <v>80</v>
      </c>
      <c r="G92" t="s">
        <v>347</v>
      </c>
      <c r="J92" t="s">
        <v>9</v>
      </c>
      <c r="K92" t="s">
        <v>456</v>
      </c>
      <c r="M92">
        <v>57000000</v>
      </c>
      <c r="P92">
        <f t="shared" si="13"/>
        <v>0</v>
      </c>
      <c r="Q92">
        <f t="shared" si="14"/>
        <v>0</v>
      </c>
      <c r="Z92" t="s">
        <v>177</v>
      </c>
      <c r="AA92" t="s">
        <v>457</v>
      </c>
      <c r="AB92" t="s">
        <v>458</v>
      </c>
      <c r="AC92" t="s">
        <v>267</v>
      </c>
      <c r="AE92" t="s">
        <v>459</v>
      </c>
    </row>
    <row r="93" spans="1:31" hidden="1" x14ac:dyDescent="0.25">
      <c r="A93">
        <f t="shared" si="15"/>
        <v>0</v>
      </c>
      <c r="B93">
        <v>81</v>
      </c>
      <c r="G93" t="s">
        <v>347</v>
      </c>
      <c r="J93" t="s">
        <v>9</v>
      </c>
      <c r="K93" t="s">
        <v>460</v>
      </c>
      <c r="M93">
        <v>22000000</v>
      </c>
      <c r="N93">
        <f t="shared" si="12"/>
        <v>22000000</v>
      </c>
      <c r="P93">
        <f t="shared" si="13"/>
        <v>22000000</v>
      </c>
      <c r="Q93">
        <f t="shared" si="14"/>
        <v>22000000</v>
      </c>
      <c r="Z93" t="s">
        <v>327</v>
      </c>
      <c r="AA93" t="s">
        <v>461</v>
      </c>
      <c r="AB93" t="s">
        <v>462</v>
      </c>
      <c r="AC93" t="s">
        <v>180</v>
      </c>
      <c r="AE93" t="s">
        <v>463</v>
      </c>
    </row>
    <row r="94" spans="1:31" hidden="1" x14ac:dyDescent="0.25">
      <c r="A94">
        <f t="shared" si="15"/>
        <v>0</v>
      </c>
      <c r="B94">
        <v>82</v>
      </c>
      <c r="J94" t="s">
        <v>9</v>
      </c>
      <c r="K94" t="s">
        <v>464</v>
      </c>
      <c r="P94">
        <f t="shared" si="13"/>
        <v>0</v>
      </c>
      <c r="Q94">
        <f t="shared" si="14"/>
        <v>0</v>
      </c>
      <c r="V94">
        <v>19285000</v>
      </c>
      <c r="W94">
        <v>0</v>
      </c>
      <c r="Y94">
        <f>V94</f>
        <v>19285000</v>
      </c>
      <c r="AA94" t="s">
        <v>465</v>
      </c>
    </row>
    <row r="95" spans="1:31" hidden="1" x14ac:dyDescent="0.25">
      <c r="A95">
        <f t="shared" si="15"/>
        <v>0</v>
      </c>
      <c r="B95">
        <v>83</v>
      </c>
      <c r="J95" t="s">
        <v>10</v>
      </c>
      <c r="K95" t="s">
        <v>464</v>
      </c>
      <c r="P95">
        <f t="shared" si="13"/>
        <v>0</v>
      </c>
      <c r="Q95">
        <f t="shared" si="14"/>
        <v>0</v>
      </c>
      <c r="V95">
        <v>49699950.600000001</v>
      </c>
      <c r="W95">
        <v>49.4</v>
      </c>
      <c r="Y95">
        <f>V95+W95</f>
        <v>49700000</v>
      </c>
      <c r="AA95" t="s">
        <v>465</v>
      </c>
    </row>
    <row r="96" spans="1:31" ht="252.75" hidden="1" customHeight="1" x14ac:dyDescent="0.25">
      <c r="A96">
        <f t="shared" si="15"/>
        <v>0</v>
      </c>
      <c r="B96">
        <v>84</v>
      </c>
      <c r="J96" t="s">
        <v>9</v>
      </c>
      <c r="K96" t="s">
        <v>466</v>
      </c>
      <c r="L96">
        <v>25004700</v>
      </c>
      <c r="M96">
        <f>24397500-L96</f>
        <v>-607200</v>
      </c>
      <c r="N96">
        <f t="shared" si="12"/>
        <v>-607200</v>
      </c>
      <c r="O96">
        <v>0</v>
      </c>
      <c r="P96">
        <f t="shared" si="13"/>
        <v>-607200</v>
      </c>
      <c r="Q96">
        <f t="shared" si="14"/>
        <v>24397500</v>
      </c>
      <c r="AA96" t="s">
        <v>465</v>
      </c>
    </row>
    <row r="97" spans="1:27" hidden="1" x14ac:dyDescent="0.25">
      <c r="A97">
        <f t="shared" si="15"/>
        <v>0</v>
      </c>
      <c r="B97">
        <v>85</v>
      </c>
      <c r="J97" t="s">
        <v>9</v>
      </c>
      <c r="K97" t="s">
        <v>466</v>
      </c>
      <c r="L97">
        <v>2393200</v>
      </c>
      <c r="M97">
        <f>1932000-L97</f>
        <v>-461200</v>
      </c>
      <c r="N97">
        <f t="shared" si="12"/>
        <v>-461200</v>
      </c>
      <c r="O97">
        <v>0</v>
      </c>
      <c r="P97">
        <f t="shared" si="13"/>
        <v>-461200</v>
      </c>
      <c r="Q97">
        <f t="shared" si="14"/>
        <v>1932000</v>
      </c>
      <c r="AA97" t="s">
        <v>465</v>
      </c>
    </row>
    <row r="98" spans="1:27" hidden="1" x14ac:dyDescent="0.25">
      <c r="A98">
        <f t="shared" si="15"/>
        <v>0</v>
      </c>
      <c r="B98">
        <v>86</v>
      </c>
      <c r="J98" t="s">
        <v>10</v>
      </c>
      <c r="K98" t="s">
        <v>466</v>
      </c>
      <c r="L98">
        <v>4132700</v>
      </c>
      <c r="M98">
        <v>461200</v>
      </c>
      <c r="N98">
        <v>461200</v>
      </c>
      <c r="O98">
        <v>0</v>
      </c>
      <c r="P98">
        <f t="shared" si="13"/>
        <v>461200</v>
      </c>
      <c r="Q98">
        <v>4593900</v>
      </c>
      <c r="R98">
        <v>4023900</v>
      </c>
      <c r="S98">
        <v>591600</v>
      </c>
      <c r="T98">
        <v>591600</v>
      </c>
      <c r="U98">
        <v>4615500</v>
      </c>
      <c r="V98">
        <v>4190800</v>
      </c>
      <c r="W98">
        <v>-69100</v>
      </c>
      <c r="X98">
        <v>-69100</v>
      </c>
      <c r="Y98">
        <v>4121700</v>
      </c>
      <c r="AA98" t="s">
        <v>465</v>
      </c>
    </row>
    <row r="99" spans="1:27" hidden="1" x14ac:dyDescent="0.25">
      <c r="A99">
        <f t="shared" si="15"/>
        <v>0</v>
      </c>
      <c r="B99">
        <v>87</v>
      </c>
      <c r="J99" t="s">
        <v>10</v>
      </c>
      <c r="K99" t="s">
        <v>466</v>
      </c>
      <c r="L99">
        <v>5449500</v>
      </c>
      <c r="M99">
        <v>607200</v>
      </c>
      <c r="N99">
        <v>607200</v>
      </c>
      <c r="O99">
        <v>0</v>
      </c>
      <c r="P99">
        <f t="shared" si="13"/>
        <v>607200</v>
      </c>
      <c r="Q99">
        <v>6056700</v>
      </c>
      <c r="R99">
        <v>5440700</v>
      </c>
      <c r="S99">
        <v>647900</v>
      </c>
      <c r="T99">
        <v>647900</v>
      </c>
      <c r="U99">
        <v>6088600</v>
      </c>
      <c r="V99">
        <v>5409500</v>
      </c>
      <c r="W99">
        <v>80700</v>
      </c>
      <c r="X99">
        <v>80700</v>
      </c>
      <c r="Y99">
        <v>5490200</v>
      </c>
      <c r="AA99" t="s">
        <v>465</v>
      </c>
    </row>
    <row r="100" spans="1:27" ht="130.5" hidden="1" customHeight="1" x14ac:dyDescent="0.25">
      <c r="A100">
        <f t="shared" si="15"/>
        <v>0</v>
      </c>
      <c r="B100">
        <v>88</v>
      </c>
      <c r="J100" t="s">
        <v>9</v>
      </c>
      <c r="K100" t="s">
        <v>467</v>
      </c>
      <c r="M100">
        <v>3015594.33</v>
      </c>
      <c r="N100">
        <v>3015594.33</v>
      </c>
      <c r="O100">
        <v>0</v>
      </c>
      <c r="P100">
        <f t="shared" si="13"/>
        <v>3015594.33</v>
      </c>
      <c r="Q100">
        <f t="shared" si="14"/>
        <v>3015594.33</v>
      </c>
      <c r="AA100" t="s">
        <v>468</v>
      </c>
    </row>
    <row r="101" spans="1:27" hidden="1" x14ac:dyDescent="0.25">
      <c r="A101">
        <f t="shared" si="15"/>
        <v>0</v>
      </c>
      <c r="B101">
        <v>89</v>
      </c>
      <c r="J101" t="s">
        <v>9</v>
      </c>
      <c r="K101" t="s">
        <v>469</v>
      </c>
      <c r="M101">
        <v>4766433.01</v>
      </c>
      <c r="N101">
        <v>4766433.01</v>
      </c>
      <c r="O101">
        <v>0</v>
      </c>
      <c r="P101">
        <f t="shared" si="13"/>
        <v>4766433.01</v>
      </c>
      <c r="Q101">
        <f t="shared" si="14"/>
        <v>4766433.01</v>
      </c>
      <c r="AA101" t="s">
        <v>470</v>
      </c>
    </row>
    <row r="102" spans="1:27" ht="135.75" hidden="1" customHeight="1" x14ac:dyDescent="0.25">
      <c r="A102">
        <f t="shared" si="15"/>
        <v>0</v>
      </c>
      <c r="B102">
        <v>90</v>
      </c>
      <c r="J102" t="s">
        <v>9</v>
      </c>
      <c r="K102" t="s">
        <v>471</v>
      </c>
      <c r="M102">
        <v>2937000</v>
      </c>
      <c r="N102">
        <v>2937000</v>
      </c>
      <c r="O102">
        <v>0</v>
      </c>
      <c r="P102">
        <f t="shared" si="13"/>
        <v>2937000</v>
      </c>
      <c r="Q102">
        <f t="shared" si="14"/>
        <v>2937000</v>
      </c>
    </row>
    <row r="103" spans="1:27" hidden="1" x14ac:dyDescent="0.25">
      <c r="A103">
        <f t="shared" si="15"/>
        <v>0</v>
      </c>
      <c r="B103">
        <v>91</v>
      </c>
      <c r="J103" t="s">
        <v>10</v>
      </c>
      <c r="K103" t="s">
        <v>472</v>
      </c>
      <c r="O103">
        <f t="shared" ref="O103:O105" si="16">N103</f>
        <v>0</v>
      </c>
      <c r="P103">
        <f t="shared" si="13"/>
        <v>0</v>
      </c>
      <c r="Q103">
        <f>L103+P103</f>
        <v>0</v>
      </c>
      <c r="S103">
        <f>'[2]Приложение (2)'!$O$46</f>
        <v>338852100</v>
      </c>
      <c r="T103">
        <f>'[2]Приложение (2)'!$O$46</f>
        <v>338852100</v>
      </c>
      <c r="U103">
        <f>T103</f>
        <v>338852100</v>
      </c>
      <c r="W103">
        <v>155533900</v>
      </c>
      <c r="X103">
        <f t="shared" ref="X103:X104" si="17">V103+W103</f>
        <v>155533900</v>
      </c>
      <c r="Y103">
        <f t="shared" ref="Y103:Y105" si="18">X103</f>
        <v>155533900</v>
      </c>
      <c r="Z103" t="s">
        <v>473</v>
      </c>
      <c r="AA103" t="s">
        <v>474</v>
      </c>
    </row>
    <row r="104" spans="1:27" hidden="1" x14ac:dyDescent="0.25">
      <c r="A104">
        <f t="shared" si="15"/>
        <v>0</v>
      </c>
      <c r="B104">
        <v>92</v>
      </c>
      <c r="J104" t="s">
        <v>9</v>
      </c>
      <c r="K104" t="s">
        <v>472</v>
      </c>
      <c r="O104">
        <f t="shared" si="16"/>
        <v>0</v>
      </c>
      <c r="P104">
        <f t="shared" si="13"/>
        <v>0</v>
      </c>
      <c r="Q104">
        <f t="shared" si="14"/>
        <v>0</v>
      </c>
      <c r="S104">
        <v>90853045</v>
      </c>
      <c r="T104">
        <v>90853045</v>
      </c>
      <c r="U104">
        <v>90853045</v>
      </c>
      <c r="W104">
        <v>35074385</v>
      </c>
      <c r="X104">
        <f t="shared" si="17"/>
        <v>35074385</v>
      </c>
      <c r="Y104">
        <f t="shared" si="18"/>
        <v>35074385</v>
      </c>
      <c r="Z104" t="s">
        <v>473</v>
      </c>
      <c r="AA104" t="s">
        <v>475</v>
      </c>
    </row>
    <row r="105" spans="1:27" hidden="1" x14ac:dyDescent="0.25">
      <c r="A105">
        <f t="shared" si="15"/>
        <v>0</v>
      </c>
      <c r="B105">
        <v>93</v>
      </c>
      <c r="J105" t="s">
        <v>9</v>
      </c>
      <c r="K105" t="s">
        <v>476</v>
      </c>
      <c r="O105">
        <f t="shared" si="16"/>
        <v>0</v>
      </c>
      <c r="P105">
        <f t="shared" si="13"/>
        <v>0</v>
      </c>
      <c r="Q105">
        <f t="shared" si="14"/>
        <v>0</v>
      </c>
      <c r="S105">
        <f>'[2]Приложение (2)'!$R$48</f>
        <v>520528000</v>
      </c>
      <c r="T105">
        <f>'[2]Приложение (2)'!$R$48</f>
        <v>520528000</v>
      </c>
      <c r="U105">
        <f>T105</f>
        <v>520528000</v>
      </c>
      <c r="W105">
        <f>'[2]Приложение (2)'!$R$48</f>
        <v>520528000</v>
      </c>
      <c r="X105">
        <f>'[2]Приложение (2)'!$R$48</f>
        <v>520528000</v>
      </c>
      <c r="Y105">
        <f t="shared" si="18"/>
        <v>520528000</v>
      </c>
      <c r="Z105" t="s">
        <v>473</v>
      </c>
      <c r="AA105" t="s">
        <v>477</v>
      </c>
    </row>
    <row r="106" spans="1:27" x14ac:dyDescent="0.25">
      <c r="Q106">
        <f>Q80+Q81+Q82+Q83+Q84+Q85+Q86+Q88+Q89</f>
        <v>234307788.65574998</v>
      </c>
    </row>
    <row r="108" spans="1:27" hidden="1" x14ac:dyDescent="0.25"/>
    <row r="109" spans="1:27" hidden="1" x14ac:dyDescent="0.25"/>
    <row r="110" spans="1:27" hidden="1" x14ac:dyDescent="0.25"/>
    <row r="111" spans="1:27" hidden="1" x14ac:dyDescent="0.25"/>
    <row r="112" spans="1:27" hidden="1" x14ac:dyDescent="0.25"/>
    <row r="113" spans="3:24" hidden="1" x14ac:dyDescent="0.25">
      <c r="M113" s="107" t="s">
        <v>478</v>
      </c>
      <c r="N113" s="107"/>
      <c r="O113" s="107"/>
      <c r="P113" s="107"/>
      <c r="Q113" s="107"/>
    </row>
    <row r="114" spans="3:24" hidden="1" x14ac:dyDescent="0.25">
      <c r="M114" s="107"/>
      <c r="N114" s="107"/>
      <c r="O114" s="107"/>
      <c r="P114" s="107"/>
      <c r="Q114" s="107"/>
      <c r="U114" s="107" t="s">
        <v>479</v>
      </c>
      <c r="V114" s="107"/>
      <c r="W114" s="107"/>
      <c r="X114" s="107"/>
    </row>
    <row r="115" spans="3:24" hidden="1" x14ac:dyDescent="0.25">
      <c r="M115" s="107"/>
      <c r="N115" s="107"/>
      <c r="O115" s="107"/>
      <c r="P115" s="107"/>
      <c r="Q115" s="107"/>
      <c r="U115" s="107"/>
      <c r="V115" s="107"/>
      <c r="W115" s="107"/>
      <c r="X115" s="107"/>
    </row>
    <row r="116" spans="3:24" hidden="1" x14ac:dyDescent="0.25"/>
    <row r="117" spans="3:24" ht="54" hidden="1" customHeight="1" x14ac:dyDescent="0.25">
      <c r="M117" s="107" t="s">
        <v>480</v>
      </c>
      <c r="N117" s="107"/>
      <c r="O117" s="107"/>
    </row>
    <row r="118" spans="3:24" hidden="1" x14ac:dyDescent="0.25"/>
    <row r="119" spans="3:24" ht="17.25" hidden="1" customHeight="1" x14ac:dyDescent="0.25"/>
    <row r="120" spans="3:24" ht="268.5" hidden="1" customHeight="1" x14ac:dyDescent="0.4">
      <c r="C120" s="107" t="s">
        <v>481</v>
      </c>
      <c r="D120" s="107"/>
      <c r="E120" s="107"/>
      <c r="F120" s="107"/>
      <c r="G120" s="107"/>
      <c r="H120" s="107"/>
      <c r="I120" s="107"/>
      <c r="J120" s="107"/>
      <c r="K120" s="107"/>
    </row>
  </sheetData>
  <mergeCells count="33">
    <mergeCell ref="M113:Q115"/>
    <mergeCell ref="U114:X115"/>
    <mergeCell ref="M117:O117"/>
    <mergeCell ref="C120:K120"/>
    <mergeCell ref="AB66:AB70"/>
    <mergeCell ref="AC66:AC73"/>
    <mergeCell ref="AE66:AE70"/>
    <mergeCell ref="AB72:AB73"/>
    <mergeCell ref="AE72:AE73"/>
    <mergeCell ref="B25:B26"/>
    <mergeCell ref="J25:J26"/>
    <mergeCell ref="K25:K26"/>
    <mergeCell ref="AB25:AB26"/>
    <mergeCell ref="B27:B28"/>
    <mergeCell ref="AB27:AB28"/>
    <mergeCell ref="AB4:AB5"/>
    <mergeCell ref="AC4:AC5"/>
    <mergeCell ref="AD4:AD5"/>
    <mergeCell ref="AE4:AE5"/>
    <mergeCell ref="AA19:AA22"/>
    <mergeCell ref="C2:AA2"/>
    <mergeCell ref="I3:K3"/>
    <mergeCell ref="B4:B6"/>
    <mergeCell ref="C4:J4"/>
    <mergeCell ref="K4:K5"/>
    <mergeCell ref="L4:P4"/>
    <mergeCell ref="Q4:Q5"/>
    <mergeCell ref="R4:T4"/>
    <mergeCell ref="U4:U5"/>
    <mergeCell ref="V4:X4"/>
    <mergeCell ref="Y4:Y5"/>
    <mergeCell ref="Z4:Z5"/>
    <mergeCell ref="AA4:AA5"/>
  </mergeCells>
  <pageMargins left="0" right="0" top="0.51181102362204722" bottom="0.39370078740157477" header="0" footer="0"/>
  <pageSetup paperSize="8" scale="35" firstPageNumber="4294967295" fitToHeight="0" orientation="landscape" horizontalDpi="300" verticalDpi="300"/>
  <headerFooter>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0"/>
  <sheetViews>
    <sheetView topLeftCell="A676" workbookViewId="0">
      <selection activeCell="F34" sqref="F34"/>
    </sheetView>
  </sheetViews>
  <sheetFormatPr defaultRowHeight="15" x14ac:dyDescent="0.25"/>
  <cols>
    <col min="1" max="1" width="6.28515625" style="18" customWidth="1"/>
    <col min="2" max="2" width="36.42578125" style="18" customWidth="1"/>
    <col min="3" max="4" width="8.85546875" style="18" customWidth="1"/>
    <col min="5" max="5" width="17.140625" style="18" customWidth="1"/>
    <col min="6" max="6" width="18" style="18" customWidth="1"/>
    <col min="7" max="7" width="15" style="18" customWidth="1"/>
    <col min="8" max="8" width="11.7109375" style="18" customWidth="1"/>
    <col min="9" max="9" width="15.5703125" style="18" customWidth="1"/>
    <col min="10" max="10" width="43.42578125" style="18" customWidth="1"/>
    <col min="11" max="11" width="32.7109375" style="18" customWidth="1"/>
    <col min="12" max="12" width="0.140625" style="18" hidden="1" customWidth="1"/>
    <col min="13" max="13" width="12.85546875" style="18" customWidth="1"/>
    <col min="14" max="14" width="39.85546875" style="18" customWidth="1"/>
    <col min="15" max="15" width="12.5703125" style="18" customWidth="1"/>
    <col min="16" max="16" width="13.5703125" style="18" customWidth="1"/>
    <col min="17" max="16384" width="9.140625" style="18"/>
  </cols>
  <sheetData>
    <row r="1" spans="1:11" x14ac:dyDescent="0.25">
      <c r="A1" s="180" t="s">
        <v>0</v>
      </c>
      <c r="B1" s="180"/>
      <c r="C1" s="180"/>
      <c r="D1" s="180"/>
      <c r="E1" s="180"/>
      <c r="F1" s="180"/>
      <c r="G1" s="180"/>
      <c r="H1" s="180"/>
      <c r="I1" s="180"/>
      <c r="J1" s="180"/>
      <c r="K1" s="180"/>
    </row>
    <row r="2" spans="1:11" x14ac:dyDescent="0.25">
      <c r="A2" s="180"/>
      <c r="B2" s="180"/>
      <c r="C2" s="180"/>
      <c r="D2" s="180"/>
      <c r="E2" s="180"/>
      <c r="F2" s="180"/>
      <c r="G2" s="180"/>
      <c r="H2" s="180"/>
      <c r="I2" s="180"/>
      <c r="J2" s="180"/>
      <c r="K2" s="180"/>
    </row>
    <row r="3" spans="1:11" x14ac:dyDescent="0.25">
      <c r="A3" s="181" t="s">
        <v>1</v>
      </c>
      <c r="B3" s="181" t="s">
        <v>2</v>
      </c>
      <c r="C3" s="181" t="s">
        <v>3</v>
      </c>
      <c r="D3" s="182" t="s">
        <v>4</v>
      </c>
      <c r="E3" s="182"/>
      <c r="F3" s="182"/>
      <c r="G3" s="182"/>
      <c r="H3" s="182"/>
      <c r="I3" s="182"/>
      <c r="J3" s="181" t="s">
        <v>5</v>
      </c>
      <c r="K3" s="181" t="s">
        <v>6</v>
      </c>
    </row>
    <row r="4" spans="1:11" x14ac:dyDescent="0.25">
      <c r="A4" s="181"/>
      <c r="B4" s="181"/>
      <c r="C4" s="181"/>
      <c r="D4" s="19" t="s">
        <v>7</v>
      </c>
      <c r="E4" s="19" t="s">
        <v>8</v>
      </c>
      <c r="F4" s="19" t="s">
        <v>9</v>
      </c>
      <c r="G4" s="19" t="s">
        <v>10</v>
      </c>
      <c r="H4" s="19" t="s">
        <v>11</v>
      </c>
      <c r="I4" s="19" t="s">
        <v>12</v>
      </c>
      <c r="J4" s="181"/>
      <c r="K4" s="181"/>
    </row>
    <row r="5" spans="1:11" x14ac:dyDescent="0.25">
      <c r="A5" s="181"/>
      <c r="B5" s="181" t="s">
        <v>13</v>
      </c>
      <c r="C5" s="181" t="s">
        <v>14</v>
      </c>
      <c r="D5" s="19" t="s">
        <v>8</v>
      </c>
      <c r="E5" s="20">
        <f t="shared" ref="E5:E28" si="0">SUM(F5:I5)</f>
        <v>11392870.399334751</v>
      </c>
      <c r="F5" s="20">
        <f>SUM(F6:F10)</f>
        <v>9997884.8653100003</v>
      </c>
      <c r="G5" s="20">
        <f>SUM(G6:G10)</f>
        <v>1184784.5228500001</v>
      </c>
      <c r="H5" s="20">
        <f>SUM(H6:H10)</f>
        <v>210201.01117475086</v>
      </c>
      <c r="I5" s="20">
        <f>SUM(I6:I10)</f>
        <v>0</v>
      </c>
      <c r="J5" s="181"/>
      <c r="K5" s="181" t="s">
        <v>482</v>
      </c>
    </row>
    <row r="6" spans="1:11" x14ac:dyDescent="0.25">
      <c r="A6" s="181"/>
      <c r="B6" s="181"/>
      <c r="C6" s="181"/>
      <c r="D6" s="19">
        <v>2021</v>
      </c>
      <c r="E6" s="20">
        <f t="shared" si="0"/>
        <v>1613228.6017916503</v>
      </c>
      <c r="F6" s="20">
        <f t="shared" ref="F6:I10" si="1">F24+F174+F348+F762</f>
        <v>1267910.29015</v>
      </c>
      <c r="G6" s="20">
        <f t="shared" si="1"/>
        <v>301879.99800000002</v>
      </c>
      <c r="H6" s="20">
        <f t="shared" si="1"/>
        <v>43438.313641650384</v>
      </c>
      <c r="I6" s="20">
        <f t="shared" si="1"/>
        <v>0</v>
      </c>
      <c r="J6" s="181"/>
      <c r="K6" s="181"/>
    </row>
    <row r="7" spans="1:11" x14ac:dyDescent="0.25">
      <c r="A7" s="181"/>
      <c r="B7" s="181"/>
      <c r="C7" s="181"/>
      <c r="D7" s="19">
        <v>2022</v>
      </c>
      <c r="E7" s="20">
        <f t="shared" si="0"/>
        <v>2883391.4108731011</v>
      </c>
      <c r="F7" s="20">
        <f t="shared" si="1"/>
        <v>2558971.7024200005</v>
      </c>
      <c r="G7" s="20">
        <f t="shared" si="1"/>
        <v>244045.77</v>
      </c>
      <c r="H7" s="20">
        <f t="shared" si="1"/>
        <v>80373.93845310052</v>
      </c>
      <c r="I7" s="20">
        <f t="shared" si="1"/>
        <v>0</v>
      </c>
      <c r="J7" s="181"/>
      <c r="K7" s="181"/>
    </row>
    <row r="8" spans="1:11" x14ac:dyDescent="0.25">
      <c r="A8" s="181"/>
      <c r="B8" s="181"/>
      <c r="C8" s="181"/>
      <c r="D8" s="19">
        <v>2023</v>
      </c>
      <c r="E8" s="20">
        <f t="shared" si="0"/>
        <v>2099875.0684199999</v>
      </c>
      <c r="F8" s="20">
        <f t="shared" si="1"/>
        <v>1621528.81449</v>
      </c>
      <c r="G8" s="20">
        <f t="shared" si="1"/>
        <v>436920.95484999998</v>
      </c>
      <c r="H8" s="20">
        <f t="shared" si="1"/>
        <v>41425.299079999975</v>
      </c>
      <c r="I8" s="20">
        <f t="shared" si="1"/>
        <v>0</v>
      </c>
      <c r="J8" s="181"/>
      <c r="K8" s="181"/>
    </row>
    <row r="9" spans="1:11" x14ac:dyDescent="0.25">
      <c r="A9" s="181"/>
      <c r="B9" s="181"/>
      <c r="C9" s="181"/>
      <c r="D9" s="19">
        <v>2024</v>
      </c>
      <c r="E9" s="20">
        <f t="shared" si="0"/>
        <v>2805670.42025</v>
      </c>
      <c r="F9" s="20">
        <f t="shared" si="1"/>
        <v>2679889.19025</v>
      </c>
      <c r="G9" s="20">
        <f t="shared" si="1"/>
        <v>97937.8</v>
      </c>
      <c r="H9" s="20">
        <f t="shared" si="1"/>
        <v>27843.43</v>
      </c>
      <c r="I9" s="20">
        <f t="shared" si="1"/>
        <v>0</v>
      </c>
      <c r="J9" s="181"/>
      <c r="K9" s="181"/>
    </row>
    <row r="10" spans="1:11" x14ac:dyDescent="0.25">
      <c r="A10" s="181"/>
      <c r="B10" s="181"/>
      <c r="C10" s="181"/>
      <c r="D10" s="19">
        <v>2025</v>
      </c>
      <c r="E10" s="20">
        <f t="shared" si="0"/>
        <v>1990704.8979999998</v>
      </c>
      <c r="F10" s="20">
        <f t="shared" si="1"/>
        <v>1869584.8679999998</v>
      </c>
      <c r="G10" s="20">
        <f t="shared" si="1"/>
        <v>104000</v>
      </c>
      <c r="H10" s="20">
        <f t="shared" si="1"/>
        <v>17120.03</v>
      </c>
      <c r="I10" s="20">
        <f t="shared" si="1"/>
        <v>0</v>
      </c>
      <c r="J10" s="181"/>
      <c r="K10" s="181"/>
    </row>
    <row r="11" spans="1:11" x14ac:dyDescent="0.25">
      <c r="A11" s="181"/>
      <c r="B11" s="181" t="s">
        <v>483</v>
      </c>
      <c r="C11" s="181" t="s">
        <v>14</v>
      </c>
      <c r="D11" s="19" t="s">
        <v>8</v>
      </c>
      <c r="E11" s="20">
        <f t="shared" ref="E11:E22" si="2">SUM(F11:I11)</f>
        <v>7160269.7847478427</v>
      </c>
      <c r="F11" s="20">
        <f>SUM(F12:F16)</f>
        <v>6728782.5355200004</v>
      </c>
      <c r="G11" s="20">
        <f t="shared" ref="G11:H11" si="3">SUM(G12:G16)</f>
        <v>324977.18385000003</v>
      </c>
      <c r="H11" s="20">
        <f t="shared" si="3"/>
        <v>106510.06537784266</v>
      </c>
      <c r="I11" s="20">
        <v>0</v>
      </c>
      <c r="J11" s="181"/>
      <c r="K11" s="181" t="s">
        <v>484</v>
      </c>
    </row>
    <row r="12" spans="1:11" x14ac:dyDescent="0.25">
      <c r="A12" s="181"/>
      <c r="B12" s="181"/>
      <c r="C12" s="181"/>
      <c r="D12" s="19">
        <v>2021</v>
      </c>
      <c r="E12" s="20">
        <f t="shared" si="2"/>
        <v>1143437.1402100001</v>
      </c>
      <c r="F12" s="20">
        <f t="shared" ref="F12:H16" si="4">F6-F18</f>
        <v>1079783.2501300001</v>
      </c>
      <c r="G12" s="20">
        <f t="shared" si="4"/>
        <v>44391.299000000028</v>
      </c>
      <c r="H12" s="20">
        <f t="shared" si="4"/>
        <v>19262.591080000006</v>
      </c>
      <c r="I12" s="20">
        <v>0</v>
      </c>
      <c r="J12" s="181"/>
      <c r="K12" s="181"/>
    </row>
    <row r="13" spans="1:11" x14ac:dyDescent="0.25">
      <c r="A13" s="181"/>
      <c r="B13" s="181"/>
      <c r="C13" s="181"/>
      <c r="D13" s="19">
        <v>2022</v>
      </c>
      <c r="E13" s="20">
        <f t="shared" si="2"/>
        <v>1725609.8373178432</v>
      </c>
      <c r="F13" s="20">
        <f t="shared" si="4"/>
        <v>1637815.2563600005</v>
      </c>
      <c r="G13" s="20">
        <f t="shared" si="4"/>
        <v>66437.87</v>
      </c>
      <c r="H13" s="20">
        <f t="shared" si="4"/>
        <v>21356.710957842668</v>
      </c>
      <c r="I13" s="20">
        <v>0</v>
      </c>
      <c r="J13" s="181"/>
      <c r="K13" s="181"/>
    </row>
    <row r="14" spans="1:11" x14ac:dyDescent="0.25">
      <c r="A14" s="181"/>
      <c r="B14" s="181"/>
      <c r="C14" s="181"/>
      <c r="D14" s="19">
        <v>2023</v>
      </c>
      <c r="E14" s="20">
        <f t="shared" si="2"/>
        <v>1452053.2622199999</v>
      </c>
      <c r="F14" s="20">
        <f t="shared" si="4"/>
        <v>1406614.34403</v>
      </c>
      <c r="G14" s="20">
        <f>G8-G20</f>
        <v>12210.214849999989</v>
      </c>
      <c r="H14" s="20">
        <f t="shared" si="4"/>
        <v>33228.70334</v>
      </c>
      <c r="I14" s="20">
        <v>0</v>
      </c>
      <c r="J14" s="181"/>
      <c r="K14" s="181"/>
    </row>
    <row r="15" spans="1:11" x14ac:dyDescent="0.25">
      <c r="A15" s="181"/>
      <c r="B15" s="181"/>
      <c r="C15" s="181"/>
      <c r="D15" s="19">
        <v>2024</v>
      </c>
      <c r="E15" s="20">
        <f t="shared" si="2"/>
        <v>1409882.4470000002</v>
      </c>
      <c r="F15" s="20">
        <f t="shared" si="4"/>
        <v>1295613.6170000001</v>
      </c>
      <c r="G15" s="20">
        <f t="shared" si="4"/>
        <v>97937.8</v>
      </c>
      <c r="H15" s="20">
        <f t="shared" si="4"/>
        <v>16331.03</v>
      </c>
      <c r="I15" s="20">
        <v>0</v>
      </c>
      <c r="J15" s="181"/>
      <c r="K15" s="181"/>
    </row>
    <row r="16" spans="1:11" x14ac:dyDescent="0.25">
      <c r="A16" s="181"/>
      <c r="B16" s="181"/>
      <c r="C16" s="181"/>
      <c r="D16" s="19">
        <v>2025</v>
      </c>
      <c r="E16" s="20">
        <f t="shared" si="2"/>
        <v>1429287.0979999998</v>
      </c>
      <c r="F16" s="20">
        <f t="shared" si="4"/>
        <v>1308956.0679999997</v>
      </c>
      <c r="G16" s="20">
        <f t="shared" si="4"/>
        <v>104000</v>
      </c>
      <c r="H16" s="20">
        <f t="shared" si="4"/>
        <v>16331.029999999999</v>
      </c>
      <c r="I16" s="20">
        <v>0</v>
      </c>
      <c r="J16" s="181"/>
      <c r="K16" s="181"/>
    </row>
    <row r="17" spans="1:12" x14ac:dyDescent="0.25">
      <c r="A17" s="181"/>
      <c r="B17" s="181" t="s">
        <v>18</v>
      </c>
      <c r="C17" s="181" t="s">
        <v>41</v>
      </c>
      <c r="D17" s="19" t="s">
        <v>8</v>
      </c>
      <c r="E17" s="20">
        <f t="shared" si="2"/>
        <v>4232600.6145869074</v>
      </c>
      <c r="F17" s="20">
        <f>F18+F19+F20+F21+F22</f>
        <v>3269102.3297899999</v>
      </c>
      <c r="G17" s="20">
        <f t="shared" ref="G17:H17" si="5">G18+G19+G20+G21+G22</f>
        <v>859807.33899999992</v>
      </c>
      <c r="H17" s="20">
        <f t="shared" si="5"/>
        <v>103690.9457969082</v>
      </c>
      <c r="I17" s="20">
        <f>I18+I19+I20+I21</f>
        <v>0</v>
      </c>
      <c r="J17" s="181"/>
      <c r="K17" s="181" t="s">
        <v>20</v>
      </c>
    </row>
    <row r="18" spans="1:12" x14ac:dyDescent="0.25">
      <c r="A18" s="181"/>
      <c r="B18" s="181"/>
      <c r="C18" s="181"/>
      <c r="D18" s="19">
        <v>2021</v>
      </c>
      <c r="E18" s="20">
        <f t="shared" si="2"/>
        <v>469791.46158165036</v>
      </c>
      <c r="F18" s="20">
        <f t="shared" ref="F18:H20" si="6">F360+F366+F372+F384+F414+F426+F432+F462+F504+F510+F516+F522+F534+F540+F558+F564+F570+F576+F588+F594+F600+F606+F612+F618+F624+F630+F636+F666+F672+F696+F744+F750+F756+F450+F714+F702</f>
        <v>188127.04001999999</v>
      </c>
      <c r="G18" s="20">
        <f t="shared" si="6"/>
        <v>257488.69899999999</v>
      </c>
      <c r="H18" s="20">
        <f t="shared" si="6"/>
        <v>24175.722561650378</v>
      </c>
      <c r="I18" s="20">
        <f t="shared" ref="I18:I22" si="7">I6-I12</f>
        <v>0</v>
      </c>
      <c r="J18" s="181"/>
      <c r="K18" s="181"/>
    </row>
    <row r="19" spans="1:12" x14ac:dyDescent="0.25">
      <c r="A19" s="181"/>
      <c r="B19" s="181"/>
      <c r="C19" s="181"/>
      <c r="D19" s="19">
        <v>2022</v>
      </c>
      <c r="E19" s="20">
        <f t="shared" si="2"/>
        <v>1157781.5735552579</v>
      </c>
      <c r="F19" s="20">
        <f t="shared" si="6"/>
        <v>921156.4460600001</v>
      </c>
      <c r="G19" s="20">
        <f t="shared" si="6"/>
        <v>177607.9</v>
      </c>
      <c r="H19" s="20">
        <f t="shared" si="6"/>
        <v>59017.227495257852</v>
      </c>
      <c r="I19" s="20">
        <f t="shared" si="7"/>
        <v>0</v>
      </c>
      <c r="J19" s="181"/>
      <c r="K19" s="181"/>
    </row>
    <row r="20" spans="1:12" x14ac:dyDescent="0.25">
      <c r="A20" s="181"/>
      <c r="B20" s="181"/>
      <c r="C20" s="181"/>
      <c r="D20" s="19">
        <v>2023</v>
      </c>
      <c r="E20" s="20">
        <f t="shared" si="2"/>
        <v>647821.80619999999</v>
      </c>
      <c r="F20" s="20">
        <f t="shared" si="6"/>
        <v>214914.47045999998</v>
      </c>
      <c r="G20" s="20">
        <f t="shared" ref="G20:H22" si="8">G362+G368+G374+G386+G416+G428+G434+G464+G506+G512+G518+G524+G536+G542+G560+G566+G572+G578+G590+G596+G602+G608+G614+G620+G626+G632+G638+G668+G674+G698+G746+G752+G758+G452+G716+G704+G710</f>
        <v>424710.74</v>
      </c>
      <c r="H20" s="20">
        <f t="shared" si="6"/>
        <v>8196.5957399999752</v>
      </c>
      <c r="I20" s="20">
        <f>I362+I368+I374+I386+I416+I428+I434+I464+I506+I512+I518+I524+I536+I542+I554+I560+I566+I572+I578+I590+I596+I602+I608+I614+I620+I626+I632+I638+I668+I674+I698+I746+I752+I758+I452+I716</f>
        <v>0</v>
      </c>
      <c r="J20" s="181"/>
      <c r="K20" s="181"/>
    </row>
    <row r="21" spans="1:12" x14ac:dyDescent="0.25">
      <c r="A21" s="181"/>
      <c r="B21" s="181"/>
      <c r="C21" s="181"/>
      <c r="D21" s="19">
        <v>2024</v>
      </c>
      <c r="E21" s="20">
        <f t="shared" si="2"/>
        <v>1395787.9732499998</v>
      </c>
      <c r="F21" s="20">
        <f t="shared" ref="F21:F22" si="9">F363+F369+F375+F387+F417+F429+F435+F465+F507+F513+F519+F525+F537+F543+F561+F567+F573+F579+F591+F597+F603+F609+F615+F621+F627+F633+F639+F669+F675+F699+F747+F753+F759+F453+F717+F705+F711</f>
        <v>1384275.5732499999</v>
      </c>
      <c r="G21" s="20">
        <f t="shared" si="8"/>
        <v>0</v>
      </c>
      <c r="H21" s="20">
        <f t="shared" si="8"/>
        <v>11512.4</v>
      </c>
      <c r="I21" s="20">
        <f>I363+I369+I375+I387+I417+I429+I435+I465+I507+I513+I519+I525+I537+I543+I555+I561+I567+I573+I579+I591+I597+I603+I609+I615+I621+I627+I633+I639+I669+I675+I699+I747+I753+I759+I453+I717+I718</f>
        <v>0</v>
      </c>
      <c r="J21" s="181"/>
      <c r="K21" s="181"/>
    </row>
    <row r="22" spans="1:12" x14ac:dyDescent="0.25">
      <c r="A22" s="181"/>
      <c r="B22" s="181"/>
      <c r="C22" s="181"/>
      <c r="D22" s="19">
        <v>2025</v>
      </c>
      <c r="E22" s="20">
        <f t="shared" si="2"/>
        <v>561417.80000000005</v>
      </c>
      <c r="F22" s="20">
        <f t="shared" si="9"/>
        <v>560628.80000000005</v>
      </c>
      <c r="G22" s="20">
        <f t="shared" si="8"/>
        <v>0</v>
      </c>
      <c r="H22" s="20">
        <f t="shared" si="8"/>
        <v>789</v>
      </c>
      <c r="I22" s="20">
        <f t="shared" si="7"/>
        <v>0</v>
      </c>
      <c r="J22" s="181"/>
      <c r="K22" s="181"/>
    </row>
    <row r="23" spans="1:12" x14ac:dyDescent="0.25">
      <c r="A23" s="181" t="s">
        <v>806</v>
      </c>
      <c r="B23" s="181" t="s">
        <v>818</v>
      </c>
      <c r="C23" s="181" t="s">
        <v>14</v>
      </c>
      <c r="D23" s="19" t="s">
        <v>8</v>
      </c>
      <c r="E23" s="20">
        <f t="shared" si="0"/>
        <v>1109996.4124400001</v>
      </c>
      <c r="F23" s="20">
        <f>SUM(F24:F28)</f>
        <v>1073827.3136200001</v>
      </c>
      <c r="G23" s="20">
        <f>SUM(G24:G28)</f>
        <v>23683.307479999996</v>
      </c>
      <c r="H23" s="20">
        <f>SUM(H24:H28)</f>
        <v>12485.79134</v>
      </c>
      <c r="I23" s="20">
        <f>SUM(I24:I28)</f>
        <v>0</v>
      </c>
      <c r="J23" s="181"/>
      <c r="K23" s="181" t="s">
        <v>486</v>
      </c>
      <c r="L23" s="180" t="s">
        <v>1111</v>
      </c>
    </row>
    <row r="24" spans="1:12" x14ac:dyDescent="0.25">
      <c r="A24" s="181"/>
      <c r="B24" s="181"/>
      <c r="C24" s="181"/>
      <c r="D24" s="19">
        <v>2021</v>
      </c>
      <c r="E24" s="20">
        <f t="shared" si="0"/>
        <v>138607.88275000002</v>
      </c>
      <c r="F24" s="20">
        <f t="shared" ref="F24:I28" si="10">F30+F48+F144</f>
        <v>118407.68375000001</v>
      </c>
      <c r="G24" s="20">
        <f t="shared" si="10"/>
        <v>20200.198999999997</v>
      </c>
      <c r="H24" s="20">
        <f t="shared" si="10"/>
        <v>0</v>
      </c>
      <c r="I24" s="20">
        <f t="shared" si="10"/>
        <v>0</v>
      </c>
      <c r="J24" s="181"/>
      <c r="K24" s="181"/>
      <c r="L24" s="180"/>
    </row>
    <row r="25" spans="1:12" x14ac:dyDescent="0.25">
      <c r="A25" s="181"/>
      <c r="B25" s="181"/>
      <c r="C25" s="181"/>
      <c r="D25" s="19">
        <v>2022</v>
      </c>
      <c r="E25" s="20">
        <f t="shared" si="0"/>
        <v>284204.41166000004</v>
      </c>
      <c r="F25" s="20">
        <f t="shared" si="10"/>
        <v>281836.93466000003</v>
      </c>
      <c r="G25" s="20">
        <f t="shared" si="10"/>
        <v>2367.4769999999999</v>
      </c>
      <c r="H25" s="20">
        <f t="shared" si="10"/>
        <v>0</v>
      </c>
      <c r="I25" s="20">
        <f t="shared" si="10"/>
        <v>0</v>
      </c>
      <c r="J25" s="181"/>
      <c r="K25" s="181"/>
      <c r="L25" s="180"/>
    </row>
    <row r="26" spans="1:12" x14ac:dyDescent="0.25">
      <c r="A26" s="181"/>
      <c r="B26" s="181"/>
      <c r="C26" s="181"/>
      <c r="D26" s="19">
        <v>2023</v>
      </c>
      <c r="E26" s="20">
        <f t="shared" si="0"/>
        <v>265991.44603000005</v>
      </c>
      <c r="F26" s="20">
        <f t="shared" si="10"/>
        <v>252390.02321000001</v>
      </c>
      <c r="G26" s="20">
        <f t="shared" si="10"/>
        <v>1115.63148</v>
      </c>
      <c r="H26" s="20">
        <f t="shared" si="10"/>
        <v>12485.79134</v>
      </c>
      <c r="I26" s="20">
        <f t="shared" si="10"/>
        <v>0</v>
      </c>
      <c r="J26" s="181"/>
      <c r="K26" s="181"/>
      <c r="L26" s="180"/>
    </row>
    <row r="27" spans="1:12" x14ac:dyDescent="0.25">
      <c r="A27" s="181"/>
      <c r="B27" s="181"/>
      <c r="C27" s="181"/>
      <c r="D27" s="19">
        <v>2024</v>
      </c>
      <c r="E27" s="20">
        <f t="shared" si="0"/>
        <v>210596.33600000001</v>
      </c>
      <c r="F27" s="20">
        <f t="shared" si="10"/>
        <v>210596.33600000001</v>
      </c>
      <c r="G27" s="20">
        <f t="shared" si="10"/>
        <v>0</v>
      </c>
      <c r="H27" s="20">
        <f t="shared" si="10"/>
        <v>0</v>
      </c>
      <c r="I27" s="20">
        <f t="shared" si="10"/>
        <v>0</v>
      </c>
      <c r="J27" s="181"/>
      <c r="K27" s="181"/>
      <c r="L27" s="180"/>
    </row>
    <row r="28" spans="1:12" x14ac:dyDescent="0.25">
      <c r="A28" s="181"/>
      <c r="B28" s="181"/>
      <c r="C28" s="181"/>
      <c r="D28" s="19">
        <v>2025</v>
      </c>
      <c r="E28" s="20">
        <f t="shared" si="0"/>
        <v>210596.33600000001</v>
      </c>
      <c r="F28" s="20">
        <f t="shared" si="10"/>
        <v>210596.33600000001</v>
      </c>
      <c r="G28" s="20">
        <f t="shared" si="10"/>
        <v>0</v>
      </c>
      <c r="H28" s="20">
        <f t="shared" si="10"/>
        <v>0</v>
      </c>
      <c r="I28" s="20">
        <f t="shared" si="10"/>
        <v>0</v>
      </c>
      <c r="J28" s="181"/>
      <c r="K28" s="181"/>
      <c r="L28" s="180"/>
    </row>
    <row r="29" spans="1:12" x14ac:dyDescent="0.25">
      <c r="A29" s="181" t="s">
        <v>23</v>
      </c>
      <c r="B29" s="181" t="s">
        <v>24</v>
      </c>
      <c r="C29" s="181" t="s">
        <v>14</v>
      </c>
      <c r="D29" s="19" t="s">
        <v>8</v>
      </c>
      <c r="E29" s="20">
        <f t="shared" ref="E29:E40" si="11">SUM(F29:I29)</f>
        <v>3054.4259999999999</v>
      </c>
      <c r="F29" s="20">
        <f>SUM(F30:F34)</f>
        <v>3054.4259999999999</v>
      </c>
      <c r="G29" s="20">
        <f>SUM(G30:G34)</f>
        <v>0</v>
      </c>
      <c r="H29" s="20">
        <f>SUM(H30:H34)</f>
        <v>0</v>
      </c>
      <c r="I29" s="20">
        <f>SUM(I30:I34)</f>
        <v>0</v>
      </c>
      <c r="J29" s="181" t="s">
        <v>487</v>
      </c>
      <c r="K29" s="181" t="s">
        <v>488</v>
      </c>
      <c r="L29" s="180"/>
    </row>
    <row r="30" spans="1:12" x14ac:dyDescent="0.25">
      <c r="A30" s="181"/>
      <c r="B30" s="181"/>
      <c r="C30" s="181"/>
      <c r="D30" s="19">
        <v>2021</v>
      </c>
      <c r="E30" s="20">
        <f t="shared" si="11"/>
        <v>3054.4259999999999</v>
      </c>
      <c r="F30" s="20">
        <f t="shared" ref="F30:I34" si="12">F36+F42</f>
        <v>3054.4259999999999</v>
      </c>
      <c r="G30" s="20">
        <f t="shared" si="12"/>
        <v>0</v>
      </c>
      <c r="H30" s="20">
        <f t="shared" si="12"/>
        <v>0</v>
      </c>
      <c r="I30" s="20">
        <f t="shared" si="12"/>
        <v>0</v>
      </c>
      <c r="J30" s="181"/>
      <c r="K30" s="181"/>
      <c r="L30" s="180"/>
    </row>
    <row r="31" spans="1:12" x14ac:dyDescent="0.25">
      <c r="A31" s="181"/>
      <c r="B31" s="181"/>
      <c r="C31" s="181"/>
      <c r="D31" s="19">
        <v>2022</v>
      </c>
      <c r="E31" s="20">
        <f t="shared" si="11"/>
        <v>0</v>
      </c>
      <c r="F31" s="20">
        <f t="shared" si="12"/>
        <v>0</v>
      </c>
      <c r="G31" s="20">
        <f t="shared" si="12"/>
        <v>0</v>
      </c>
      <c r="H31" s="20">
        <f t="shared" si="12"/>
        <v>0</v>
      </c>
      <c r="I31" s="20">
        <f t="shared" si="12"/>
        <v>0</v>
      </c>
      <c r="J31" s="181"/>
      <c r="K31" s="181"/>
      <c r="L31" s="180"/>
    </row>
    <row r="32" spans="1:12" x14ac:dyDescent="0.25">
      <c r="A32" s="181"/>
      <c r="B32" s="181"/>
      <c r="C32" s="181"/>
      <c r="D32" s="19">
        <v>2023</v>
      </c>
      <c r="E32" s="20">
        <f t="shared" si="11"/>
        <v>0</v>
      </c>
      <c r="F32" s="20">
        <f t="shared" si="12"/>
        <v>0</v>
      </c>
      <c r="G32" s="20">
        <f t="shared" si="12"/>
        <v>0</v>
      </c>
      <c r="H32" s="20">
        <f t="shared" si="12"/>
        <v>0</v>
      </c>
      <c r="I32" s="20">
        <f t="shared" si="12"/>
        <v>0</v>
      </c>
      <c r="J32" s="181"/>
      <c r="K32" s="181"/>
      <c r="L32" s="180"/>
    </row>
    <row r="33" spans="1:12" x14ac:dyDescent="0.25">
      <c r="A33" s="181"/>
      <c r="B33" s="181"/>
      <c r="C33" s="181"/>
      <c r="D33" s="19">
        <v>2024</v>
      </c>
      <c r="E33" s="20">
        <f t="shared" si="11"/>
        <v>0</v>
      </c>
      <c r="F33" s="20">
        <f t="shared" si="12"/>
        <v>0</v>
      </c>
      <c r="G33" s="20">
        <f t="shared" si="12"/>
        <v>0</v>
      </c>
      <c r="H33" s="20">
        <f t="shared" si="12"/>
        <v>0</v>
      </c>
      <c r="I33" s="20">
        <f t="shared" si="12"/>
        <v>0</v>
      </c>
      <c r="J33" s="181"/>
      <c r="K33" s="181"/>
      <c r="L33" s="180"/>
    </row>
    <row r="34" spans="1:12" x14ac:dyDescent="0.25">
      <c r="A34" s="181"/>
      <c r="B34" s="181"/>
      <c r="C34" s="181"/>
      <c r="D34" s="19">
        <v>2025</v>
      </c>
      <c r="E34" s="20">
        <f t="shared" si="11"/>
        <v>0</v>
      </c>
      <c r="F34" s="20">
        <f t="shared" si="12"/>
        <v>0</v>
      </c>
      <c r="G34" s="20">
        <f t="shared" si="12"/>
        <v>0</v>
      </c>
      <c r="H34" s="20">
        <f t="shared" si="12"/>
        <v>0</v>
      </c>
      <c r="I34" s="20">
        <f t="shared" si="12"/>
        <v>0</v>
      </c>
      <c r="J34" s="181"/>
      <c r="K34" s="181"/>
      <c r="L34" s="180"/>
    </row>
    <row r="35" spans="1:12" x14ac:dyDescent="0.25">
      <c r="A35" s="181" t="s">
        <v>27</v>
      </c>
      <c r="B35" s="181" t="s">
        <v>489</v>
      </c>
      <c r="C35" s="181" t="s">
        <v>490</v>
      </c>
      <c r="D35" s="19" t="s">
        <v>8</v>
      </c>
      <c r="E35" s="20">
        <f t="shared" si="11"/>
        <v>0</v>
      </c>
      <c r="F35" s="20">
        <f>SUM(F36:F40)</f>
        <v>0</v>
      </c>
      <c r="G35" s="20">
        <f>SUM(G36:G40)</f>
        <v>0</v>
      </c>
      <c r="H35" s="20">
        <f>SUM(H36:H40)</f>
        <v>0</v>
      </c>
      <c r="I35" s="20">
        <f>SUM(I36:I40)</f>
        <v>0</v>
      </c>
      <c r="J35" s="181" t="s">
        <v>29</v>
      </c>
      <c r="K35" s="181" t="s">
        <v>486</v>
      </c>
    </row>
    <row r="36" spans="1:12" x14ac:dyDescent="0.25">
      <c r="A36" s="181"/>
      <c r="B36" s="181"/>
      <c r="C36" s="181"/>
      <c r="D36" s="19">
        <v>2021</v>
      </c>
      <c r="E36" s="20">
        <f t="shared" si="11"/>
        <v>0</v>
      </c>
      <c r="F36" s="20">
        <v>0</v>
      </c>
      <c r="G36" s="20">
        <v>0</v>
      </c>
      <c r="H36" s="20">
        <v>0</v>
      </c>
      <c r="I36" s="20">
        <v>0</v>
      </c>
      <c r="J36" s="181"/>
      <c r="K36" s="181"/>
    </row>
    <row r="37" spans="1:12" x14ac:dyDescent="0.25">
      <c r="A37" s="181"/>
      <c r="B37" s="181"/>
      <c r="C37" s="181"/>
      <c r="D37" s="19">
        <v>2022</v>
      </c>
      <c r="E37" s="20">
        <f t="shared" si="11"/>
        <v>0</v>
      </c>
      <c r="F37" s="20">
        <v>0</v>
      </c>
      <c r="G37" s="20">
        <v>0</v>
      </c>
      <c r="H37" s="20">
        <v>0</v>
      </c>
      <c r="I37" s="20">
        <v>0</v>
      </c>
      <c r="J37" s="181"/>
      <c r="K37" s="181"/>
    </row>
    <row r="38" spans="1:12" x14ac:dyDescent="0.25">
      <c r="A38" s="181"/>
      <c r="B38" s="181"/>
      <c r="C38" s="181"/>
      <c r="D38" s="19">
        <v>2023</v>
      </c>
      <c r="E38" s="20">
        <f t="shared" si="11"/>
        <v>0</v>
      </c>
      <c r="F38" s="20">
        <v>0</v>
      </c>
      <c r="G38" s="20">
        <v>0</v>
      </c>
      <c r="H38" s="20">
        <v>0</v>
      </c>
      <c r="I38" s="20">
        <v>0</v>
      </c>
      <c r="J38" s="181"/>
      <c r="K38" s="181"/>
    </row>
    <row r="39" spans="1:12" x14ac:dyDescent="0.25">
      <c r="A39" s="181"/>
      <c r="B39" s="181"/>
      <c r="C39" s="181"/>
      <c r="D39" s="19">
        <v>2024</v>
      </c>
      <c r="E39" s="20">
        <f t="shared" si="11"/>
        <v>0</v>
      </c>
      <c r="F39" s="20">
        <v>0</v>
      </c>
      <c r="G39" s="20">
        <v>0</v>
      </c>
      <c r="H39" s="20">
        <v>0</v>
      </c>
      <c r="I39" s="20">
        <v>0</v>
      </c>
      <c r="J39" s="181"/>
      <c r="K39" s="181"/>
    </row>
    <row r="40" spans="1:12" x14ac:dyDescent="0.25">
      <c r="A40" s="181"/>
      <c r="B40" s="181"/>
      <c r="C40" s="181"/>
      <c r="D40" s="19">
        <v>2025</v>
      </c>
      <c r="E40" s="20">
        <f t="shared" si="11"/>
        <v>0</v>
      </c>
      <c r="F40" s="20">
        <v>0</v>
      </c>
      <c r="G40" s="20">
        <v>0</v>
      </c>
      <c r="H40" s="20">
        <v>0</v>
      </c>
      <c r="I40" s="20">
        <v>0</v>
      </c>
      <c r="J40" s="181"/>
      <c r="K40" s="181"/>
    </row>
    <row r="41" spans="1:12" x14ac:dyDescent="0.25">
      <c r="A41" s="181" t="s">
        <v>491</v>
      </c>
      <c r="B41" s="181" t="s">
        <v>492</v>
      </c>
      <c r="C41" s="181" t="s">
        <v>490</v>
      </c>
      <c r="D41" s="19" t="s">
        <v>8</v>
      </c>
      <c r="E41" s="20">
        <f>SUM(E42:E46)</f>
        <v>3054.4259999999999</v>
      </c>
      <c r="F41" s="20">
        <f>SUM(F42:F46)</f>
        <v>3054.4259999999999</v>
      </c>
      <c r="G41" s="20">
        <f>SUM(G42:G46)</f>
        <v>0</v>
      </c>
      <c r="H41" s="20">
        <f>SUM(H42:H46)</f>
        <v>0</v>
      </c>
      <c r="I41" s="20">
        <f>SUM(I42:I46)</f>
        <v>0</v>
      </c>
      <c r="J41" s="181" t="s">
        <v>493</v>
      </c>
      <c r="K41" s="181" t="s">
        <v>494</v>
      </c>
      <c r="L41" s="180"/>
    </row>
    <row r="42" spans="1:12" x14ac:dyDescent="0.25">
      <c r="A42" s="181"/>
      <c r="B42" s="181"/>
      <c r="C42" s="181"/>
      <c r="D42" s="19">
        <v>2021</v>
      </c>
      <c r="E42" s="20">
        <f t="shared" ref="E42:E105" si="13">SUM(F42:I42)</f>
        <v>3054.4259999999999</v>
      </c>
      <c r="F42" s="20">
        <v>3054.4259999999999</v>
      </c>
      <c r="G42" s="20">
        <v>0</v>
      </c>
      <c r="H42" s="20">
        <v>0</v>
      </c>
      <c r="I42" s="20">
        <v>0</v>
      </c>
      <c r="J42" s="181"/>
      <c r="K42" s="181"/>
      <c r="L42" s="180"/>
    </row>
    <row r="43" spans="1:12" x14ac:dyDescent="0.25">
      <c r="A43" s="181"/>
      <c r="B43" s="181"/>
      <c r="C43" s="181"/>
      <c r="D43" s="19">
        <v>2022</v>
      </c>
      <c r="E43" s="20">
        <f t="shared" si="13"/>
        <v>0</v>
      </c>
      <c r="F43" s="20">
        <v>0</v>
      </c>
      <c r="G43" s="20">
        <v>0</v>
      </c>
      <c r="H43" s="20">
        <v>0</v>
      </c>
      <c r="I43" s="20">
        <v>0</v>
      </c>
      <c r="J43" s="181"/>
      <c r="K43" s="181"/>
      <c r="L43" s="180"/>
    </row>
    <row r="44" spans="1:12" x14ac:dyDescent="0.25">
      <c r="A44" s="181"/>
      <c r="B44" s="181"/>
      <c r="C44" s="181"/>
      <c r="D44" s="19">
        <v>2023</v>
      </c>
      <c r="E44" s="20">
        <f t="shared" si="13"/>
        <v>0</v>
      </c>
      <c r="F44" s="20">
        <v>0</v>
      </c>
      <c r="G44" s="20">
        <v>0</v>
      </c>
      <c r="H44" s="20">
        <v>0</v>
      </c>
      <c r="I44" s="20">
        <v>0</v>
      </c>
      <c r="J44" s="181"/>
      <c r="K44" s="181"/>
      <c r="L44" s="180"/>
    </row>
    <row r="45" spans="1:12" x14ac:dyDescent="0.25">
      <c r="A45" s="181"/>
      <c r="B45" s="181"/>
      <c r="C45" s="181"/>
      <c r="D45" s="19">
        <v>2024</v>
      </c>
      <c r="E45" s="20">
        <f t="shared" si="13"/>
        <v>0</v>
      </c>
      <c r="F45" s="20">
        <v>0</v>
      </c>
      <c r="G45" s="20">
        <v>0</v>
      </c>
      <c r="H45" s="20">
        <v>0</v>
      </c>
      <c r="I45" s="20">
        <v>0</v>
      </c>
      <c r="J45" s="181"/>
      <c r="K45" s="181"/>
      <c r="L45" s="180"/>
    </row>
    <row r="46" spans="1:12" x14ac:dyDescent="0.25">
      <c r="A46" s="181"/>
      <c r="B46" s="181"/>
      <c r="C46" s="181"/>
      <c r="D46" s="19">
        <v>2025</v>
      </c>
      <c r="E46" s="20">
        <f t="shared" si="13"/>
        <v>0</v>
      </c>
      <c r="F46" s="20">
        <v>0</v>
      </c>
      <c r="G46" s="20">
        <v>0</v>
      </c>
      <c r="H46" s="20">
        <v>0</v>
      </c>
      <c r="I46" s="20">
        <v>0</v>
      </c>
      <c r="J46" s="181"/>
      <c r="K46" s="181"/>
      <c r="L46" s="180"/>
    </row>
    <row r="47" spans="1:12" x14ac:dyDescent="0.25">
      <c r="A47" s="181" t="s">
        <v>30</v>
      </c>
      <c r="B47" s="181" t="s">
        <v>608</v>
      </c>
      <c r="C47" s="181" t="s">
        <v>14</v>
      </c>
      <c r="D47" s="19" t="s">
        <v>8</v>
      </c>
      <c r="E47" s="20">
        <f t="shared" si="13"/>
        <v>1047183.55969</v>
      </c>
      <c r="F47" s="20">
        <f>SUM(F48:F52)</f>
        <v>1034697.76835</v>
      </c>
      <c r="G47" s="20">
        <f>SUM(G48:G52)</f>
        <v>0</v>
      </c>
      <c r="H47" s="20">
        <f>SUM(H48:H52)</f>
        <v>12485.79134</v>
      </c>
      <c r="I47" s="20">
        <f>SUM(I48:I52)</f>
        <v>0</v>
      </c>
      <c r="J47" s="181" t="s">
        <v>495</v>
      </c>
      <c r="K47" s="181" t="s">
        <v>486</v>
      </c>
    </row>
    <row r="48" spans="1:12" x14ac:dyDescent="0.25">
      <c r="A48" s="181"/>
      <c r="B48" s="181"/>
      <c r="C48" s="181"/>
      <c r="D48" s="19">
        <v>2021</v>
      </c>
      <c r="E48" s="20">
        <f t="shared" si="13"/>
        <v>108436.894</v>
      </c>
      <c r="F48" s="20">
        <f t="shared" ref="F48:F49" si="14">SUM(F54+F60+F66+F72+F78+F84+F90+F102+F108+F114+F132)</f>
        <v>108436.894</v>
      </c>
      <c r="G48" s="20">
        <f t="shared" ref="G48:I52" si="15">SUM(G54+G60+G66+G72+G78+G84+G90+G102+G108+G114)</f>
        <v>0</v>
      </c>
      <c r="H48" s="20">
        <f t="shared" si="15"/>
        <v>0</v>
      </c>
      <c r="I48" s="20">
        <f t="shared" si="15"/>
        <v>0</v>
      </c>
      <c r="J48" s="181"/>
      <c r="K48" s="181"/>
    </row>
    <row r="49" spans="1:11" x14ac:dyDescent="0.25">
      <c r="A49" s="181"/>
      <c r="B49" s="181"/>
      <c r="C49" s="181"/>
      <c r="D49" s="19">
        <v>2022</v>
      </c>
      <c r="E49" s="20">
        <f t="shared" si="13"/>
        <v>274226.68966000003</v>
      </c>
      <c r="F49" s="20">
        <f t="shared" si="14"/>
        <v>274226.68966000003</v>
      </c>
      <c r="G49" s="20">
        <f t="shared" si="15"/>
        <v>0</v>
      </c>
      <c r="H49" s="20">
        <f t="shared" si="15"/>
        <v>0</v>
      </c>
      <c r="I49" s="20">
        <f t="shared" si="15"/>
        <v>0</v>
      </c>
      <c r="J49" s="181"/>
      <c r="K49" s="181"/>
    </row>
    <row r="50" spans="1:11" x14ac:dyDescent="0.25">
      <c r="A50" s="181"/>
      <c r="B50" s="181"/>
      <c r="C50" s="181"/>
      <c r="D50" s="19">
        <v>2023</v>
      </c>
      <c r="E50" s="20">
        <f t="shared" si="13"/>
        <v>257645.50403000001</v>
      </c>
      <c r="F50" s="20">
        <f>SUM(F56+F62+F68+F74+F80+F86+F92+F104+F110+F116+F134+F122+F128+F140)</f>
        <v>245159.71269000001</v>
      </c>
      <c r="G50" s="20">
        <f>SUM(G56+G62+G68+G74+G80+G86+G92+G104+G110+G116+G134+G122+G128)</f>
        <v>0</v>
      </c>
      <c r="H50" s="20">
        <f>SUM(H56+H62+H68+H74+H80+H86+H92+H104+H110+H116+H134+H122+H128)</f>
        <v>12485.79134</v>
      </c>
      <c r="I50" s="20">
        <f t="shared" si="15"/>
        <v>0</v>
      </c>
      <c r="J50" s="181"/>
      <c r="K50" s="181"/>
    </row>
    <row r="51" spans="1:11" x14ac:dyDescent="0.25">
      <c r="A51" s="181"/>
      <c r="B51" s="181"/>
      <c r="C51" s="181"/>
      <c r="D51" s="19">
        <v>2024</v>
      </c>
      <c r="E51" s="20">
        <f t="shared" si="13"/>
        <v>203437.236</v>
      </c>
      <c r="F51" s="20">
        <f t="shared" ref="F51:F52" si="16">SUM(F57+F63+F69+F75+F81+F87+F93+F105+F111+F117+F135+F123+F129)</f>
        <v>203437.236</v>
      </c>
      <c r="G51" s="20">
        <f t="shared" si="15"/>
        <v>0</v>
      </c>
      <c r="H51" s="20">
        <f t="shared" si="15"/>
        <v>0</v>
      </c>
      <c r="I51" s="20">
        <f t="shared" si="15"/>
        <v>0</v>
      </c>
      <c r="J51" s="181"/>
      <c r="K51" s="181"/>
    </row>
    <row r="52" spans="1:11" x14ac:dyDescent="0.25">
      <c r="A52" s="181"/>
      <c r="B52" s="181"/>
      <c r="C52" s="181"/>
      <c r="D52" s="19">
        <v>2025</v>
      </c>
      <c r="E52" s="20">
        <f t="shared" si="13"/>
        <v>203437.236</v>
      </c>
      <c r="F52" s="20">
        <f t="shared" si="16"/>
        <v>203437.236</v>
      </c>
      <c r="G52" s="20">
        <f t="shared" si="15"/>
        <v>0</v>
      </c>
      <c r="H52" s="20">
        <f t="shared" si="15"/>
        <v>0</v>
      </c>
      <c r="I52" s="20">
        <f t="shared" si="15"/>
        <v>0</v>
      </c>
      <c r="J52" s="181"/>
      <c r="K52" s="181"/>
    </row>
    <row r="53" spans="1:11" x14ac:dyDescent="0.25">
      <c r="A53" s="181" t="s">
        <v>33</v>
      </c>
      <c r="B53" s="181" t="s">
        <v>496</v>
      </c>
      <c r="C53" s="181" t="s">
        <v>14</v>
      </c>
      <c r="D53" s="19" t="s">
        <v>8</v>
      </c>
      <c r="E53" s="20">
        <f t="shared" si="13"/>
        <v>197000</v>
      </c>
      <c r="F53" s="20">
        <f>SUM(F54:F58)</f>
        <v>197000</v>
      </c>
      <c r="G53" s="20">
        <f>SUM(G54:G58)</f>
        <v>0</v>
      </c>
      <c r="H53" s="20">
        <f>SUM(H54:H58)</f>
        <v>0</v>
      </c>
      <c r="I53" s="20">
        <f>SUM(I54:I58)</f>
        <v>0</v>
      </c>
      <c r="J53" s="181" t="s">
        <v>819</v>
      </c>
      <c r="K53" s="181" t="s">
        <v>484</v>
      </c>
    </row>
    <row r="54" spans="1:11" x14ac:dyDescent="0.25">
      <c r="A54" s="181"/>
      <c r="B54" s="181"/>
      <c r="C54" s="181"/>
      <c r="D54" s="19">
        <v>2021</v>
      </c>
      <c r="E54" s="20">
        <f t="shared" si="13"/>
        <v>43000</v>
      </c>
      <c r="F54" s="20">
        <v>43000</v>
      </c>
      <c r="G54" s="20">
        <v>0</v>
      </c>
      <c r="H54" s="20">
        <v>0</v>
      </c>
      <c r="I54" s="20">
        <v>0</v>
      </c>
      <c r="J54" s="181"/>
      <c r="K54" s="181"/>
    </row>
    <row r="55" spans="1:11" x14ac:dyDescent="0.25">
      <c r="A55" s="181"/>
      <c r="B55" s="181"/>
      <c r="C55" s="181"/>
      <c r="D55" s="19">
        <v>2022</v>
      </c>
      <c r="E55" s="20">
        <f t="shared" si="13"/>
        <v>45000</v>
      </c>
      <c r="F55" s="20">
        <v>45000</v>
      </c>
      <c r="G55" s="20">
        <v>0</v>
      </c>
      <c r="H55" s="20">
        <v>0</v>
      </c>
      <c r="I55" s="20">
        <v>0</v>
      </c>
      <c r="J55" s="181"/>
      <c r="K55" s="181"/>
    </row>
    <row r="56" spans="1:11" x14ac:dyDescent="0.25">
      <c r="A56" s="181"/>
      <c r="B56" s="181"/>
      <c r="C56" s="181"/>
      <c r="D56" s="19">
        <v>2023</v>
      </c>
      <c r="E56" s="20">
        <f t="shared" si="13"/>
        <v>49000</v>
      </c>
      <c r="F56" s="20">
        <f>30000+10000+9000</f>
        <v>49000</v>
      </c>
      <c r="G56" s="20">
        <v>0</v>
      </c>
      <c r="H56" s="20">
        <v>0</v>
      </c>
      <c r="I56" s="20">
        <v>0</v>
      </c>
      <c r="J56" s="181"/>
      <c r="K56" s="181"/>
    </row>
    <row r="57" spans="1:11" x14ac:dyDescent="0.25">
      <c r="A57" s="181"/>
      <c r="B57" s="181"/>
      <c r="C57" s="181"/>
      <c r="D57" s="19">
        <v>2024</v>
      </c>
      <c r="E57" s="20">
        <f t="shared" si="13"/>
        <v>30000</v>
      </c>
      <c r="F57" s="20">
        <v>30000</v>
      </c>
      <c r="G57" s="20">
        <v>0</v>
      </c>
      <c r="H57" s="20">
        <v>0</v>
      </c>
      <c r="I57" s="20">
        <v>0</v>
      </c>
      <c r="J57" s="181"/>
      <c r="K57" s="181"/>
    </row>
    <row r="58" spans="1:11" x14ac:dyDescent="0.25">
      <c r="A58" s="181"/>
      <c r="B58" s="181"/>
      <c r="C58" s="181"/>
      <c r="D58" s="19">
        <v>2025</v>
      </c>
      <c r="E58" s="20">
        <f t="shared" si="13"/>
        <v>30000</v>
      </c>
      <c r="F58" s="20">
        <v>30000</v>
      </c>
      <c r="G58" s="20">
        <v>0</v>
      </c>
      <c r="H58" s="20">
        <v>0</v>
      </c>
      <c r="I58" s="20">
        <v>0</v>
      </c>
      <c r="J58" s="181"/>
      <c r="K58" s="181"/>
    </row>
    <row r="59" spans="1:11" x14ac:dyDescent="0.25">
      <c r="A59" s="181" t="s">
        <v>36</v>
      </c>
      <c r="B59" s="181" t="s">
        <v>498</v>
      </c>
      <c r="C59" s="181">
        <v>2021</v>
      </c>
      <c r="D59" s="19" t="s">
        <v>8</v>
      </c>
      <c r="E59" s="20">
        <f t="shared" si="13"/>
        <v>0</v>
      </c>
      <c r="F59" s="20">
        <f>SUM(F60:F64)</f>
        <v>0</v>
      </c>
      <c r="G59" s="20">
        <f>SUM(G60:G64)</f>
        <v>0</v>
      </c>
      <c r="H59" s="20">
        <f>SUM(H60:H64)</f>
        <v>0</v>
      </c>
      <c r="I59" s="20">
        <f>SUM(I60:I64)</f>
        <v>0</v>
      </c>
      <c r="J59" s="181" t="s">
        <v>499</v>
      </c>
      <c r="K59" s="181" t="s">
        <v>484</v>
      </c>
    </row>
    <row r="60" spans="1:11" x14ac:dyDescent="0.25">
      <c r="A60" s="181"/>
      <c r="B60" s="181"/>
      <c r="C60" s="181"/>
      <c r="D60" s="19">
        <v>2021</v>
      </c>
      <c r="E60" s="20">
        <f t="shared" si="13"/>
        <v>0</v>
      </c>
      <c r="F60" s="20">
        <v>0</v>
      </c>
      <c r="G60" s="20">
        <v>0</v>
      </c>
      <c r="H60" s="20">
        <v>0</v>
      </c>
      <c r="I60" s="20">
        <v>0</v>
      </c>
      <c r="J60" s="181"/>
      <c r="K60" s="181"/>
    </row>
    <row r="61" spans="1:11" x14ac:dyDescent="0.25">
      <c r="A61" s="181"/>
      <c r="B61" s="181"/>
      <c r="C61" s="181"/>
      <c r="D61" s="19">
        <v>2022</v>
      </c>
      <c r="E61" s="20">
        <f t="shared" si="13"/>
        <v>0</v>
      </c>
      <c r="F61" s="20">
        <v>0</v>
      </c>
      <c r="G61" s="20">
        <v>0</v>
      </c>
      <c r="H61" s="20">
        <v>0</v>
      </c>
      <c r="I61" s="20">
        <v>0</v>
      </c>
      <c r="J61" s="181"/>
      <c r="K61" s="181"/>
    </row>
    <row r="62" spans="1:11" x14ac:dyDescent="0.25">
      <c r="A62" s="181"/>
      <c r="B62" s="181"/>
      <c r="C62" s="181"/>
      <c r="D62" s="19">
        <v>2023</v>
      </c>
      <c r="E62" s="20">
        <f t="shared" si="13"/>
        <v>0</v>
      </c>
      <c r="F62" s="20">
        <v>0</v>
      </c>
      <c r="G62" s="20">
        <v>0</v>
      </c>
      <c r="H62" s="20">
        <v>0</v>
      </c>
      <c r="I62" s="20">
        <v>0</v>
      </c>
      <c r="J62" s="181"/>
      <c r="K62" s="181"/>
    </row>
    <row r="63" spans="1:11" x14ac:dyDescent="0.25">
      <c r="A63" s="181"/>
      <c r="B63" s="181"/>
      <c r="C63" s="181"/>
      <c r="D63" s="19">
        <v>2024</v>
      </c>
      <c r="E63" s="20">
        <f t="shared" si="13"/>
        <v>0</v>
      </c>
      <c r="F63" s="20">
        <v>0</v>
      </c>
      <c r="G63" s="20">
        <v>0</v>
      </c>
      <c r="H63" s="20">
        <v>0</v>
      </c>
      <c r="I63" s="20">
        <v>0</v>
      </c>
      <c r="J63" s="181"/>
      <c r="K63" s="181"/>
    </row>
    <row r="64" spans="1:11" x14ac:dyDescent="0.25">
      <c r="A64" s="181"/>
      <c r="B64" s="181"/>
      <c r="C64" s="181"/>
      <c r="D64" s="19">
        <v>2025</v>
      </c>
      <c r="E64" s="20">
        <f t="shared" si="13"/>
        <v>0</v>
      </c>
      <c r="F64" s="20">
        <v>0</v>
      </c>
      <c r="G64" s="20">
        <v>0</v>
      </c>
      <c r="H64" s="20">
        <v>0</v>
      </c>
      <c r="I64" s="20">
        <v>0</v>
      </c>
      <c r="J64" s="181"/>
      <c r="K64" s="181"/>
    </row>
    <row r="65" spans="1:13" x14ac:dyDescent="0.25">
      <c r="A65" s="181" t="s">
        <v>500</v>
      </c>
      <c r="B65" s="181" t="s">
        <v>501</v>
      </c>
      <c r="C65" s="181" t="s">
        <v>14</v>
      </c>
      <c r="D65" s="19" t="s">
        <v>8</v>
      </c>
      <c r="E65" s="20">
        <f t="shared" si="13"/>
        <v>193993.769</v>
      </c>
      <c r="F65" s="20">
        <f>SUM(F66:F70)</f>
        <v>193993.769</v>
      </c>
      <c r="G65" s="20">
        <f>SUM(G66:G70)</f>
        <v>0</v>
      </c>
      <c r="H65" s="20">
        <f>SUM(H66:H70)</f>
        <v>0</v>
      </c>
      <c r="I65" s="20">
        <f>SUM(I66:I70)</f>
        <v>0</v>
      </c>
      <c r="J65" s="181" t="s">
        <v>820</v>
      </c>
      <c r="K65" s="181" t="s">
        <v>484</v>
      </c>
    </row>
    <row r="66" spans="1:13" x14ac:dyDescent="0.25">
      <c r="A66" s="181"/>
      <c r="B66" s="181"/>
      <c r="C66" s="181"/>
      <c r="D66" s="19">
        <v>2021</v>
      </c>
      <c r="E66" s="20">
        <f t="shared" si="13"/>
        <v>33993.769</v>
      </c>
      <c r="F66" s="20">
        <v>33993.769</v>
      </c>
      <c r="G66" s="20">
        <v>0</v>
      </c>
      <c r="H66" s="20">
        <v>0</v>
      </c>
      <c r="I66" s="20">
        <v>0</v>
      </c>
      <c r="J66" s="181"/>
      <c r="K66" s="181"/>
    </row>
    <row r="67" spans="1:13" x14ac:dyDescent="0.25">
      <c r="A67" s="181"/>
      <c r="B67" s="181"/>
      <c r="C67" s="181"/>
      <c r="D67" s="19">
        <v>2022</v>
      </c>
      <c r="E67" s="20">
        <f t="shared" si="13"/>
        <v>40000</v>
      </c>
      <c r="F67" s="20">
        <v>40000</v>
      </c>
      <c r="G67" s="20">
        <v>0</v>
      </c>
      <c r="H67" s="20">
        <v>0</v>
      </c>
      <c r="I67" s="20">
        <v>0</v>
      </c>
      <c r="J67" s="181"/>
      <c r="K67" s="181"/>
    </row>
    <row r="68" spans="1:13" x14ac:dyDescent="0.25">
      <c r="A68" s="181"/>
      <c r="B68" s="181"/>
      <c r="C68" s="181"/>
      <c r="D68" s="19">
        <v>2023</v>
      </c>
      <c r="E68" s="20">
        <f t="shared" si="13"/>
        <v>40000</v>
      </c>
      <c r="F68" s="20">
        <v>40000</v>
      </c>
      <c r="G68" s="20">
        <v>0</v>
      </c>
      <c r="H68" s="20">
        <v>0</v>
      </c>
      <c r="I68" s="20">
        <v>0</v>
      </c>
      <c r="J68" s="181"/>
      <c r="K68" s="181"/>
    </row>
    <row r="69" spans="1:13" x14ac:dyDescent="0.25">
      <c r="A69" s="181"/>
      <c r="B69" s="181"/>
      <c r="C69" s="181"/>
      <c r="D69" s="19">
        <v>2024</v>
      </c>
      <c r="E69" s="20">
        <f t="shared" si="13"/>
        <v>40000</v>
      </c>
      <c r="F69" s="20">
        <v>40000</v>
      </c>
      <c r="G69" s="20">
        <v>0</v>
      </c>
      <c r="H69" s="20">
        <v>0</v>
      </c>
      <c r="I69" s="20">
        <v>0</v>
      </c>
      <c r="J69" s="181"/>
      <c r="K69" s="181"/>
    </row>
    <row r="70" spans="1:13" x14ac:dyDescent="0.25">
      <c r="A70" s="181"/>
      <c r="B70" s="181"/>
      <c r="C70" s="181"/>
      <c r="D70" s="19">
        <v>2025</v>
      </c>
      <c r="E70" s="20">
        <f t="shared" si="13"/>
        <v>40000</v>
      </c>
      <c r="F70" s="20">
        <v>40000</v>
      </c>
      <c r="G70" s="20">
        <v>0</v>
      </c>
      <c r="H70" s="20">
        <v>0</v>
      </c>
      <c r="I70" s="20">
        <v>0</v>
      </c>
      <c r="J70" s="181"/>
      <c r="K70" s="181"/>
    </row>
    <row r="71" spans="1:13" x14ac:dyDescent="0.25">
      <c r="A71" s="181" t="s">
        <v>503</v>
      </c>
      <c r="B71" s="181" t="s">
        <v>1112</v>
      </c>
      <c r="C71" s="181" t="s">
        <v>14</v>
      </c>
      <c r="D71" s="19" t="s">
        <v>8</v>
      </c>
      <c r="E71" s="20">
        <f t="shared" si="13"/>
        <v>18416.99869</v>
      </c>
      <c r="F71" s="20">
        <f>SUM(F72:F76)</f>
        <v>18416.99869</v>
      </c>
      <c r="G71" s="20">
        <f>SUM(G72:G76)</f>
        <v>0</v>
      </c>
      <c r="H71" s="20">
        <f>SUM(H72:H76)</f>
        <v>0</v>
      </c>
      <c r="I71" s="20">
        <f>SUM(I72:I76)</f>
        <v>0</v>
      </c>
      <c r="J71" s="181" t="s">
        <v>505</v>
      </c>
      <c r="K71" s="181" t="s">
        <v>484</v>
      </c>
    </row>
    <row r="72" spans="1:13" x14ac:dyDescent="0.25">
      <c r="A72" s="181"/>
      <c r="B72" s="181"/>
      <c r="C72" s="181"/>
      <c r="D72" s="19">
        <v>2021</v>
      </c>
      <c r="E72" s="20">
        <f t="shared" si="13"/>
        <v>2000</v>
      </c>
      <c r="F72" s="20">
        <v>2000</v>
      </c>
      <c r="G72" s="20">
        <v>0</v>
      </c>
      <c r="H72" s="20">
        <v>0</v>
      </c>
      <c r="I72" s="20">
        <v>0</v>
      </c>
      <c r="J72" s="181"/>
      <c r="K72" s="181"/>
    </row>
    <row r="73" spans="1:13" x14ac:dyDescent="0.25">
      <c r="A73" s="181"/>
      <c r="B73" s="181"/>
      <c r="C73" s="181"/>
      <c r="D73" s="19">
        <v>2022</v>
      </c>
      <c r="E73" s="20">
        <f t="shared" si="13"/>
        <v>2900</v>
      </c>
      <c r="F73" s="20">
        <v>2900</v>
      </c>
      <c r="G73" s="20">
        <v>0</v>
      </c>
      <c r="H73" s="20">
        <v>0</v>
      </c>
      <c r="I73" s="20">
        <v>0</v>
      </c>
      <c r="J73" s="181"/>
      <c r="K73" s="181"/>
    </row>
    <row r="74" spans="1:13" x14ac:dyDescent="0.25">
      <c r="A74" s="181"/>
      <c r="B74" s="181"/>
      <c r="C74" s="181"/>
      <c r="D74" s="19">
        <v>2023</v>
      </c>
      <c r="E74" s="20">
        <f t="shared" si="13"/>
        <v>2316.9986900000004</v>
      </c>
      <c r="F74" s="20">
        <f>5600-3148.56931-134.432</f>
        <v>2316.9986900000004</v>
      </c>
      <c r="G74" s="20">
        <v>0</v>
      </c>
      <c r="H74" s="20">
        <v>0</v>
      </c>
      <c r="I74" s="20">
        <v>0</v>
      </c>
      <c r="J74" s="181"/>
      <c r="K74" s="181"/>
      <c r="M74" s="18" t="s">
        <v>1743</v>
      </c>
    </row>
    <row r="75" spans="1:13" x14ac:dyDescent="0.25">
      <c r="A75" s="181"/>
      <c r="B75" s="181"/>
      <c r="C75" s="181"/>
      <c r="D75" s="19">
        <v>2024</v>
      </c>
      <c r="E75" s="20">
        <f t="shared" si="13"/>
        <v>5600</v>
      </c>
      <c r="F75" s="20">
        <v>5600</v>
      </c>
      <c r="G75" s="20">
        <v>0</v>
      </c>
      <c r="H75" s="20">
        <v>0</v>
      </c>
      <c r="I75" s="20">
        <v>0</v>
      </c>
      <c r="J75" s="181"/>
      <c r="K75" s="181"/>
    </row>
    <row r="76" spans="1:13" x14ac:dyDescent="0.25">
      <c r="A76" s="181"/>
      <c r="B76" s="181"/>
      <c r="C76" s="181"/>
      <c r="D76" s="19">
        <v>2025</v>
      </c>
      <c r="E76" s="20">
        <f t="shared" si="13"/>
        <v>5600</v>
      </c>
      <c r="F76" s="20">
        <v>5600</v>
      </c>
      <c r="G76" s="20">
        <v>0</v>
      </c>
      <c r="H76" s="20">
        <v>0</v>
      </c>
      <c r="I76" s="20">
        <v>0</v>
      </c>
      <c r="J76" s="181"/>
      <c r="K76" s="181"/>
    </row>
    <row r="77" spans="1:13" x14ac:dyDescent="0.25">
      <c r="A77" s="181" t="s">
        <v>506</v>
      </c>
      <c r="B77" s="181" t="s">
        <v>1225</v>
      </c>
      <c r="C77" s="181" t="s">
        <v>14</v>
      </c>
      <c r="D77" s="19" t="s">
        <v>8</v>
      </c>
      <c r="E77" s="20">
        <f t="shared" si="13"/>
        <v>234813.071</v>
      </c>
      <c r="F77" s="20">
        <f>SUM(F78:F82)</f>
        <v>234813.071</v>
      </c>
      <c r="G77" s="20">
        <f>SUM(G78:G82)</f>
        <v>0</v>
      </c>
      <c r="H77" s="20">
        <f>SUM(H78:H82)</f>
        <v>0</v>
      </c>
      <c r="I77" s="20">
        <f>SUM(I78:I82)</f>
        <v>0</v>
      </c>
      <c r="J77" s="181" t="s">
        <v>508</v>
      </c>
      <c r="K77" s="181" t="s">
        <v>486</v>
      </c>
    </row>
    <row r="78" spans="1:13" x14ac:dyDescent="0.25">
      <c r="A78" s="181"/>
      <c r="B78" s="181"/>
      <c r="C78" s="181"/>
      <c r="D78" s="19">
        <v>2021</v>
      </c>
      <c r="E78" s="20">
        <f t="shared" si="13"/>
        <v>29443.125</v>
      </c>
      <c r="F78" s="20">
        <f>29443125/1000</f>
        <v>29443.125</v>
      </c>
      <c r="G78" s="20">
        <v>0</v>
      </c>
      <c r="H78" s="20">
        <v>0</v>
      </c>
      <c r="I78" s="20">
        <v>0</v>
      </c>
      <c r="J78" s="181"/>
      <c r="K78" s="181"/>
    </row>
    <row r="79" spans="1:13" x14ac:dyDescent="0.25">
      <c r="A79" s="181"/>
      <c r="B79" s="181"/>
      <c r="C79" s="181"/>
      <c r="D79" s="19">
        <v>2022</v>
      </c>
      <c r="E79" s="20">
        <f t="shared" si="13"/>
        <v>99747.438999999998</v>
      </c>
      <c r="F79" s="20">
        <v>99747.438999999998</v>
      </c>
      <c r="G79" s="20">
        <v>0</v>
      </c>
      <c r="H79" s="20">
        <v>0</v>
      </c>
      <c r="I79" s="20">
        <v>0</v>
      </c>
      <c r="J79" s="181"/>
      <c r="K79" s="181"/>
    </row>
    <row r="80" spans="1:13" x14ac:dyDescent="0.25">
      <c r="A80" s="181"/>
      <c r="B80" s="181"/>
      <c r="C80" s="181"/>
      <c r="D80" s="19">
        <v>2023</v>
      </c>
      <c r="E80" s="20">
        <f t="shared" si="13"/>
        <v>57948.035000000003</v>
      </c>
      <c r="F80" s="20">
        <f>56948.035+1000</f>
        <v>57948.035000000003</v>
      </c>
      <c r="G80" s="20">
        <v>0</v>
      </c>
      <c r="H80" s="20">
        <v>0</v>
      </c>
      <c r="I80" s="20">
        <v>0</v>
      </c>
      <c r="J80" s="181"/>
      <c r="K80" s="181"/>
    </row>
    <row r="81" spans="1:11" x14ac:dyDescent="0.25">
      <c r="A81" s="181"/>
      <c r="B81" s="181"/>
      <c r="C81" s="181"/>
      <c r="D81" s="19">
        <v>2024</v>
      </c>
      <c r="E81" s="20">
        <f t="shared" si="13"/>
        <v>23837.236000000001</v>
      </c>
      <c r="F81" s="20">
        <v>23837.236000000001</v>
      </c>
      <c r="G81" s="20">
        <v>0</v>
      </c>
      <c r="H81" s="20">
        <v>0</v>
      </c>
      <c r="I81" s="20">
        <v>0</v>
      </c>
      <c r="J81" s="181"/>
      <c r="K81" s="181"/>
    </row>
    <row r="82" spans="1:11" x14ac:dyDescent="0.25">
      <c r="A82" s="181"/>
      <c r="B82" s="181"/>
      <c r="C82" s="181"/>
      <c r="D82" s="19">
        <v>2025</v>
      </c>
      <c r="E82" s="20">
        <f t="shared" si="13"/>
        <v>23837.236000000001</v>
      </c>
      <c r="F82" s="20">
        <v>23837.236000000001</v>
      </c>
      <c r="G82" s="20">
        <v>0</v>
      </c>
      <c r="H82" s="20">
        <v>0</v>
      </c>
      <c r="I82" s="20">
        <v>0</v>
      </c>
      <c r="J82" s="181"/>
      <c r="K82" s="181"/>
    </row>
    <row r="83" spans="1:11" x14ac:dyDescent="0.25">
      <c r="A83" s="181" t="s">
        <v>821</v>
      </c>
      <c r="B83" s="181" t="s">
        <v>822</v>
      </c>
      <c r="C83" s="181" t="s">
        <v>1113</v>
      </c>
      <c r="D83" s="19" t="s">
        <v>8</v>
      </c>
      <c r="E83" s="20">
        <f t="shared" si="13"/>
        <v>80000</v>
      </c>
      <c r="F83" s="20">
        <f>SUM(F84:F88)</f>
        <v>80000</v>
      </c>
      <c r="G83" s="20">
        <f>SUM(G84:G88)</f>
        <v>0</v>
      </c>
      <c r="H83" s="20">
        <f>SUM(H84:H88)</f>
        <v>0</v>
      </c>
      <c r="I83" s="20">
        <f>SUM(I84:I88)</f>
        <v>0</v>
      </c>
      <c r="J83" s="181" t="s">
        <v>823</v>
      </c>
      <c r="K83" s="181" t="s">
        <v>484</v>
      </c>
    </row>
    <row r="84" spans="1:11" x14ac:dyDescent="0.25">
      <c r="A84" s="181"/>
      <c r="B84" s="181"/>
      <c r="C84" s="181"/>
      <c r="D84" s="19">
        <v>2021</v>
      </c>
      <c r="E84" s="20">
        <f t="shared" si="13"/>
        <v>0</v>
      </c>
      <c r="F84" s="20">
        <v>0</v>
      </c>
      <c r="G84" s="20">
        <v>0</v>
      </c>
      <c r="H84" s="20">
        <v>0</v>
      </c>
      <c r="I84" s="20">
        <v>0</v>
      </c>
      <c r="J84" s="181"/>
      <c r="K84" s="181"/>
    </row>
    <row r="85" spans="1:11" x14ac:dyDescent="0.25">
      <c r="A85" s="181"/>
      <c r="B85" s="181"/>
      <c r="C85" s="181"/>
      <c r="D85" s="19">
        <v>2022</v>
      </c>
      <c r="E85" s="20">
        <f t="shared" si="13"/>
        <v>20000</v>
      </c>
      <c r="F85" s="20">
        <v>20000</v>
      </c>
      <c r="G85" s="20">
        <v>0</v>
      </c>
      <c r="H85" s="20">
        <v>0</v>
      </c>
      <c r="I85" s="20">
        <v>0</v>
      </c>
      <c r="J85" s="181"/>
      <c r="K85" s="181"/>
    </row>
    <row r="86" spans="1:11" x14ac:dyDescent="0.25">
      <c r="A86" s="181"/>
      <c r="B86" s="181"/>
      <c r="C86" s="181"/>
      <c r="D86" s="19">
        <v>2023</v>
      </c>
      <c r="E86" s="20">
        <f t="shared" si="13"/>
        <v>20000</v>
      </c>
      <c r="F86" s="20">
        <v>20000</v>
      </c>
      <c r="G86" s="20">
        <v>0</v>
      </c>
      <c r="H86" s="20">
        <v>0</v>
      </c>
      <c r="I86" s="20">
        <v>0</v>
      </c>
      <c r="J86" s="181"/>
      <c r="K86" s="181"/>
    </row>
    <row r="87" spans="1:11" x14ac:dyDescent="0.25">
      <c r="A87" s="181"/>
      <c r="B87" s="181"/>
      <c r="C87" s="181"/>
      <c r="D87" s="19">
        <v>2024</v>
      </c>
      <c r="E87" s="20">
        <f t="shared" si="13"/>
        <v>20000</v>
      </c>
      <c r="F87" s="20">
        <v>20000</v>
      </c>
      <c r="G87" s="20">
        <v>0</v>
      </c>
      <c r="H87" s="20">
        <v>0</v>
      </c>
      <c r="I87" s="20">
        <v>0</v>
      </c>
      <c r="J87" s="181"/>
      <c r="K87" s="181"/>
    </row>
    <row r="88" spans="1:11" x14ac:dyDescent="0.25">
      <c r="A88" s="181"/>
      <c r="B88" s="181"/>
      <c r="C88" s="181"/>
      <c r="D88" s="19">
        <v>2025</v>
      </c>
      <c r="E88" s="20">
        <f t="shared" si="13"/>
        <v>20000</v>
      </c>
      <c r="F88" s="20">
        <v>20000</v>
      </c>
      <c r="G88" s="20">
        <v>0</v>
      </c>
      <c r="H88" s="20">
        <v>0</v>
      </c>
      <c r="I88" s="20">
        <v>0</v>
      </c>
      <c r="J88" s="181"/>
      <c r="K88" s="181"/>
    </row>
    <row r="89" spans="1:11" x14ac:dyDescent="0.25">
      <c r="A89" s="181" t="s">
        <v>824</v>
      </c>
      <c r="B89" s="181" t="s">
        <v>1114</v>
      </c>
      <c r="C89" s="181" t="s">
        <v>14</v>
      </c>
      <c r="D89" s="19" t="s">
        <v>8</v>
      </c>
      <c r="E89" s="20">
        <f t="shared" si="13"/>
        <v>3220</v>
      </c>
      <c r="F89" s="20">
        <f>SUM(F90:F94)</f>
        <v>3220</v>
      </c>
      <c r="G89" s="20">
        <f>SUM(G90:G94)</f>
        <v>0</v>
      </c>
      <c r="H89" s="20">
        <f>SUM(H90:H94)</f>
        <v>0</v>
      </c>
      <c r="I89" s="20">
        <f>SUM(I90:I94)</f>
        <v>0</v>
      </c>
      <c r="J89" s="181" t="s">
        <v>1115</v>
      </c>
      <c r="K89" s="181" t="s">
        <v>484</v>
      </c>
    </row>
    <row r="90" spans="1:11" x14ac:dyDescent="0.25">
      <c r="A90" s="181"/>
      <c r="B90" s="181"/>
      <c r="C90" s="181"/>
      <c r="D90" s="19">
        <v>2021</v>
      </c>
      <c r="E90" s="20">
        <f t="shared" si="13"/>
        <v>0</v>
      </c>
      <c r="F90" s="20">
        <v>0</v>
      </c>
      <c r="G90" s="20">
        <v>0</v>
      </c>
      <c r="H90" s="20">
        <v>0</v>
      </c>
      <c r="I90" s="20">
        <v>0</v>
      </c>
      <c r="J90" s="181"/>
      <c r="K90" s="181"/>
    </row>
    <row r="91" spans="1:11" x14ac:dyDescent="0.25">
      <c r="A91" s="181"/>
      <c r="B91" s="181"/>
      <c r="C91" s="181"/>
      <c r="D91" s="19">
        <v>2022</v>
      </c>
      <c r="E91" s="20">
        <f t="shared" si="13"/>
        <v>3220</v>
      </c>
      <c r="F91" s="20">
        <f>3360-140</f>
        <v>3220</v>
      </c>
      <c r="G91" s="20">
        <v>0</v>
      </c>
      <c r="H91" s="20">
        <v>0</v>
      </c>
      <c r="I91" s="20">
        <v>0</v>
      </c>
      <c r="J91" s="181"/>
      <c r="K91" s="181"/>
    </row>
    <row r="92" spans="1:11" x14ac:dyDescent="0.25">
      <c r="A92" s="181"/>
      <c r="B92" s="181"/>
      <c r="C92" s="181"/>
      <c r="D92" s="19">
        <v>2023</v>
      </c>
      <c r="E92" s="20">
        <f t="shared" si="13"/>
        <v>0</v>
      </c>
      <c r="F92" s="20">
        <v>0</v>
      </c>
      <c r="G92" s="20">
        <v>0</v>
      </c>
      <c r="H92" s="20">
        <v>0</v>
      </c>
      <c r="I92" s="20">
        <v>0</v>
      </c>
      <c r="J92" s="181"/>
      <c r="K92" s="181"/>
    </row>
    <row r="93" spans="1:11" x14ac:dyDescent="0.25">
      <c r="A93" s="181"/>
      <c r="B93" s="181"/>
      <c r="C93" s="181"/>
      <c r="D93" s="19">
        <v>2024</v>
      </c>
      <c r="E93" s="20">
        <f t="shared" si="13"/>
        <v>0</v>
      </c>
      <c r="F93" s="20">
        <v>0</v>
      </c>
      <c r="G93" s="20">
        <v>0</v>
      </c>
      <c r="H93" s="20">
        <v>0</v>
      </c>
      <c r="I93" s="20">
        <v>0</v>
      </c>
      <c r="J93" s="181"/>
      <c r="K93" s="181"/>
    </row>
    <row r="94" spans="1:11" x14ac:dyDescent="0.25">
      <c r="A94" s="181"/>
      <c r="B94" s="181"/>
      <c r="C94" s="181"/>
      <c r="D94" s="19">
        <v>2025</v>
      </c>
      <c r="E94" s="20">
        <f t="shared" si="13"/>
        <v>0</v>
      </c>
      <c r="F94" s="20">
        <v>0</v>
      </c>
      <c r="G94" s="20">
        <v>0</v>
      </c>
      <c r="H94" s="20">
        <v>0</v>
      </c>
      <c r="I94" s="20">
        <v>0</v>
      </c>
      <c r="J94" s="181"/>
      <c r="K94" s="181"/>
    </row>
    <row r="95" spans="1:11" x14ac:dyDescent="0.25">
      <c r="A95" s="181" t="s">
        <v>826</v>
      </c>
      <c r="B95" s="181" t="s">
        <v>1116</v>
      </c>
      <c r="C95" s="181" t="s">
        <v>828</v>
      </c>
      <c r="D95" s="19" t="s">
        <v>8</v>
      </c>
      <c r="E95" s="20">
        <f t="shared" si="13"/>
        <v>0</v>
      </c>
      <c r="F95" s="20">
        <f>SUM(F96:F100)</f>
        <v>0</v>
      </c>
      <c r="G95" s="20">
        <f>SUM(G96:G100)</f>
        <v>0</v>
      </c>
      <c r="H95" s="20">
        <f>SUM(H96:H100)</f>
        <v>0</v>
      </c>
      <c r="I95" s="20">
        <f>SUM(I96:I100)</f>
        <v>0</v>
      </c>
      <c r="J95" s="181" t="s">
        <v>829</v>
      </c>
      <c r="K95" s="181" t="s">
        <v>484</v>
      </c>
    </row>
    <row r="96" spans="1:11" x14ac:dyDescent="0.25">
      <c r="A96" s="181"/>
      <c r="B96" s="181"/>
      <c r="C96" s="181"/>
      <c r="D96" s="19">
        <v>2021</v>
      </c>
      <c r="E96" s="20">
        <f t="shared" si="13"/>
        <v>0</v>
      </c>
      <c r="F96" s="20">
        <v>0</v>
      </c>
      <c r="G96" s="20">
        <v>0</v>
      </c>
      <c r="H96" s="20">
        <v>0</v>
      </c>
      <c r="I96" s="20">
        <v>0</v>
      </c>
      <c r="J96" s="181"/>
      <c r="K96" s="181"/>
    </row>
    <row r="97" spans="1:11" x14ac:dyDescent="0.25">
      <c r="A97" s="181"/>
      <c r="B97" s="181"/>
      <c r="C97" s="181"/>
      <c r="D97" s="19">
        <v>2022</v>
      </c>
      <c r="E97" s="20">
        <f t="shared" si="13"/>
        <v>0</v>
      </c>
      <c r="F97" s="20">
        <v>0</v>
      </c>
      <c r="G97" s="20">
        <v>0</v>
      </c>
      <c r="H97" s="20">
        <v>0</v>
      </c>
      <c r="I97" s="20">
        <v>0</v>
      </c>
      <c r="J97" s="181"/>
      <c r="K97" s="181"/>
    </row>
    <row r="98" spans="1:11" x14ac:dyDescent="0.25">
      <c r="A98" s="181"/>
      <c r="B98" s="181"/>
      <c r="C98" s="181"/>
      <c r="D98" s="19">
        <v>2023</v>
      </c>
      <c r="E98" s="20">
        <f t="shared" si="13"/>
        <v>0</v>
      </c>
      <c r="F98" s="20">
        <v>0</v>
      </c>
      <c r="G98" s="20">
        <v>0</v>
      </c>
      <c r="H98" s="20">
        <v>0</v>
      </c>
      <c r="I98" s="20">
        <v>0</v>
      </c>
      <c r="J98" s="181"/>
      <c r="K98" s="181"/>
    </row>
    <row r="99" spans="1:11" x14ac:dyDescent="0.25">
      <c r="A99" s="181"/>
      <c r="B99" s="181"/>
      <c r="C99" s="181"/>
      <c r="D99" s="19">
        <v>2024</v>
      </c>
      <c r="E99" s="20">
        <f t="shared" si="13"/>
        <v>0</v>
      </c>
      <c r="F99" s="20">
        <v>0</v>
      </c>
      <c r="G99" s="20">
        <v>0</v>
      </c>
      <c r="H99" s="20">
        <v>0</v>
      </c>
      <c r="I99" s="20">
        <v>0</v>
      </c>
      <c r="J99" s="181"/>
      <c r="K99" s="181"/>
    </row>
    <row r="100" spans="1:11" x14ac:dyDescent="0.25">
      <c r="A100" s="181"/>
      <c r="B100" s="181"/>
      <c r="C100" s="181"/>
      <c r="D100" s="19">
        <v>2025</v>
      </c>
      <c r="E100" s="20">
        <v>0</v>
      </c>
      <c r="F100" s="20">
        <v>0</v>
      </c>
      <c r="G100" s="20">
        <v>0</v>
      </c>
      <c r="H100" s="20">
        <v>0</v>
      </c>
      <c r="I100" s="20">
        <v>0</v>
      </c>
      <c r="J100" s="181"/>
      <c r="K100" s="181"/>
    </row>
    <row r="101" spans="1:11" x14ac:dyDescent="0.25">
      <c r="A101" s="181" t="s">
        <v>830</v>
      </c>
      <c r="B101" s="181" t="s">
        <v>1117</v>
      </c>
      <c r="C101" s="181" t="s">
        <v>14</v>
      </c>
      <c r="D101" s="19" t="s">
        <v>8</v>
      </c>
      <c r="E101" s="20">
        <f t="shared" si="13"/>
        <v>99000</v>
      </c>
      <c r="F101" s="20">
        <f>SUM(F102:F106)</f>
        <v>99000</v>
      </c>
      <c r="G101" s="20">
        <f>SUM(G102:G106)</f>
        <v>0</v>
      </c>
      <c r="H101" s="20">
        <f>SUM(H102:H106)</f>
        <v>0</v>
      </c>
      <c r="I101" s="20">
        <f>SUM(I102:I106)</f>
        <v>0</v>
      </c>
      <c r="J101" s="181" t="s">
        <v>1118</v>
      </c>
      <c r="K101" s="181" t="s">
        <v>515</v>
      </c>
    </row>
    <row r="102" spans="1:11" x14ac:dyDescent="0.25">
      <c r="A102" s="181"/>
      <c r="B102" s="181"/>
      <c r="C102" s="181"/>
      <c r="D102" s="19">
        <v>2021</v>
      </c>
      <c r="E102" s="20">
        <f t="shared" si="13"/>
        <v>0</v>
      </c>
      <c r="F102" s="20">
        <v>0</v>
      </c>
      <c r="G102" s="20">
        <v>0</v>
      </c>
      <c r="H102" s="20">
        <v>0</v>
      </c>
      <c r="I102" s="20">
        <v>0</v>
      </c>
      <c r="J102" s="181"/>
      <c r="K102" s="181"/>
    </row>
    <row r="103" spans="1:11" x14ac:dyDescent="0.25">
      <c r="A103" s="181"/>
      <c r="B103" s="181"/>
      <c r="C103" s="181"/>
      <c r="D103" s="19">
        <v>2022</v>
      </c>
      <c r="E103" s="20">
        <f t="shared" si="13"/>
        <v>21000</v>
      </c>
      <c r="F103" s="20">
        <v>21000</v>
      </c>
      <c r="G103" s="20">
        <v>0</v>
      </c>
      <c r="H103" s="20">
        <v>0</v>
      </c>
      <c r="I103" s="20">
        <v>0</v>
      </c>
      <c r="J103" s="181"/>
      <c r="K103" s="181"/>
    </row>
    <row r="104" spans="1:11" x14ac:dyDescent="0.25">
      <c r="A104" s="181"/>
      <c r="B104" s="181"/>
      <c r="C104" s="181"/>
      <c r="D104" s="19">
        <v>2023</v>
      </c>
      <c r="E104" s="20">
        <f t="shared" si="13"/>
        <v>26000</v>
      </c>
      <c r="F104" s="20">
        <f>26000</f>
        <v>26000</v>
      </c>
      <c r="G104" s="20">
        <v>0</v>
      </c>
      <c r="H104" s="20">
        <v>0</v>
      </c>
      <c r="I104" s="20">
        <v>0</v>
      </c>
      <c r="J104" s="181"/>
      <c r="K104" s="181"/>
    </row>
    <row r="105" spans="1:11" x14ac:dyDescent="0.25">
      <c r="A105" s="181"/>
      <c r="B105" s="181"/>
      <c r="C105" s="181"/>
      <c r="D105" s="19">
        <v>2024</v>
      </c>
      <c r="E105" s="20">
        <f t="shared" si="13"/>
        <v>26000</v>
      </c>
      <c r="F105" s="20">
        <v>26000</v>
      </c>
      <c r="G105" s="20">
        <v>0</v>
      </c>
      <c r="H105" s="20">
        <v>0</v>
      </c>
      <c r="I105" s="20">
        <v>0</v>
      </c>
      <c r="J105" s="181"/>
      <c r="K105" s="181"/>
    </row>
    <row r="106" spans="1:11" x14ac:dyDescent="0.25">
      <c r="A106" s="181"/>
      <c r="B106" s="181"/>
      <c r="C106" s="181"/>
      <c r="D106" s="19">
        <v>2025</v>
      </c>
      <c r="E106" s="20">
        <f t="shared" ref="E106:H169" si="17">SUM(F106:I106)</f>
        <v>26000</v>
      </c>
      <c r="F106" s="20">
        <v>26000</v>
      </c>
      <c r="G106" s="20">
        <v>0</v>
      </c>
      <c r="H106" s="20">
        <v>0</v>
      </c>
      <c r="I106" s="20">
        <v>0</v>
      </c>
      <c r="J106" s="181"/>
      <c r="K106" s="181"/>
    </row>
    <row r="107" spans="1:11" x14ac:dyDescent="0.25">
      <c r="A107" s="181" t="s">
        <v>832</v>
      </c>
      <c r="B107" s="181" t="s">
        <v>1119</v>
      </c>
      <c r="C107" s="181" t="s">
        <v>124</v>
      </c>
      <c r="D107" s="19" t="s">
        <v>8</v>
      </c>
      <c r="E107" s="20">
        <f t="shared" si="17"/>
        <v>9000</v>
      </c>
      <c r="F107" s="20">
        <f>SUM(F108:F112)</f>
        <v>9000</v>
      </c>
      <c r="G107" s="20">
        <f>SUM(G108:G112)</f>
        <v>0</v>
      </c>
      <c r="H107" s="20">
        <f>SUM(H108:H112)</f>
        <v>0</v>
      </c>
      <c r="I107" s="20">
        <f>SUM(I108:I112)</f>
        <v>0</v>
      </c>
      <c r="J107" s="181" t="s">
        <v>1120</v>
      </c>
      <c r="K107" s="181" t="s">
        <v>515</v>
      </c>
    </row>
    <row r="108" spans="1:11" x14ac:dyDescent="0.25">
      <c r="A108" s="181"/>
      <c r="B108" s="181"/>
      <c r="C108" s="181"/>
      <c r="D108" s="19">
        <v>2021</v>
      </c>
      <c r="E108" s="20">
        <f t="shared" si="17"/>
        <v>0</v>
      </c>
      <c r="F108" s="20">
        <v>0</v>
      </c>
      <c r="G108" s="20">
        <v>0</v>
      </c>
      <c r="H108" s="20">
        <v>0</v>
      </c>
      <c r="I108" s="20">
        <v>0</v>
      </c>
      <c r="J108" s="181"/>
      <c r="K108" s="181"/>
    </row>
    <row r="109" spans="1:11" x14ac:dyDescent="0.25">
      <c r="A109" s="181"/>
      <c r="B109" s="181"/>
      <c r="C109" s="181"/>
      <c r="D109" s="19">
        <v>2022</v>
      </c>
      <c r="E109" s="20">
        <f t="shared" si="17"/>
        <v>9000</v>
      </c>
      <c r="F109" s="20">
        <v>9000</v>
      </c>
      <c r="G109" s="20">
        <v>0</v>
      </c>
      <c r="H109" s="20">
        <v>0</v>
      </c>
      <c r="I109" s="20">
        <v>0</v>
      </c>
      <c r="J109" s="181"/>
      <c r="K109" s="181"/>
    </row>
    <row r="110" spans="1:11" x14ac:dyDescent="0.25">
      <c r="A110" s="181"/>
      <c r="B110" s="181"/>
      <c r="C110" s="181"/>
      <c r="D110" s="19">
        <v>2023</v>
      </c>
      <c r="E110" s="20">
        <f t="shared" si="17"/>
        <v>0</v>
      </c>
      <c r="F110" s="20">
        <v>0</v>
      </c>
      <c r="G110" s="20">
        <v>0</v>
      </c>
      <c r="H110" s="20">
        <v>0</v>
      </c>
      <c r="I110" s="20">
        <v>0</v>
      </c>
      <c r="J110" s="181"/>
      <c r="K110" s="181"/>
    </row>
    <row r="111" spans="1:11" x14ac:dyDescent="0.25">
      <c r="A111" s="181"/>
      <c r="B111" s="181"/>
      <c r="C111" s="181"/>
      <c r="D111" s="19">
        <v>2024</v>
      </c>
      <c r="E111" s="20">
        <f t="shared" si="17"/>
        <v>0</v>
      </c>
      <c r="F111" s="20">
        <v>0</v>
      </c>
      <c r="G111" s="20">
        <v>0</v>
      </c>
      <c r="H111" s="20">
        <v>0</v>
      </c>
      <c r="I111" s="20">
        <v>0</v>
      </c>
      <c r="J111" s="181"/>
      <c r="K111" s="181"/>
    </row>
    <row r="112" spans="1:11" x14ac:dyDescent="0.25">
      <c r="A112" s="181"/>
      <c r="B112" s="181"/>
      <c r="C112" s="181"/>
      <c r="D112" s="19">
        <v>2025</v>
      </c>
      <c r="E112" s="20">
        <f t="shared" si="17"/>
        <v>0</v>
      </c>
      <c r="F112" s="20">
        <v>0</v>
      </c>
      <c r="G112" s="20">
        <v>0</v>
      </c>
      <c r="H112" s="20">
        <v>0</v>
      </c>
      <c r="I112" s="20">
        <v>0</v>
      </c>
      <c r="J112" s="181"/>
      <c r="K112" s="181"/>
    </row>
    <row r="113" spans="1:11" x14ac:dyDescent="0.25">
      <c r="A113" s="181" t="s">
        <v>1121</v>
      </c>
      <c r="B113" s="181" t="s">
        <v>1122</v>
      </c>
      <c r="C113" s="181">
        <v>2022</v>
      </c>
      <c r="D113" s="19" t="s">
        <v>8</v>
      </c>
      <c r="E113" s="20">
        <f t="shared" si="17"/>
        <v>33359.250659999998</v>
      </c>
      <c r="F113" s="20">
        <f>SUM(F114:F118)</f>
        <v>33359.250659999998</v>
      </c>
      <c r="G113" s="20">
        <f>SUM(G114:G118)</f>
        <v>0</v>
      </c>
      <c r="H113" s="20">
        <f>SUM(H114:H118)</f>
        <v>0</v>
      </c>
      <c r="I113" s="20">
        <f>SUM(I114:I118)</f>
        <v>0</v>
      </c>
      <c r="J113" s="181" t="s">
        <v>1120</v>
      </c>
      <c r="K113" s="181" t="s">
        <v>515</v>
      </c>
    </row>
    <row r="114" spans="1:11" x14ac:dyDescent="0.25">
      <c r="A114" s="181"/>
      <c r="B114" s="181"/>
      <c r="C114" s="181"/>
      <c r="D114" s="19">
        <v>2021</v>
      </c>
      <c r="E114" s="20">
        <f t="shared" si="17"/>
        <v>0</v>
      </c>
      <c r="F114" s="20">
        <v>0</v>
      </c>
      <c r="G114" s="20">
        <v>0</v>
      </c>
      <c r="H114" s="20">
        <v>0</v>
      </c>
      <c r="I114" s="20">
        <v>0</v>
      </c>
      <c r="J114" s="181"/>
      <c r="K114" s="181"/>
    </row>
    <row r="115" spans="1:11" x14ac:dyDescent="0.25">
      <c r="A115" s="181"/>
      <c r="B115" s="181"/>
      <c r="C115" s="181"/>
      <c r="D115" s="19">
        <v>2022</v>
      </c>
      <c r="E115" s="20">
        <f t="shared" si="17"/>
        <v>33359.250659999998</v>
      </c>
      <c r="F115" s="20">
        <f>33194.388+164.86266</f>
        <v>33359.250659999998</v>
      </c>
      <c r="G115" s="20">
        <v>0</v>
      </c>
      <c r="H115" s="20">
        <v>0</v>
      </c>
      <c r="I115" s="20">
        <v>0</v>
      </c>
      <c r="J115" s="181"/>
      <c r="K115" s="181"/>
    </row>
    <row r="116" spans="1:11" x14ac:dyDescent="0.25">
      <c r="A116" s="181"/>
      <c r="B116" s="181"/>
      <c r="C116" s="181"/>
      <c r="D116" s="19">
        <v>2023</v>
      </c>
      <c r="E116" s="20">
        <f t="shared" si="17"/>
        <v>0</v>
      </c>
      <c r="F116" s="20">
        <f t="shared" si="17"/>
        <v>0</v>
      </c>
      <c r="G116" s="20">
        <f t="shared" si="17"/>
        <v>0</v>
      </c>
      <c r="H116" s="20">
        <f t="shared" si="17"/>
        <v>0</v>
      </c>
      <c r="I116" s="20">
        <v>0</v>
      </c>
      <c r="J116" s="181"/>
      <c r="K116" s="181"/>
    </row>
    <row r="117" spans="1:11" x14ac:dyDescent="0.25">
      <c r="A117" s="181"/>
      <c r="B117" s="181"/>
      <c r="C117" s="181"/>
      <c r="D117" s="19">
        <v>2024</v>
      </c>
      <c r="E117" s="20">
        <f t="shared" si="17"/>
        <v>0</v>
      </c>
      <c r="F117" s="20">
        <f t="shared" si="17"/>
        <v>0</v>
      </c>
      <c r="G117" s="20">
        <f t="shared" si="17"/>
        <v>0</v>
      </c>
      <c r="H117" s="20">
        <f t="shared" si="17"/>
        <v>0</v>
      </c>
      <c r="I117" s="20">
        <v>0</v>
      </c>
      <c r="J117" s="181"/>
      <c r="K117" s="181"/>
    </row>
    <row r="118" spans="1:11" x14ac:dyDescent="0.25">
      <c r="A118" s="181"/>
      <c r="B118" s="181"/>
      <c r="C118" s="181"/>
      <c r="D118" s="19">
        <v>2025</v>
      </c>
      <c r="E118" s="20">
        <f t="shared" si="17"/>
        <v>0</v>
      </c>
      <c r="F118" s="20">
        <f t="shared" si="17"/>
        <v>0</v>
      </c>
      <c r="G118" s="20">
        <f t="shared" si="17"/>
        <v>0</v>
      </c>
      <c r="H118" s="20">
        <f t="shared" si="17"/>
        <v>0</v>
      </c>
      <c r="I118" s="20">
        <v>0</v>
      </c>
      <c r="J118" s="181"/>
      <c r="K118" s="181"/>
    </row>
    <row r="119" spans="1:11" x14ac:dyDescent="0.25">
      <c r="A119" s="181" t="s">
        <v>1123</v>
      </c>
      <c r="B119" s="181" t="s">
        <v>1124</v>
      </c>
      <c r="C119" s="181" t="s">
        <v>1125</v>
      </c>
      <c r="D119" s="19" t="s">
        <v>8</v>
      </c>
      <c r="E119" s="20">
        <f t="shared" si="17"/>
        <v>32210.526320000001</v>
      </c>
      <c r="F119" s="20">
        <f>SUM(F120:F124)</f>
        <v>27000</v>
      </c>
      <c r="G119" s="20">
        <f>SUM(G120:G124)</f>
        <v>0</v>
      </c>
      <c r="H119" s="20">
        <f>SUM(H120:H124)</f>
        <v>5210.5263199999999</v>
      </c>
      <c r="I119" s="20">
        <f>SUM(I120:I124)</f>
        <v>0</v>
      </c>
      <c r="J119" s="181" t="s">
        <v>1120</v>
      </c>
      <c r="K119" s="181" t="s">
        <v>515</v>
      </c>
    </row>
    <row r="120" spans="1:11" x14ac:dyDescent="0.25">
      <c r="A120" s="181"/>
      <c r="B120" s="181"/>
      <c r="C120" s="181"/>
      <c r="D120" s="19">
        <v>2021</v>
      </c>
      <c r="E120" s="20">
        <f t="shared" si="17"/>
        <v>0</v>
      </c>
      <c r="F120" s="20">
        <v>0</v>
      </c>
      <c r="G120" s="20">
        <v>0</v>
      </c>
      <c r="H120" s="20">
        <v>0</v>
      </c>
      <c r="I120" s="20">
        <v>0</v>
      </c>
      <c r="J120" s="181"/>
      <c r="K120" s="181"/>
    </row>
    <row r="121" spans="1:11" x14ac:dyDescent="0.25">
      <c r="A121" s="181"/>
      <c r="B121" s="181"/>
      <c r="C121" s="181"/>
      <c r="D121" s="19">
        <v>2022</v>
      </c>
      <c r="E121" s="20">
        <f t="shared" si="17"/>
        <v>0</v>
      </c>
      <c r="F121" s="20">
        <v>0</v>
      </c>
      <c r="G121" s="20">
        <v>0</v>
      </c>
      <c r="H121" s="20">
        <v>0</v>
      </c>
      <c r="I121" s="20">
        <v>0</v>
      </c>
      <c r="J121" s="181"/>
      <c r="K121" s="181"/>
    </row>
    <row r="122" spans="1:11" x14ac:dyDescent="0.25">
      <c r="A122" s="181"/>
      <c r="B122" s="181"/>
      <c r="C122" s="181"/>
      <c r="D122" s="19">
        <v>2023</v>
      </c>
      <c r="E122" s="20">
        <f t="shared" si="17"/>
        <v>14210.526320000001</v>
      </c>
      <c r="F122" s="20">
        <v>9000</v>
      </c>
      <c r="G122" s="20">
        <v>0</v>
      </c>
      <c r="H122" s="20">
        <v>5210.5263199999999</v>
      </c>
      <c r="I122" s="20">
        <v>0</v>
      </c>
      <c r="J122" s="181"/>
      <c r="K122" s="181"/>
    </row>
    <row r="123" spans="1:11" x14ac:dyDescent="0.25">
      <c r="A123" s="181"/>
      <c r="B123" s="181"/>
      <c r="C123" s="181"/>
      <c r="D123" s="19">
        <v>2024</v>
      </c>
      <c r="E123" s="20">
        <f t="shared" si="17"/>
        <v>9000</v>
      </c>
      <c r="F123" s="20">
        <v>9000</v>
      </c>
      <c r="G123" s="20">
        <v>0</v>
      </c>
      <c r="H123" s="20">
        <v>0</v>
      </c>
      <c r="I123" s="20">
        <v>0</v>
      </c>
      <c r="J123" s="181"/>
      <c r="K123" s="181"/>
    </row>
    <row r="124" spans="1:11" x14ac:dyDescent="0.25">
      <c r="A124" s="181"/>
      <c r="B124" s="181"/>
      <c r="C124" s="181"/>
      <c r="D124" s="19">
        <v>2025</v>
      </c>
      <c r="E124" s="20">
        <f t="shared" si="17"/>
        <v>9000</v>
      </c>
      <c r="F124" s="20">
        <v>9000</v>
      </c>
      <c r="G124" s="20">
        <v>0</v>
      </c>
      <c r="H124" s="20">
        <v>0</v>
      </c>
      <c r="I124" s="20">
        <v>0</v>
      </c>
      <c r="J124" s="181"/>
      <c r="K124" s="181"/>
    </row>
    <row r="125" spans="1:11" x14ac:dyDescent="0.25">
      <c r="A125" s="181" t="s">
        <v>1126</v>
      </c>
      <c r="B125" s="181" t="s">
        <v>1127</v>
      </c>
      <c r="C125" s="181" t="s">
        <v>1125</v>
      </c>
      <c r="D125" s="19" t="s">
        <v>8</v>
      </c>
      <c r="E125" s="20">
        <f t="shared" si="17"/>
        <v>112275.26502000001</v>
      </c>
      <c r="F125" s="20">
        <f>SUM(F126:F130)</f>
        <v>105000</v>
      </c>
      <c r="G125" s="20">
        <f>SUM(G126:G130)</f>
        <v>0</v>
      </c>
      <c r="H125" s="20">
        <f>SUM(H126:H130)</f>
        <v>7275.2650199999998</v>
      </c>
      <c r="I125" s="20">
        <f>SUM(I126:I130)</f>
        <v>0</v>
      </c>
      <c r="J125" s="181" t="s">
        <v>1120</v>
      </c>
      <c r="K125" s="181" t="s">
        <v>515</v>
      </c>
    </row>
    <row r="126" spans="1:11" x14ac:dyDescent="0.25">
      <c r="A126" s="181"/>
      <c r="B126" s="181"/>
      <c r="C126" s="181"/>
      <c r="D126" s="19">
        <v>2021</v>
      </c>
      <c r="E126" s="20">
        <f t="shared" si="17"/>
        <v>0</v>
      </c>
      <c r="F126" s="20">
        <v>0</v>
      </c>
      <c r="G126" s="20">
        <f t="shared" ref="G126:H130" si="18">SUM(H126:K126)</f>
        <v>0</v>
      </c>
      <c r="H126" s="20">
        <f t="shared" si="18"/>
        <v>0</v>
      </c>
      <c r="I126" s="20">
        <v>0</v>
      </c>
      <c r="J126" s="181"/>
      <c r="K126" s="181"/>
    </row>
    <row r="127" spans="1:11" x14ac:dyDescent="0.25">
      <c r="A127" s="181"/>
      <c r="B127" s="181"/>
      <c r="C127" s="181"/>
      <c r="D127" s="19">
        <v>2022</v>
      </c>
      <c r="E127" s="20">
        <f t="shared" si="17"/>
        <v>0</v>
      </c>
      <c r="F127" s="20">
        <v>0</v>
      </c>
      <c r="G127" s="20">
        <f t="shared" si="18"/>
        <v>0</v>
      </c>
      <c r="H127" s="20">
        <f t="shared" si="18"/>
        <v>0</v>
      </c>
      <c r="I127" s="20">
        <v>0</v>
      </c>
      <c r="J127" s="181"/>
      <c r="K127" s="181"/>
    </row>
    <row r="128" spans="1:11" x14ac:dyDescent="0.25">
      <c r="A128" s="181"/>
      <c r="B128" s="181"/>
      <c r="C128" s="181"/>
      <c r="D128" s="19">
        <v>2023</v>
      </c>
      <c r="E128" s="20">
        <f t="shared" si="17"/>
        <v>42275.265019999999</v>
      </c>
      <c r="F128" s="20">
        <v>35000</v>
      </c>
      <c r="G128" s="20"/>
      <c r="H128" s="20">
        <v>7275.2650199999998</v>
      </c>
      <c r="I128" s="20">
        <v>0</v>
      </c>
      <c r="J128" s="181"/>
      <c r="K128" s="181"/>
    </row>
    <row r="129" spans="1:11" x14ac:dyDescent="0.25">
      <c r="A129" s="181"/>
      <c r="B129" s="181"/>
      <c r="C129" s="181"/>
      <c r="D129" s="19">
        <v>2024</v>
      </c>
      <c r="E129" s="20">
        <f t="shared" si="17"/>
        <v>35000</v>
      </c>
      <c r="F129" s="20">
        <v>35000</v>
      </c>
      <c r="G129" s="20">
        <f t="shared" si="18"/>
        <v>0</v>
      </c>
      <c r="H129" s="20">
        <f t="shared" si="18"/>
        <v>0</v>
      </c>
      <c r="I129" s="20">
        <v>0</v>
      </c>
      <c r="J129" s="181"/>
      <c r="K129" s="181"/>
    </row>
    <row r="130" spans="1:11" x14ac:dyDescent="0.25">
      <c r="A130" s="181"/>
      <c r="B130" s="181"/>
      <c r="C130" s="181"/>
      <c r="D130" s="19">
        <v>2025</v>
      </c>
      <c r="E130" s="20">
        <f t="shared" si="17"/>
        <v>35000</v>
      </c>
      <c r="F130" s="20">
        <v>35000</v>
      </c>
      <c r="G130" s="20">
        <f t="shared" si="18"/>
        <v>0</v>
      </c>
      <c r="H130" s="20">
        <f t="shared" si="18"/>
        <v>0</v>
      </c>
      <c r="I130" s="20">
        <v>0</v>
      </c>
      <c r="J130" s="181"/>
      <c r="K130" s="181"/>
    </row>
    <row r="131" spans="1:11" x14ac:dyDescent="0.25">
      <c r="A131" s="181" t="s">
        <v>1128</v>
      </c>
      <c r="B131" s="181" t="s">
        <v>1129</v>
      </c>
      <c r="C131" s="181" t="s">
        <v>1125</v>
      </c>
      <c r="D131" s="19" t="s">
        <v>8</v>
      </c>
      <c r="E131" s="20">
        <f t="shared" si="17"/>
        <v>28894.679</v>
      </c>
      <c r="F131" s="20">
        <f>SUM(F132:F136)</f>
        <v>28894.679</v>
      </c>
      <c r="G131" s="20">
        <f t="shared" ref="G131:H143" si="19">SUM(G132:G136)</f>
        <v>0</v>
      </c>
      <c r="H131" s="20">
        <f t="shared" si="19"/>
        <v>0</v>
      </c>
      <c r="I131" s="20">
        <f>SUM(I132:I136)</f>
        <v>0</v>
      </c>
      <c r="J131" s="181" t="s">
        <v>1130</v>
      </c>
      <c r="K131" s="181" t="s">
        <v>484</v>
      </c>
    </row>
    <row r="132" spans="1:11" x14ac:dyDescent="0.25">
      <c r="A132" s="181"/>
      <c r="B132" s="181"/>
      <c r="C132" s="181"/>
      <c r="D132" s="19">
        <v>2021</v>
      </c>
      <c r="E132" s="20">
        <f t="shared" si="17"/>
        <v>0</v>
      </c>
      <c r="F132" s="20">
        <v>0</v>
      </c>
      <c r="G132" s="20">
        <v>0</v>
      </c>
      <c r="H132" s="20">
        <v>0</v>
      </c>
      <c r="I132" s="20">
        <v>0</v>
      </c>
      <c r="J132" s="181"/>
      <c r="K132" s="181"/>
    </row>
    <row r="133" spans="1:11" x14ac:dyDescent="0.25">
      <c r="A133" s="181"/>
      <c r="B133" s="181"/>
      <c r="C133" s="181"/>
      <c r="D133" s="19">
        <v>2022</v>
      </c>
      <c r="E133" s="20">
        <f t="shared" si="17"/>
        <v>0</v>
      </c>
      <c r="F133" s="20">
        <v>0</v>
      </c>
      <c r="G133" s="20">
        <v>0</v>
      </c>
      <c r="H133" s="20">
        <v>0</v>
      </c>
      <c r="I133" s="20">
        <v>0</v>
      </c>
      <c r="J133" s="181"/>
      <c r="K133" s="181"/>
    </row>
    <row r="134" spans="1:11" x14ac:dyDescent="0.25">
      <c r="A134" s="181"/>
      <c r="B134" s="181"/>
      <c r="C134" s="181"/>
      <c r="D134" s="19">
        <v>2023</v>
      </c>
      <c r="E134" s="20">
        <f t="shared" si="17"/>
        <v>894.67900000000009</v>
      </c>
      <c r="F134" s="20">
        <f>14000-5000-8105.321</f>
        <v>894.67900000000009</v>
      </c>
      <c r="G134" s="20">
        <v>0</v>
      </c>
      <c r="H134" s="20">
        <v>0</v>
      </c>
      <c r="I134" s="20">
        <v>0</v>
      </c>
      <c r="J134" s="181"/>
      <c r="K134" s="181"/>
    </row>
    <row r="135" spans="1:11" x14ac:dyDescent="0.25">
      <c r="A135" s="181"/>
      <c r="B135" s="181"/>
      <c r="C135" s="181"/>
      <c r="D135" s="19">
        <v>2024</v>
      </c>
      <c r="E135" s="20">
        <f t="shared" si="17"/>
        <v>14000</v>
      </c>
      <c r="F135" s="20">
        <v>14000</v>
      </c>
      <c r="G135" s="20">
        <v>0</v>
      </c>
      <c r="H135" s="20">
        <v>0</v>
      </c>
      <c r="I135" s="20">
        <v>0</v>
      </c>
      <c r="J135" s="181"/>
      <c r="K135" s="181"/>
    </row>
    <row r="136" spans="1:11" x14ac:dyDescent="0.25">
      <c r="A136" s="181"/>
      <c r="B136" s="181"/>
      <c r="C136" s="181"/>
      <c r="D136" s="19">
        <v>2025</v>
      </c>
      <c r="E136" s="20">
        <f t="shared" si="17"/>
        <v>14000</v>
      </c>
      <c r="F136" s="20">
        <v>14000</v>
      </c>
      <c r="G136" s="20">
        <v>0</v>
      </c>
      <c r="H136" s="20">
        <v>0</v>
      </c>
      <c r="I136" s="20">
        <v>0</v>
      </c>
      <c r="J136" s="181"/>
      <c r="K136" s="181"/>
    </row>
    <row r="137" spans="1:11" x14ac:dyDescent="0.25">
      <c r="A137" s="181" t="s">
        <v>1738</v>
      </c>
      <c r="B137" s="181" t="s">
        <v>1744</v>
      </c>
      <c r="C137" s="181" t="s">
        <v>1125</v>
      </c>
      <c r="D137" s="19" t="s">
        <v>8</v>
      </c>
      <c r="E137" s="20">
        <f>SUM(E138:E142)</f>
        <v>5000</v>
      </c>
      <c r="F137" s="20">
        <v>0</v>
      </c>
      <c r="G137" s="20">
        <v>0</v>
      </c>
      <c r="H137" s="20">
        <v>0</v>
      </c>
      <c r="I137" s="20">
        <v>0</v>
      </c>
      <c r="J137" s="181" t="s">
        <v>1739</v>
      </c>
      <c r="K137" s="181" t="s">
        <v>484</v>
      </c>
    </row>
    <row r="138" spans="1:11" x14ac:dyDescent="0.25">
      <c r="A138" s="181"/>
      <c r="B138" s="181"/>
      <c r="C138" s="181"/>
      <c r="D138" s="19">
        <v>2021</v>
      </c>
      <c r="E138" s="20">
        <f t="shared" ref="E138:E142" si="20">SUM(F138:I138)</f>
        <v>0</v>
      </c>
      <c r="F138" s="20">
        <v>0</v>
      </c>
      <c r="G138" s="20">
        <v>0</v>
      </c>
      <c r="H138" s="20">
        <v>0</v>
      </c>
      <c r="I138" s="20">
        <v>0</v>
      </c>
      <c r="J138" s="181"/>
      <c r="K138" s="181"/>
    </row>
    <row r="139" spans="1:11" x14ac:dyDescent="0.25">
      <c r="A139" s="181"/>
      <c r="B139" s="181"/>
      <c r="C139" s="181"/>
      <c r="D139" s="19">
        <v>2022</v>
      </c>
      <c r="E139" s="20">
        <f t="shared" si="20"/>
        <v>0</v>
      </c>
      <c r="F139" s="20">
        <v>0</v>
      </c>
      <c r="G139" s="20">
        <v>0</v>
      </c>
      <c r="H139" s="20">
        <v>0</v>
      </c>
      <c r="I139" s="20">
        <v>0</v>
      </c>
      <c r="J139" s="181"/>
      <c r="K139" s="181"/>
    </row>
    <row r="140" spans="1:11" x14ac:dyDescent="0.25">
      <c r="A140" s="181"/>
      <c r="B140" s="181"/>
      <c r="C140" s="181"/>
      <c r="D140" s="19">
        <v>2023</v>
      </c>
      <c r="E140" s="20">
        <f t="shared" si="20"/>
        <v>5000</v>
      </c>
      <c r="F140" s="20">
        <v>5000</v>
      </c>
      <c r="G140" s="20">
        <v>0</v>
      </c>
      <c r="H140" s="20"/>
      <c r="I140" s="20">
        <v>0</v>
      </c>
      <c r="J140" s="181"/>
      <c r="K140" s="181"/>
    </row>
    <row r="141" spans="1:11" x14ac:dyDescent="0.25">
      <c r="A141" s="181"/>
      <c r="B141" s="181"/>
      <c r="C141" s="181"/>
      <c r="D141" s="19">
        <v>2024</v>
      </c>
      <c r="E141" s="20">
        <f t="shared" si="20"/>
        <v>0</v>
      </c>
      <c r="F141" s="20">
        <v>0</v>
      </c>
      <c r="G141" s="20">
        <v>0</v>
      </c>
      <c r="H141" s="20">
        <v>0</v>
      </c>
      <c r="I141" s="20">
        <v>0</v>
      </c>
      <c r="J141" s="181"/>
      <c r="K141" s="181"/>
    </row>
    <row r="142" spans="1:11" x14ac:dyDescent="0.25">
      <c r="A142" s="181"/>
      <c r="B142" s="181"/>
      <c r="C142" s="181"/>
      <c r="D142" s="19">
        <v>2025</v>
      </c>
      <c r="E142" s="20">
        <f t="shared" si="20"/>
        <v>0</v>
      </c>
      <c r="F142" s="20">
        <v>0</v>
      </c>
      <c r="G142" s="20">
        <v>0</v>
      </c>
      <c r="H142" s="20">
        <v>0</v>
      </c>
      <c r="I142" s="20">
        <v>0</v>
      </c>
      <c r="J142" s="181"/>
      <c r="K142" s="181"/>
    </row>
    <row r="143" spans="1:11" x14ac:dyDescent="0.25">
      <c r="A143" s="181" t="s">
        <v>39</v>
      </c>
      <c r="B143" s="181" t="s">
        <v>40</v>
      </c>
      <c r="C143" s="181" t="s">
        <v>14</v>
      </c>
      <c r="D143" s="19" t="s">
        <v>8</v>
      </c>
      <c r="E143" s="20">
        <f t="shared" si="17"/>
        <v>59758.426749999991</v>
      </c>
      <c r="F143" s="20">
        <f>SUM(F144:F148)</f>
        <v>36075.119269999996</v>
      </c>
      <c r="G143" s="20">
        <f t="shared" si="19"/>
        <v>23683.307479999996</v>
      </c>
      <c r="H143" s="20">
        <f>SUM(H144:H148)</f>
        <v>0</v>
      </c>
      <c r="I143" s="20">
        <f>SUM(I144:I148)</f>
        <v>0</v>
      </c>
      <c r="J143" s="181" t="s">
        <v>509</v>
      </c>
      <c r="K143" s="181" t="s">
        <v>510</v>
      </c>
    </row>
    <row r="144" spans="1:11" x14ac:dyDescent="0.25">
      <c r="A144" s="181"/>
      <c r="B144" s="181"/>
      <c r="C144" s="181"/>
      <c r="D144" s="19">
        <v>2021</v>
      </c>
      <c r="E144" s="20">
        <f t="shared" si="17"/>
        <v>27116.562749999997</v>
      </c>
      <c r="F144" s="20">
        <f t="shared" ref="F144:I148" si="21">F156+F168+F150+F162</f>
        <v>6916.3637500000004</v>
      </c>
      <c r="G144" s="20">
        <f t="shared" si="21"/>
        <v>20200.198999999997</v>
      </c>
      <c r="H144" s="20">
        <f t="shared" si="21"/>
        <v>0</v>
      </c>
      <c r="I144" s="20">
        <f t="shared" si="21"/>
        <v>0</v>
      </c>
      <c r="J144" s="181"/>
      <c r="K144" s="181"/>
    </row>
    <row r="145" spans="1:12" x14ac:dyDescent="0.25">
      <c r="A145" s="181"/>
      <c r="B145" s="181"/>
      <c r="C145" s="181"/>
      <c r="D145" s="19">
        <v>2022</v>
      </c>
      <c r="E145" s="20">
        <f t="shared" si="17"/>
        <v>9977.7219999999998</v>
      </c>
      <c r="F145" s="20">
        <f t="shared" si="21"/>
        <v>7610.2449999999999</v>
      </c>
      <c r="G145" s="20">
        <f t="shared" si="21"/>
        <v>2367.4769999999999</v>
      </c>
      <c r="H145" s="20">
        <f t="shared" si="21"/>
        <v>0</v>
      </c>
      <c r="I145" s="20">
        <f t="shared" si="21"/>
        <v>0</v>
      </c>
      <c r="J145" s="181"/>
      <c r="K145" s="181"/>
    </row>
    <row r="146" spans="1:12" x14ac:dyDescent="0.25">
      <c r="A146" s="181"/>
      <c r="B146" s="181"/>
      <c r="C146" s="181"/>
      <c r="D146" s="19">
        <v>2023</v>
      </c>
      <c r="E146" s="20">
        <f t="shared" si="17"/>
        <v>8345.9419999999991</v>
      </c>
      <c r="F146" s="20">
        <f t="shared" si="21"/>
        <v>7230.31052</v>
      </c>
      <c r="G146" s="20">
        <f t="shared" si="21"/>
        <v>1115.63148</v>
      </c>
      <c r="H146" s="20">
        <f t="shared" si="21"/>
        <v>0</v>
      </c>
      <c r="I146" s="20">
        <f t="shared" si="21"/>
        <v>0</v>
      </c>
      <c r="J146" s="181"/>
      <c r="K146" s="181"/>
    </row>
    <row r="147" spans="1:12" x14ac:dyDescent="0.25">
      <c r="A147" s="181"/>
      <c r="B147" s="181"/>
      <c r="C147" s="181"/>
      <c r="D147" s="19">
        <v>2024</v>
      </c>
      <c r="E147" s="20">
        <f t="shared" si="17"/>
        <v>7159.1</v>
      </c>
      <c r="F147" s="20">
        <f t="shared" si="21"/>
        <v>7159.1</v>
      </c>
      <c r="G147" s="20">
        <f t="shared" si="21"/>
        <v>0</v>
      </c>
      <c r="H147" s="20">
        <f t="shared" si="21"/>
        <v>0</v>
      </c>
      <c r="I147" s="20">
        <f t="shared" si="21"/>
        <v>0</v>
      </c>
      <c r="J147" s="181"/>
      <c r="K147" s="181"/>
    </row>
    <row r="148" spans="1:12" x14ac:dyDescent="0.25">
      <c r="A148" s="181"/>
      <c r="B148" s="181"/>
      <c r="C148" s="181"/>
      <c r="D148" s="19">
        <v>2025</v>
      </c>
      <c r="E148" s="20">
        <f t="shared" si="17"/>
        <v>7159.1</v>
      </c>
      <c r="F148" s="20">
        <f t="shared" si="21"/>
        <v>7159.1</v>
      </c>
      <c r="G148" s="20">
        <f t="shared" si="21"/>
        <v>0</v>
      </c>
      <c r="H148" s="20">
        <f t="shared" si="21"/>
        <v>0</v>
      </c>
      <c r="I148" s="20">
        <f t="shared" si="21"/>
        <v>0</v>
      </c>
      <c r="J148" s="181"/>
      <c r="K148" s="181"/>
    </row>
    <row r="149" spans="1:12" x14ac:dyDescent="0.25">
      <c r="A149" s="181" t="s">
        <v>44</v>
      </c>
      <c r="B149" s="181" t="s">
        <v>45</v>
      </c>
      <c r="C149" s="181" t="s">
        <v>41</v>
      </c>
      <c r="D149" s="19" t="s">
        <v>8</v>
      </c>
      <c r="E149" s="20">
        <f t="shared" si="17"/>
        <v>5045.5297499999997</v>
      </c>
      <c r="F149" s="20">
        <f>SUM(F150:F154)</f>
        <v>302.73126999999999</v>
      </c>
      <c r="G149" s="20">
        <f>SUM(G150:G154)</f>
        <v>4742.7984799999995</v>
      </c>
      <c r="H149" s="20">
        <f>SUM(H150:H154)</f>
        <v>0</v>
      </c>
      <c r="I149" s="20">
        <f>SUM(I150:I154)</f>
        <v>0</v>
      </c>
      <c r="J149" s="181" t="s">
        <v>1740</v>
      </c>
      <c r="K149" s="181" t="s">
        <v>512</v>
      </c>
    </row>
    <row r="150" spans="1:12" x14ac:dyDescent="0.25">
      <c r="A150" s="181"/>
      <c r="B150" s="181"/>
      <c r="C150" s="181"/>
      <c r="D150" s="19">
        <v>2021</v>
      </c>
      <c r="E150" s="20">
        <f t="shared" si="17"/>
        <v>1340.09575</v>
      </c>
      <c r="F150" s="20">
        <v>80.405749999999998</v>
      </c>
      <c r="G150" s="20">
        <v>1259.69</v>
      </c>
      <c r="H150" s="20">
        <v>0</v>
      </c>
      <c r="I150" s="20">
        <v>0</v>
      </c>
      <c r="J150" s="181"/>
      <c r="K150" s="181"/>
    </row>
    <row r="151" spans="1:12" x14ac:dyDescent="0.25">
      <c r="A151" s="181"/>
      <c r="B151" s="181"/>
      <c r="C151" s="181"/>
      <c r="D151" s="19">
        <v>2022</v>
      </c>
      <c r="E151" s="20">
        <f t="shared" si="17"/>
        <v>2518.5919999999996</v>
      </c>
      <c r="F151" s="20">
        <v>151.11500000000001</v>
      </c>
      <c r="G151" s="20">
        <v>2367.4769999999999</v>
      </c>
      <c r="H151" s="20">
        <v>0</v>
      </c>
      <c r="I151" s="20">
        <v>0</v>
      </c>
      <c r="J151" s="181"/>
      <c r="K151" s="181"/>
    </row>
    <row r="152" spans="1:12" x14ac:dyDescent="0.25">
      <c r="A152" s="181"/>
      <c r="B152" s="181"/>
      <c r="C152" s="181"/>
      <c r="D152" s="19">
        <v>2023</v>
      </c>
      <c r="E152" s="20">
        <f t="shared" si="17"/>
        <v>1186.8420000000001</v>
      </c>
      <c r="F152" s="20">
        <v>71.210520000000002</v>
      </c>
      <c r="G152" s="20">
        <v>1115.63148</v>
      </c>
      <c r="H152" s="20">
        <v>0</v>
      </c>
      <c r="I152" s="20">
        <v>0</v>
      </c>
      <c r="J152" s="181"/>
      <c r="K152" s="181"/>
    </row>
    <row r="153" spans="1:12" x14ac:dyDescent="0.25">
      <c r="A153" s="181"/>
      <c r="B153" s="181"/>
      <c r="C153" s="181"/>
      <c r="D153" s="19">
        <v>2024</v>
      </c>
      <c r="E153" s="20">
        <f t="shared" si="17"/>
        <v>0</v>
      </c>
      <c r="F153" s="20">
        <v>0</v>
      </c>
      <c r="G153" s="20">
        <v>0</v>
      </c>
      <c r="H153" s="20">
        <v>0</v>
      </c>
      <c r="I153" s="20">
        <v>0</v>
      </c>
      <c r="J153" s="181"/>
      <c r="K153" s="181"/>
    </row>
    <row r="154" spans="1:12" x14ac:dyDescent="0.25">
      <c r="A154" s="181"/>
      <c r="B154" s="181"/>
      <c r="C154" s="181"/>
      <c r="D154" s="19">
        <v>2025</v>
      </c>
      <c r="E154" s="20">
        <f t="shared" si="17"/>
        <v>0</v>
      </c>
      <c r="F154" s="20">
        <v>0</v>
      </c>
      <c r="G154" s="20">
        <v>0</v>
      </c>
      <c r="H154" s="20">
        <v>0</v>
      </c>
      <c r="I154" s="20">
        <v>0</v>
      </c>
      <c r="J154" s="181"/>
      <c r="K154" s="181"/>
    </row>
    <row r="155" spans="1:12" x14ac:dyDescent="0.25">
      <c r="A155" s="181" t="s">
        <v>48</v>
      </c>
      <c r="B155" s="181" t="s">
        <v>1131</v>
      </c>
      <c r="C155" s="181" t="s">
        <v>14</v>
      </c>
      <c r="D155" s="19" t="s">
        <v>8</v>
      </c>
      <c r="E155" s="20">
        <f t="shared" si="17"/>
        <v>14567.95</v>
      </c>
      <c r="F155" s="20">
        <f>SUM(F156:F160)</f>
        <v>14567.95</v>
      </c>
      <c r="G155" s="20">
        <f>SUM(G156:G160)</f>
        <v>0</v>
      </c>
      <c r="H155" s="20">
        <f>SUM(H156:H160)</f>
        <v>0</v>
      </c>
      <c r="I155" s="20">
        <f>SUM(I156:I160)</f>
        <v>0</v>
      </c>
      <c r="J155" s="181" t="s">
        <v>50</v>
      </c>
      <c r="K155" s="181" t="s">
        <v>484</v>
      </c>
      <c r="L155" s="180"/>
    </row>
    <row r="156" spans="1:12" x14ac:dyDescent="0.25">
      <c r="A156" s="181"/>
      <c r="B156" s="181"/>
      <c r="C156" s="181"/>
      <c r="D156" s="19">
        <v>2021</v>
      </c>
      <c r="E156" s="20">
        <f t="shared" si="17"/>
        <v>1631.52</v>
      </c>
      <c r="F156" s="20">
        <v>1631.52</v>
      </c>
      <c r="G156" s="20">
        <v>0</v>
      </c>
      <c r="H156" s="20">
        <v>0</v>
      </c>
      <c r="I156" s="20">
        <v>0</v>
      </c>
      <c r="J156" s="181"/>
      <c r="K156" s="181"/>
      <c r="L156" s="180"/>
    </row>
    <row r="157" spans="1:12" x14ac:dyDescent="0.25">
      <c r="A157" s="181"/>
      <c r="B157" s="181"/>
      <c r="C157" s="181"/>
      <c r="D157" s="19">
        <v>2022</v>
      </c>
      <c r="E157" s="20">
        <f t="shared" si="17"/>
        <v>3459.13</v>
      </c>
      <c r="F157" s="20">
        <v>3459.13</v>
      </c>
      <c r="G157" s="20">
        <v>0</v>
      </c>
      <c r="H157" s="20">
        <v>0</v>
      </c>
      <c r="I157" s="20">
        <v>0</v>
      </c>
      <c r="J157" s="181"/>
      <c r="K157" s="181"/>
      <c r="L157" s="180"/>
    </row>
    <row r="158" spans="1:12" x14ac:dyDescent="0.25">
      <c r="A158" s="181"/>
      <c r="B158" s="181"/>
      <c r="C158" s="181"/>
      <c r="D158" s="19">
        <v>2023</v>
      </c>
      <c r="E158" s="20">
        <f t="shared" si="17"/>
        <v>3159.1</v>
      </c>
      <c r="F158" s="20">
        <v>3159.1</v>
      </c>
      <c r="G158" s="20">
        <v>0</v>
      </c>
      <c r="H158" s="20">
        <v>0</v>
      </c>
      <c r="I158" s="20">
        <v>0</v>
      </c>
      <c r="J158" s="181"/>
      <c r="K158" s="181"/>
      <c r="L158" s="180"/>
    </row>
    <row r="159" spans="1:12" x14ac:dyDescent="0.25">
      <c r="A159" s="181"/>
      <c r="B159" s="181"/>
      <c r="C159" s="181"/>
      <c r="D159" s="19">
        <v>2024</v>
      </c>
      <c r="E159" s="20">
        <f t="shared" si="17"/>
        <v>3159.1</v>
      </c>
      <c r="F159" s="20">
        <v>3159.1</v>
      </c>
      <c r="G159" s="20">
        <v>0</v>
      </c>
      <c r="H159" s="20">
        <v>0</v>
      </c>
      <c r="I159" s="20">
        <v>0</v>
      </c>
      <c r="J159" s="181"/>
      <c r="K159" s="181"/>
      <c r="L159" s="180"/>
    </row>
    <row r="160" spans="1:12" x14ac:dyDescent="0.25">
      <c r="A160" s="181"/>
      <c r="B160" s="181"/>
      <c r="C160" s="181"/>
      <c r="D160" s="19">
        <v>2025</v>
      </c>
      <c r="E160" s="20">
        <f t="shared" si="17"/>
        <v>3159.1</v>
      </c>
      <c r="F160" s="20">
        <v>3159.1</v>
      </c>
      <c r="G160" s="20">
        <v>0</v>
      </c>
      <c r="H160" s="20">
        <v>0</v>
      </c>
      <c r="I160" s="20">
        <v>0</v>
      </c>
      <c r="J160" s="181"/>
      <c r="K160" s="181"/>
      <c r="L160" s="180"/>
    </row>
    <row r="161" spans="1:12" x14ac:dyDescent="0.25">
      <c r="A161" s="181" t="s">
        <v>51</v>
      </c>
      <c r="B161" s="181" t="s">
        <v>52</v>
      </c>
      <c r="C161" s="181" t="s">
        <v>14</v>
      </c>
      <c r="D161" s="19" t="s">
        <v>8</v>
      </c>
      <c r="E161" s="20">
        <f t="shared" si="17"/>
        <v>19995.47</v>
      </c>
      <c r="F161" s="20">
        <f>SUM(F162:F166)</f>
        <v>19995.47</v>
      </c>
      <c r="G161" s="20">
        <f>SUM(G162:G166)</f>
        <v>0</v>
      </c>
      <c r="H161" s="20">
        <f>SUM(H162:H166)</f>
        <v>0</v>
      </c>
      <c r="I161" s="20">
        <f>SUM(I162:I166)</f>
        <v>0</v>
      </c>
      <c r="J161" s="181" t="s">
        <v>514</v>
      </c>
      <c r="K161" s="181" t="s">
        <v>515</v>
      </c>
    </row>
    <row r="162" spans="1:12" x14ac:dyDescent="0.25">
      <c r="A162" s="181"/>
      <c r="B162" s="181"/>
      <c r="C162" s="181"/>
      <c r="D162" s="19">
        <v>2021</v>
      </c>
      <c r="E162" s="20">
        <f t="shared" si="17"/>
        <v>3995.47</v>
      </c>
      <c r="F162" s="20">
        <v>3995.47</v>
      </c>
      <c r="G162" s="20">
        <v>0</v>
      </c>
      <c r="H162" s="20">
        <v>0</v>
      </c>
      <c r="I162" s="20">
        <v>0</v>
      </c>
      <c r="J162" s="181"/>
      <c r="K162" s="181"/>
    </row>
    <row r="163" spans="1:12" x14ac:dyDescent="0.25">
      <c r="A163" s="181"/>
      <c r="B163" s="181"/>
      <c r="C163" s="181"/>
      <c r="D163" s="19">
        <v>2022</v>
      </c>
      <c r="E163" s="20">
        <f t="shared" si="17"/>
        <v>4000</v>
      </c>
      <c r="F163" s="20">
        <v>4000</v>
      </c>
      <c r="G163" s="20">
        <v>0</v>
      </c>
      <c r="H163" s="20">
        <v>0</v>
      </c>
      <c r="I163" s="20">
        <v>0</v>
      </c>
      <c r="J163" s="181"/>
      <c r="K163" s="181"/>
    </row>
    <row r="164" spans="1:12" x14ac:dyDescent="0.25">
      <c r="A164" s="181"/>
      <c r="B164" s="181"/>
      <c r="C164" s="181"/>
      <c r="D164" s="19">
        <v>2023</v>
      </c>
      <c r="E164" s="20">
        <f t="shared" si="17"/>
        <v>4000</v>
      </c>
      <c r="F164" s="20">
        <v>4000</v>
      </c>
      <c r="G164" s="20">
        <v>0</v>
      </c>
      <c r="H164" s="20">
        <v>0</v>
      </c>
      <c r="I164" s="20">
        <v>0</v>
      </c>
      <c r="J164" s="181"/>
      <c r="K164" s="181"/>
    </row>
    <row r="165" spans="1:12" x14ac:dyDescent="0.25">
      <c r="A165" s="181"/>
      <c r="B165" s="181"/>
      <c r="C165" s="181"/>
      <c r="D165" s="19">
        <v>2024</v>
      </c>
      <c r="E165" s="20">
        <f t="shared" si="17"/>
        <v>4000</v>
      </c>
      <c r="F165" s="20">
        <v>4000</v>
      </c>
      <c r="G165" s="20">
        <v>0</v>
      </c>
      <c r="H165" s="20">
        <v>0</v>
      </c>
      <c r="I165" s="20">
        <v>0</v>
      </c>
      <c r="J165" s="181"/>
      <c r="K165" s="181"/>
    </row>
    <row r="166" spans="1:12" x14ac:dyDescent="0.25">
      <c r="A166" s="181"/>
      <c r="B166" s="181"/>
      <c r="C166" s="181"/>
      <c r="D166" s="19">
        <v>2025</v>
      </c>
      <c r="E166" s="20">
        <f t="shared" si="17"/>
        <v>4000</v>
      </c>
      <c r="F166" s="20">
        <v>4000</v>
      </c>
      <c r="G166" s="20">
        <v>0</v>
      </c>
      <c r="H166" s="20">
        <v>0</v>
      </c>
      <c r="I166" s="20">
        <v>0</v>
      </c>
      <c r="J166" s="181"/>
      <c r="K166" s="181"/>
    </row>
    <row r="167" spans="1:12" x14ac:dyDescent="0.25">
      <c r="A167" s="181" t="s">
        <v>516</v>
      </c>
      <c r="B167" s="181" t="s">
        <v>45</v>
      </c>
      <c r="C167" s="181" t="s">
        <v>41</v>
      </c>
      <c r="D167" s="19" t="s">
        <v>8</v>
      </c>
      <c r="E167" s="20">
        <f t="shared" si="17"/>
        <v>20149.476999999999</v>
      </c>
      <c r="F167" s="20">
        <f>SUM(F168:F172)</f>
        <v>1208.9680000000001</v>
      </c>
      <c r="G167" s="20">
        <f>SUM(G168:G172)</f>
        <v>18940.508999999998</v>
      </c>
      <c r="H167" s="20">
        <f>SUM(H168:H172)</f>
        <v>0</v>
      </c>
      <c r="I167" s="20">
        <f>SUM(I168:I172)</f>
        <v>0</v>
      </c>
      <c r="J167" s="181" t="s">
        <v>517</v>
      </c>
      <c r="K167" s="181" t="s">
        <v>515</v>
      </c>
    </row>
    <row r="168" spans="1:12" x14ac:dyDescent="0.25">
      <c r="A168" s="181"/>
      <c r="B168" s="181"/>
      <c r="C168" s="181"/>
      <c r="D168" s="19">
        <v>2021</v>
      </c>
      <c r="E168" s="20">
        <f t="shared" si="17"/>
        <v>20149.476999999999</v>
      </c>
      <c r="F168" s="20">
        <v>1208.9680000000001</v>
      </c>
      <c r="G168" s="20">
        <v>18940.508999999998</v>
      </c>
      <c r="H168" s="20">
        <v>0</v>
      </c>
      <c r="I168" s="20">
        <v>0</v>
      </c>
      <c r="J168" s="181"/>
      <c r="K168" s="181"/>
    </row>
    <row r="169" spans="1:12" x14ac:dyDescent="0.25">
      <c r="A169" s="181"/>
      <c r="B169" s="181"/>
      <c r="C169" s="181"/>
      <c r="D169" s="19">
        <v>2022</v>
      </c>
      <c r="E169" s="20">
        <f t="shared" si="17"/>
        <v>0</v>
      </c>
      <c r="F169" s="20">
        <v>0</v>
      </c>
      <c r="G169" s="20">
        <v>0</v>
      </c>
      <c r="H169" s="20">
        <v>0</v>
      </c>
      <c r="I169" s="20">
        <v>0</v>
      </c>
      <c r="J169" s="181"/>
      <c r="K169" s="181"/>
    </row>
    <row r="170" spans="1:12" x14ac:dyDescent="0.25">
      <c r="A170" s="181"/>
      <c r="B170" s="181"/>
      <c r="C170" s="181"/>
      <c r="D170" s="19">
        <v>2023</v>
      </c>
      <c r="E170" s="20">
        <f t="shared" ref="E170:E233" si="22">SUM(F170:I170)</f>
        <v>0</v>
      </c>
      <c r="F170" s="20">
        <v>0</v>
      </c>
      <c r="G170" s="20">
        <v>0</v>
      </c>
      <c r="H170" s="20">
        <v>0</v>
      </c>
      <c r="I170" s="20">
        <v>0</v>
      </c>
      <c r="J170" s="181"/>
      <c r="K170" s="181"/>
    </row>
    <row r="171" spans="1:12" x14ac:dyDescent="0.25">
      <c r="A171" s="181"/>
      <c r="B171" s="181"/>
      <c r="C171" s="181"/>
      <c r="D171" s="19">
        <v>2024</v>
      </c>
      <c r="E171" s="20">
        <f t="shared" si="22"/>
        <v>0</v>
      </c>
      <c r="F171" s="20">
        <v>0</v>
      </c>
      <c r="G171" s="20">
        <v>0</v>
      </c>
      <c r="H171" s="20">
        <v>0</v>
      </c>
      <c r="I171" s="20">
        <v>0</v>
      </c>
      <c r="J171" s="181"/>
      <c r="K171" s="181"/>
    </row>
    <row r="172" spans="1:12" x14ac:dyDescent="0.25">
      <c r="A172" s="181"/>
      <c r="B172" s="181"/>
      <c r="C172" s="181"/>
      <c r="D172" s="19">
        <v>2025</v>
      </c>
      <c r="E172" s="20">
        <f t="shared" si="22"/>
        <v>0</v>
      </c>
      <c r="F172" s="20">
        <v>0</v>
      </c>
      <c r="G172" s="20">
        <v>0</v>
      </c>
      <c r="H172" s="20">
        <v>0</v>
      </c>
      <c r="I172" s="20">
        <v>0</v>
      </c>
      <c r="J172" s="181"/>
      <c r="K172" s="181"/>
    </row>
    <row r="173" spans="1:12" x14ac:dyDescent="0.25">
      <c r="A173" s="181" t="s">
        <v>54</v>
      </c>
      <c r="B173" s="181" t="s">
        <v>55</v>
      </c>
      <c r="C173" s="181" t="s">
        <v>14</v>
      </c>
      <c r="D173" s="19" t="s">
        <v>8</v>
      </c>
      <c r="E173" s="20">
        <f t="shared" si="22"/>
        <v>5232993.7397800004</v>
      </c>
      <c r="F173" s="20">
        <f>SUM(F174:F178)</f>
        <v>5076046.7862</v>
      </c>
      <c r="G173" s="20">
        <f>SUM(G174:G178)</f>
        <v>71412.78336999999</v>
      </c>
      <c r="H173" s="20">
        <f>SUM(H174:H178)</f>
        <v>85534.170209999997</v>
      </c>
      <c r="I173" s="20">
        <f>SUM(I174:I178)</f>
        <v>0</v>
      </c>
      <c r="J173" s="181"/>
      <c r="K173" s="181" t="s">
        <v>510</v>
      </c>
      <c r="L173" s="18" t="s">
        <v>1132</v>
      </c>
    </row>
    <row r="174" spans="1:12" x14ac:dyDescent="0.25">
      <c r="A174" s="181"/>
      <c r="B174" s="181"/>
      <c r="C174" s="181"/>
      <c r="D174" s="19">
        <v>2021</v>
      </c>
      <c r="E174" s="20">
        <f t="shared" si="22"/>
        <v>891879.98959000001</v>
      </c>
      <c r="F174" s="20">
        <f t="shared" ref="F174:I178" si="23">F180+F312+F330</f>
        <v>854371.18938</v>
      </c>
      <c r="G174" s="20">
        <f t="shared" si="23"/>
        <v>24191.1</v>
      </c>
      <c r="H174" s="20">
        <f t="shared" si="23"/>
        <v>13317.700210000001</v>
      </c>
      <c r="I174" s="20">
        <f t="shared" si="23"/>
        <v>0</v>
      </c>
      <c r="J174" s="181"/>
      <c r="K174" s="181"/>
    </row>
    <row r="175" spans="1:12" x14ac:dyDescent="0.25">
      <c r="A175" s="181"/>
      <c r="B175" s="181"/>
      <c r="C175" s="181"/>
      <c r="D175" s="19">
        <v>2022</v>
      </c>
      <c r="E175" s="20">
        <f t="shared" si="22"/>
        <v>1227311.4540000001</v>
      </c>
      <c r="F175" s="20">
        <f t="shared" si="23"/>
        <v>1191344.9740000002</v>
      </c>
      <c r="G175" s="20">
        <f t="shared" si="23"/>
        <v>16189.3</v>
      </c>
      <c r="H175" s="20">
        <f t="shared" si="23"/>
        <v>19777.18</v>
      </c>
      <c r="I175" s="20">
        <f t="shared" si="23"/>
        <v>0</v>
      </c>
      <c r="J175" s="181"/>
      <c r="K175" s="181"/>
    </row>
    <row r="176" spans="1:12" x14ac:dyDescent="0.25">
      <c r="A176" s="181"/>
      <c r="B176" s="181"/>
      <c r="C176" s="181"/>
      <c r="D176" s="19">
        <v>2023</v>
      </c>
      <c r="E176" s="20">
        <f t="shared" si="22"/>
        <v>1098272.7311899997</v>
      </c>
      <c r="F176" s="20">
        <f t="shared" si="23"/>
        <v>1067400.9178199999</v>
      </c>
      <c r="G176" s="20">
        <f t="shared" si="23"/>
        <v>11094.58337</v>
      </c>
      <c r="H176" s="20">
        <f t="shared" si="23"/>
        <v>19777.23</v>
      </c>
      <c r="I176" s="20">
        <f t="shared" si="23"/>
        <v>0</v>
      </c>
      <c r="J176" s="181"/>
      <c r="K176" s="181"/>
    </row>
    <row r="177" spans="1:13" x14ac:dyDescent="0.25">
      <c r="A177" s="181"/>
      <c r="B177" s="181"/>
      <c r="C177" s="181"/>
      <c r="D177" s="19">
        <v>2024</v>
      </c>
      <c r="E177" s="20">
        <f t="shared" si="22"/>
        <v>1018527.559</v>
      </c>
      <c r="F177" s="20">
        <f t="shared" si="23"/>
        <v>982258.72899999993</v>
      </c>
      <c r="G177" s="20">
        <f t="shared" si="23"/>
        <v>19937.8</v>
      </c>
      <c r="H177" s="20">
        <f t="shared" si="23"/>
        <v>16331.03</v>
      </c>
      <c r="I177" s="20">
        <f t="shared" si="23"/>
        <v>0</v>
      </c>
      <c r="J177" s="181"/>
      <c r="K177" s="181"/>
    </row>
    <row r="178" spans="1:13" x14ac:dyDescent="0.25">
      <c r="A178" s="181"/>
      <c r="B178" s="181"/>
      <c r="C178" s="181"/>
      <c r="D178" s="19">
        <v>2025</v>
      </c>
      <c r="E178" s="20">
        <f t="shared" si="22"/>
        <v>997002.00600000005</v>
      </c>
      <c r="F178" s="20">
        <f t="shared" si="23"/>
        <v>980670.97600000002</v>
      </c>
      <c r="G178" s="20">
        <f t="shared" si="23"/>
        <v>0</v>
      </c>
      <c r="H178" s="20">
        <f t="shared" si="23"/>
        <v>16331.03</v>
      </c>
      <c r="I178" s="20">
        <f t="shared" si="23"/>
        <v>0</v>
      </c>
      <c r="J178" s="181"/>
      <c r="K178" s="181"/>
    </row>
    <row r="179" spans="1:13" x14ac:dyDescent="0.25">
      <c r="A179" s="181" t="s">
        <v>56</v>
      </c>
      <c r="B179" s="181" t="s">
        <v>518</v>
      </c>
      <c r="C179" s="181" t="s">
        <v>14</v>
      </c>
      <c r="D179" s="19" t="s">
        <v>8</v>
      </c>
      <c r="E179" s="20">
        <f t="shared" si="22"/>
        <v>4846849.8176299995</v>
      </c>
      <c r="F179" s="20">
        <f>SUM(F180:F184)</f>
        <v>4846849.8176299995</v>
      </c>
      <c r="G179" s="20">
        <f>SUM(G180:G184)</f>
        <v>0</v>
      </c>
      <c r="H179" s="20">
        <f>SUM(H180:H184)</f>
        <v>0</v>
      </c>
      <c r="I179" s="20">
        <f>SUM(I180:I184)</f>
        <v>0</v>
      </c>
      <c r="J179" s="181" t="s">
        <v>519</v>
      </c>
      <c r="K179" s="181" t="s">
        <v>486</v>
      </c>
      <c r="L179" s="180"/>
    </row>
    <row r="180" spans="1:13" x14ac:dyDescent="0.25">
      <c r="A180" s="181"/>
      <c r="B180" s="181"/>
      <c r="C180" s="181"/>
      <c r="D180" s="19">
        <v>2021</v>
      </c>
      <c r="E180" s="20">
        <f t="shared" si="22"/>
        <v>809865.57669999998</v>
      </c>
      <c r="F180" s="20">
        <f>F186+F192+F198+F204+F210+F216++F222+F228+F234+F240+F246+F252+F258+F264+F270+F276+F282+F288+F300+F294</f>
        <v>809865.57669999998</v>
      </c>
      <c r="G180" s="20">
        <f t="shared" ref="G180:I184" si="24">G186+G192+G198+G204+G210+G216++G222+G228+G234+G240+G246+G252+G258+G264+G270+G276+G282+G288+G300</f>
        <v>0</v>
      </c>
      <c r="H180" s="20">
        <f t="shared" si="24"/>
        <v>0</v>
      </c>
      <c r="I180" s="20">
        <f t="shared" si="24"/>
        <v>0</v>
      </c>
      <c r="J180" s="181"/>
      <c r="K180" s="181"/>
      <c r="L180" s="180"/>
    </row>
    <row r="181" spans="1:13" x14ac:dyDescent="0.25">
      <c r="A181" s="181"/>
      <c r="B181" s="181"/>
      <c r="C181" s="181"/>
      <c r="D181" s="19">
        <v>2022</v>
      </c>
      <c r="E181" s="20">
        <f t="shared" si="22"/>
        <v>1140833.8970000001</v>
      </c>
      <c r="F181" s="20">
        <f>F187+F193+F199+F205+F211+F217++F223+F229+F235+F241+F247+F253+F259+F265+F271+F277+F283+F289+F301</f>
        <v>1140833.8970000001</v>
      </c>
      <c r="G181" s="20">
        <f t="shared" si="24"/>
        <v>0</v>
      </c>
      <c r="H181" s="20">
        <f t="shared" si="24"/>
        <v>0</v>
      </c>
      <c r="I181" s="20">
        <f t="shared" si="24"/>
        <v>0</v>
      </c>
      <c r="J181" s="181"/>
      <c r="K181" s="181"/>
      <c r="L181" s="180"/>
    </row>
    <row r="182" spans="1:13" x14ac:dyDescent="0.25">
      <c r="A182" s="181"/>
      <c r="B182" s="181"/>
      <c r="C182" s="181"/>
      <c r="D182" s="19">
        <v>2023</v>
      </c>
      <c r="E182" s="20">
        <f t="shared" si="22"/>
        <v>1018892.7529300001</v>
      </c>
      <c r="F182" s="20">
        <f>F188+F194+F200+F206+F212+F218++F224+F230+F236+F242+F248+F254+F260+F266+F272+F278+F284+F290+F302+F308</f>
        <v>1018892.7529300001</v>
      </c>
      <c r="G182" s="20">
        <f t="shared" si="24"/>
        <v>0</v>
      </c>
      <c r="H182" s="20">
        <f t="shared" si="24"/>
        <v>0</v>
      </c>
      <c r="I182" s="20">
        <f t="shared" si="24"/>
        <v>0</v>
      </c>
      <c r="J182" s="181"/>
      <c r="K182" s="181"/>
      <c r="L182" s="180"/>
    </row>
    <row r="183" spans="1:13" x14ac:dyDescent="0.25">
      <c r="A183" s="181"/>
      <c r="B183" s="181"/>
      <c r="C183" s="181"/>
      <c r="D183" s="19">
        <v>2024</v>
      </c>
      <c r="E183" s="20">
        <f t="shared" si="22"/>
        <v>937986.61499999999</v>
      </c>
      <c r="F183" s="20">
        <f t="shared" ref="F183:F184" si="25">F189+F195+F201+F207+F213+F219++F225+F231+F237+F243+F249+F255+F261+F267+F273+F279+F285+F291+F303</f>
        <v>937986.61499999999</v>
      </c>
      <c r="G183" s="20">
        <f t="shared" si="24"/>
        <v>0</v>
      </c>
      <c r="H183" s="20">
        <f t="shared" si="24"/>
        <v>0</v>
      </c>
      <c r="I183" s="20">
        <f t="shared" si="24"/>
        <v>0</v>
      </c>
      <c r="J183" s="181"/>
      <c r="K183" s="181"/>
      <c r="L183" s="180"/>
    </row>
    <row r="184" spans="1:13" x14ac:dyDescent="0.25">
      <c r="A184" s="181"/>
      <c r="B184" s="181"/>
      <c r="C184" s="181"/>
      <c r="D184" s="19">
        <v>2025</v>
      </c>
      <c r="E184" s="20">
        <f t="shared" si="22"/>
        <v>939270.97600000002</v>
      </c>
      <c r="F184" s="20">
        <f t="shared" si="25"/>
        <v>939270.97600000002</v>
      </c>
      <c r="G184" s="20">
        <f t="shared" si="24"/>
        <v>0</v>
      </c>
      <c r="H184" s="20">
        <f t="shared" si="24"/>
        <v>0</v>
      </c>
      <c r="I184" s="20">
        <f t="shared" si="24"/>
        <v>0</v>
      </c>
      <c r="J184" s="181"/>
      <c r="K184" s="181"/>
      <c r="L184" s="180"/>
    </row>
    <row r="185" spans="1:13" x14ac:dyDescent="0.25">
      <c r="A185" s="181" t="s">
        <v>60</v>
      </c>
      <c r="B185" s="181" t="s">
        <v>835</v>
      </c>
      <c r="C185" s="181" t="s">
        <v>14</v>
      </c>
      <c r="D185" s="19" t="s">
        <v>8</v>
      </c>
      <c r="E185" s="20">
        <f t="shared" si="22"/>
        <v>13800.54667</v>
      </c>
      <c r="F185" s="20">
        <f>SUM(F186:F190)</f>
        <v>13800.54667</v>
      </c>
      <c r="G185" s="20">
        <f>SUM(G186:G190)</f>
        <v>0</v>
      </c>
      <c r="H185" s="20">
        <f>SUM(H186:H190)</f>
        <v>0</v>
      </c>
      <c r="I185" s="20">
        <f>SUM(I186:I190)</f>
        <v>0</v>
      </c>
      <c r="J185" s="181" t="s">
        <v>62</v>
      </c>
      <c r="K185" s="181" t="s">
        <v>484</v>
      </c>
      <c r="L185" s="180"/>
    </row>
    <row r="186" spans="1:13" x14ac:dyDescent="0.25">
      <c r="A186" s="181"/>
      <c r="B186" s="181"/>
      <c r="C186" s="181"/>
      <c r="D186" s="19">
        <v>2021</v>
      </c>
      <c r="E186" s="20">
        <f t="shared" si="22"/>
        <v>2106.6577000000002</v>
      </c>
      <c r="F186" s="20">
        <f>2106.6577</f>
        <v>2106.6577000000002</v>
      </c>
      <c r="G186" s="20">
        <v>0</v>
      </c>
      <c r="H186" s="20">
        <v>0</v>
      </c>
      <c r="I186" s="20">
        <v>0</v>
      </c>
      <c r="J186" s="181"/>
      <c r="K186" s="181"/>
      <c r="L186" s="180"/>
    </row>
    <row r="187" spans="1:13" x14ac:dyDescent="0.25">
      <c r="A187" s="181"/>
      <c r="B187" s="181"/>
      <c r="C187" s="181"/>
      <c r="D187" s="19">
        <v>2022</v>
      </c>
      <c r="E187" s="20">
        <f t="shared" si="22"/>
        <v>5343.0770000000002</v>
      </c>
      <c r="F187" s="20">
        <f>5912.957-569.88</f>
        <v>5343.0770000000002</v>
      </c>
      <c r="G187" s="20">
        <v>0</v>
      </c>
      <c r="H187" s="20">
        <v>0</v>
      </c>
      <c r="I187" s="20">
        <v>0</v>
      </c>
      <c r="J187" s="181"/>
      <c r="K187" s="181"/>
      <c r="L187" s="180"/>
    </row>
    <row r="188" spans="1:13" x14ac:dyDescent="0.25">
      <c r="A188" s="181"/>
      <c r="B188" s="181"/>
      <c r="C188" s="181"/>
      <c r="D188" s="19">
        <v>2023</v>
      </c>
      <c r="E188" s="20">
        <f t="shared" si="22"/>
        <v>2137.58797</v>
      </c>
      <c r="F188" s="20">
        <f>2106.657+(30930.97/1000)</f>
        <v>2137.58797</v>
      </c>
      <c r="G188" s="20">
        <v>0</v>
      </c>
      <c r="H188" s="20">
        <v>0</v>
      </c>
      <c r="I188" s="20">
        <v>0</v>
      </c>
      <c r="J188" s="181"/>
      <c r="K188" s="181"/>
      <c r="L188" s="180"/>
      <c r="M188" s="18" t="s">
        <v>1741</v>
      </c>
    </row>
    <row r="189" spans="1:13" x14ac:dyDescent="0.25">
      <c r="A189" s="181"/>
      <c r="B189" s="181"/>
      <c r="C189" s="181"/>
      <c r="D189" s="19">
        <v>2024</v>
      </c>
      <c r="E189" s="20">
        <f t="shared" si="22"/>
        <v>2106.6570000000002</v>
      </c>
      <c r="F189" s="20">
        <v>2106.6570000000002</v>
      </c>
      <c r="G189" s="20">
        <v>0</v>
      </c>
      <c r="H189" s="20">
        <v>0</v>
      </c>
      <c r="I189" s="20">
        <v>0</v>
      </c>
      <c r="J189" s="181"/>
      <c r="K189" s="181"/>
      <c r="L189" s="180"/>
    </row>
    <row r="190" spans="1:13" x14ac:dyDescent="0.25">
      <c r="A190" s="181"/>
      <c r="B190" s="181"/>
      <c r="C190" s="181"/>
      <c r="D190" s="19">
        <v>2025</v>
      </c>
      <c r="E190" s="20">
        <f t="shared" si="22"/>
        <v>2106.567</v>
      </c>
      <c r="F190" s="20">
        <v>2106.567</v>
      </c>
      <c r="G190" s="20">
        <f>+G196+G202+G208+G232</f>
        <v>0</v>
      </c>
      <c r="H190" s="20">
        <v>0</v>
      </c>
      <c r="I190" s="20">
        <v>0</v>
      </c>
      <c r="J190" s="181"/>
      <c r="K190" s="181"/>
      <c r="L190" s="180"/>
    </row>
    <row r="191" spans="1:13" x14ac:dyDescent="0.25">
      <c r="A191" s="181" t="s">
        <v>63</v>
      </c>
      <c r="B191" s="181" t="s">
        <v>1133</v>
      </c>
      <c r="C191" s="181" t="s">
        <v>14</v>
      </c>
      <c r="D191" s="19" t="s">
        <v>8</v>
      </c>
      <c r="E191" s="20">
        <f t="shared" si="22"/>
        <v>224763.99966</v>
      </c>
      <c r="F191" s="20">
        <f>SUM(F192:F196)</f>
        <v>224763.99966</v>
      </c>
      <c r="G191" s="20">
        <f>SUM(G192:G196)</f>
        <v>0</v>
      </c>
      <c r="H191" s="20">
        <f>SUM(H192:H196)</f>
        <v>0</v>
      </c>
      <c r="I191" s="20">
        <f>SUM(I192:I196)</f>
        <v>0</v>
      </c>
      <c r="J191" s="181" t="s">
        <v>521</v>
      </c>
      <c r="K191" s="181" t="s">
        <v>484</v>
      </c>
    </row>
    <row r="192" spans="1:13" x14ac:dyDescent="0.25">
      <c r="A192" s="181"/>
      <c r="B192" s="181"/>
      <c r="C192" s="181"/>
      <c r="D192" s="19">
        <v>2021</v>
      </c>
      <c r="E192" s="20">
        <f t="shared" si="22"/>
        <v>456</v>
      </c>
      <c r="F192" s="20">
        <v>456</v>
      </c>
      <c r="G192" s="20">
        <v>0</v>
      </c>
      <c r="H192" s="20">
        <v>0</v>
      </c>
      <c r="I192" s="20">
        <v>0</v>
      </c>
      <c r="J192" s="181"/>
      <c r="K192" s="181"/>
    </row>
    <row r="193" spans="1:11" x14ac:dyDescent="0.25">
      <c r="A193" s="181"/>
      <c r="B193" s="181"/>
      <c r="C193" s="181"/>
      <c r="D193" s="19">
        <v>2022</v>
      </c>
      <c r="E193" s="20">
        <f t="shared" si="22"/>
        <v>52700</v>
      </c>
      <c r="F193" s="20">
        <v>52700</v>
      </c>
      <c r="G193" s="20">
        <v>0</v>
      </c>
      <c r="H193" s="20">
        <v>0</v>
      </c>
      <c r="I193" s="20">
        <v>0</v>
      </c>
      <c r="J193" s="181"/>
      <c r="K193" s="181"/>
    </row>
    <row r="194" spans="1:11" x14ac:dyDescent="0.25">
      <c r="A194" s="181"/>
      <c r="B194" s="181"/>
      <c r="C194" s="181"/>
      <c r="D194" s="19">
        <v>2023</v>
      </c>
      <c r="E194" s="20">
        <f t="shared" si="22"/>
        <v>67599.999660000001</v>
      </c>
      <c r="F194" s="20">
        <f>52004+7490.67866+8105.321</f>
        <v>67599.999660000001</v>
      </c>
      <c r="G194" s="20">
        <v>0</v>
      </c>
      <c r="H194" s="20">
        <v>0</v>
      </c>
      <c r="I194" s="20">
        <v>0</v>
      </c>
      <c r="J194" s="181"/>
      <c r="K194" s="181"/>
    </row>
    <row r="195" spans="1:11" x14ac:dyDescent="0.25">
      <c r="A195" s="181"/>
      <c r="B195" s="181"/>
      <c r="C195" s="181"/>
      <c r="D195" s="19">
        <v>2024</v>
      </c>
      <c r="E195" s="20">
        <f t="shared" si="22"/>
        <v>52004</v>
      </c>
      <c r="F195" s="20">
        <v>52004</v>
      </c>
      <c r="G195" s="20">
        <v>0</v>
      </c>
      <c r="H195" s="20">
        <v>0</v>
      </c>
      <c r="I195" s="20">
        <v>0</v>
      </c>
      <c r="J195" s="181"/>
      <c r="K195" s="181"/>
    </row>
    <row r="196" spans="1:11" x14ac:dyDescent="0.25">
      <c r="A196" s="181"/>
      <c r="B196" s="181"/>
      <c r="C196" s="181"/>
      <c r="D196" s="19">
        <v>2025</v>
      </c>
      <c r="E196" s="20">
        <f t="shared" si="22"/>
        <v>52004</v>
      </c>
      <c r="F196" s="20">
        <v>52004</v>
      </c>
      <c r="G196" s="20">
        <v>0</v>
      </c>
      <c r="H196" s="20">
        <v>0</v>
      </c>
      <c r="I196" s="20">
        <v>0</v>
      </c>
      <c r="J196" s="181"/>
      <c r="K196" s="181"/>
    </row>
    <row r="197" spans="1:11" x14ac:dyDescent="0.25">
      <c r="A197" s="181" t="s">
        <v>66</v>
      </c>
      <c r="B197" s="181" t="s">
        <v>67</v>
      </c>
      <c r="C197" s="181" t="s">
        <v>14</v>
      </c>
      <c r="D197" s="19" t="s">
        <v>8</v>
      </c>
      <c r="E197" s="20">
        <f t="shared" si="22"/>
        <v>123.97999999999999</v>
      </c>
      <c r="F197" s="20">
        <f>SUM(F198:F202)</f>
        <v>123.97999999999999</v>
      </c>
      <c r="G197" s="20">
        <f>SUM(G198:G202)</f>
        <v>0</v>
      </c>
      <c r="H197" s="20">
        <f>SUM(H198:H202)</f>
        <v>0</v>
      </c>
      <c r="I197" s="20">
        <f>SUM(I198:I202)</f>
        <v>0</v>
      </c>
      <c r="J197" s="181" t="s">
        <v>522</v>
      </c>
      <c r="K197" s="181" t="s">
        <v>1134</v>
      </c>
    </row>
    <row r="198" spans="1:11" x14ac:dyDescent="0.25">
      <c r="A198" s="181"/>
      <c r="B198" s="181"/>
      <c r="C198" s="181"/>
      <c r="D198" s="19">
        <v>2021</v>
      </c>
      <c r="E198" s="20">
        <f t="shared" si="22"/>
        <v>27.77</v>
      </c>
      <c r="F198" s="20">
        <f>27770/1000</f>
        <v>27.77</v>
      </c>
      <c r="G198" s="20">
        <v>0</v>
      </c>
      <c r="H198" s="20">
        <v>0</v>
      </c>
      <c r="I198" s="20">
        <v>0</v>
      </c>
      <c r="J198" s="181"/>
      <c r="K198" s="181"/>
    </row>
    <row r="199" spans="1:11" x14ac:dyDescent="0.25">
      <c r="A199" s="181"/>
      <c r="B199" s="181"/>
      <c r="C199" s="181"/>
      <c r="D199" s="19">
        <v>2022</v>
      </c>
      <c r="E199" s="20">
        <f t="shared" si="22"/>
        <v>0</v>
      </c>
      <c r="F199" s="20">
        <v>0</v>
      </c>
      <c r="G199" s="20">
        <v>0</v>
      </c>
      <c r="H199" s="20">
        <v>0</v>
      </c>
      <c r="I199" s="20">
        <v>0</v>
      </c>
      <c r="J199" s="181"/>
      <c r="K199" s="181"/>
    </row>
    <row r="200" spans="1:11" x14ac:dyDescent="0.25">
      <c r="A200" s="181"/>
      <c r="B200" s="181"/>
      <c r="C200" s="181"/>
      <c r="D200" s="19">
        <v>2023</v>
      </c>
      <c r="E200" s="20">
        <f t="shared" si="22"/>
        <v>32.07</v>
      </c>
      <c r="F200" s="20">
        <v>32.07</v>
      </c>
      <c r="G200" s="20">
        <v>0</v>
      </c>
      <c r="H200" s="20">
        <v>0</v>
      </c>
      <c r="I200" s="20">
        <v>0</v>
      </c>
      <c r="J200" s="181"/>
      <c r="K200" s="181"/>
    </row>
    <row r="201" spans="1:11" x14ac:dyDescent="0.25">
      <c r="A201" s="181"/>
      <c r="B201" s="181"/>
      <c r="C201" s="181"/>
      <c r="D201" s="19">
        <v>2024</v>
      </c>
      <c r="E201" s="20">
        <f t="shared" si="22"/>
        <v>32.07</v>
      </c>
      <c r="F201" s="20">
        <v>32.07</v>
      </c>
      <c r="G201" s="20">
        <v>0</v>
      </c>
      <c r="H201" s="20">
        <v>0</v>
      </c>
      <c r="I201" s="20">
        <v>0</v>
      </c>
      <c r="J201" s="181"/>
      <c r="K201" s="181"/>
    </row>
    <row r="202" spans="1:11" x14ac:dyDescent="0.25">
      <c r="A202" s="181"/>
      <c r="B202" s="181"/>
      <c r="C202" s="181"/>
      <c r="D202" s="19">
        <v>2025</v>
      </c>
      <c r="E202" s="20">
        <f t="shared" si="22"/>
        <v>32.07</v>
      </c>
      <c r="F202" s="20">
        <v>32.07</v>
      </c>
      <c r="G202" s="20">
        <v>0</v>
      </c>
      <c r="H202" s="20">
        <v>0</v>
      </c>
      <c r="I202" s="20">
        <v>0</v>
      </c>
      <c r="J202" s="181"/>
      <c r="K202" s="181"/>
    </row>
    <row r="203" spans="1:11" x14ac:dyDescent="0.25">
      <c r="A203" s="181" t="s">
        <v>70</v>
      </c>
      <c r="B203" s="181" t="s">
        <v>71</v>
      </c>
      <c r="C203" s="181" t="s">
        <v>14</v>
      </c>
      <c r="D203" s="19" t="s">
        <v>8</v>
      </c>
      <c r="E203" s="20">
        <f t="shared" si="22"/>
        <v>4275207.6672999999</v>
      </c>
      <c r="F203" s="20">
        <f>SUM(F204:F208)</f>
        <v>4275207.6672999999</v>
      </c>
      <c r="G203" s="20">
        <f>SUM(G204:G208)</f>
        <v>0</v>
      </c>
      <c r="H203" s="20">
        <f>SUM(H204:H208)</f>
        <v>0</v>
      </c>
      <c r="I203" s="20">
        <f>SUM(I204:I208)</f>
        <v>0</v>
      </c>
      <c r="J203" s="181" t="s">
        <v>72</v>
      </c>
      <c r="K203" s="181" t="s">
        <v>836</v>
      </c>
    </row>
    <row r="204" spans="1:11" x14ac:dyDescent="0.25">
      <c r="A204" s="181"/>
      <c r="B204" s="181"/>
      <c r="C204" s="181"/>
      <c r="D204" s="19">
        <v>2021</v>
      </c>
      <c r="E204" s="20">
        <f t="shared" si="22"/>
        <v>766375.9</v>
      </c>
      <c r="F204" s="20">
        <v>766375.9</v>
      </c>
      <c r="G204" s="20">
        <v>0</v>
      </c>
      <c r="H204" s="20">
        <v>0</v>
      </c>
      <c r="I204" s="20">
        <v>0</v>
      </c>
      <c r="J204" s="181"/>
      <c r="K204" s="181"/>
    </row>
    <row r="205" spans="1:11" x14ac:dyDescent="0.25">
      <c r="A205" s="181"/>
      <c r="B205" s="181"/>
      <c r="C205" s="181"/>
      <c r="D205" s="19">
        <v>2022</v>
      </c>
      <c r="E205" s="20">
        <f t="shared" si="22"/>
        <v>914197.98699999996</v>
      </c>
      <c r="F205" s="20">
        <f>879682.2+21426+13089.787</f>
        <v>914197.98699999996</v>
      </c>
      <c r="G205" s="20">
        <v>0</v>
      </c>
      <c r="H205" s="20">
        <v>0</v>
      </c>
      <c r="I205" s="20">
        <v>0</v>
      </c>
      <c r="J205" s="181"/>
      <c r="K205" s="181"/>
    </row>
    <row r="206" spans="1:11" x14ac:dyDescent="0.25">
      <c r="A206" s="181"/>
      <c r="B206" s="181"/>
      <c r="C206" s="181"/>
      <c r="D206" s="19">
        <v>2023</v>
      </c>
      <c r="E206" s="20">
        <f t="shared" si="22"/>
        <v>890410.49129999999</v>
      </c>
      <c r="F206" s="20">
        <f>850537.551+27982.345+11890.5953</f>
        <v>890410.49129999999</v>
      </c>
      <c r="G206" s="20">
        <v>0</v>
      </c>
      <c r="H206" s="20">
        <v>0</v>
      </c>
      <c r="I206" s="20">
        <v>0</v>
      </c>
      <c r="J206" s="181"/>
      <c r="K206" s="181"/>
    </row>
    <row r="207" spans="1:11" x14ac:dyDescent="0.25">
      <c r="A207" s="181"/>
      <c r="B207" s="181"/>
      <c r="C207" s="181"/>
      <c r="D207" s="19">
        <v>2024</v>
      </c>
      <c r="E207" s="20">
        <f t="shared" si="22"/>
        <v>851469.41899999999</v>
      </c>
      <c r="F207" s="20">
        <v>851469.41899999999</v>
      </c>
      <c r="G207" s="20">
        <v>0</v>
      </c>
      <c r="H207" s="20">
        <v>0</v>
      </c>
      <c r="I207" s="20">
        <v>0</v>
      </c>
      <c r="J207" s="181"/>
      <c r="K207" s="181"/>
    </row>
    <row r="208" spans="1:11" x14ac:dyDescent="0.25">
      <c r="A208" s="181"/>
      <c r="B208" s="181"/>
      <c r="C208" s="181"/>
      <c r="D208" s="19">
        <v>2025</v>
      </c>
      <c r="E208" s="20">
        <f t="shared" si="22"/>
        <v>852753.87</v>
      </c>
      <c r="F208" s="20">
        <v>852753.87</v>
      </c>
      <c r="G208" s="20">
        <v>0</v>
      </c>
      <c r="H208" s="20">
        <v>0</v>
      </c>
      <c r="I208" s="20">
        <v>0</v>
      </c>
      <c r="J208" s="181"/>
      <c r="K208" s="181"/>
    </row>
    <row r="209" spans="1:11" x14ac:dyDescent="0.25">
      <c r="A209" s="181" t="s">
        <v>74</v>
      </c>
      <c r="B209" s="181" t="s">
        <v>75</v>
      </c>
      <c r="C209" s="181" t="s">
        <v>14</v>
      </c>
      <c r="D209" s="19" t="s">
        <v>8</v>
      </c>
      <c r="E209" s="20">
        <f t="shared" si="22"/>
        <v>18083.404999999999</v>
      </c>
      <c r="F209" s="20">
        <f>SUM(F210:F214)</f>
        <v>18083.404999999999</v>
      </c>
      <c r="G209" s="20">
        <f>SUM(G210:G214)</f>
        <v>0</v>
      </c>
      <c r="H209" s="20">
        <f>SUM(H210:H214)</f>
        <v>0</v>
      </c>
      <c r="I209" s="20">
        <f>SUM(I210:I214)</f>
        <v>0</v>
      </c>
      <c r="J209" s="181" t="s">
        <v>1135</v>
      </c>
      <c r="K209" s="181" t="s">
        <v>836</v>
      </c>
    </row>
    <row r="210" spans="1:11" x14ac:dyDescent="0.25">
      <c r="A210" s="181"/>
      <c r="B210" s="181"/>
      <c r="C210" s="181"/>
      <c r="D210" s="19">
        <v>2021</v>
      </c>
      <c r="E210" s="20">
        <f t="shared" si="22"/>
        <v>3811.2820000000002</v>
      </c>
      <c r="F210" s="20">
        <v>3811.2820000000002</v>
      </c>
      <c r="G210" s="20">
        <v>0</v>
      </c>
      <c r="H210" s="20">
        <v>0</v>
      </c>
      <c r="I210" s="20">
        <v>0</v>
      </c>
      <c r="J210" s="181"/>
      <c r="K210" s="181"/>
    </row>
    <row r="211" spans="1:11" x14ac:dyDescent="0.25">
      <c r="A211" s="181"/>
      <c r="B211" s="181"/>
      <c r="C211" s="181"/>
      <c r="D211" s="19">
        <v>2022</v>
      </c>
      <c r="E211" s="20">
        <f t="shared" si="22"/>
        <v>3588.2230000000004</v>
      </c>
      <c r="F211" s="20">
        <f>3561.3+109.88-82.957</f>
        <v>3588.2230000000004</v>
      </c>
      <c r="G211" s="20">
        <v>0</v>
      </c>
      <c r="H211" s="20">
        <v>0</v>
      </c>
      <c r="I211" s="20">
        <v>0</v>
      </c>
      <c r="J211" s="181"/>
      <c r="K211" s="181"/>
    </row>
    <row r="212" spans="1:11" x14ac:dyDescent="0.25">
      <c r="A212" s="181"/>
      <c r="B212" s="181"/>
      <c r="C212" s="181"/>
      <c r="D212" s="19">
        <v>2023</v>
      </c>
      <c r="E212" s="20">
        <f t="shared" si="22"/>
        <v>3561.3</v>
      </c>
      <c r="F212" s="20">
        <f>3561.3</f>
        <v>3561.3</v>
      </c>
      <c r="G212" s="20">
        <v>0</v>
      </c>
      <c r="H212" s="20">
        <v>0</v>
      </c>
      <c r="I212" s="20">
        <v>0</v>
      </c>
      <c r="J212" s="181"/>
      <c r="K212" s="181"/>
    </row>
    <row r="213" spans="1:11" x14ac:dyDescent="0.25">
      <c r="A213" s="181"/>
      <c r="B213" s="181"/>
      <c r="C213" s="181"/>
      <c r="D213" s="19">
        <v>2024</v>
      </c>
      <c r="E213" s="20">
        <f t="shared" si="22"/>
        <v>3561.3</v>
      </c>
      <c r="F213" s="20">
        <v>3561.3</v>
      </c>
      <c r="G213" s="20">
        <v>0</v>
      </c>
      <c r="H213" s="20">
        <v>0</v>
      </c>
      <c r="I213" s="20">
        <v>0</v>
      </c>
      <c r="J213" s="181"/>
      <c r="K213" s="181"/>
    </row>
    <row r="214" spans="1:11" x14ac:dyDescent="0.25">
      <c r="A214" s="181"/>
      <c r="B214" s="181"/>
      <c r="C214" s="181"/>
      <c r="D214" s="19">
        <v>2025</v>
      </c>
      <c r="E214" s="20">
        <f t="shared" si="22"/>
        <v>3561.3</v>
      </c>
      <c r="F214" s="20">
        <v>3561.3</v>
      </c>
      <c r="G214" s="20">
        <v>0</v>
      </c>
      <c r="H214" s="20">
        <v>0</v>
      </c>
      <c r="I214" s="20">
        <v>0</v>
      </c>
      <c r="J214" s="181"/>
      <c r="K214" s="181"/>
    </row>
    <row r="215" spans="1:11" x14ac:dyDescent="0.25">
      <c r="A215" s="181" t="s">
        <v>524</v>
      </c>
      <c r="B215" s="181" t="s">
        <v>525</v>
      </c>
      <c r="C215" s="181" t="s">
        <v>14</v>
      </c>
      <c r="D215" s="19" t="s">
        <v>8</v>
      </c>
      <c r="E215" s="20">
        <f t="shared" si="22"/>
        <v>26988.080000000002</v>
      </c>
      <c r="F215" s="20">
        <f>SUM(F216:F220)</f>
        <v>26988.080000000002</v>
      </c>
      <c r="G215" s="20">
        <f>SUM(G216:G220)</f>
        <v>0</v>
      </c>
      <c r="H215" s="20">
        <f>SUM(H216:H220)</f>
        <v>0</v>
      </c>
      <c r="I215" s="20">
        <f>SUM(I216:I220)</f>
        <v>0</v>
      </c>
      <c r="J215" s="181" t="s">
        <v>526</v>
      </c>
      <c r="K215" s="181" t="s">
        <v>837</v>
      </c>
    </row>
    <row r="216" spans="1:11" x14ac:dyDescent="0.25">
      <c r="A216" s="181"/>
      <c r="B216" s="181"/>
      <c r="C216" s="181"/>
      <c r="D216" s="19">
        <v>2021</v>
      </c>
      <c r="E216" s="20">
        <f t="shared" si="22"/>
        <v>26988.080000000002</v>
      </c>
      <c r="F216" s="20">
        <v>26988.080000000002</v>
      </c>
      <c r="G216" s="20">
        <v>0</v>
      </c>
      <c r="H216" s="20">
        <v>0</v>
      </c>
      <c r="I216" s="20">
        <v>0</v>
      </c>
      <c r="J216" s="181"/>
      <c r="K216" s="181"/>
    </row>
    <row r="217" spans="1:11" x14ac:dyDescent="0.25">
      <c r="A217" s="181"/>
      <c r="B217" s="181"/>
      <c r="C217" s="181"/>
      <c r="D217" s="19">
        <v>2022</v>
      </c>
      <c r="E217" s="20">
        <f t="shared" si="22"/>
        <v>0</v>
      </c>
      <c r="F217" s="20">
        <v>0</v>
      </c>
      <c r="G217" s="20">
        <v>0</v>
      </c>
      <c r="H217" s="20">
        <v>0</v>
      </c>
      <c r="I217" s="20">
        <v>0</v>
      </c>
      <c r="J217" s="181"/>
      <c r="K217" s="181"/>
    </row>
    <row r="218" spans="1:11" x14ac:dyDescent="0.25">
      <c r="A218" s="181"/>
      <c r="B218" s="181"/>
      <c r="C218" s="181"/>
      <c r="D218" s="19">
        <v>2023</v>
      </c>
      <c r="E218" s="20">
        <f t="shared" si="22"/>
        <v>0</v>
      </c>
      <c r="F218" s="20">
        <v>0</v>
      </c>
      <c r="G218" s="20">
        <v>0</v>
      </c>
      <c r="H218" s="20">
        <v>0</v>
      </c>
      <c r="I218" s="20">
        <v>0</v>
      </c>
      <c r="J218" s="181"/>
      <c r="K218" s="181"/>
    </row>
    <row r="219" spans="1:11" x14ac:dyDescent="0.25">
      <c r="A219" s="181"/>
      <c r="B219" s="181"/>
      <c r="C219" s="181"/>
      <c r="D219" s="19">
        <v>2024</v>
      </c>
      <c r="E219" s="20">
        <f t="shared" si="22"/>
        <v>0</v>
      </c>
      <c r="F219" s="20">
        <v>0</v>
      </c>
      <c r="G219" s="20">
        <v>0</v>
      </c>
      <c r="H219" s="20">
        <v>0</v>
      </c>
      <c r="I219" s="20">
        <v>0</v>
      </c>
      <c r="J219" s="181"/>
      <c r="K219" s="181"/>
    </row>
    <row r="220" spans="1:11" x14ac:dyDescent="0.25">
      <c r="A220" s="181"/>
      <c r="B220" s="181"/>
      <c r="C220" s="181"/>
      <c r="D220" s="19">
        <v>2025</v>
      </c>
      <c r="E220" s="20">
        <f t="shared" si="22"/>
        <v>0</v>
      </c>
      <c r="F220" s="20">
        <v>0</v>
      </c>
      <c r="G220" s="20">
        <v>0</v>
      </c>
      <c r="H220" s="20">
        <v>0</v>
      </c>
      <c r="I220" s="20">
        <v>0</v>
      </c>
      <c r="J220" s="181"/>
      <c r="K220" s="181"/>
    </row>
    <row r="221" spans="1:11" x14ac:dyDescent="0.25">
      <c r="A221" s="181" t="s">
        <v>528</v>
      </c>
      <c r="B221" s="181" t="s">
        <v>1136</v>
      </c>
      <c r="C221" s="181" t="s">
        <v>14</v>
      </c>
      <c r="D221" s="19" t="s">
        <v>8</v>
      </c>
      <c r="E221" s="20">
        <f t="shared" si="22"/>
        <v>0</v>
      </c>
      <c r="F221" s="20">
        <f>SUM(F222:F226)</f>
        <v>0</v>
      </c>
      <c r="G221" s="20">
        <f>SUM(G222:G226)</f>
        <v>0</v>
      </c>
      <c r="H221" s="20">
        <f>SUM(H222:H226)</f>
        <v>0</v>
      </c>
      <c r="I221" s="20">
        <f>SUM(I222:I226)</f>
        <v>0</v>
      </c>
      <c r="J221" s="181" t="s">
        <v>530</v>
      </c>
      <c r="K221" s="181" t="s">
        <v>531</v>
      </c>
    </row>
    <row r="222" spans="1:11" x14ac:dyDescent="0.25">
      <c r="A222" s="181"/>
      <c r="B222" s="181"/>
      <c r="C222" s="181"/>
      <c r="D222" s="19">
        <v>2021</v>
      </c>
      <c r="E222" s="20">
        <f t="shared" si="22"/>
        <v>0</v>
      </c>
      <c r="F222" s="20">
        <v>0</v>
      </c>
      <c r="G222" s="20">
        <v>0</v>
      </c>
      <c r="H222" s="20">
        <v>0</v>
      </c>
      <c r="I222" s="20">
        <v>0</v>
      </c>
      <c r="J222" s="181"/>
      <c r="K222" s="181"/>
    </row>
    <row r="223" spans="1:11" x14ac:dyDescent="0.25">
      <c r="A223" s="181"/>
      <c r="B223" s="181"/>
      <c r="C223" s="181"/>
      <c r="D223" s="19">
        <v>2022</v>
      </c>
      <c r="E223" s="20">
        <f t="shared" si="22"/>
        <v>0</v>
      </c>
      <c r="F223" s="20">
        <v>0</v>
      </c>
      <c r="G223" s="20">
        <v>0</v>
      </c>
      <c r="H223" s="20">
        <v>0</v>
      </c>
      <c r="I223" s="20">
        <v>0</v>
      </c>
      <c r="J223" s="181"/>
      <c r="K223" s="181"/>
    </row>
    <row r="224" spans="1:11" x14ac:dyDescent="0.25">
      <c r="A224" s="181"/>
      <c r="B224" s="181"/>
      <c r="C224" s="181"/>
      <c r="D224" s="19">
        <v>2023</v>
      </c>
      <c r="E224" s="20">
        <f t="shared" si="22"/>
        <v>0</v>
      </c>
      <c r="F224" s="20">
        <v>0</v>
      </c>
      <c r="G224" s="20">
        <v>0</v>
      </c>
      <c r="H224" s="20">
        <v>0</v>
      </c>
      <c r="I224" s="20">
        <v>0</v>
      </c>
      <c r="J224" s="181"/>
      <c r="K224" s="181"/>
    </row>
    <row r="225" spans="1:13" x14ac:dyDescent="0.25">
      <c r="A225" s="181"/>
      <c r="B225" s="181"/>
      <c r="C225" s="181"/>
      <c r="D225" s="19">
        <v>2024</v>
      </c>
      <c r="E225" s="20">
        <f t="shared" si="22"/>
        <v>0</v>
      </c>
      <c r="F225" s="20">
        <v>0</v>
      </c>
      <c r="G225" s="20">
        <v>0</v>
      </c>
      <c r="H225" s="20">
        <v>0</v>
      </c>
      <c r="I225" s="20">
        <v>0</v>
      </c>
      <c r="J225" s="181"/>
      <c r="K225" s="181"/>
    </row>
    <row r="226" spans="1:13" x14ac:dyDescent="0.25">
      <c r="A226" s="181"/>
      <c r="B226" s="181"/>
      <c r="C226" s="181"/>
      <c r="D226" s="19">
        <v>2025</v>
      </c>
      <c r="E226" s="20">
        <f t="shared" si="22"/>
        <v>0</v>
      </c>
      <c r="F226" s="20">
        <v>0</v>
      </c>
      <c r="G226" s="20">
        <v>0</v>
      </c>
      <c r="H226" s="20">
        <v>0</v>
      </c>
      <c r="I226" s="20">
        <v>0</v>
      </c>
      <c r="J226" s="181"/>
      <c r="K226" s="181"/>
    </row>
    <row r="227" spans="1:13" x14ac:dyDescent="0.25">
      <c r="A227" s="181" t="s">
        <v>532</v>
      </c>
      <c r="B227" s="181" t="s">
        <v>533</v>
      </c>
      <c r="C227" s="181" t="s">
        <v>14</v>
      </c>
      <c r="D227" s="19" t="s">
        <v>8</v>
      </c>
      <c r="E227" s="20">
        <f t="shared" si="22"/>
        <v>368.27599999999995</v>
      </c>
      <c r="F227" s="20">
        <f>SUM(F228:F232)</f>
        <v>368.27599999999995</v>
      </c>
      <c r="G227" s="20">
        <f>SUM(G228:G232)</f>
        <v>0</v>
      </c>
      <c r="H227" s="20">
        <f>SUM(H228:H232)</f>
        <v>0</v>
      </c>
      <c r="I227" s="20">
        <f>SUM(I228:I232)</f>
        <v>0</v>
      </c>
      <c r="J227" s="181" t="s">
        <v>534</v>
      </c>
      <c r="K227" s="181" t="s">
        <v>92</v>
      </c>
    </row>
    <row r="228" spans="1:13" x14ac:dyDescent="0.25">
      <c r="A228" s="181"/>
      <c r="B228" s="181"/>
      <c r="C228" s="181"/>
      <c r="D228" s="19">
        <v>2021</v>
      </c>
      <c r="E228" s="20">
        <f t="shared" si="22"/>
        <v>150.887</v>
      </c>
      <c r="F228" s="20">
        <v>150.887</v>
      </c>
      <c r="G228" s="20">
        <v>0</v>
      </c>
      <c r="H228" s="20">
        <v>0</v>
      </c>
      <c r="I228" s="20">
        <v>0</v>
      </c>
      <c r="J228" s="181"/>
      <c r="K228" s="181"/>
    </row>
    <row r="229" spans="1:13" x14ac:dyDescent="0.25">
      <c r="A229" s="181"/>
      <c r="B229" s="181"/>
      <c r="C229" s="181"/>
      <c r="D229" s="19">
        <v>2022</v>
      </c>
      <c r="E229" s="20">
        <f t="shared" si="22"/>
        <v>82.956999999999994</v>
      </c>
      <c r="F229" s="20">
        <v>82.956999999999994</v>
      </c>
      <c r="G229" s="20">
        <v>0</v>
      </c>
      <c r="H229" s="20">
        <v>0</v>
      </c>
      <c r="I229" s="20">
        <v>0</v>
      </c>
      <c r="J229" s="181"/>
      <c r="K229" s="181"/>
    </row>
    <row r="230" spans="1:13" x14ac:dyDescent="0.25">
      <c r="A230" s="181"/>
      <c r="B230" s="181"/>
      <c r="C230" s="181"/>
      <c r="D230" s="19">
        <v>2023</v>
      </c>
      <c r="E230" s="20">
        <f t="shared" si="22"/>
        <v>134.43199999999999</v>
      </c>
      <c r="F230" s="20">
        <v>134.43199999999999</v>
      </c>
      <c r="G230" s="20">
        <v>0</v>
      </c>
      <c r="H230" s="20">
        <v>0</v>
      </c>
      <c r="I230" s="20">
        <v>0</v>
      </c>
      <c r="J230" s="181"/>
      <c r="K230" s="181"/>
      <c r="M230" s="18" t="s">
        <v>1742</v>
      </c>
    </row>
    <row r="231" spans="1:13" x14ac:dyDescent="0.25">
      <c r="A231" s="181"/>
      <c r="B231" s="181"/>
      <c r="C231" s="181"/>
      <c r="D231" s="19">
        <v>2024</v>
      </c>
      <c r="E231" s="20">
        <f t="shared" si="22"/>
        <v>0</v>
      </c>
      <c r="F231" s="20">
        <v>0</v>
      </c>
      <c r="G231" s="20">
        <v>0</v>
      </c>
      <c r="H231" s="20">
        <v>0</v>
      </c>
      <c r="I231" s="20">
        <v>0</v>
      </c>
      <c r="J231" s="181"/>
      <c r="K231" s="181"/>
    </row>
    <row r="232" spans="1:13" x14ac:dyDescent="0.25">
      <c r="A232" s="181"/>
      <c r="B232" s="181"/>
      <c r="C232" s="181"/>
      <c r="D232" s="19">
        <v>2025</v>
      </c>
      <c r="E232" s="20">
        <f t="shared" si="22"/>
        <v>0</v>
      </c>
      <c r="F232" s="20">
        <v>0</v>
      </c>
      <c r="G232" s="20">
        <v>0</v>
      </c>
      <c r="H232" s="20">
        <v>0</v>
      </c>
      <c r="I232" s="20">
        <v>0</v>
      </c>
      <c r="J232" s="181"/>
      <c r="K232" s="181"/>
    </row>
    <row r="233" spans="1:13" x14ac:dyDescent="0.25">
      <c r="A233" s="181" t="s">
        <v>535</v>
      </c>
      <c r="B233" s="181" t="s">
        <v>536</v>
      </c>
      <c r="C233" s="181" t="s">
        <v>14</v>
      </c>
      <c r="D233" s="19" t="s">
        <v>8</v>
      </c>
      <c r="E233" s="20">
        <f t="shared" si="22"/>
        <v>595</v>
      </c>
      <c r="F233" s="20">
        <f>SUM(F234:F238)</f>
        <v>595</v>
      </c>
      <c r="G233" s="20">
        <f>SUM(G234:G238)</f>
        <v>0</v>
      </c>
      <c r="H233" s="20">
        <f>SUM(H234:H238)</f>
        <v>0</v>
      </c>
      <c r="I233" s="20">
        <f>SUM(I234:I238)</f>
        <v>0</v>
      </c>
      <c r="J233" s="181" t="s">
        <v>838</v>
      </c>
      <c r="K233" s="181" t="s">
        <v>531</v>
      </c>
    </row>
    <row r="234" spans="1:13" x14ac:dyDescent="0.25">
      <c r="A234" s="181"/>
      <c r="B234" s="181"/>
      <c r="C234" s="181"/>
      <c r="D234" s="19">
        <v>2021</v>
      </c>
      <c r="E234" s="20">
        <f t="shared" ref="E234:E297" si="26">SUM(F234:I234)</f>
        <v>595</v>
      </c>
      <c r="F234" s="20">
        <v>595</v>
      </c>
      <c r="G234" s="20">
        <v>0</v>
      </c>
      <c r="H234" s="20">
        <v>0</v>
      </c>
      <c r="I234" s="20">
        <v>0</v>
      </c>
      <c r="J234" s="181"/>
      <c r="K234" s="181"/>
    </row>
    <row r="235" spans="1:13" x14ac:dyDescent="0.25">
      <c r="A235" s="181"/>
      <c r="B235" s="181"/>
      <c r="C235" s="181"/>
      <c r="D235" s="19">
        <v>2022</v>
      </c>
      <c r="E235" s="20">
        <f t="shared" si="26"/>
        <v>0</v>
      </c>
      <c r="F235" s="20">
        <v>0</v>
      </c>
      <c r="G235" s="20">
        <v>0</v>
      </c>
      <c r="H235" s="20">
        <v>0</v>
      </c>
      <c r="I235" s="20">
        <v>0</v>
      </c>
      <c r="J235" s="181"/>
      <c r="K235" s="181"/>
    </row>
    <row r="236" spans="1:13" x14ac:dyDescent="0.25">
      <c r="A236" s="181"/>
      <c r="B236" s="181"/>
      <c r="C236" s="181"/>
      <c r="D236" s="19">
        <v>2023</v>
      </c>
      <c r="E236" s="20">
        <f t="shared" si="26"/>
        <v>0</v>
      </c>
      <c r="F236" s="20">
        <v>0</v>
      </c>
      <c r="G236" s="20">
        <v>0</v>
      </c>
      <c r="H236" s="20">
        <v>0</v>
      </c>
      <c r="I236" s="20">
        <v>0</v>
      </c>
      <c r="J236" s="181"/>
      <c r="K236" s="181"/>
    </row>
    <row r="237" spans="1:13" x14ac:dyDescent="0.25">
      <c r="A237" s="181"/>
      <c r="B237" s="181"/>
      <c r="C237" s="181"/>
      <c r="D237" s="19">
        <v>2024</v>
      </c>
      <c r="E237" s="20">
        <f t="shared" si="26"/>
        <v>0</v>
      </c>
      <c r="F237" s="20">
        <v>0</v>
      </c>
      <c r="G237" s="20">
        <v>0</v>
      </c>
      <c r="H237" s="20">
        <v>0</v>
      </c>
      <c r="I237" s="20">
        <v>0</v>
      </c>
      <c r="J237" s="181"/>
      <c r="K237" s="181"/>
    </row>
    <row r="238" spans="1:13" x14ac:dyDescent="0.25">
      <c r="A238" s="181"/>
      <c r="B238" s="181"/>
      <c r="C238" s="181"/>
      <c r="D238" s="19">
        <v>2025</v>
      </c>
      <c r="E238" s="20">
        <f t="shared" si="26"/>
        <v>0</v>
      </c>
      <c r="F238" s="20">
        <v>0</v>
      </c>
      <c r="G238" s="20">
        <v>0</v>
      </c>
      <c r="H238" s="20">
        <v>0</v>
      </c>
      <c r="I238" s="20">
        <v>0</v>
      </c>
      <c r="J238" s="181"/>
      <c r="K238" s="181"/>
    </row>
    <row r="239" spans="1:13" x14ac:dyDescent="0.25">
      <c r="A239" s="181" t="s">
        <v>609</v>
      </c>
      <c r="B239" s="181" t="s">
        <v>610</v>
      </c>
      <c r="C239" s="181" t="s">
        <v>14</v>
      </c>
      <c r="D239" s="19" t="s">
        <v>8</v>
      </c>
      <c r="E239" s="20">
        <f t="shared" si="26"/>
        <v>8626</v>
      </c>
      <c r="F239" s="20">
        <f>SUM(F240:F244)</f>
        <v>8626</v>
      </c>
      <c r="G239" s="20">
        <f>SUM(G240:G244)</f>
        <v>0</v>
      </c>
      <c r="H239" s="20">
        <f>SUM(H240:H244)</f>
        <v>0</v>
      </c>
      <c r="I239" s="20">
        <f>SUM(I240:I244)</f>
        <v>0</v>
      </c>
      <c r="J239" s="181" t="s">
        <v>611</v>
      </c>
      <c r="K239" s="181" t="s">
        <v>563</v>
      </c>
    </row>
    <row r="240" spans="1:13" x14ac:dyDescent="0.25">
      <c r="A240" s="181"/>
      <c r="B240" s="181"/>
      <c r="C240" s="181"/>
      <c r="D240" s="19">
        <v>2021</v>
      </c>
      <c r="E240" s="20">
        <f t="shared" si="26"/>
        <v>8626</v>
      </c>
      <c r="F240" s="20">
        <v>8626</v>
      </c>
      <c r="G240" s="20">
        <v>0</v>
      </c>
      <c r="H240" s="20">
        <v>0</v>
      </c>
      <c r="I240" s="20">
        <v>0</v>
      </c>
      <c r="J240" s="181"/>
      <c r="K240" s="181"/>
    </row>
    <row r="241" spans="1:11" x14ac:dyDescent="0.25">
      <c r="A241" s="181"/>
      <c r="B241" s="181"/>
      <c r="C241" s="181"/>
      <c r="D241" s="19">
        <v>2022</v>
      </c>
      <c r="E241" s="20">
        <f t="shared" si="26"/>
        <v>0</v>
      </c>
      <c r="F241" s="20">
        <v>0</v>
      </c>
      <c r="G241" s="20">
        <v>0</v>
      </c>
      <c r="H241" s="20">
        <v>0</v>
      </c>
      <c r="I241" s="20">
        <v>0</v>
      </c>
      <c r="J241" s="181"/>
      <c r="K241" s="181"/>
    </row>
    <row r="242" spans="1:11" x14ac:dyDescent="0.25">
      <c r="A242" s="181"/>
      <c r="B242" s="181"/>
      <c r="C242" s="181"/>
      <c r="D242" s="19">
        <v>2023</v>
      </c>
      <c r="E242" s="20">
        <f t="shared" si="26"/>
        <v>0</v>
      </c>
      <c r="F242" s="20">
        <v>0</v>
      </c>
      <c r="G242" s="20">
        <v>0</v>
      </c>
      <c r="H242" s="20">
        <v>0</v>
      </c>
      <c r="I242" s="20">
        <v>0</v>
      </c>
      <c r="J242" s="181"/>
      <c r="K242" s="181"/>
    </row>
    <row r="243" spans="1:11" x14ac:dyDescent="0.25">
      <c r="A243" s="181"/>
      <c r="B243" s="181"/>
      <c r="C243" s="181"/>
      <c r="D243" s="19">
        <v>2024</v>
      </c>
      <c r="E243" s="20">
        <f t="shared" si="26"/>
        <v>0</v>
      </c>
      <c r="F243" s="20">
        <v>0</v>
      </c>
      <c r="G243" s="20">
        <v>0</v>
      </c>
      <c r="H243" s="20">
        <v>0</v>
      </c>
      <c r="I243" s="20">
        <v>0</v>
      </c>
      <c r="J243" s="181"/>
      <c r="K243" s="181"/>
    </row>
    <row r="244" spans="1:11" x14ac:dyDescent="0.25">
      <c r="A244" s="181"/>
      <c r="B244" s="181"/>
      <c r="C244" s="181"/>
      <c r="D244" s="19">
        <v>2025</v>
      </c>
      <c r="E244" s="20">
        <f t="shared" si="26"/>
        <v>0</v>
      </c>
      <c r="F244" s="20">
        <v>0</v>
      </c>
      <c r="G244" s="20">
        <v>0</v>
      </c>
      <c r="H244" s="20">
        <v>0</v>
      </c>
      <c r="I244" s="20">
        <v>0</v>
      </c>
      <c r="J244" s="181"/>
      <c r="K244" s="181"/>
    </row>
    <row r="245" spans="1:11" x14ac:dyDescent="0.25">
      <c r="A245" s="181" t="s">
        <v>839</v>
      </c>
      <c r="B245" s="181" t="s">
        <v>1137</v>
      </c>
      <c r="C245" s="181" t="s">
        <v>14</v>
      </c>
      <c r="D245" s="19" t="s">
        <v>8</v>
      </c>
      <c r="E245" s="20">
        <f t="shared" si="26"/>
        <v>35474.273000000001</v>
      </c>
      <c r="F245" s="20">
        <f>SUM(F246:F250)</f>
        <v>35474.273000000001</v>
      </c>
      <c r="G245" s="20">
        <f>SUM(G246:G250)</f>
        <v>0</v>
      </c>
      <c r="H245" s="20">
        <f>SUM(H246:H250)</f>
        <v>0</v>
      </c>
      <c r="I245" s="20">
        <f>SUM(I246:I250)</f>
        <v>0</v>
      </c>
      <c r="J245" s="181" t="s">
        <v>1138</v>
      </c>
      <c r="K245" s="181" t="s">
        <v>1139</v>
      </c>
    </row>
    <row r="246" spans="1:11" x14ac:dyDescent="0.25">
      <c r="A246" s="181"/>
      <c r="B246" s="181"/>
      <c r="C246" s="181"/>
      <c r="D246" s="19">
        <v>2021</v>
      </c>
      <c r="E246" s="20">
        <f t="shared" si="26"/>
        <v>0</v>
      </c>
      <c r="F246" s="20">
        <v>0</v>
      </c>
      <c r="G246" s="20">
        <v>0</v>
      </c>
      <c r="H246" s="20">
        <v>0</v>
      </c>
      <c r="I246" s="20">
        <v>0</v>
      </c>
      <c r="J246" s="181"/>
      <c r="K246" s="181"/>
    </row>
    <row r="247" spans="1:11" x14ac:dyDescent="0.25">
      <c r="A247" s="181"/>
      <c r="B247" s="181"/>
      <c r="C247" s="181"/>
      <c r="D247" s="19">
        <v>2022</v>
      </c>
      <c r="E247" s="20">
        <f t="shared" si="26"/>
        <v>35337.442999999999</v>
      </c>
      <c r="F247" s="20">
        <f>22000+1017.443+12000+13089.787+320-13089.787</f>
        <v>35337.442999999999</v>
      </c>
      <c r="G247" s="20">
        <v>0</v>
      </c>
      <c r="H247" s="20">
        <v>0</v>
      </c>
      <c r="I247" s="20">
        <v>0</v>
      </c>
      <c r="J247" s="181"/>
      <c r="K247" s="181"/>
    </row>
    <row r="248" spans="1:11" x14ac:dyDescent="0.25">
      <c r="A248" s="181"/>
      <c r="B248" s="181"/>
      <c r="C248" s="181"/>
      <c r="D248" s="19">
        <v>2023</v>
      </c>
      <c r="E248" s="20">
        <f t="shared" si="26"/>
        <v>136.82999999999993</v>
      </c>
      <c r="F248" s="20">
        <f>5000-4863.17</f>
        <v>136.82999999999993</v>
      </c>
      <c r="G248" s="20">
        <v>0</v>
      </c>
      <c r="H248" s="20">
        <v>0</v>
      </c>
      <c r="I248" s="20">
        <v>0</v>
      </c>
      <c r="J248" s="181"/>
      <c r="K248" s="181"/>
    </row>
    <row r="249" spans="1:11" x14ac:dyDescent="0.25">
      <c r="A249" s="181"/>
      <c r="B249" s="181"/>
      <c r="C249" s="181"/>
      <c r="D249" s="19">
        <v>2024</v>
      </c>
      <c r="E249" s="20">
        <f t="shared" si="26"/>
        <v>0</v>
      </c>
      <c r="F249" s="20">
        <v>0</v>
      </c>
      <c r="G249" s="20">
        <v>0</v>
      </c>
      <c r="H249" s="20">
        <v>0</v>
      </c>
      <c r="I249" s="20">
        <v>0</v>
      </c>
      <c r="J249" s="181"/>
      <c r="K249" s="181"/>
    </row>
    <row r="250" spans="1:11" x14ac:dyDescent="0.25">
      <c r="A250" s="181"/>
      <c r="B250" s="181"/>
      <c r="C250" s="181"/>
      <c r="D250" s="19">
        <v>2025</v>
      </c>
      <c r="E250" s="20">
        <f t="shared" si="26"/>
        <v>0</v>
      </c>
      <c r="F250" s="20">
        <v>0</v>
      </c>
      <c r="G250" s="20">
        <v>0</v>
      </c>
      <c r="H250" s="20">
        <v>0</v>
      </c>
      <c r="I250" s="20">
        <v>0</v>
      </c>
      <c r="J250" s="181"/>
      <c r="K250" s="181"/>
    </row>
    <row r="251" spans="1:11" x14ac:dyDescent="0.25">
      <c r="A251" s="181" t="s">
        <v>843</v>
      </c>
      <c r="B251" s="181" t="s">
        <v>844</v>
      </c>
      <c r="C251" s="181" t="s">
        <v>14</v>
      </c>
      <c r="D251" s="19" t="s">
        <v>8</v>
      </c>
      <c r="E251" s="20">
        <f t="shared" si="26"/>
        <v>534</v>
      </c>
      <c r="F251" s="20">
        <f>SUM(F252:F256)</f>
        <v>534</v>
      </c>
      <c r="G251" s="20">
        <f>SUM(G252:G256)</f>
        <v>0</v>
      </c>
      <c r="H251" s="20">
        <f>SUM(H252:H256)</f>
        <v>0</v>
      </c>
      <c r="I251" s="20">
        <f>SUM(I252:I256)</f>
        <v>0</v>
      </c>
      <c r="J251" s="181" t="s">
        <v>845</v>
      </c>
      <c r="K251" s="181" t="s">
        <v>1140</v>
      </c>
    </row>
    <row r="252" spans="1:11" x14ac:dyDescent="0.25">
      <c r="A252" s="181"/>
      <c r="B252" s="181"/>
      <c r="C252" s="181"/>
      <c r="D252" s="19">
        <v>2021</v>
      </c>
      <c r="E252" s="20">
        <f t="shared" si="26"/>
        <v>534</v>
      </c>
      <c r="F252" s="20">
        <v>534</v>
      </c>
      <c r="G252" s="20">
        <v>0</v>
      </c>
      <c r="H252" s="20">
        <v>0</v>
      </c>
      <c r="I252" s="20">
        <v>0</v>
      </c>
      <c r="J252" s="181"/>
      <c r="K252" s="181"/>
    </row>
    <row r="253" spans="1:11" x14ac:dyDescent="0.25">
      <c r="A253" s="181"/>
      <c r="B253" s="181"/>
      <c r="C253" s="181"/>
      <c r="D253" s="19">
        <v>2022</v>
      </c>
      <c r="E253" s="20">
        <f t="shared" si="26"/>
        <v>0</v>
      </c>
      <c r="F253" s="20">
        <v>0</v>
      </c>
      <c r="G253" s="20">
        <v>0</v>
      </c>
      <c r="H253" s="20">
        <v>0</v>
      </c>
      <c r="I253" s="20">
        <v>0</v>
      </c>
      <c r="J253" s="181"/>
      <c r="K253" s="181"/>
    </row>
    <row r="254" spans="1:11" x14ac:dyDescent="0.25">
      <c r="A254" s="181"/>
      <c r="B254" s="181"/>
      <c r="C254" s="181"/>
      <c r="D254" s="19">
        <v>2023</v>
      </c>
      <c r="E254" s="20">
        <f t="shared" si="26"/>
        <v>0</v>
      </c>
      <c r="F254" s="20">
        <v>0</v>
      </c>
      <c r="G254" s="20">
        <v>0</v>
      </c>
      <c r="H254" s="20">
        <v>0</v>
      </c>
      <c r="I254" s="20">
        <v>0</v>
      </c>
      <c r="J254" s="181"/>
      <c r="K254" s="181"/>
    </row>
    <row r="255" spans="1:11" x14ac:dyDescent="0.25">
      <c r="A255" s="181"/>
      <c r="B255" s="181"/>
      <c r="C255" s="181"/>
      <c r="D255" s="19">
        <v>2024</v>
      </c>
      <c r="E255" s="20">
        <f t="shared" si="26"/>
        <v>0</v>
      </c>
      <c r="F255" s="20">
        <v>0</v>
      </c>
      <c r="G255" s="20">
        <v>0</v>
      </c>
      <c r="H255" s="20">
        <v>0</v>
      </c>
      <c r="I255" s="20">
        <v>0</v>
      </c>
      <c r="J255" s="181"/>
      <c r="K255" s="181"/>
    </row>
    <row r="256" spans="1:11" x14ac:dyDescent="0.25">
      <c r="A256" s="181"/>
      <c r="B256" s="181"/>
      <c r="C256" s="181"/>
      <c r="D256" s="19">
        <v>2025</v>
      </c>
      <c r="E256" s="20">
        <f t="shared" si="26"/>
        <v>0</v>
      </c>
      <c r="F256" s="20">
        <v>0</v>
      </c>
      <c r="G256" s="20">
        <v>0</v>
      </c>
      <c r="H256" s="20">
        <v>0</v>
      </c>
      <c r="I256" s="20">
        <v>0</v>
      </c>
      <c r="J256" s="181"/>
      <c r="K256" s="181"/>
    </row>
    <row r="257" spans="1:11" x14ac:dyDescent="0.25">
      <c r="A257" s="181" t="s">
        <v>846</v>
      </c>
      <c r="B257" s="181" t="s">
        <v>847</v>
      </c>
      <c r="C257" s="181" t="s">
        <v>14</v>
      </c>
      <c r="D257" s="19" t="s">
        <v>8</v>
      </c>
      <c r="E257" s="20">
        <f t="shared" si="26"/>
        <v>194</v>
      </c>
      <c r="F257" s="20">
        <f>SUM(F258:F262)</f>
        <v>194</v>
      </c>
      <c r="G257" s="20">
        <f>SUM(G258:G262)</f>
        <v>0</v>
      </c>
      <c r="H257" s="20">
        <f>SUM(H258:H262)</f>
        <v>0</v>
      </c>
      <c r="I257" s="20">
        <f>SUM(I258:I262)</f>
        <v>0</v>
      </c>
      <c r="J257" s="181" t="s">
        <v>848</v>
      </c>
      <c r="K257" s="181" t="s">
        <v>484</v>
      </c>
    </row>
    <row r="258" spans="1:11" x14ac:dyDescent="0.25">
      <c r="A258" s="181"/>
      <c r="B258" s="181"/>
      <c r="C258" s="181"/>
      <c r="D258" s="19">
        <v>2021</v>
      </c>
      <c r="E258" s="20">
        <f t="shared" si="26"/>
        <v>194</v>
      </c>
      <c r="F258" s="20">
        <v>194</v>
      </c>
      <c r="G258" s="20">
        <v>0</v>
      </c>
      <c r="H258" s="20">
        <v>0</v>
      </c>
      <c r="I258" s="20">
        <v>0</v>
      </c>
      <c r="J258" s="181"/>
      <c r="K258" s="181"/>
    </row>
    <row r="259" spans="1:11" x14ac:dyDescent="0.25">
      <c r="A259" s="181"/>
      <c r="B259" s="181"/>
      <c r="C259" s="181"/>
      <c r="D259" s="19">
        <v>2022</v>
      </c>
      <c r="E259" s="20">
        <f t="shared" si="26"/>
        <v>0</v>
      </c>
      <c r="F259" s="20">
        <v>0</v>
      </c>
      <c r="G259" s="20">
        <v>0</v>
      </c>
      <c r="H259" s="20">
        <v>0</v>
      </c>
      <c r="I259" s="20">
        <v>0</v>
      </c>
      <c r="J259" s="181"/>
      <c r="K259" s="181"/>
    </row>
    <row r="260" spans="1:11" x14ac:dyDescent="0.25">
      <c r="A260" s="181"/>
      <c r="B260" s="181"/>
      <c r="C260" s="181"/>
      <c r="D260" s="19">
        <v>2023</v>
      </c>
      <c r="E260" s="20">
        <f t="shared" si="26"/>
        <v>0</v>
      </c>
      <c r="F260" s="20">
        <v>0</v>
      </c>
      <c r="G260" s="20">
        <v>0</v>
      </c>
      <c r="H260" s="20">
        <v>0</v>
      </c>
      <c r="I260" s="20">
        <v>0</v>
      </c>
      <c r="J260" s="181"/>
      <c r="K260" s="181"/>
    </row>
    <row r="261" spans="1:11" x14ac:dyDescent="0.25">
      <c r="A261" s="181"/>
      <c r="B261" s="181"/>
      <c r="C261" s="181"/>
      <c r="D261" s="19">
        <v>2024</v>
      </c>
      <c r="E261" s="20">
        <f t="shared" si="26"/>
        <v>0</v>
      </c>
      <c r="F261" s="20">
        <v>0</v>
      </c>
      <c r="G261" s="20">
        <v>0</v>
      </c>
      <c r="H261" s="20">
        <v>0</v>
      </c>
      <c r="I261" s="20">
        <v>0</v>
      </c>
      <c r="J261" s="181"/>
      <c r="K261" s="181"/>
    </row>
    <row r="262" spans="1:11" x14ac:dyDescent="0.25">
      <c r="A262" s="181"/>
      <c r="B262" s="181"/>
      <c r="C262" s="181"/>
      <c r="D262" s="19">
        <v>2025</v>
      </c>
      <c r="E262" s="20">
        <f t="shared" si="26"/>
        <v>0</v>
      </c>
      <c r="F262" s="20">
        <v>0</v>
      </c>
      <c r="G262" s="20">
        <v>0</v>
      </c>
      <c r="H262" s="20">
        <v>0</v>
      </c>
      <c r="I262" s="20">
        <v>0</v>
      </c>
      <c r="J262" s="181"/>
      <c r="K262" s="181"/>
    </row>
    <row r="263" spans="1:11" x14ac:dyDescent="0.25">
      <c r="A263" s="181" t="s">
        <v>849</v>
      </c>
      <c r="B263" s="181" t="s">
        <v>850</v>
      </c>
      <c r="C263" s="181" t="s">
        <v>1113</v>
      </c>
      <c r="D263" s="19" t="s">
        <v>8</v>
      </c>
      <c r="E263" s="20">
        <f t="shared" si="26"/>
        <v>900</v>
      </c>
      <c r="F263" s="20">
        <f>SUM(F264:F268)</f>
        <v>900</v>
      </c>
      <c r="G263" s="20">
        <f>SUM(G264:G268)</f>
        <v>0</v>
      </c>
      <c r="H263" s="20">
        <f>SUM(H264:H268)</f>
        <v>0</v>
      </c>
      <c r="I263" s="20">
        <f>SUM(I264:I268)</f>
        <v>0</v>
      </c>
      <c r="J263" s="181" t="s">
        <v>1141</v>
      </c>
      <c r="K263" s="181" t="s">
        <v>484</v>
      </c>
    </row>
    <row r="264" spans="1:11" x14ac:dyDescent="0.25">
      <c r="A264" s="181"/>
      <c r="B264" s="181"/>
      <c r="C264" s="181"/>
      <c r="D264" s="19">
        <v>2021</v>
      </c>
      <c r="E264" s="20">
        <f t="shared" si="26"/>
        <v>0</v>
      </c>
      <c r="F264" s="20">
        <v>0</v>
      </c>
      <c r="G264" s="20">
        <v>0</v>
      </c>
      <c r="H264" s="20">
        <v>0</v>
      </c>
      <c r="I264" s="20">
        <v>0</v>
      </c>
      <c r="J264" s="181"/>
      <c r="K264" s="181"/>
    </row>
    <row r="265" spans="1:11" x14ac:dyDescent="0.25">
      <c r="A265" s="181"/>
      <c r="B265" s="181"/>
      <c r="C265" s="181"/>
      <c r="D265" s="19">
        <v>2022</v>
      </c>
      <c r="E265" s="20">
        <v>900</v>
      </c>
      <c r="F265" s="20">
        <v>900</v>
      </c>
      <c r="G265" s="20">
        <v>0</v>
      </c>
      <c r="H265" s="20">
        <v>0</v>
      </c>
      <c r="I265" s="20">
        <v>0</v>
      </c>
      <c r="J265" s="181"/>
      <c r="K265" s="181"/>
    </row>
    <row r="266" spans="1:11" x14ac:dyDescent="0.25">
      <c r="A266" s="181"/>
      <c r="B266" s="181"/>
      <c r="C266" s="181"/>
      <c r="D266" s="19">
        <v>2023</v>
      </c>
      <c r="E266" s="20">
        <f t="shared" si="26"/>
        <v>0</v>
      </c>
      <c r="F266" s="20">
        <v>0</v>
      </c>
      <c r="G266" s="20">
        <v>0</v>
      </c>
      <c r="H266" s="20">
        <v>0</v>
      </c>
      <c r="I266" s="20">
        <v>0</v>
      </c>
      <c r="J266" s="181"/>
      <c r="K266" s="181"/>
    </row>
    <row r="267" spans="1:11" x14ac:dyDescent="0.25">
      <c r="A267" s="181"/>
      <c r="B267" s="181"/>
      <c r="C267" s="181"/>
      <c r="D267" s="19">
        <v>2024</v>
      </c>
      <c r="E267" s="20">
        <f t="shared" si="26"/>
        <v>0</v>
      </c>
      <c r="F267" s="20">
        <v>0</v>
      </c>
      <c r="G267" s="20">
        <v>0</v>
      </c>
      <c r="H267" s="20">
        <v>0</v>
      </c>
      <c r="I267" s="20">
        <v>0</v>
      </c>
      <c r="J267" s="181"/>
      <c r="K267" s="181"/>
    </row>
    <row r="268" spans="1:11" x14ac:dyDescent="0.25">
      <c r="A268" s="181"/>
      <c r="B268" s="181"/>
      <c r="C268" s="181"/>
      <c r="D268" s="19">
        <v>2025</v>
      </c>
      <c r="E268" s="20">
        <f t="shared" si="26"/>
        <v>0</v>
      </c>
      <c r="F268" s="20">
        <v>0</v>
      </c>
      <c r="G268" s="20">
        <v>0</v>
      </c>
      <c r="H268" s="20">
        <v>0</v>
      </c>
      <c r="I268" s="20">
        <v>0</v>
      </c>
      <c r="J268" s="181"/>
      <c r="K268" s="181"/>
    </row>
    <row r="269" spans="1:11" x14ac:dyDescent="0.25">
      <c r="A269" s="181" t="s">
        <v>852</v>
      </c>
      <c r="B269" s="181" t="s">
        <v>1142</v>
      </c>
      <c r="C269" s="181" t="s">
        <v>1113</v>
      </c>
      <c r="D269" s="19" t="s">
        <v>8</v>
      </c>
      <c r="E269" s="20">
        <f t="shared" si="26"/>
        <v>117456.592</v>
      </c>
      <c r="F269" s="20">
        <f>SUM(F270:F274)</f>
        <v>117456.592</v>
      </c>
      <c r="G269" s="20">
        <f>SUM(G270:G274)</f>
        <v>0</v>
      </c>
      <c r="H269" s="20">
        <f>SUM(H270:H274)</f>
        <v>0</v>
      </c>
      <c r="I269" s="20">
        <f>SUM(I270:I274)</f>
        <v>0</v>
      </c>
      <c r="J269" s="181" t="s">
        <v>1142</v>
      </c>
      <c r="K269" s="181" t="s">
        <v>597</v>
      </c>
    </row>
    <row r="270" spans="1:11" x14ac:dyDescent="0.25">
      <c r="A270" s="181"/>
      <c r="B270" s="181"/>
      <c r="C270" s="181"/>
      <c r="D270" s="19">
        <v>2021</v>
      </c>
      <c r="E270" s="20">
        <f t="shared" si="26"/>
        <v>0</v>
      </c>
      <c r="F270" s="20">
        <v>0</v>
      </c>
      <c r="G270" s="20">
        <v>0</v>
      </c>
      <c r="H270" s="20">
        <v>0</v>
      </c>
      <c r="I270" s="20">
        <v>0</v>
      </c>
      <c r="J270" s="181"/>
      <c r="K270" s="181"/>
    </row>
    <row r="271" spans="1:11" x14ac:dyDescent="0.25">
      <c r="A271" s="181"/>
      <c r="B271" s="181"/>
      <c r="C271" s="181"/>
      <c r="D271" s="19">
        <v>2022</v>
      </c>
      <c r="E271" s="20">
        <f t="shared" si="26"/>
        <v>24779.228999999999</v>
      </c>
      <c r="F271" s="20">
        <v>24779.228999999999</v>
      </c>
      <c r="G271" s="20">
        <v>0</v>
      </c>
      <c r="H271" s="20">
        <v>0</v>
      </c>
      <c r="I271" s="20">
        <v>0</v>
      </c>
      <c r="J271" s="181"/>
      <c r="K271" s="181"/>
    </row>
    <row r="272" spans="1:11" x14ac:dyDescent="0.25">
      <c r="A272" s="181"/>
      <c r="B272" s="181"/>
      <c r="C272" s="181"/>
      <c r="D272" s="19">
        <v>2023</v>
      </c>
      <c r="E272" s="20">
        <f t="shared" si="26"/>
        <v>35051.025000000001</v>
      </c>
      <c r="F272" s="20">
        <f>25184.8+5003.055+4863.17</f>
        <v>35051.025000000001</v>
      </c>
      <c r="G272" s="20">
        <v>0</v>
      </c>
      <c r="H272" s="20">
        <v>0</v>
      </c>
      <c r="I272" s="20">
        <v>0</v>
      </c>
      <c r="J272" s="181"/>
      <c r="K272" s="181"/>
    </row>
    <row r="273" spans="1:11" x14ac:dyDescent="0.25">
      <c r="A273" s="181"/>
      <c r="B273" s="181"/>
      <c r="C273" s="181"/>
      <c r="D273" s="19">
        <v>2024</v>
      </c>
      <c r="E273" s="20">
        <f t="shared" si="26"/>
        <v>28813.169000000002</v>
      </c>
      <c r="F273" s="20">
        <v>28813.169000000002</v>
      </c>
      <c r="G273" s="20">
        <v>0</v>
      </c>
      <c r="H273" s="20">
        <v>0</v>
      </c>
      <c r="I273" s="20">
        <v>0</v>
      </c>
      <c r="J273" s="181"/>
      <c r="K273" s="181"/>
    </row>
    <row r="274" spans="1:11" x14ac:dyDescent="0.25">
      <c r="A274" s="181"/>
      <c r="B274" s="181"/>
      <c r="C274" s="181"/>
      <c r="D274" s="19">
        <v>2025</v>
      </c>
      <c r="E274" s="20">
        <f t="shared" si="26"/>
        <v>28813.169000000002</v>
      </c>
      <c r="F274" s="20">
        <v>28813.169000000002</v>
      </c>
      <c r="G274" s="20">
        <v>0</v>
      </c>
      <c r="H274" s="20">
        <v>0</v>
      </c>
      <c r="I274" s="20">
        <v>0</v>
      </c>
      <c r="J274" s="181"/>
      <c r="K274" s="181"/>
    </row>
    <row r="275" spans="1:11" x14ac:dyDescent="0.25">
      <c r="A275" s="181" t="s">
        <v>1143</v>
      </c>
      <c r="B275" s="181" t="s">
        <v>1144</v>
      </c>
      <c r="C275" s="181">
        <v>2022</v>
      </c>
      <c r="D275" s="19" t="s">
        <v>8</v>
      </c>
      <c r="E275" s="20">
        <f t="shared" si="26"/>
        <v>0</v>
      </c>
      <c r="F275" s="20">
        <f>SUM(F276:F280)</f>
        <v>0</v>
      </c>
      <c r="G275" s="20">
        <f>SUM(G276:G280)</f>
        <v>0</v>
      </c>
      <c r="H275" s="20">
        <f>SUM(H276:H280)</f>
        <v>0</v>
      </c>
      <c r="I275" s="20">
        <f>SUM(I276:I280)</f>
        <v>0</v>
      </c>
      <c r="J275" s="181" t="s">
        <v>1145</v>
      </c>
      <c r="K275" s="181" t="s">
        <v>1146</v>
      </c>
    </row>
    <row r="276" spans="1:11" x14ac:dyDescent="0.25">
      <c r="A276" s="181"/>
      <c r="B276" s="181"/>
      <c r="C276" s="181"/>
      <c r="D276" s="19">
        <v>2021</v>
      </c>
      <c r="E276" s="20">
        <f t="shared" si="26"/>
        <v>0</v>
      </c>
      <c r="F276" s="20">
        <v>0</v>
      </c>
      <c r="G276" s="20">
        <v>0</v>
      </c>
      <c r="H276" s="20">
        <v>0</v>
      </c>
      <c r="I276" s="20">
        <v>0</v>
      </c>
      <c r="J276" s="181"/>
      <c r="K276" s="181"/>
    </row>
    <row r="277" spans="1:11" x14ac:dyDescent="0.25">
      <c r="A277" s="181"/>
      <c r="B277" s="181"/>
      <c r="C277" s="181"/>
      <c r="D277" s="19">
        <v>2022</v>
      </c>
      <c r="E277" s="20">
        <f t="shared" si="26"/>
        <v>0</v>
      </c>
      <c r="F277" s="20">
        <v>0</v>
      </c>
      <c r="G277" s="20">
        <v>0</v>
      </c>
      <c r="H277" s="20">
        <v>0</v>
      </c>
      <c r="I277" s="20">
        <v>0</v>
      </c>
      <c r="J277" s="181"/>
      <c r="K277" s="181"/>
    </row>
    <row r="278" spans="1:11" x14ac:dyDescent="0.25">
      <c r="A278" s="181"/>
      <c r="B278" s="181"/>
      <c r="C278" s="181"/>
      <c r="D278" s="19">
        <v>2023</v>
      </c>
      <c r="E278" s="20">
        <f t="shared" si="26"/>
        <v>0</v>
      </c>
      <c r="F278" s="20">
        <v>0</v>
      </c>
      <c r="G278" s="20">
        <v>0</v>
      </c>
      <c r="H278" s="20">
        <v>0</v>
      </c>
      <c r="I278" s="20">
        <v>0</v>
      </c>
      <c r="J278" s="181"/>
      <c r="K278" s="181"/>
    </row>
    <row r="279" spans="1:11" x14ac:dyDescent="0.25">
      <c r="A279" s="181"/>
      <c r="B279" s="181"/>
      <c r="C279" s="181"/>
      <c r="D279" s="19">
        <v>2024</v>
      </c>
      <c r="E279" s="20">
        <f t="shared" si="26"/>
        <v>0</v>
      </c>
      <c r="F279" s="20">
        <v>0</v>
      </c>
      <c r="G279" s="20">
        <v>0</v>
      </c>
      <c r="H279" s="20">
        <v>0</v>
      </c>
      <c r="I279" s="20">
        <v>0</v>
      </c>
      <c r="J279" s="181"/>
      <c r="K279" s="181"/>
    </row>
    <row r="280" spans="1:11" x14ac:dyDescent="0.25">
      <c r="A280" s="181"/>
      <c r="B280" s="181"/>
      <c r="C280" s="181"/>
      <c r="D280" s="19">
        <v>2025</v>
      </c>
      <c r="E280" s="20">
        <f t="shared" si="26"/>
        <v>0</v>
      </c>
      <c r="F280" s="20">
        <v>0</v>
      </c>
      <c r="G280" s="20">
        <v>0</v>
      </c>
      <c r="H280" s="20">
        <v>0</v>
      </c>
      <c r="I280" s="20">
        <v>0</v>
      </c>
      <c r="J280" s="181"/>
      <c r="K280" s="181"/>
    </row>
    <row r="281" spans="1:11" x14ac:dyDescent="0.25">
      <c r="A281" s="181" t="s">
        <v>1147</v>
      </c>
      <c r="B281" s="181" t="s">
        <v>1148</v>
      </c>
      <c r="C281" s="181">
        <v>2022</v>
      </c>
      <c r="D281" s="19" t="s">
        <v>8</v>
      </c>
      <c r="E281" s="20">
        <f t="shared" si="26"/>
        <v>17927.877</v>
      </c>
      <c r="F281" s="20">
        <f>SUM(F282:F286)</f>
        <v>17927.877</v>
      </c>
      <c r="G281" s="20">
        <f>SUM(G282:G286)</f>
        <v>0</v>
      </c>
      <c r="H281" s="20">
        <f>SUM(H282:H286)</f>
        <v>0</v>
      </c>
      <c r="I281" s="20">
        <f>SUM(I282:I286)</f>
        <v>0</v>
      </c>
      <c r="J281" s="181" t="s">
        <v>1149</v>
      </c>
      <c r="K281" s="181" t="s">
        <v>1150</v>
      </c>
    </row>
    <row r="282" spans="1:11" x14ac:dyDescent="0.25">
      <c r="A282" s="181"/>
      <c r="B282" s="181"/>
      <c r="C282" s="181"/>
      <c r="D282" s="19">
        <v>2021</v>
      </c>
      <c r="E282" s="20">
        <f t="shared" si="26"/>
        <v>0</v>
      </c>
      <c r="F282" s="20">
        <v>0</v>
      </c>
      <c r="G282" s="20">
        <v>0</v>
      </c>
      <c r="H282" s="20">
        <v>0</v>
      </c>
      <c r="I282" s="20">
        <v>0</v>
      </c>
      <c r="J282" s="181"/>
      <c r="K282" s="181"/>
    </row>
    <row r="283" spans="1:11" x14ac:dyDescent="0.25">
      <c r="A283" s="181"/>
      <c r="B283" s="181"/>
      <c r="C283" s="181"/>
      <c r="D283" s="19">
        <v>2022</v>
      </c>
      <c r="E283" s="20">
        <f t="shared" si="26"/>
        <v>17927.877</v>
      </c>
      <c r="F283" s="20">
        <v>17927.877</v>
      </c>
      <c r="G283" s="20">
        <v>0</v>
      </c>
      <c r="H283" s="20">
        <v>0</v>
      </c>
      <c r="I283" s="20">
        <v>0</v>
      </c>
      <c r="J283" s="181"/>
      <c r="K283" s="181"/>
    </row>
    <row r="284" spans="1:11" x14ac:dyDescent="0.25">
      <c r="A284" s="181"/>
      <c r="B284" s="181"/>
      <c r="C284" s="181"/>
      <c r="D284" s="19">
        <v>2023</v>
      </c>
      <c r="E284" s="20">
        <f t="shared" si="26"/>
        <v>0</v>
      </c>
      <c r="F284" s="20">
        <v>0</v>
      </c>
      <c r="G284" s="20">
        <v>0</v>
      </c>
      <c r="H284" s="20">
        <v>0</v>
      </c>
      <c r="I284" s="20">
        <v>0</v>
      </c>
      <c r="J284" s="181"/>
      <c r="K284" s="181"/>
    </row>
    <row r="285" spans="1:11" x14ac:dyDescent="0.25">
      <c r="A285" s="181"/>
      <c r="B285" s="181"/>
      <c r="C285" s="181"/>
      <c r="D285" s="19">
        <v>2024</v>
      </c>
      <c r="E285" s="20">
        <f t="shared" si="26"/>
        <v>0</v>
      </c>
      <c r="F285" s="20">
        <v>0</v>
      </c>
      <c r="G285" s="20">
        <v>0</v>
      </c>
      <c r="H285" s="20">
        <v>0</v>
      </c>
      <c r="I285" s="20">
        <v>0</v>
      </c>
      <c r="J285" s="181"/>
      <c r="K285" s="181"/>
    </row>
    <row r="286" spans="1:11" x14ac:dyDescent="0.25">
      <c r="A286" s="181"/>
      <c r="B286" s="181"/>
      <c r="C286" s="181"/>
      <c r="D286" s="19">
        <v>2025</v>
      </c>
      <c r="E286" s="20">
        <f t="shared" si="26"/>
        <v>0</v>
      </c>
      <c r="F286" s="20">
        <v>0</v>
      </c>
      <c r="G286" s="20">
        <v>0</v>
      </c>
      <c r="H286" s="20">
        <v>0</v>
      </c>
      <c r="I286" s="20">
        <v>0</v>
      </c>
      <c r="J286" s="181"/>
      <c r="K286" s="181"/>
    </row>
    <row r="287" spans="1:11" x14ac:dyDescent="0.25">
      <c r="A287" s="181" t="s">
        <v>1151</v>
      </c>
      <c r="B287" s="181" t="s">
        <v>1152</v>
      </c>
      <c r="C287" s="181">
        <v>2022</v>
      </c>
      <c r="D287" s="19" t="s">
        <v>8</v>
      </c>
      <c r="E287" s="20">
        <f t="shared" si="26"/>
        <v>82491</v>
      </c>
      <c r="F287" s="20">
        <f>SUM(F288:F292)</f>
        <v>82491</v>
      </c>
      <c r="G287" s="20">
        <f>SUM(G288:G292)</f>
        <v>0</v>
      </c>
      <c r="H287" s="20">
        <f>SUM(H288:H292)</f>
        <v>0</v>
      </c>
      <c r="I287" s="20">
        <f>SUM(I288:I292)</f>
        <v>0</v>
      </c>
      <c r="J287" s="181" t="s">
        <v>1153</v>
      </c>
      <c r="K287" s="181" t="s">
        <v>597</v>
      </c>
    </row>
    <row r="288" spans="1:11" x14ac:dyDescent="0.25">
      <c r="A288" s="181"/>
      <c r="B288" s="181"/>
      <c r="C288" s="181"/>
      <c r="D288" s="19">
        <v>2021</v>
      </c>
      <c r="E288" s="20">
        <f t="shared" si="26"/>
        <v>0</v>
      </c>
      <c r="F288" s="20">
        <v>0</v>
      </c>
      <c r="G288" s="20">
        <v>0</v>
      </c>
      <c r="H288" s="20">
        <v>0</v>
      </c>
      <c r="I288" s="20">
        <v>0</v>
      </c>
      <c r="J288" s="181"/>
      <c r="K288" s="181"/>
    </row>
    <row r="289" spans="1:11" x14ac:dyDescent="0.25">
      <c r="A289" s="181"/>
      <c r="B289" s="181"/>
      <c r="C289" s="181"/>
      <c r="D289" s="19">
        <v>2022</v>
      </c>
      <c r="E289" s="20">
        <f t="shared" si="26"/>
        <v>82491</v>
      </c>
      <c r="F289" s="20">
        <f>56859.756+25631.244</f>
        <v>82491</v>
      </c>
      <c r="G289" s="20">
        <v>0</v>
      </c>
      <c r="H289" s="20">
        <v>0</v>
      </c>
      <c r="I289" s="20">
        <v>0</v>
      </c>
      <c r="J289" s="181"/>
      <c r="K289" s="181"/>
    </row>
    <row r="290" spans="1:11" x14ac:dyDescent="0.25">
      <c r="A290" s="181"/>
      <c r="B290" s="181"/>
      <c r="C290" s="181"/>
      <c r="D290" s="19">
        <v>2023</v>
      </c>
      <c r="E290" s="20">
        <f t="shared" si="26"/>
        <v>0</v>
      </c>
      <c r="F290" s="20">
        <v>0</v>
      </c>
      <c r="G290" s="20">
        <v>0</v>
      </c>
      <c r="H290" s="20">
        <v>0</v>
      </c>
      <c r="I290" s="20">
        <v>0</v>
      </c>
      <c r="J290" s="181"/>
      <c r="K290" s="181"/>
    </row>
    <row r="291" spans="1:11" x14ac:dyDescent="0.25">
      <c r="A291" s="181"/>
      <c r="B291" s="181"/>
      <c r="C291" s="181"/>
      <c r="D291" s="19">
        <v>2024</v>
      </c>
      <c r="E291" s="20">
        <f t="shared" si="26"/>
        <v>0</v>
      </c>
      <c r="F291" s="20">
        <v>0</v>
      </c>
      <c r="G291" s="20">
        <v>0</v>
      </c>
      <c r="H291" s="20">
        <v>0</v>
      </c>
      <c r="I291" s="20">
        <v>0</v>
      </c>
      <c r="J291" s="181"/>
      <c r="K291" s="181"/>
    </row>
    <row r="292" spans="1:11" x14ac:dyDescent="0.25">
      <c r="A292" s="181"/>
      <c r="B292" s="181"/>
      <c r="C292" s="181"/>
      <c r="D292" s="19">
        <v>2025</v>
      </c>
      <c r="E292" s="20">
        <f t="shared" si="26"/>
        <v>0</v>
      </c>
      <c r="F292" s="20">
        <v>0</v>
      </c>
      <c r="G292" s="20">
        <v>0</v>
      </c>
      <c r="H292" s="20">
        <v>0</v>
      </c>
      <c r="I292" s="20">
        <v>0</v>
      </c>
      <c r="J292" s="181"/>
      <c r="K292" s="181"/>
    </row>
    <row r="293" spans="1:11" x14ac:dyDescent="0.25">
      <c r="A293" s="181" t="s">
        <v>1154</v>
      </c>
      <c r="B293" s="181" t="s">
        <v>1155</v>
      </c>
      <c r="C293" s="181">
        <v>2022</v>
      </c>
      <c r="D293" s="19" t="s">
        <v>8</v>
      </c>
      <c r="E293" s="20">
        <f t="shared" si="26"/>
        <v>0</v>
      </c>
      <c r="F293" s="20">
        <f>SUM(F294:F298)</f>
        <v>0</v>
      </c>
      <c r="G293" s="20">
        <f>SUM(G294:G298)</f>
        <v>0</v>
      </c>
      <c r="H293" s="20">
        <f>SUM(H294:H298)</f>
        <v>0</v>
      </c>
      <c r="I293" s="20">
        <f>SUM(I294:I298)</f>
        <v>0</v>
      </c>
      <c r="J293" s="181" t="s">
        <v>1156</v>
      </c>
      <c r="K293" s="181" t="s">
        <v>597</v>
      </c>
    </row>
    <row r="294" spans="1:11" x14ac:dyDescent="0.25">
      <c r="A294" s="181"/>
      <c r="B294" s="181"/>
      <c r="C294" s="181"/>
      <c r="D294" s="19">
        <v>2021</v>
      </c>
      <c r="E294" s="20">
        <f t="shared" si="26"/>
        <v>0</v>
      </c>
      <c r="F294" s="20">
        <v>0</v>
      </c>
      <c r="G294" s="20">
        <v>0</v>
      </c>
      <c r="H294" s="20">
        <v>0</v>
      </c>
      <c r="I294" s="20">
        <v>0</v>
      </c>
      <c r="J294" s="181"/>
      <c r="K294" s="181"/>
    </row>
    <row r="295" spans="1:11" x14ac:dyDescent="0.25">
      <c r="A295" s="181"/>
      <c r="B295" s="181"/>
      <c r="C295" s="181"/>
      <c r="D295" s="19">
        <v>2022</v>
      </c>
      <c r="E295" s="20">
        <f t="shared" si="26"/>
        <v>0</v>
      </c>
      <c r="F295" s="20">
        <v>0</v>
      </c>
      <c r="G295" s="20">
        <v>0</v>
      </c>
      <c r="H295" s="20">
        <v>0</v>
      </c>
      <c r="I295" s="20">
        <v>0</v>
      </c>
      <c r="J295" s="181"/>
      <c r="K295" s="181"/>
    </row>
    <row r="296" spans="1:11" x14ac:dyDescent="0.25">
      <c r="A296" s="181"/>
      <c r="B296" s="181"/>
      <c r="C296" s="181"/>
      <c r="D296" s="19">
        <v>2023</v>
      </c>
      <c r="E296" s="20">
        <f t="shared" si="26"/>
        <v>0</v>
      </c>
      <c r="F296" s="20">
        <v>0</v>
      </c>
      <c r="G296" s="20">
        <v>0</v>
      </c>
      <c r="H296" s="20">
        <v>0</v>
      </c>
      <c r="I296" s="20">
        <v>0</v>
      </c>
      <c r="J296" s="181"/>
      <c r="K296" s="181"/>
    </row>
    <row r="297" spans="1:11" x14ac:dyDescent="0.25">
      <c r="A297" s="181"/>
      <c r="B297" s="181"/>
      <c r="C297" s="181"/>
      <c r="D297" s="19">
        <v>2024</v>
      </c>
      <c r="E297" s="20">
        <f t="shared" si="26"/>
        <v>0</v>
      </c>
      <c r="F297" s="20">
        <v>0</v>
      </c>
      <c r="G297" s="20">
        <v>0</v>
      </c>
      <c r="H297" s="20">
        <v>0</v>
      </c>
      <c r="I297" s="20">
        <v>0</v>
      </c>
      <c r="J297" s="181"/>
      <c r="K297" s="181"/>
    </row>
    <row r="298" spans="1:11" x14ac:dyDescent="0.25">
      <c r="A298" s="181"/>
      <c r="B298" s="181"/>
      <c r="C298" s="181"/>
      <c r="D298" s="19">
        <v>2025</v>
      </c>
      <c r="E298" s="20">
        <f t="shared" ref="E298:E316" si="27">SUM(F298:I298)</f>
        <v>0</v>
      </c>
      <c r="F298" s="20">
        <v>0</v>
      </c>
      <c r="G298" s="20">
        <v>0</v>
      </c>
      <c r="H298" s="20">
        <v>0</v>
      </c>
      <c r="I298" s="20">
        <v>0</v>
      </c>
      <c r="J298" s="181"/>
      <c r="K298" s="181"/>
    </row>
    <row r="299" spans="1:11" x14ac:dyDescent="0.25">
      <c r="A299" s="181" t="s">
        <v>1157</v>
      </c>
      <c r="B299" s="181" t="s">
        <v>1158</v>
      </c>
      <c r="C299" s="181">
        <v>2022</v>
      </c>
      <c r="D299" s="19" t="s">
        <v>8</v>
      </c>
      <c r="E299" s="20">
        <f t="shared" si="27"/>
        <v>7114.4989999999998</v>
      </c>
      <c r="F299" s="20">
        <f>SUM(F300:F304)</f>
        <v>7114.4989999999998</v>
      </c>
      <c r="G299" s="20">
        <f>SUM(G300:G304)</f>
        <v>0</v>
      </c>
      <c r="H299" s="20">
        <f>SUM(H300:H304)</f>
        <v>0</v>
      </c>
      <c r="I299" s="20">
        <f>SUM(I300:I304)</f>
        <v>0</v>
      </c>
      <c r="J299" s="181" t="s">
        <v>1159</v>
      </c>
      <c r="K299" s="181" t="s">
        <v>597</v>
      </c>
    </row>
    <row r="300" spans="1:11" x14ac:dyDescent="0.25">
      <c r="A300" s="181"/>
      <c r="B300" s="181"/>
      <c r="C300" s="181"/>
      <c r="D300" s="19">
        <v>2021</v>
      </c>
      <c r="E300" s="20">
        <f t="shared" si="27"/>
        <v>0</v>
      </c>
      <c r="F300" s="20">
        <v>0</v>
      </c>
      <c r="G300" s="20">
        <v>0</v>
      </c>
      <c r="H300" s="20">
        <v>0</v>
      </c>
      <c r="I300" s="20">
        <v>0</v>
      </c>
      <c r="J300" s="181"/>
      <c r="K300" s="181"/>
    </row>
    <row r="301" spans="1:11" x14ac:dyDescent="0.25">
      <c r="A301" s="181"/>
      <c r="B301" s="181"/>
      <c r="C301" s="181"/>
      <c r="D301" s="19">
        <v>2022</v>
      </c>
      <c r="E301" s="20">
        <f t="shared" si="27"/>
        <v>3486.1039999999998</v>
      </c>
      <c r="F301" s="20">
        <f>1682.37+32.07+1771.664</f>
        <v>3486.1039999999998</v>
      </c>
      <c r="G301" s="20">
        <v>0</v>
      </c>
      <c r="H301" s="20">
        <v>0</v>
      </c>
      <c r="I301" s="20">
        <v>0</v>
      </c>
      <c r="J301" s="181"/>
      <c r="K301" s="181"/>
    </row>
    <row r="302" spans="1:11" x14ac:dyDescent="0.25">
      <c r="A302" s="181"/>
      <c r="B302" s="181"/>
      <c r="C302" s="181"/>
      <c r="D302" s="19">
        <v>2023</v>
      </c>
      <c r="E302" s="20">
        <f t="shared" si="27"/>
        <v>3628.395</v>
      </c>
      <c r="F302" s="20">
        <v>3628.395</v>
      </c>
      <c r="G302" s="20">
        <v>0</v>
      </c>
      <c r="H302" s="20">
        <v>0</v>
      </c>
      <c r="I302" s="20">
        <v>0</v>
      </c>
      <c r="J302" s="181"/>
      <c r="K302" s="181"/>
    </row>
    <row r="303" spans="1:11" x14ac:dyDescent="0.25">
      <c r="A303" s="181"/>
      <c r="B303" s="181"/>
      <c r="C303" s="181"/>
      <c r="D303" s="19">
        <v>2024</v>
      </c>
      <c r="E303" s="20">
        <f t="shared" si="27"/>
        <v>0</v>
      </c>
      <c r="F303" s="20">
        <v>0</v>
      </c>
      <c r="G303" s="20">
        <v>0</v>
      </c>
      <c r="H303" s="20">
        <v>0</v>
      </c>
      <c r="I303" s="20">
        <v>0</v>
      </c>
      <c r="J303" s="181"/>
      <c r="K303" s="181"/>
    </row>
    <row r="304" spans="1:11" x14ac:dyDescent="0.25">
      <c r="A304" s="181"/>
      <c r="B304" s="181"/>
      <c r="C304" s="181"/>
      <c r="D304" s="19">
        <v>2025</v>
      </c>
      <c r="E304" s="20">
        <f t="shared" si="27"/>
        <v>0</v>
      </c>
      <c r="F304" s="20">
        <v>0</v>
      </c>
      <c r="G304" s="20">
        <v>0</v>
      </c>
      <c r="H304" s="20">
        <v>0</v>
      </c>
      <c r="I304" s="20">
        <v>0</v>
      </c>
      <c r="J304" s="181"/>
      <c r="K304" s="181"/>
    </row>
    <row r="305" spans="1:11" x14ac:dyDescent="0.25">
      <c r="A305" s="181" t="s">
        <v>1160</v>
      </c>
      <c r="B305" s="181" t="s">
        <v>1737</v>
      </c>
      <c r="C305" s="181" t="s">
        <v>14</v>
      </c>
      <c r="D305" s="19" t="s">
        <v>8</v>
      </c>
      <c r="E305" s="20">
        <f>SUM(E306:E310)</f>
        <v>16200.621999999999</v>
      </c>
      <c r="F305" s="20">
        <f>SUM(F306:F310)</f>
        <v>16200.621999999999</v>
      </c>
      <c r="G305" s="20">
        <f>SUM(G306:G310)</f>
        <v>0</v>
      </c>
      <c r="H305" s="20">
        <f>SUM(H306:H310)</f>
        <v>0</v>
      </c>
      <c r="I305" s="20">
        <f>SUM(I306:I310)</f>
        <v>0</v>
      </c>
      <c r="J305" s="181" t="s">
        <v>1161</v>
      </c>
      <c r="K305" s="181" t="s">
        <v>1162</v>
      </c>
    </row>
    <row r="306" spans="1:11" x14ac:dyDescent="0.25">
      <c r="A306" s="181"/>
      <c r="B306" s="181"/>
      <c r="C306" s="181"/>
      <c r="D306" s="19">
        <v>2021</v>
      </c>
      <c r="E306" s="20">
        <f t="shared" ref="E306:E310" si="28">SUM(F306:I306)</f>
        <v>0</v>
      </c>
      <c r="F306" s="20">
        <v>0</v>
      </c>
      <c r="G306" s="20">
        <v>0</v>
      </c>
      <c r="H306" s="20">
        <v>0</v>
      </c>
      <c r="I306" s="20">
        <v>0</v>
      </c>
      <c r="J306" s="181"/>
      <c r="K306" s="181"/>
    </row>
    <row r="307" spans="1:11" x14ac:dyDescent="0.25">
      <c r="A307" s="181"/>
      <c r="B307" s="181"/>
      <c r="C307" s="181"/>
      <c r="D307" s="19">
        <v>2022</v>
      </c>
      <c r="E307" s="20">
        <f t="shared" si="28"/>
        <v>0</v>
      </c>
      <c r="F307" s="20">
        <v>0</v>
      </c>
      <c r="G307" s="20">
        <v>0</v>
      </c>
      <c r="H307" s="20">
        <v>0</v>
      </c>
      <c r="I307" s="20">
        <v>0</v>
      </c>
      <c r="J307" s="181"/>
      <c r="K307" s="181"/>
    </row>
    <row r="308" spans="1:11" x14ac:dyDescent="0.25">
      <c r="A308" s="181"/>
      <c r="B308" s="181"/>
      <c r="C308" s="181"/>
      <c r="D308" s="19">
        <v>2023</v>
      </c>
      <c r="E308" s="20">
        <f t="shared" si="28"/>
        <v>16200.621999999999</v>
      </c>
      <c r="F308" s="20">
        <v>16200.621999999999</v>
      </c>
      <c r="G308" s="20">
        <v>0</v>
      </c>
      <c r="H308" s="20">
        <v>0</v>
      </c>
      <c r="I308" s="20">
        <v>0</v>
      </c>
      <c r="J308" s="181"/>
      <c r="K308" s="181"/>
    </row>
    <row r="309" spans="1:11" x14ac:dyDescent="0.25">
      <c r="A309" s="181"/>
      <c r="B309" s="181"/>
      <c r="C309" s="181"/>
      <c r="D309" s="19">
        <v>2024</v>
      </c>
      <c r="E309" s="20">
        <f t="shared" si="28"/>
        <v>0</v>
      </c>
      <c r="F309" s="20">
        <v>0</v>
      </c>
      <c r="G309" s="20">
        <v>0</v>
      </c>
      <c r="H309" s="20">
        <v>0</v>
      </c>
      <c r="I309" s="20">
        <v>0</v>
      </c>
      <c r="J309" s="181"/>
      <c r="K309" s="181"/>
    </row>
    <row r="310" spans="1:11" x14ac:dyDescent="0.25">
      <c r="A310" s="181"/>
      <c r="B310" s="181"/>
      <c r="C310" s="181"/>
      <c r="D310" s="19">
        <v>2025</v>
      </c>
      <c r="E310" s="20">
        <f t="shared" si="28"/>
        <v>0</v>
      </c>
      <c r="F310" s="20">
        <v>0</v>
      </c>
      <c r="G310" s="20">
        <v>0</v>
      </c>
      <c r="H310" s="20">
        <v>0</v>
      </c>
      <c r="I310" s="20">
        <v>0</v>
      </c>
      <c r="J310" s="181"/>
      <c r="K310" s="181"/>
    </row>
    <row r="311" spans="1:11" x14ac:dyDescent="0.25">
      <c r="A311" s="181" t="s">
        <v>78</v>
      </c>
      <c r="B311" s="181" t="s">
        <v>538</v>
      </c>
      <c r="C311" s="181" t="s">
        <v>14</v>
      </c>
      <c r="D311" s="19" t="s">
        <v>8</v>
      </c>
      <c r="E311" s="20">
        <f t="shared" si="27"/>
        <v>305334.17021000001</v>
      </c>
      <c r="F311" s="20">
        <f>SUM(F312:F316)</f>
        <v>219800</v>
      </c>
      <c r="G311" s="20">
        <f>SUM(G312:G316)</f>
        <v>0</v>
      </c>
      <c r="H311" s="20">
        <f>SUM(H312:H316)</f>
        <v>85534.170209999997</v>
      </c>
      <c r="I311" s="20">
        <f>SUM(I312:I316)</f>
        <v>0</v>
      </c>
      <c r="J311" s="181" t="s">
        <v>539</v>
      </c>
      <c r="K311" s="181" t="s">
        <v>515</v>
      </c>
    </row>
    <row r="312" spans="1:11" x14ac:dyDescent="0.25">
      <c r="A312" s="181"/>
      <c r="B312" s="181"/>
      <c r="C312" s="181"/>
      <c r="D312" s="19">
        <v>2021</v>
      </c>
      <c r="E312" s="20">
        <f t="shared" si="27"/>
        <v>54717.700210000003</v>
      </c>
      <c r="F312" s="20">
        <f t="shared" ref="F312:I316" si="29">F324+F318</f>
        <v>41400</v>
      </c>
      <c r="G312" s="20">
        <f t="shared" si="29"/>
        <v>0</v>
      </c>
      <c r="H312" s="20">
        <f t="shared" si="29"/>
        <v>13317.700210000001</v>
      </c>
      <c r="I312" s="20">
        <f t="shared" si="29"/>
        <v>0</v>
      </c>
      <c r="J312" s="181"/>
      <c r="K312" s="181"/>
    </row>
    <row r="313" spans="1:11" x14ac:dyDescent="0.25">
      <c r="A313" s="181"/>
      <c r="B313" s="181"/>
      <c r="C313" s="181"/>
      <c r="D313" s="19">
        <v>2022</v>
      </c>
      <c r="E313" s="20">
        <f t="shared" si="27"/>
        <v>67577.179999999993</v>
      </c>
      <c r="F313" s="20">
        <f t="shared" si="29"/>
        <v>47800</v>
      </c>
      <c r="G313" s="20">
        <f t="shared" si="29"/>
        <v>0</v>
      </c>
      <c r="H313" s="20">
        <f t="shared" si="29"/>
        <v>19777.18</v>
      </c>
      <c r="I313" s="20">
        <f t="shared" si="29"/>
        <v>0</v>
      </c>
      <c r="J313" s="181"/>
      <c r="K313" s="181"/>
    </row>
    <row r="314" spans="1:11" x14ac:dyDescent="0.25">
      <c r="A314" s="181"/>
      <c r="B314" s="181"/>
      <c r="C314" s="181"/>
      <c r="D314" s="19">
        <v>2023</v>
      </c>
      <c r="E314" s="20">
        <f t="shared" si="27"/>
        <v>67577.23</v>
      </c>
      <c r="F314" s="20">
        <f t="shared" si="29"/>
        <v>47800</v>
      </c>
      <c r="G314" s="20">
        <f t="shared" si="29"/>
        <v>0</v>
      </c>
      <c r="H314" s="20">
        <f t="shared" si="29"/>
        <v>19777.23</v>
      </c>
      <c r="I314" s="20">
        <f t="shared" si="29"/>
        <v>0</v>
      </c>
      <c r="J314" s="181"/>
      <c r="K314" s="181"/>
    </row>
    <row r="315" spans="1:11" x14ac:dyDescent="0.25">
      <c r="A315" s="181"/>
      <c r="B315" s="181"/>
      <c r="C315" s="181"/>
      <c r="D315" s="19">
        <v>2024</v>
      </c>
      <c r="E315" s="20">
        <f t="shared" si="27"/>
        <v>57731.03</v>
      </c>
      <c r="F315" s="20">
        <f t="shared" si="29"/>
        <v>41400</v>
      </c>
      <c r="G315" s="20">
        <f t="shared" si="29"/>
        <v>0</v>
      </c>
      <c r="H315" s="20">
        <f t="shared" si="29"/>
        <v>16331.03</v>
      </c>
      <c r="I315" s="20">
        <f t="shared" si="29"/>
        <v>0</v>
      </c>
      <c r="J315" s="181"/>
      <c r="K315" s="181"/>
    </row>
    <row r="316" spans="1:11" x14ac:dyDescent="0.25">
      <c r="A316" s="181"/>
      <c r="B316" s="181"/>
      <c r="C316" s="181"/>
      <c r="D316" s="19">
        <v>2025</v>
      </c>
      <c r="E316" s="20">
        <f t="shared" si="27"/>
        <v>57731.03</v>
      </c>
      <c r="F316" s="20">
        <f t="shared" si="29"/>
        <v>41400</v>
      </c>
      <c r="G316" s="20">
        <f t="shared" si="29"/>
        <v>0</v>
      </c>
      <c r="H316" s="20">
        <f t="shared" si="29"/>
        <v>16331.03</v>
      </c>
      <c r="I316" s="20">
        <f t="shared" si="29"/>
        <v>0</v>
      </c>
      <c r="J316" s="181"/>
      <c r="K316" s="181"/>
    </row>
    <row r="317" spans="1:11" x14ac:dyDescent="0.25">
      <c r="A317" s="181" t="s">
        <v>81</v>
      </c>
      <c r="B317" s="181" t="s">
        <v>82</v>
      </c>
      <c r="C317" s="181">
        <v>2021</v>
      </c>
      <c r="D317" s="19" t="s">
        <v>8</v>
      </c>
      <c r="E317" s="20">
        <f>SUM(E318:E322)</f>
        <v>29493.268840000001</v>
      </c>
      <c r="F317" s="20">
        <f>SUM(F318:F322)</f>
        <v>19200</v>
      </c>
      <c r="G317" s="20">
        <f>SUM(G318:G322)</f>
        <v>0</v>
      </c>
      <c r="H317" s="20">
        <f>SUM(H318:H322)</f>
        <v>10293.268840000001</v>
      </c>
      <c r="I317" s="20">
        <f>SUM(I318:I322)</f>
        <v>0</v>
      </c>
      <c r="J317" s="181" t="s">
        <v>83</v>
      </c>
      <c r="K317" s="181" t="s">
        <v>515</v>
      </c>
    </row>
    <row r="318" spans="1:11" x14ac:dyDescent="0.25">
      <c r="A318" s="181"/>
      <c r="B318" s="181"/>
      <c r="C318" s="181"/>
      <c r="D318" s="19">
        <v>2021</v>
      </c>
      <c r="E318" s="20">
        <f t="shared" ref="E318:E322" si="30">SUM(F318:I318)</f>
        <v>9800.9188400000003</v>
      </c>
      <c r="F318" s="20">
        <v>6400</v>
      </c>
      <c r="G318" s="20">
        <v>0</v>
      </c>
      <c r="H318" s="20">
        <v>3400.9188399999998</v>
      </c>
      <c r="I318" s="20">
        <v>0</v>
      </c>
      <c r="J318" s="181"/>
      <c r="K318" s="181"/>
    </row>
    <row r="319" spans="1:11" x14ac:dyDescent="0.25">
      <c r="A319" s="181"/>
      <c r="B319" s="181"/>
      <c r="C319" s="181"/>
      <c r="D319" s="19">
        <v>2022</v>
      </c>
      <c r="E319" s="20">
        <f t="shared" si="30"/>
        <v>9846.15</v>
      </c>
      <c r="F319" s="20">
        <v>6400</v>
      </c>
      <c r="G319" s="20">
        <v>0</v>
      </c>
      <c r="H319" s="20">
        <v>3446.15</v>
      </c>
      <c r="I319" s="20">
        <v>0</v>
      </c>
      <c r="J319" s="181"/>
      <c r="K319" s="181"/>
    </row>
    <row r="320" spans="1:11" x14ac:dyDescent="0.25">
      <c r="A320" s="181"/>
      <c r="B320" s="181"/>
      <c r="C320" s="181"/>
      <c r="D320" s="19">
        <v>2023</v>
      </c>
      <c r="E320" s="20">
        <f t="shared" si="30"/>
        <v>9846.2000000000007</v>
      </c>
      <c r="F320" s="20">
        <v>6400</v>
      </c>
      <c r="G320" s="20">
        <v>0</v>
      </c>
      <c r="H320" s="20">
        <v>3446.2</v>
      </c>
      <c r="I320" s="20">
        <v>0</v>
      </c>
      <c r="J320" s="181"/>
      <c r="K320" s="181"/>
    </row>
    <row r="321" spans="1:11" x14ac:dyDescent="0.25">
      <c r="A321" s="181"/>
      <c r="B321" s="181"/>
      <c r="C321" s="181"/>
      <c r="D321" s="19">
        <v>2024</v>
      </c>
      <c r="E321" s="20">
        <f t="shared" si="30"/>
        <v>0</v>
      </c>
      <c r="F321" s="20">
        <v>0</v>
      </c>
      <c r="G321" s="20">
        <v>0</v>
      </c>
      <c r="H321" s="20">
        <v>0</v>
      </c>
      <c r="I321" s="20">
        <v>0</v>
      </c>
      <c r="J321" s="181"/>
      <c r="K321" s="181"/>
    </row>
    <row r="322" spans="1:11" x14ac:dyDescent="0.25">
      <c r="A322" s="181"/>
      <c r="B322" s="181"/>
      <c r="C322" s="181"/>
      <c r="D322" s="19">
        <v>2025</v>
      </c>
      <c r="E322" s="20">
        <f t="shared" si="30"/>
        <v>0</v>
      </c>
      <c r="F322" s="20">
        <v>0</v>
      </c>
      <c r="G322" s="20">
        <v>0</v>
      </c>
      <c r="H322" s="20">
        <v>0</v>
      </c>
      <c r="I322" s="20">
        <v>0</v>
      </c>
      <c r="J322" s="181"/>
      <c r="K322" s="181"/>
    </row>
    <row r="323" spans="1:11" x14ac:dyDescent="0.25">
      <c r="A323" s="181" t="s">
        <v>540</v>
      </c>
      <c r="B323" s="181" t="s">
        <v>541</v>
      </c>
      <c r="C323" s="181" t="s">
        <v>14</v>
      </c>
      <c r="D323" s="19" t="s">
        <v>8</v>
      </c>
      <c r="E323" s="20">
        <f>SUM(E324:E328)</f>
        <v>275840.90136999998</v>
      </c>
      <c r="F323" s="20">
        <f>SUM(F324:F328)</f>
        <v>200600</v>
      </c>
      <c r="G323" s="20">
        <f>SUM(G324:G328)</f>
        <v>0</v>
      </c>
      <c r="H323" s="20">
        <f>SUM(H324:H328)</f>
        <v>75240.901370000007</v>
      </c>
      <c r="I323" s="20">
        <f>SUM(I324:I328)</f>
        <v>0</v>
      </c>
      <c r="J323" s="181" t="s">
        <v>542</v>
      </c>
      <c r="K323" s="181" t="s">
        <v>515</v>
      </c>
    </row>
    <row r="324" spans="1:11" x14ac:dyDescent="0.25">
      <c r="A324" s="181"/>
      <c r="B324" s="181"/>
      <c r="C324" s="181"/>
      <c r="D324" s="19">
        <v>2021</v>
      </c>
      <c r="E324" s="20">
        <f t="shared" ref="E324:E358" si="31">SUM(F324:I324)</f>
        <v>44916.781369999997</v>
      </c>
      <c r="F324" s="20">
        <v>35000</v>
      </c>
      <c r="G324" s="20">
        <v>0</v>
      </c>
      <c r="H324" s="20">
        <v>9916.7813700000006</v>
      </c>
      <c r="I324" s="20">
        <v>0</v>
      </c>
      <c r="J324" s="181"/>
      <c r="K324" s="181"/>
    </row>
    <row r="325" spans="1:11" x14ac:dyDescent="0.25">
      <c r="A325" s="181"/>
      <c r="B325" s="181"/>
      <c r="C325" s="181"/>
      <c r="D325" s="19">
        <v>2022</v>
      </c>
      <c r="E325" s="20">
        <f t="shared" si="31"/>
        <v>57731.03</v>
      </c>
      <c r="F325" s="20">
        <v>41400</v>
      </c>
      <c r="G325" s="20">
        <v>0</v>
      </c>
      <c r="H325" s="20">
        <v>16331.03</v>
      </c>
      <c r="I325" s="20">
        <v>0</v>
      </c>
      <c r="J325" s="181"/>
      <c r="K325" s="181"/>
    </row>
    <row r="326" spans="1:11" x14ac:dyDescent="0.25">
      <c r="A326" s="181"/>
      <c r="B326" s="181"/>
      <c r="C326" s="181"/>
      <c r="D326" s="19">
        <v>2023</v>
      </c>
      <c r="E326" s="20">
        <f t="shared" si="31"/>
        <v>57731.03</v>
      </c>
      <c r="F326" s="20">
        <v>41400</v>
      </c>
      <c r="G326" s="20">
        <v>0</v>
      </c>
      <c r="H326" s="20">
        <v>16331.03</v>
      </c>
      <c r="I326" s="20">
        <v>0</v>
      </c>
      <c r="J326" s="181"/>
      <c r="K326" s="181"/>
    </row>
    <row r="327" spans="1:11" x14ac:dyDescent="0.25">
      <c r="A327" s="181"/>
      <c r="B327" s="181"/>
      <c r="C327" s="181"/>
      <c r="D327" s="19">
        <v>2024</v>
      </c>
      <c r="E327" s="20">
        <f t="shared" si="31"/>
        <v>57731.03</v>
      </c>
      <c r="F327" s="20">
        <v>41400</v>
      </c>
      <c r="G327" s="20">
        <v>0</v>
      </c>
      <c r="H327" s="20">
        <v>16331.03</v>
      </c>
      <c r="I327" s="20">
        <v>0</v>
      </c>
      <c r="J327" s="181"/>
      <c r="K327" s="181"/>
    </row>
    <row r="328" spans="1:11" x14ac:dyDescent="0.25">
      <c r="A328" s="181"/>
      <c r="B328" s="181"/>
      <c r="C328" s="181"/>
      <c r="D328" s="19">
        <v>2025</v>
      </c>
      <c r="E328" s="20">
        <f t="shared" si="31"/>
        <v>57731.03</v>
      </c>
      <c r="F328" s="20">
        <v>41400</v>
      </c>
      <c r="G328" s="20">
        <v>0</v>
      </c>
      <c r="H328" s="20">
        <v>16331.03</v>
      </c>
      <c r="I328" s="20">
        <v>0</v>
      </c>
      <c r="J328" s="181"/>
      <c r="K328" s="181"/>
    </row>
    <row r="329" spans="1:11" x14ac:dyDescent="0.25">
      <c r="A329" s="181" t="s">
        <v>84</v>
      </c>
      <c r="B329" s="181" t="s">
        <v>40</v>
      </c>
      <c r="C329" s="181" t="s">
        <v>41</v>
      </c>
      <c r="D329" s="19" t="s">
        <v>8</v>
      </c>
      <c r="E329" s="20">
        <f t="shared" si="31"/>
        <v>80809.751939999987</v>
      </c>
      <c r="F329" s="20">
        <f>SUM(F330:F334)</f>
        <v>9396.9685700000009</v>
      </c>
      <c r="G329" s="20">
        <f>SUM(G330:G334)</f>
        <v>71412.78336999999</v>
      </c>
      <c r="H329" s="20">
        <f>SUM(H330:H334)</f>
        <v>0</v>
      </c>
      <c r="I329" s="20">
        <f>SUM(I330:I334)</f>
        <v>0</v>
      </c>
      <c r="J329" s="181" t="s">
        <v>85</v>
      </c>
      <c r="K329" s="181" t="s">
        <v>486</v>
      </c>
    </row>
    <row r="330" spans="1:11" x14ac:dyDescent="0.25">
      <c r="A330" s="181"/>
      <c r="B330" s="181"/>
      <c r="C330" s="181"/>
      <c r="D330" s="19">
        <v>2021</v>
      </c>
      <c r="E330" s="20">
        <f t="shared" si="31"/>
        <v>27296.712679999997</v>
      </c>
      <c r="F330" s="20">
        <f t="shared" ref="F330:I334" si="32">F336+F342</f>
        <v>3105.6126800000002</v>
      </c>
      <c r="G330" s="20">
        <f t="shared" si="32"/>
        <v>24191.1</v>
      </c>
      <c r="H330" s="20">
        <f t="shared" si="32"/>
        <v>0</v>
      </c>
      <c r="I330" s="20">
        <f t="shared" si="32"/>
        <v>0</v>
      </c>
      <c r="J330" s="181"/>
      <c r="K330" s="181"/>
    </row>
    <row r="331" spans="1:11" x14ac:dyDescent="0.25">
      <c r="A331" s="181"/>
      <c r="B331" s="181"/>
      <c r="C331" s="181"/>
      <c r="D331" s="19">
        <v>2022</v>
      </c>
      <c r="E331" s="20">
        <f t="shared" si="31"/>
        <v>18900.377</v>
      </c>
      <c r="F331" s="20">
        <f t="shared" si="32"/>
        <v>2711.0770000000002</v>
      </c>
      <c r="G331" s="20">
        <f t="shared" si="32"/>
        <v>16189.3</v>
      </c>
      <c r="H331" s="20">
        <f t="shared" si="32"/>
        <v>0</v>
      </c>
      <c r="I331" s="20">
        <f t="shared" si="32"/>
        <v>0</v>
      </c>
      <c r="J331" s="181"/>
      <c r="K331" s="181"/>
    </row>
    <row r="332" spans="1:11" x14ac:dyDescent="0.25">
      <c r="A332" s="181"/>
      <c r="B332" s="181"/>
      <c r="C332" s="181"/>
      <c r="D332" s="19">
        <v>2023</v>
      </c>
      <c r="E332" s="20">
        <f t="shared" si="31"/>
        <v>11802.74826</v>
      </c>
      <c r="F332" s="20">
        <f t="shared" si="32"/>
        <v>708.16489000000001</v>
      </c>
      <c r="G332" s="20">
        <f t="shared" si="32"/>
        <v>11094.58337</v>
      </c>
      <c r="H332" s="20">
        <f t="shared" si="32"/>
        <v>0</v>
      </c>
      <c r="I332" s="20">
        <f t="shared" si="32"/>
        <v>0</v>
      </c>
      <c r="J332" s="181"/>
      <c r="K332" s="181"/>
    </row>
    <row r="333" spans="1:11" x14ac:dyDescent="0.25">
      <c r="A333" s="181"/>
      <c r="B333" s="181"/>
      <c r="C333" s="181"/>
      <c r="D333" s="19">
        <v>2024</v>
      </c>
      <c r="E333" s="20">
        <f t="shared" si="31"/>
        <v>22809.914000000001</v>
      </c>
      <c r="F333" s="20">
        <f t="shared" si="32"/>
        <v>2872.114</v>
      </c>
      <c r="G333" s="20">
        <f t="shared" si="32"/>
        <v>19937.8</v>
      </c>
      <c r="H333" s="20">
        <f t="shared" si="32"/>
        <v>0</v>
      </c>
      <c r="I333" s="20">
        <f t="shared" si="32"/>
        <v>0</v>
      </c>
      <c r="J333" s="181"/>
      <c r="K333" s="181"/>
    </row>
    <row r="334" spans="1:11" x14ac:dyDescent="0.25">
      <c r="A334" s="181"/>
      <c r="B334" s="181"/>
      <c r="C334" s="181"/>
      <c r="D334" s="19">
        <v>2025</v>
      </c>
      <c r="E334" s="20">
        <f t="shared" si="31"/>
        <v>0</v>
      </c>
      <c r="F334" s="20">
        <f t="shared" si="32"/>
        <v>0</v>
      </c>
      <c r="G334" s="20">
        <f t="shared" si="32"/>
        <v>0</v>
      </c>
      <c r="H334" s="20">
        <f t="shared" si="32"/>
        <v>0</v>
      </c>
      <c r="I334" s="20">
        <f t="shared" si="32"/>
        <v>0</v>
      </c>
      <c r="J334" s="181"/>
      <c r="K334" s="181"/>
    </row>
    <row r="335" spans="1:11" x14ac:dyDescent="0.25">
      <c r="A335" s="181" t="s">
        <v>86</v>
      </c>
      <c r="B335" s="181" t="s">
        <v>87</v>
      </c>
      <c r="C335" s="181" t="s">
        <v>41</v>
      </c>
      <c r="D335" s="19" t="s">
        <v>8</v>
      </c>
      <c r="E335" s="20">
        <f t="shared" si="31"/>
        <v>56905.539389999998</v>
      </c>
      <c r="F335" s="20">
        <f>SUM(F336:F340)</f>
        <v>3414.2560199999998</v>
      </c>
      <c r="G335" s="20">
        <f>SUM(G336:G340)</f>
        <v>53491.283369999997</v>
      </c>
      <c r="H335" s="20">
        <f>SUM(H336:H340)</f>
        <v>0</v>
      </c>
      <c r="I335" s="20">
        <f>SUM(I336:I340)</f>
        <v>0</v>
      </c>
      <c r="J335" s="181" t="s">
        <v>1746</v>
      </c>
      <c r="K335" s="181" t="s">
        <v>515</v>
      </c>
    </row>
    <row r="336" spans="1:11" x14ac:dyDescent="0.25">
      <c r="A336" s="181"/>
      <c r="B336" s="181"/>
      <c r="C336" s="181"/>
      <c r="D336" s="19">
        <v>2021</v>
      </c>
      <c r="E336" s="20">
        <f t="shared" si="31"/>
        <v>20914.599999999999</v>
      </c>
      <c r="F336" s="20">
        <v>1254.8</v>
      </c>
      <c r="G336" s="20">
        <v>19659.8</v>
      </c>
      <c r="H336" s="20">
        <v>0</v>
      </c>
      <c r="I336" s="20">
        <v>0</v>
      </c>
      <c r="J336" s="181"/>
      <c r="K336" s="181"/>
    </row>
    <row r="337" spans="1:11" x14ac:dyDescent="0.25">
      <c r="A337" s="181"/>
      <c r="B337" s="181"/>
      <c r="C337" s="181"/>
      <c r="D337" s="19">
        <v>2022</v>
      </c>
      <c r="E337" s="20">
        <f t="shared" si="31"/>
        <v>12043.617</v>
      </c>
      <c r="F337" s="20">
        <v>722.61699999999996</v>
      </c>
      <c r="G337" s="20">
        <v>11321</v>
      </c>
      <c r="H337" s="20">
        <v>0</v>
      </c>
      <c r="I337" s="20">
        <v>0</v>
      </c>
      <c r="J337" s="181"/>
      <c r="K337" s="181"/>
    </row>
    <row r="338" spans="1:11" x14ac:dyDescent="0.25">
      <c r="A338" s="181"/>
      <c r="B338" s="181"/>
      <c r="C338" s="181"/>
      <c r="D338" s="19">
        <v>2023</v>
      </c>
      <c r="E338" s="20">
        <f t="shared" si="31"/>
        <v>7674.45039</v>
      </c>
      <c r="F338" s="20">
        <v>460.46701999999999</v>
      </c>
      <c r="G338" s="20">
        <v>7213.9833699999999</v>
      </c>
      <c r="H338" s="20">
        <v>0</v>
      </c>
      <c r="I338" s="20">
        <v>0</v>
      </c>
      <c r="J338" s="181"/>
      <c r="K338" s="181"/>
    </row>
    <row r="339" spans="1:11" x14ac:dyDescent="0.25">
      <c r="A339" s="181"/>
      <c r="B339" s="181"/>
      <c r="C339" s="181"/>
      <c r="D339" s="19">
        <v>2024</v>
      </c>
      <c r="E339" s="20">
        <f t="shared" si="31"/>
        <v>16272.871999999999</v>
      </c>
      <c r="F339" s="20">
        <v>976.37199999999996</v>
      </c>
      <c r="G339" s="20">
        <v>15296.5</v>
      </c>
      <c r="H339" s="20">
        <v>0</v>
      </c>
      <c r="I339" s="20">
        <v>0</v>
      </c>
      <c r="J339" s="181"/>
      <c r="K339" s="181"/>
    </row>
    <row r="340" spans="1:11" x14ac:dyDescent="0.25">
      <c r="A340" s="181"/>
      <c r="B340" s="181"/>
      <c r="C340" s="181"/>
      <c r="D340" s="19">
        <v>2025</v>
      </c>
      <c r="E340" s="20">
        <f t="shared" si="31"/>
        <v>0</v>
      </c>
      <c r="F340" s="20">
        <v>0</v>
      </c>
      <c r="G340" s="20">
        <v>0</v>
      </c>
      <c r="H340" s="20">
        <v>0</v>
      </c>
      <c r="I340" s="20">
        <v>0</v>
      </c>
      <c r="J340" s="181"/>
      <c r="K340" s="181"/>
    </row>
    <row r="341" spans="1:11" x14ac:dyDescent="0.25">
      <c r="A341" s="181" t="s">
        <v>855</v>
      </c>
      <c r="B341" s="181" t="s">
        <v>90</v>
      </c>
      <c r="C341" s="181" t="s">
        <v>41</v>
      </c>
      <c r="D341" s="19" t="s">
        <v>8</v>
      </c>
      <c r="E341" s="20">
        <f t="shared" si="31"/>
        <v>23904.21255</v>
      </c>
      <c r="F341" s="20">
        <f>SUM(F342:F346)</f>
        <v>5982.7125500000002</v>
      </c>
      <c r="G341" s="20">
        <f>SUM(G342:G346)</f>
        <v>17921.5</v>
      </c>
      <c r="H341" s="20">
        <f>SUM(H342:H346)</f>
        <v>0</v>
      </c>
      <c r="I341" s="20">
        <f>SUM(I342:I346)</f>
        <v>0</v>
      </c>
      <c r="J341" s="181" t="s">
        <v>544</v>
      </c>
      <c r="K341" s="181" t="s">
        <v>486</v>
      </c>
    </row>
    <row r="342" spans="1:11" x14ac:dyDescent="0.25">
      <c r="A342" s="181"/>
      <c r="B342" s="181"/>
      <c r="C342" s="181"/>
      <c r="D342" s="19">
        <v>2021</v>
      </c>
      <c r="E342" s="20">
        <f t="shared" si="31"/>
        <v>6382.1126800000002</v>
      </c>
      <c r="F342" s="20">
        <v>1850.81268</v>
      </c>
      <c r="G342" s="20">
        <v>4531.3</v>
      </c>
      <c r="H342" s="20">
        <v>0</v>
      </c>
      <c r="I342" s="20">
        <v>0</v>
      </c>
      <c r="J342" s="181"/>
      <c r="K342" s="181"/>
    </row>
    <row r="343" spans="1:11" x14ac:dyDescent="0.25">
      <c r="A343" s="181"/>
      <c r="B343" s="181"/>
      <c r="C343" s="181"/>
      <c r="D343" s="19">
        <v>2022</v>
      </c>
      <c r="E343" s="20">
        <f t="shared" si="31"/>
        <v>6856.76</v>
      </c>
      <c r="F343" s="20">
        <v>1988.46</v>
      </c>
      <c r="G343" s="20">
        <v>4868.3</v>
      </c>
      <c r="H343" s="20">
        <v>0</v>
      </c>
      <c r="I343" s="20">
        <v>0</v>
      </c>
      <c r="J343" s="181"/>
      <c r="K343" s="181"/>
    </row>
    <row r="344" spans="1:11" x14ac:dyDescent="0.25">
      <c r="A344" s="181"/>
      <c r="B344" s="181"/>
      <c r="C344" s="181"/>
      <c r="D344" s="19">
        <v>2023</v>
      </c>
      <c r="E344" s="20">
        <f t="shared" si="31"/>
        <v>4128.2978700000003</v>
      </c>
      <c r="F344" s="20">
        <f>1812.41254-1564.71467</f>
        <v>247.69786999999997</v>
      </c>
      <c r="G344" s="20">
        <v>3880.6</v>
      </c>
      <c r="H344" s="20">
        <v>0</v>
      </c>
      <c r="I344" s="20">
        <v>0</v>
      </c>
      <c r="J344" s="181"/>
      <c r="K344" s="181"/>
    </row>
    <row r="345" spans="1:11" x14ac:dyDescent="0.25">
      <c r="A345" s="181"/>
      <c r="B345" s="181"/>
      <c r="C345" s="181"/>
      <c r="D345" s="19">
        <v>2024</v>
      </c>
      <c r="E345" s="20">
        <f t="shared" si="31"/>
        <v>6537.0420000000004</v>
      </c>
      <c r="F345" s="20">
        <v>1895.742</v>
      </c>
      <c r="G345" s="20">
        <v>4641.3</v>
      </c>
      <c r="H345" s="20">
        <v>0</v>
      </c>
      <c r="I345" s="20">
        <v>0</v>
      </c>
      <c r="J345" s="181"/>
      <c r="K345" s="181"/>
    </row>
    <row r="346" spans="1:11" x14ac:dyDescent="0.25">
      <c r="A346" s="181"/>
      <c r="B346" s="181"/>
      <c r="C346" s="181"/>
      <c r="D346" s="19">
        <v>2025</v>
      </c>
      <c r="E346" s="20">
        <f t="shared" si="31"/>
        <v>0</v>
      </c>
      <c r="F346" s="20">
        <v>0</v>
      </c>
      <c r="G346" s="20">
        <v>0</v>
      </c>
      <c r="H346" s="20">
        <v>0</v>
      </c>
      <c r="I346" s="20">
        <v>0</v>
      </c>
      <c r="J346" s="181"/>
      <c r="K346" s="181"/>
    </row>
    <row r="347" spans="1:11" x14ac:dyDescent="0.25">
      <c r="A347" s="181" t="s">
        <v>93</v>
      </c>
      <c r="B347" s="181" t="s">
        <v>94</v>
      </c>
      <c r="C347" s="181" t="s">
        <v>14</v>
      </c>
      <c r="D347" s="19" t="s">
        <v>8</v>
      </c>
      <c r="E347" s="20">
        <f t="shared" si="31"/>
        <v>4795867.2091147518</v>
      </c>
      <c r="F347" s="20">
        <f>SUM(F348:F352)</f>
        <v>3593997.72749</v>
      </c>
      <c r="G347" s="20">
        <f>SUM(G348:G352)</f>
        <v>1089688.432</v>
      </c>
      <c r="H347" s="20">
        <f>SUM(H348:H352)</f>
        <v>112181.04962475087</v>
      </c>
      <c r="I347" s="20">
        <v>0</v>
      </c>
      <c r="J347" s="181"/>
      <c r="K347" s="181" t="s">
        <v>1735</v>
      </c>
    </row>
    <row r="348" spans="1:11" x14ac:dyDescent="0.25">
      <c r="A348" s="181"/>
      <c r="B348" s="181"/>
      <c r="C348" s="181"/>
      <c r="D348" s="19">
        <v>2021</v>
      </c>
      <c r="E348" s="20">
        <f t="shared" si="31"/>
        <v>542284.02945165033</v>
      </c>
      <c r="F348" s="20">
        <f t="shared" ref="F348:H352" si="33">F354+F474+F732+F678+F690+F714</f>
        <v>254674.71701999998</v>
      </c>
      <c r="G348" s="20">
        <f t="shared" si="33"/>
        <v>257488.69899999999</v>
      </c>
      <c r="H348" s="20">
        <f t="shared" si="33"/>
        <v>30120.613431650385</v>
      </c>
      <c r="I348" s="20">
        <f t="shared" ref="I348:I352" si="34">I354+I474+I732+I678+I690</f>
        <v>0</v>
      </c>
      <c r="J348" s="181"/>
      <c r="K348" s="181"/>
    </row>
    <row r="349" spans="1:11" x14ac:dyDescent="0.25">
      <c r="A349" s="181"/>
      <c r="B349" s="181"/>
      <c r="C349" s="181"/>
      <c r="D349" s="19">
        <v>2022</v>
      </c>
      <c r="E349" s="20">
        <f t="shared" si="31"/>
        <v>1321007.9192131003</v>
      </c>
      <c r="F349" s="20">
        <f t="shared" si="33"/>
        <v>1034922.16776</v>
      </c>
      <c r="G349" s="20">
        <f t="shared" si="33"/>
        <v>225488.99299999999</v>
      </c>
      <c r="H349" s="20">
        <f t="shared" si="33"/>
        <v>60596.75845310052</v>
      </c>
      <c r="I349" s="20">
        <f t="shared" si="34"/>
        <v>0</v>
      </c>
      <c r="J349" s="181"/>
      <c r="K349" s="181"/>
    </row>
    <row r="350" spans="1:11" x14ac:dyDescent="0.25">
      <c r="A350" s="181"/>
      <c r="B350" s="181"/>
      <c r="C350" s="181"/>
      <c r="D350" s="19">
        <v>2023</v>
      </c>
      <c r="E350" s="20">
        <f t="shared" si="31"/>
        <v>681485.69619999989</v>
      </c>
      <c r="F350" s="20">
        <f t="shared" si="33"/>
        <v>247612.67846</v>
      </c>
      <c r="G350" s="20">
        <f t="shared" si="33"/>
        <v>424710.74</v>
      </c>
      <c r="H350" s="20">
        <f t="shared" si="33"/>
        <v>9162.2777399999759</v>
      </c>
      <c r="I350" s="20">
        <f t="shared" si="34"/>
        <v>0</v>
      </c>
      <c r="J350" s="181"/>
      <c r="K350" s="181"/>
    </row>
    <row r="351" spans="1:11" x14ac:dyDescent="0.25">
      <c r="A351" s="181"/>
      <c r="B351" s="181"/>
      <c r="C351" s="181"/>
      <c r="D351" s="19">
        <v>2024</v>
      </c>
      <c r="E351" s="20">
        <f t="shared" si="31"/>
        <v>1522297.1272499999</v>
      </c>
      <c r="F351" s="20">
        <f t="shared" si="33"/>
        <v>1432784.72725</v>
      </c>
      <c r="G351" s="20">
        <f t="shared" si="33"/>
        <v>78000</v>
      </c>
      <c r="H351" s="20">
        <f t="shared" si="33"/>
        <v>11512.4</v>
      </c>
      <c r="I351" s="20">
        <f t="shared" si="34"/>
        <v>0</v>
      </c>
      <c r="J351" s="181"/>
      <c r="K351" s="181"/>
    </row>
    <row r="352" spans="1:11" x14ac:dyDescent="0.25">
      <c r="A352" s="181"/>
      <c r="B352" s="181"/>
      <c r="C352" s="181"/>
      <c r="D352" s="19">
        <v>2025</v>
      </c>
      <c r="E352" s="20">
        <f t="shared" si="31"/>
        <v>728792.43700000003</v>
      </c>
      <c r="F352" s="20">
        <f t="shared" si="33"/>
        <v>624003.43700000003</v>
      </c>
      <c r="G352" s="20">
        <f t="shared" si="33"/>
        <v>104000</v>
      </c>
      <c r="H352" s="20">
        <f t="shared" si="33"/>
        <v>789</v>
      </c>
      <c r="I352" s="20">
        <f t="shared" si="34"/>
        <v>0</v>
      </c>
      <c r="J352" s="181"/>
      <c r="K352" s="181"/>
    </row>
    <row r="353" spans="1:12" x14ac:dyDescent="0.25">
      <c r="A353" s="181" t="s">
        <v>96</v>
      </c>
      <c r="B353" s="181" t="s">
        <v>97</v>
      </c>
      <c r="C353" s="181" t="s">
        <v>14</v>
      </c>
      <c r="D353" s="19" t="s">
        <v>8</v>
      </c>
      <c r="E353" s="20">
        <f t="shared" si="31"/>
        <v>281420.94170292461</v>
      </c>
      <c r="F353" s="20">
        <f>SUM(F354:F358)</f>
        <v>236674.3248</v>
      </c>
      <c r="G353" s="20">
        <f>SUM(G354:G358)</f>
        <v>0</v>
      </c>
      <c r="H353" s="20">
        <f>SUM(H354:H358)</f>
        <v>44746.61690292463</v>
      </c>
      <c r="I353" s="20">
        <v>0</v>
      </c>
      <c r="J353" s="181" t="s">
        <v>98</v>
      </c>
      <c r="K353" s="181" t="s">
        <v>546</v>
      </c>
    </row>
    <row r="354" spans="1:12" x14ac:dyDescent="0.25">
      <c r="A354" s="181"/>
      <c r="B354" s="181"/>
      <c r="C354" s="181"/>
      <c r="D354" s="19">
        <v>2021</v>
      </c>
      <c r="E354" s="20">
        <f t="shared" si="31"/>
        <v>69576.494685752899</v>
      </c>
      <c r="F354" s="20">
        <f>F360+F366+F372+F378+F384+F390+F396+F402+F408+F414+F420+F426+F432+F438+F444+F450+F456</f>
        <v>55989.257299999997</v>
      </c>
      <c r="G354" s="20">
        <f t="shared" ref="F354:H358" si="35">G360+G366+G372+G378+G384+G390+G396+G402+G408+G414+G420+G426+G432+G438+G444+G450+G456</f>
        <v>0</v>
      </c>
      <c r="H354" s="20">
        <f t="shared" si="35"/>
        <v>13587.237385752907</v>
      </c>
      <c r="I354" s="20">
        <v>0</v>
      </c>
      <c r="J354" s="181"/>
      <c r="K354" s="181"/>
    </row>
    <row r="355" spans="1:12" x14ac:dyDescent="0.25">
      <c r="A355" s="181"/>
      <c r="B355" s="181"/>
      <c r="C355" s="181"/>
      <c r="D355" s="19">
        <v>2022</v>
      </c>
      <c r="E355" s="20">
        <f t="shared" si="31"/>
        <v>199844.44701717171</v>
      </c>
      <c r="F355" s="20">
        <f>F361+F367+F373+F379+F385+F391+F397+F403+F409+F415+F421+F427+F433+F439+F445+F451+F457+F463</f>
        <v>171685.0675</v>
      </c>
      <c r="G355" s="20">
        <f t="shared" si="35"/>
        <v>0</v>
      </c>
      <c r="H355" s="20">
        <f>H361+H367+H373+H379+H385+H391+H397+H403+H409+H415+H421+H427+H433+H439+H445+H451+H457+H463</f>
        <v>28159.379517171721</v>
      </c>
      <c r="I355" s="20">
        <v>0</v>
      </c>
      <c r="J355" s="181"/>
      <c r="K355" s="181"/>
      <c r="L355" s="18" t="s">
        <v>858</v>
      </c>
    </row>
    <row r="356" spans="1:12" x14ac:dyDescent="0.25">
      <c r="A356" s="181"/>
      <c r="B356" s="181"/>
      <c r="C356" s="181"/>
      <c r="D356" s="19">
        <v>2023</v>
      </c>
      <c r="E356" s="20">
        <f t="shared" si="31"/>
        <v>12000</v>
      </c>
      <c r="F356" s="20">
        <f t="shared" si="35"/>
        <v>9000</v>
      </c>
      <c r="G356" s="20">
        <f>G362+G368+G374+G380+G386+G392+G398+G404+G410+G416+G422+G428+G434+G440+G446+G452+G458+G470</f>
        <v>0</v>
      </c>
      <c r="H356" s="20">
        <f t="shared" si="35"/>
        <v>3000</v>
      </c>
      <c r="I356" s="20">
        <v>0</v>
      </c>
      <c r="J356" s="181"/>
      <c r="K356" s="181"/>
    </row>
    <row r="357" spans="1:12" x14ac:dyDescent="0.25">
      <c r="A357" s="181"/>
      <c r="B357" s="181"/>
      <c r="C357" s="181"/>
      <c r="D357" s="19">
        <v>2024</v>
      </c>
      <c r="E357" s="20">
        <f t="shared" si="31"/>
        <v>0</v>
      </c>
      <c r="F357" s="20">
        <f t="shared" si="35"/>
        <v>0</v>
      </c>
      <c r="G357" s="20">
        <f t="shared" si="35"/>
        <v>0</v>
      </c>
      <c r="H357" s="20">
        <f t="shared" si="35"/>
        <v>0</v>
      </c>
      <c r="I357" s="20">
        <v>0</v>
      </c>
      <c r="J357" s="181"/>
      <c r="K357" s="181"/>
    </row>
    <row r="358" spans="1:12" x14ac:dyDescent="0.25">
      <c r="A358" s="181"/>
      <c r="B358" s="181"/>
      <c r="C358" s="181"/>
      <c r="D358" s="19">
        <v>2025</v>
      </c>
      <c r="E358" s="20">
        <f t="shared" si="31"/>
        <v>0</v>
      </c>
      <c r="F358" s="20">
        <f t="shared" si="35"/>
        <v>0</v>
      </c>
      <c r="G358" s="20">
        <f t="shared" si="35"/>
        <v>0</v>
      </c>
      <c r="H358" s="20">
        <f t="shared" si="35"/>
        <v>0</v>
      </c>
      <c r="I358" s="20">
        <v>0</v>
      </c>
      <c r="J358" s="181"/>
      <c r="K358" s="181"/>
    </row>
    <row r="359" spans="1:12" x14ac:dyDescent="0.25">
      <c r="A359" s="181" t="s">
        <v>100</v>
      </c>
      <c r="B359" s="181" t="s">
        <v>101</v>
      </c>
      <c r="C359" s="181" t="s">
        <v>19</v>
      </c>
      <c r="D359" s="19" t="s">
        <v>8</v>
      </c>
      <c r="E359" s="20">
        <f>SUM(E360:E364)</f>
        <v>6584.2777657004835</v>
      </c>
      <c r="F359" s="20">
        <f>SUM(F360:F364)</f>
        <v>5451.7819900000004</v>
      </c>
      <c r="G359" s="20">
        <f>SUM(G360:G364)</f>
        <v>0</v>
      </c>
      <c r="H359" s="20">
        <f>SUM(H360:H364)</f>
        <v>1132.4957757004834</v>
      </c>
      <c r="I359" s="20">
        <f>SUM(I360:I364)</f>
        <v>0</v>
      </c>
      <c r="J359" s="181" t="s">
        <v>102</v>
      </c>
      <c r="K359" s="181" t="s">
        <v>547</v>
      </c>
    </row>
    <row r="360" spans="1:12" x14ac:dyDescent="0.25">
      <c r="A360" s="181"/>
      <c r="B360" s="181"/>
      <c r="C360" s="181"/>
      <c r="D360" s="19">
        <v>2021</v>
      </c>
      <c r="E360" s="20">
        <f t="shared" ref="E360:E364" si="36">SUM(F360:I360)</f>
        <v>6584.2777657004835</v>
      </c>
      <c r="F360" s="20">
        <v>5451.7819900000004</v>
      </c>
      <c r="G360" s="20">
        <v>0</v>
      </c>
      <c r="H360" s="20">
        <f>F360/82.8*17.2</f>
        <v>1132.4957757004834</v>
      </c>
      <c r="I360" s="20">
        <v>0</v>
      </c>
      <c r="J360" s="181"/>
      <c r="K360" s="181"/>
    </row>
    <row r="361" spans="1:12" x14ac:dyDescent="0.25">
      <c r="A361" s="181"/>
      <c r="B361" s="181"/>
      <c r="C361" s="181"/>
      <c r="D361" s="19">
        <v>2022</v>
      </c>
      <c r="E361" s="20">
        <f t="shared" si="36"/>
        <v>0</v>
      </c>
      <c r="F361" s="20">
        <v>0</v>
      </c>
      <c r="G361" s="20">
        <v>0</v>
      </c>
      <c r="H361" s="20">
        <v>0</v>
      </c>
      <c r="I361" s="20">
        <v>0</v>
      </c>
      <c r="J361" s="181"/>
      <c r="K361" s="181"/>
      <c r="L361" s="18" t="s">
        <v>858</v>
      </c>
    </row>
    <row r="362" spans="1:12" x14ac:dyDescent="0.25">
      <c r="A362" s="181"/>
      <c r="B362" s="181"/>
      <c r="C362" s="181"/>
      <c r="D362" s="19">
        <v>2023</v>
      </c>
      <c r="E362" s="20">
        <f t="shared" si="36"/>
        <v>0</v>
      </c>
      <c r="F362" s="20">
        <v>0</v>
      </c>
      <c r="G362" s="20">
        <v>0</v>
      </c>
      <c r="H362" s="20">
        <v>0</v>
      </c>
      <c r="I362" s="20">
        <v>0</v>
      </c>
      <c r="J362" s="181"/>
      <c r="K362" s="181"/>
    </row>
    <row r="363" spans="1:12" x14ac:dyDescent="0.25">
      <c r="A363" s="181"/>
      <c r="B363" s="181"/>
      <c r="C363" s="181"/>
      <c r="D363" s="19">
        <v>2024</v>
      </c>
      <c r="E363" s="20">
        <f t="shared" si="36"/>
        <v>0</v>
      </c>
      <c r="F363" s="20">
        <v>0</v>
      </c>
      <c r="G363" s="20">
        <v>0</v>
      </c>
      <c r="H363" s="20">
        <v>0</v>
      </c>
      <c r="I363" s="20">
        <v>0</v>
      </c>
      <c r="J363" s="181"/>
      <c r="K363" s="181"/>
    </row>
    <row r="364" spans="1:12" x14ac:dyDescent="0.25">
      <c r="A364" s="181"/>
      <c r="B364" s="181"/>
      <c r="C364" s="181"/>
      <c r="D364" s="19">
        <v>2025</v>
      </c>
      <c r="E364" s="20">
        <f t="shared" si="36"/>
        <v>0</v>
      </c>
      <c r="F364" s="20">
        <v>0</v>
      </c>
      <c r="G364" s="20">
        <v>0</v>
      </c>
      <c r="H364" s="20">
        <v>0</v>
      </c>
      <c r="I364" s="20">
        <v>0</v>
      </c>
      <c r="J364" s="181"/>
      <c r="K364" s="181"/>
    </row>
    <row r="365" spans="1:12" x14ac:dyDescent="0.25">
      <c r="A365" s="181" t="s">
        <v>548</v>
      </c>
      <c r="B365" s="181" t="s">
        <v>442</v>
      </c>
      <c r="C365" s="181">
        <v>2021</v>
      </c>
      <c r="D365" s="19" t="s">
        <v>8</v>
      </c>
      <c r="E365" s="20">
        <f>SUM(E366:E370)</f>
        <v>42104.816920052421</v>
      </c>
      <c r="F365" s="20">
        <f>SUM(F366:F370)</f>
        <v>32125.975309999998</v>
      </c>
      <c r="G365" s="20">
        <f>SUM(G366:G370)</f>
        <v>0</v>
      </c>
      <c r="H365" s="20">
        <f>SUM(H366:H370)</f>
        <v>9978.8416100524246</v>
      </c>
      <c r="I365" s="20">
        <f>SUM(I366:I370)</f>
        <v>0</v>
      </c>
      <c r="J365" s="181" t="s">
        <v>549</v>
      </c>
      <c r="K365" s="181" t="s">
        <v>547</v>
      </c>
    </row>
    <row r="366" spans="1:12" x14ac:dyDescent="0.25">
      <c r="A366" s="181"/>
      <c r="B366" s="181"/>
      <c r="C366" s="181"/>
      <c r="D366" s="19">
        <v>2021</v>
      </c>
      <c r="E366" s="20">
        <f t="shared" ref="E366:E429" si="37">SUM(F366:I366)</f>
        <v>42104.816920052421</v>
      </c>
      <c r="F366" s="20">
        <f>32125975.31/1000</f>
        <v>32125.975309999998</v>
      </c>
      <c r="G366" s="20">
        <v>0</v>
      </c>
      <c r="H366" s="20">
        <f>F366/76.3*23.7</f>
        <v>9978.8416100524246</v>
      </c>
      <c r="I366" s="20">
        <v>0</v>
      </c>
      <c r="J366" s="181"/>
      <c r="K366" s="181"/>
    </row>
    <row r="367" spans="1:12" x14ac:dyDescent="0.25">
      <c r="A367" s="181"/>
      <c r="B367" s="181"/>
      <c r="C367" s="181"/>
      <c r="D367" s="19">
        <v>2022</v>
      </c>
      <c r="E367" s="20">
        <f t="shared" si="37"/>
        <v>0</v>
      </c>
      <c r="F367" s="20">
        <v>0</v>
      </c>
      <c r="G367" s="20">
        <v>0</v>
      </c>
      <c r="H367" s="20">
        <v>0</v>
      </c>
      <c r="I367" s="20">
        <v>0</v>
      </c>
      <c r="J367" s="181"/>
      <c r="K367" s="181"/>
    </row>
    <row r="368" spans="1:12" x14ac:dyDescent="0.25">
      <c r="A368" s="181"/>
      <c r="B368" s="181"/>
      <c r="C368" s="181"/>
      <c r="D368" s="19">
        <v>2023</v>
      </c>
      <c r="E368" s="20">
        <f t="shared" si="37"/>
        <v>0</v>
      </c>
      <c r="F368" s="20">
        <v>0</v>
      </c>
      <c r="G368" s="20">
        <v>0</v>
      </c>
      <c r="H368" s="20">
        <v>0</v>
      </c>
      <c r="I368" s="20">
        <v>0</v>
      </c>
      <c r="J368" s="181"/>
      <c r="K368" s="181"/>
    </row>
    <row r="369" spans="1:12" x14ac:dyDescent="0.25">
      <c r="A369" s="181"/>
      <c r="B369" s="181"/>
      <c r="C369" s="181"/>
      <c r="D369" s="19">
        <v>2024</v>
      </c>
      <c r="E369" s="20">
        <f t="shared" si="37"/>
        <v>0</v>
      </c>
      <c r="F369" s="20">
        <v>0</v>
      </c>
      <c r="G369" s="20">
        <v>0</v>
      </c>
      <c r="H369" s="20">
        <v>0</v>
      </c>
      <c r="I369" s="20">
        <v>0</v>
      </c>
      <c r="J369" s="181"/>
      <c r="K369" s="181"/>
    </row>
    <row r="370" spans="1:12" x14ac:dyDescent="0.25">
      <c r="A370" s="181"/>
      <c r="B370" s="181"/>
      <c r="C370" s="181"/>
      <c r="D370" s="19">
        <v>2025</v>
      </c>
      <c r="E370" s="20">
        <f t="shared" si="37"/>
        <v>0</v>
      </c>
      <c r="F370" s="20">
        <v>0</v>
      </c>
      <c r="G370" s="20">
        <v>0</v>
      </c>
      <c r="H370" s="20">
        <v>0</v>
      </c>
      <c r="I370" s="20">
        <v>0</v>
      </c>
      <c r="J370" s="181"/>
      <c r="K370" s="181"/>
    </row>
    <row r="371" spans="1:12" x14ac:dyDescent="0.25">
      <c r="A371" s="181" t="s">
        <v>550</v>
      </c>
      <c r="B371" s="181" t="s">
        <v>766</v>
      </c>
      <c r="C371" s="181">
        <v>2021</v>
      </c>
      <c r="D371" s="19" t="s">
        <v>8</v>
      </c>
      <c r="E371" s="20">
        <f t="shared" si="37"/>
        <v>1505.5</v>
      </c>
      <c r="F371" s="20">
        <f>SUM(F372:F376)</f>
        <v>1505.5</v>
      </c>
      <c r="G371" s="20">
        <f>SUM(G372:G376)</f>
        <v>0</v>
      </c>
      <c r="H371" s="20">
        <f>SUM(H372:H376)</f>
        <v>0</v>
      </c>
      <c r="I371" s="20">
        <f>SUM(I372:I376)</f>
        <v>0</v>
      </c>
      <c r="J371" s="181" t="s">
        <v>552</v>
      </c>
      <c r="K371" s="181" t="s">
        <v>553</v>
      </c>
    </row>
    <row r="372" spans="1:12" x14ac:dyDescent="0.25">
      <c r="A372" s="181"/>
      <c r="B372" s="181"/>
      <c r="C372" s="181"/>
      <c r="D372" s="19">
        <v>2021</v>
      </c>
      <c r="E372" s="20">
        <f t="shared" si="37"/>
        <v>1505.5</v>
      </c>
      <c r="F372" s="20">
        <v>1505.5</v>
      </c>
      <c r="G372" s="20">
        <v>0</v>
      </c>
      <c r="H372" s="20">
        <v>0</v>
      </c>
      <c r="I372" s="20">
        <v>0</v>
      </c>
      <c r="J372" s="181"/>
      <c r="K372" s="181"/>
    </row>
    <row r="373" spans="1:12" x14ac:dyDescent="0.25">
      <c r="A373" s="181"/>
      <c r="B373" s="181"/>
      <c r="C373" s="181"/>
      <c r="D373" s="19">
        <v>2022</v>
      </c>
      <c r="E373" s="20">
        <f t="shared" si="37"/>
        <v>0</v>
      </c>
      <c r="F373" s="20">
        <v>0</v>
      </c>
      <c r="G373" s="20">
        <v>0</v>
      </c>
      <c r="H373" s="20">
        <v>0</v>
      </c>
      <c r="I373" s="20">
        <v>0</v>
      </c>
      <c r="J373" s="181"/>
      <c r="K373" s="181"/>
    </row>
    <row r="374" spans="1:12" x14ac:dyDescent="0.25">
      <c r="A374" s="181"/>
      <c r="B374" s="181"/>
      <c r="C374" s="181"/>
      <c r="D374" s="19">
        <v>2023</v>
      </c>
      <c r="E374" s="20">
        <f t="shared" si="37"/>
        <v>0</v>
      </c>
      <c r="F374" s="20">
        <v>0</v>
      </c>
      <c r="G374" s="20">
        <v>0</v>
      </c>
      <c r="H374" s="20">
        <v>0</v>
      </c>
      <c r="I374" s="20">
        <v>0</v>
      </c>
      <c r="J374" s="181"/>
      <c r="K374" s="181"/>
    </row>
    <row r="375" spans="1:12" x14ac:dyDescent="0.25">
      <c r="A375" s="181"/>
      <c r="B375" s="181"/>
      <c r="C375" s="181"/>
      <c r="D375" s="19">
        <v>2024</v>
      </c>
      <c r="E375" s="20">
        <f t="shared" si="37"/>
        <v>0</v>
      </c>
      <c r="F375" s="20">
        <v>0</v>
      </c>
      <c r="G375" s="20">
        <v>0</v>
      </c>
      <c r="H375" s="20">
        <v>0</v>
      </c>
      <c r="I375" s="20">
        <v>0</v>
      </c>
      <c r="J375" s="181"/>
      <c r="K375" s="181"/>
    </row>
    <row r="376" spans="1:12" x14ac:dyDescent="0.25">
      <c r="A376" s="181"/>
      <c r="B376" s="181"/>
      <c r="C376" s="181"/>
      <c r="D376" s="19">
        <v>2025</v>
      </c>
      <c r="E376" s="20">
        <f t="shared" si="37"/>
        <v>0</v>
      </c>
      <c r="F376" s="20">
        <v>0</v>
      </c>
      <c r="G376" s="20">
        <v>0</v>
      </c>
      <c r="H376" s="20">
        <v>0</v>
      </c>
      <c r="I376" s="20">
        <v>0</v>
      </c>
      <c r="J376" s="181"/>
      <c r="K376" s="181"/>
    </row>
    <row r="377" spans="1:12" x14ac:dyDescent="0.25">
      <c r="A377" s="181" t="s">
        <v>554</v>
      </c>
      <c r="B377" s="181" t="s">
        <v>555</v>
      </c>
      <c r="C377" s="181">
        <v>2021</v>
      </c>
      <c r="D377" s="19" t="s">
        <v>8</v>
      </c>
      <c r="E377" s="20">
        <f t="shared" si="37"/>
        <v>0</v>
      </c>
      <c r="F377" s="20">
        <f>SUM(F378:F382)</f>
        <v>0</v>
      </c>
      <c r="G377" s="20">
        <f>SUM(G378:G382)</f>
        <v>0</v>
      </c>
      <c r="H377" s="20">
        <f>SUM(H378:H382)</f>
        <v>0</v>
      </c>
      <c r="I377" s="20">
        <f>SUM(I378:I382)</f>
        <v>0</v>
      </c>
      <c r="J377" s="181" t="s">
        <v>556</v>
      </c>
      <c r="K377" s="181" t="s">
        <v>515</v>
      </c>
      <c r="L377" s="18" t="s">
        <v>860</v>
      </c>
    </row>
    <row r="378" spans="1:12" x14ac:dyDescent="0.25">
      <c r="A378" s="181"/>
      <c r="B378" s="181"/>
      <c r="C378" s="181"/>
      <c r="D378" s="19">
        <v>2021</v>
      </c>
      <c r="E378" s="20">
        <f t="shared" si="37"/>
        <v>0</v>
      </c>
      <c r="F378" s="20">
        <v>0</v>
      </c>
      <c r="G378" s="20">
        <v>0</v>
      </c>
      <c r="H378" s="20">
        <v>0</v>
      </c>
      <c r="I378" s="20">
        <v>0</v>
      </c>
      <c r="J378" s="181"/>
      <c r="K378" s="181"/>
    </row>
    <row r="379" spans="1:12" x14ac:dyDescent="0.25">
      <c r="A379" s="181"/>
      <c r="B379" s="181"/>
      <c r="C379" s="181"/>
      <c r="D379" s="19">
        <v>2022</v>
      </c>
      <c r="E379" s="20">
        <f t="shared" si="37"/>
        <v>0</v>
      </c>
      <c r="F379" s="20">
        <v>0</v>
      </c>
      <c r="G379" s="20">
        <v>0</v>
      </c>
      <c r="H379" s="20">
        <v>0</v>
      </c>
      <c r="I379" s="20">
        <v>0</v>
      </c>
      <c r="J379" s="181"/>
      <c r="K379" s="181"/>
    </row>
    <row r="380" spans="1:12" x14ac:dyDescent="0.25">
      <c r="A380" s="181"/>
      <c r="B380" s="181"/>
      <c r="C380" s="181"/>
      <c r="D380" s="19">
        <v>2023</v>
      </c>
      <c r="E380" s="20">
        <f t="shared" si="37"/>
        <v>0</v>
      </c>
      <c r="F380" s="20">
        <v>0</v>
      </c>
      <c r="G380" s="20">
        <v>0</v>
      </c>
      <c r="H380" s="20">
        <v>0</v>
      </c>
      <c r="I380" s="20">
        <v>0</v>
      </c>
      <c r="J380" s="181"/>
      <c r="K380" s="181"/>
    </row>
    <row r="381" spans="1:12" x14ac:dyDescent="0.25">
      <c r="A381" s="181"/>
      <c r="B381" s="181"/>
      <c r="C381" s="181"/>
      <c r="D381" s="19">
        <v>2024</v>
      </c>
      <c r="E381" s="20">
        <f t="shared" si="37"/>
        <v>0</v>
      </c>
      <c r="F381" s="20">
        <v>0</v>
      </c>
      <c r="G381" s="20">
        <v>0</v>
      </c>
      <c r="H381" s="20">
        <v>0</v>
      </c>
      <c r="I381" s="20">
        <v>0</v>
      </c>
      <c r="J381" s="181"/>
      <c r="K381" s="181"/>
    </row>
    <row r="382" spans="1:12" x14ac:dyDescent="0.25">
      <c r="A382" s="181"/>
      <c r="B382" s="181"/>
      <c r="C382" s="181"/>
      <c r="D382" s="19">
        <v>2025</v>
      </c>
      <c r="E382" s="20">
        <f t="shared" si="37"/>
        <v>0</v>
      </c>
      <c r="F382" s="20">
        <v>0</v>
      </c>
      <c r="G382" s="20">
        <v>0</v>
      </c>
      <c r="H382" s="20">
        <v>0</v>
      </c>
      <c r="I382" s="20">
        <v>0</v>
      </c>
      <c r="J382" s="181"/>
      <c r="K382" s="181"/>
    </row>
    <row r="383" spans="1:12" x14ac:dyDescent="0.25">
      <c r="A383" s="181" t="s">
        <v>557</v>
      </c>
      <c r="B383" s="181" t="s">
        <v>558</v>
      </c>
      <c r="C383" s="181" t="s">
        <v>19</v>
      </c>
      <c r="D383" s="19" t="s">
        <v>8</v>
      </c>
      <c r="E383" s="20">
        <f t="shared" si="37"/>
        <v>131225.81</v>
      </c>
      <c r="F383" s="20">
        <f>SUM(F384:F388)</f>
        <v>98555.157500000001</v>
      </c>
      <c r="G383" s="20">
        <f>SUM(G384:G388)</f>
        <v>0</v>
      </c>
      <c r="H383" s="20">
        <f>SUM(H384:H388)</f>
        <v>32670.652500000004</v>
      </c>
      <c r="I383" s="20">
        <f>SUM(I384:I388)</f>
        <v>0</v>
      </c>
      <c r="J383" s="181" t="s">
        <v>1762</v>
      </c>
      <c r="K383" s="181" t="s">
        <v>547</v>
      </c>
    </row>
    <row r="384" spans="1:12" x14ac:dyDescent="0.25">
      <c r="A384" s="181"/>
      <c r="B384" s="181"/>
      <c r="C384" s="181"/>
      <c r="D384" s="19">
        <v>2021</v>
      </c>
      <c r="E384" s="20">
        <f t="shared" si="37"/>
        <v>10446.799999999999</v>
      </c>
      <c r="F384" s="20">
        <v>7970.9</v>
      </c>
      <c r="G384" s="20">
        <v>0</v>
      </c>
      <c r="H384" s="20">
        <v>2475.9</v>
      </c>
      <c r="I384" s="20">
        <v>0</v>
      </c>
      <c r="J384" s="181"/>
      <c r="K384" s="181"/>
    </row>
    <row r="385" spans="1:12" x14ac:dyDescent="0.25">
      <c r="A385" s="181"/>
      <c r="B385" s="181"/>
      <c r="C385" s="181"/>
      <c r="D385" s="19">
        <v>2022</v>
      </c>
      <c r="E385" s="20">
        <f t="shared" si="37"/>
        <v>108779.01000000001</v>
      </c>
      <c r="F385" s="20">
        <v>81584.257500000007</v>
      </c>
      <c r="G385" s="20">
        <v>0</v>
      </c>
      <c r="H385" s="20">
        <f>F385/75*25</f>
        <v>27194.752500000002</v>
      </c>
      <c r="I385" s="20">
        <v>0</v>
      </c>
      <c r="J385" s="181"/>
      <c r="K385" s="181"/>
    </row>
    <row r="386" spans="1:12" x14ac:dyDescent="0.25">
      <c r="A386" s="181"/>
      <c r="B386" s="181"/>
      <c r="C386" s="181"/>
      <c r="D386" s="19">
        <v>2023</v>
      </c>
      <c r="E386" s="20">
        <f t="shared" si="37"/>
        <v>12000</v>
      </c>
      <c r="F386" s="20">
        <v>9000</v>
      </c>
      <c r="G386" s="20">
        <v>0</v>
      </c>
      <c r="H386" s="20">
        <v>3000</v>
      </c>
      <c r="I386" s="20">
        <v>0</v>
      </c>
      <c r="J386" s="181"/>
      <c r="K386" s="181"/>
    </row>
    <row r="387" spans="1:12" x14ac:dyDescent="0.25">
      <c r="A387" s="181"/>
      <c r="B387" s="181"/>
      <c r="C387" s="181"/>
      <c r="D387" s="19">
        <v>2024</v>
      </c>
      <c r="E387" s="20">
        <f t="shared" si="37"/>
        <v>0</v>
      </c>
      <c r="F387" s="20">
        <v>0</v>
      </c>
      <c r="G387" s="20">
        <v>0</v>
      </c>
      <c r="H387" s="20">
        <v>0</v>
      </c>
      <c r="I387" s="20">
        <v>0</v>
      </c>
      <c r="J387" s="181"/>
      <c r="K387" s="181"/>
    </row>
    <row r="388" spans="1:12" x14ac:dyDescent="0.25">
      <c r="A388" s="181"/>
      <c r="B388" s="181"/>
      <c r="C388" s="181"/>
      <c r="D388" s="19">
        <v>2025</v>
      </c>
      <c r="E388" s="20">
        <f t="shared" si="37"/>
        <v>0</v>
      </c>
      <c r="F388" s="20">
        <v>0</v>
      </c>
      <c r="G388" s="20">
        <v>0</v>
      </c>
      <c r="H388" s="20">
        <v>0</v>
      </c>
      <c r="I388" s="20">
        <v>0</v>
      </c>
      <c r="J388" s="181"/>
      <c r="K388" s="181"/>
    </row>
    <row r="389" spans="1:12" x14ac:dyDescent="0.25">
      <c r="A389" s="181" t="s">
        <v>560</v>
      </c>
      <c r="B389" s="181" t="s">
        <v>561</v>
      </c>
      <c r="C389" s="181">
        <v>2021</v>
      </c>
      <c r="D389" s="19" t="s">
        <v>8</v>
      </c>
      <c r="E389" s="20">
        <f t="shared" si="37"/>
        <v>8935.1</v>
      </c>
      <c r="F389" s="20">
        <f>SUM(F390:F394)</f>
        <v>8935.1</v>
      </c>
      <c r="G389" s="20">
        <f>SUM(G390:G394)</f>
        <v>0</v>
      </c>
      <c r="H389" s="20">
        <f>SUM(H390:H394)</f>
        <v>0</v>
      </c>
      <c r="I389" s="20">
        <f>SUM(I390:I394)</f>
        <v>0</v>
      </c>
      <c r="J389" s="181" t="s">
        <v>562</v>
      </c>
      <c r="K389" s="181" t="s">
        <v>563</v>
      </c>
      <c r="L389" s="180" t="s">
        <v>865</v>
      </c>
    </row>
    <row r="390" spans="1:12" x14ac:dyDescent="0.25">
      <c r="A390" s="181"/>
      <c r="B390" s="181"/>
      <c r="C390" s="181"/>
      <c r="D390" s="19">
        <v>2021</v>
      </c>
      <c r="E390" s="20">
        <f t="shared" si="37"/>
        <v>8935.1</v>
      </c>
      <c r="F390" s="20">
        <v>8935.1</v>
      </c>
      <c r="G390" s="20">
        <v>0</v>
      </c>
      <c r="H390" s="20">
        <v>0</v>
      </c>
      <c r="I390" s="20">
        <v>0</v>
      </c>
      <c r="J390" s="181"/>
      <c r="K390" s="181"/>
      <c r="L390" s="180"/>
    </row>
    <row r="391" spans="1:12" x14ac:dyDescent="0.25">
      <c r="A391" s="181"/>
      <c r="B391" s="181"/>
      <c r="C391" s="181"/>
      <c r="D391" s="19">
        <v>2022</v>
      </c>
      <c r="E391" s="20">
        <f t="shared" si="37"/>
        <v>0</v>
      </c>
      <c r="F391" s="20">
        <v>0</v>
      </c>
      <c r="G391" s="20">
        <v>0</v>
      </c>
      <c r="H391" s="20">
        <v>0</v>
      </c>
      <c r="I391" s="20">
        <v>0</v>
      </c>
      <c r="J391" s="181"/>
      <c r="K391" s="181"/>
      <c r="L391" s="180"/>
    </row>
    <row r="392" spans="1:12" x14ac:dyDescent="0.25">
      <c r="A392" s="181"/>
      <c r="B392" s="181"/>
      <c r="C392" s="181"/>
      <c r="D392" s="19">
        <v>2023</v>
      </c>
      <c r="E392" s="20">
        <f t="shared" si="37"/>
        <v>0</v>
      </c>
      <c r="F392" s="20">
        <v>0</v>
      </c>
      <c r="G392" s="20">
        <v>0</v>
      </c>
      <c r="H392" s="20">
        <v>0</v>
      </c>
      <c r="I392" s="20">
        <v>0</v>
      </c>
      <c r="J392" s="181"/>
      <c r="K392" s="181"/>
      <c r="L392" s="180"/>
    </row>
    <row r="393" spans="1:12" x14ac:dyDescent="0.25">
      <c r="A393" s="181"/>
      <c r="B393" s="181"/>
      <c r="C393" s="181"/>
      <c r="D393" s="19">
        <v>2024</v>
      </c>
      <c r="E393" s="20">
        <f t="shared" si="37"/>
        <v>0</v>
      </c>
      <c r="F393" s="20">
        <v>0</v>
      </c>
      <c r="G393" s="20">
        <v>0</v>
      </c>
      <c r="H393" s="20">
        <v>0</v>
      </c>
      <c r="I393" s="20">
        <v>0</v>
      </c>
      <c r="J393" s="181"/>
      <c r="K393" s="181"/>
      <c r="L393" s="180"/>
    </row>
    <row r="394" spans="1:12" x14ac:dyDescent="0.25">
      <c r="A394" s="181"/>
      <c r="B394" s="181"/>
      <c r="C394" s="181"/>
      <c r="D394" s="19">
        <v>2025</v>
      </c>
      <c r="E394" s="20">
        <f t="shared" si="37"/>
        <v>0</v>
      </c>
      <c r="F394" s="20">
        <v>0</v>
      </c>
      <c r="G394" s="20">
        <v>0</v>
      </c>
      <c r="H394" s="20">
        <v>0</v>
      </c>
      <c r="I394" s="20">
        <v>0</v>
      </c>
      <c r="J394" s="181"/>
      <c r="K394" s="181"/>
      <c r="L394" s="180"/>
    </row>
    <row r="395" spans="1:12" x14ac:dyDescent="0.25">
      <c r="A395" s="181" t="s">
        <v>861</v>
      </c>
      <c r="B395" s="181" t="s">
        <v>862</v>
      </c>
      <c r="C395" s="181">
        <v>2022</v>
      </c>
      <c r="D395" s="19" t="s">
        <v>8</v>
      </c>
      <c r="E395" s="20">
        <f t="shared" si="37"/>
        <v>0</v>
      </c>
      <c r="F395" s="20">
        <f>SUM(F396:F400)</f>
        <v>0</v>
      </c>
      <c r="G395" s="20">
        <f>SUM(G396:G400)</f>
        <v>0</v>
      </c>
      <c r="H395" s="20">
        <f>SUM(H396:H400)</f>
        <v>0</v>
      </c>
      <c r="I395" s="20">
        <f>SUM(I396:I400)</f>
        <v>0</v>
      </c>
      <c r="J395" s="181" t="s">
        <v>863</v>
      </c>
      <c r="K395" s="181" t="s">
        <v>547</v>
      </c>
      <c r="L395" s="180" t="s">
        <v>871</v>
      </c>
    </row>
    <row r="396" spans="1:12" x14ac:dyDescent="0.25">
      <c r="A396" s="181"/>
      <c r="B396" s="181"/>
      <c r="C396" s="181"/>
      <c r="D396" s="19">
        <v>2021</v>
      </c>
      <c r="E396" s="20">
        <f t="shared" si="37"/>
        <v>0</v>
      </c>
      <c r="F396" s="20">
        <v>0</v>
      </c>
      <c r="G396" s="20">
        <v>0</v>
      </c>
      <c r="H396" s="20">
        <v>0</v>
      </c>
      <c r="I396" s="20">
        <v>0</v>
      </c>
      <c r="J396" s="181"/>
      <c r="K396" s="181"/>
      <c r="L396" s="180"/>
    </row>
    <row r="397" spans="1:12" x14ac:dyDescent="0.25">
      <c r="A397" s="181"/>
      <c r="B397" s="181"/>
      <c r="C397" s="181"/>
      <c r="D397" s="19">
        <v>2022</v>
      </c>
      <c r="E397" s="20">
        <f t="shared" si="37"/>
        <v>0</v>
      </c>
      <c r="F397" s="20">
        <v>0</v>
      </c>
      <c r="G397" s="20">
        <v>0</v>
      </c>
      <c r="H397" s="20">
        <v>0</v>
      </c>
      <c r="I397" s="20">
        <v>0</v>
      </c>
      <c r="J397" s="181"/>
      <c r="K397" s="181"/>
      <c r="L397" s="180"/>
    </row>
    <row r="398" spans="1:12" x14ac:dyDescent="0.25">
      <c r="A398" s="181"/>
      <c r="B398" s="181"/>
      <c r="C398" s="181"/>
      <c r="D398" s="19">
        <v>2023</v>
      </c>
      <c r="E398" s="20">
        <f t="shared" si="37"/>
        <v>0</v>
      </c>
      <c r="F398" s="20">
        <v>0</v>
      </c>
      <c r="G398" s="20">
        <v>0</v>
      </c>
      <c r="H398" s="20">
        <v>0</v>
      </c>
      <c r="I398" s="20">
        <v>0</v>
      </c>
      <c r="J398" s="181"/>
      <c r="K398" s="181"/>
      <c r="L398" s="180"/>
    </row>
    <row r="399" spans="1:12" x14ac:dyDescent="0.25">
      <c r="A399" s="181"/>
      <c r="B399" s="181"/>
      <c r="C399" s="181"/>
      <c r="D399" s="19">
        <v>2024</v>
      </c>
      <c r="E399" s="20">
        <f t="shared" si="37"/>
        <v>0</v>
      </c>
      <c r="F399" s="20">
        <v>0</v>
      </c>
      <c r="G399" s="20">
        <v>0</v>
      </c>
      <c r="H399" s="20">
        <v>0</v>
      </c>
      <c r="I399" s="20">
        <v>0</v>
      </c>
      <c r="J399" s="181"/>
      <c r="K399" s="181"/>
      <c r="L399" s="180"/>
    </row>
    <row r="400" spans="1:12" x14ac:dyDescent="0.25">
      <c r="A400" s="181"/>
      <c r="B400" s="181"/>
      <c r="C400" s="181"/>
      <c r="D400" s="19">
        <v>2025</v>
      </c>
      <c r="E400" s="20">
        <f t="shared" si="37"/>
        <v>0</v>
      </c>
      <c r="F400" s="20">
        <v>0</v>
      </c>
      <c r="G400" s="20">
        <v>0</v>
      </c>
      <c r="H400" s="20">
        <v>0</v>
      </c>
      <c r="I400" s="20">
        <v>0</v>
      </c>
      <c r="J400" s="181"/>
      <c r="K400" s="181"/>
      <c r="L400" s="180"/>
    </row>
    <row r="401" spans="1:12" x14ac:dyDescent="0.25">
      <c r="A401" s="181" t="s">
        <v>868</v>
      </c>
      <c r="B401" s="181" t="s">
        <v>1163</v>
      </c>
      <c r="C401" s="181">
        <v>2023</v>
      </c>
      <c r="D401" s="19" t="s">
        <v>8</v>
      </c>
      <c r="E401" s="20">
        <f t="shared" si="37"/>
        <v>0</v>
      </c>
      <c r="F401" s="20">
        <f>SUM(F402:F406)</f>
        <v>0</v>
      </c>
      <c r="G401" s="20">
        <f>SUM(G402:G406)</f>
        <v>0</v>
      </c>
      <c r="H401" s="20">
        <f>SUM(H402:H406)</f>
        <v>0</v>
      </c>
      <c r="I401" s="20">
        <f>SUM(I402:I406)</f>
        <v>0</v>
      </c>
      <c r="J401" s="181" t="s">
        <v>1164</v>
      </c>
      <c r="K401" s="181" t="s">
        <v>907</v>
      </c>
      <c r="L401" s="180" t="s">
        <v>871</v>
      </c>
    </row>
    <row r="402" spans="1:12" x14ac:dyDescent="0.25">
      <c r="A402" s="181"/>
      <c r="B402" s="181"/>
      <c r="C402" s="181"/>
      <c r="D402" s="19">
        <v>2021</v>
      </c>
      <c r="E402" s="20">
        <f t="shared" si="37"/>
        <v>0</v>
      </c>
      <c r="F402" s="20">
        <v>0</v>
      </c>
      <c r="G402" s="20">
        <v>0</v>
      </c>
      <c r="H402" s="20">
        <v>0</v>
      </c>
      <c r="I402" s="20">
        <v>0</v>
      </c>
      <c r="J402" s="181"/>
      <c r="K402" s="181"/>
      <c r="L402" s="180"/>
    </row>
    <row r="403" spans="1:12" x14ac:dyDescent="0.25">
      <c r="A403" s="181"/>
      <c r="B403" s="181"/>
      <c r="C403" s="181"/>
      <c r="D403" s="19">
        <v>2022</v>
      </c>
      <c r="E403" s="20">
        <f t="shared" si="37"/>
        <v>0</v>
      </c>
      <c r="F403" s="20">
        <v>0</v>
      </c>
      <c r="G403" s="20">
        <v>0</v>
      </c>
      <c r="H403" s="20">
        <v>0</v>
      </c>
      <c r="I403" s="20">
        <v>0</v>
      </c>
      <c r="J403" s="181"/>
      <c r="K403" s="181"/>
      <c r="L403" s="180"/>
    </row>
    <row r="404" spans="1:12" x14ac:dyDescent="0.25">
      <c r="A404" s="181"/>
      <c r="B404" s="181"/>
      <c r="C404" s="181"/>
      <c r="D404" s="19">
        <v>2023</v>
      </c>
      <c r="E404" s="20">
        <f t="shared" si="37"/>
        <v>0</v>
      </c>
      <c r="F404" s="20">
        <v>0</v>
      </c>
      <c r="G404" s="20">
        <v>0</v>
      </c>
      <c r="H404" s="20">
        <v>0</v>
      </c>
      <c r="I404" s="20">
        <v>0</v>
      </c>
      <c r="J404" s="181"/>
      <c r="K404" s="181"/>
      <c r="L404" s="180"/>
    </row>
    <row r="405" spans="1:12" x14ac:dyDescent="0.25">
      <c r="A405" s="181"/>
      <c r="B405" s="181"/>
      <c r="C405" s="181"/>
      <c r="D405" s="19">
        <v>2024</v>
      </c>
      <c r="E405" s="20">
        <f t="shared" si="37"/>
        <v>0</v>
      </c>
      <c r="F405" s="20">
        <v>0</v>
      </c>
      <c r="G405" s="20">
        <v>0</v>
      </c>
      <c r="H405" s="20">
        <v>0</v>
      </c>
      <c r="I405" s="20">
        <v>0</v>
      </c>
      <c r="J405" s="181"/>
      <c r="K405" s="181"/>
      <c r="L405" s="180"/>
    </row>
    <row r="406" spans="1:12" x14ac:dyDescent="0.25">
      <c r="A406" s="181"/>
      <c r="B406" s="181"/>
      <c r="C406" s="181"/>
      <c r="D406" s="19">
        <v>2025</v>
      </c>
      <c r="E406" s="20">
        <f t="shared" si="37"/>
        <v>0</v>
      </c>
      <c r="F406" s="20">
        <v>0</v>
      </c>
      <c r="G406" s="20">
        <v>0</v>
      </c>
      <c r="H406" s="20">
        <v>0</v>
      </c>
      <c r="I406" s="20">
        <v>0</v>
      </c>
      <c r="J406" s="181"/>
      <c r="K406" s="181"/>
      <c r="L406" s="180"/>
    </row>
    <row r="407" spans="1:12" x14ac:dyDescent="0.25">
      <c r="A407" s="181" t="s">
        <v>873</v>
      </c>
      <c r="B407" s="181" t="s">
        <v>874</v>
      </c>
      <c r="C407" s="181">
        <v>2022</v>
      </c>
      <c r="D407" s="19" t="s">
        <v>8</v>
      </c>
      <c r="E407" s="20">
        <f t="shared" si="37"/>
        <v>0</v>
      </c>
      <c r="F407" s="20">
        <f>SUM(F408:F412)</f>
        <v>0</v>
      </c>
      <c r="G407" s="20">
        <f>SUM(G408:G412)</f>
        <v>0</v>
      </c>
      <c r="H407" s="20">
        <f>SUM(H408:H412)</f>
        <v>0</v>
      </c>
      <c r="I407" s="20">
        <f>SUM(I408:I412)</f>
        <v>0</v>
      </c>
      <c r="J407" s="181" t="s">
        <v>875</v>
      </c>
      <c r="K407" s="181" t="s">
        <v>955</v>
      </c>
    </row>
    <row r="408" spans="1:12" x14ac:dyDescent="0.25">
      <c r="A408" s="181"/>
      <c r="B408" s="181"/>
      <c r="C408" s="181"/>
      <c r="D408" s="19">
        <v>2021</v>
      </c>
      <c r="E408" s="20">
        <f t="shared" si="37"/>
        <v>0</v>
      </c>
      <c r="F408" s="20">
        <v>0</v>
      </c>
      <c r="G408" s="20">
        <v>0</v>
      </c>
      <c r="H408" s="20">
        <v>0</v>
      </c>
      <c r="I408" s="20">
        <v>0</v>
      </c>
      <c r="J408" s="181"/>
      <c r="K408" s="181"/>
    </row>
    <row r="409" spans="1:12" x14ac:dyDescent="0.25">
      <c r="A409" s="181"/>
      <c r="B409" s="181"/>
      <c r="C409" s="181"/>
      <c r="D409" s="19">
        <v>2022</v>
      </c>
      <c r="E409" s="20">
        <f t="shared" si="37"/>
        <v>0</v>
      </c>
      <c r="F409" s="20">
        <f>6000-6000</f>
        <v>0</v>
      </c>
      <c r="G409" s="20">
        <v>0</v>
      </c>
      <c r="H409" s="20">
        <v>0</v>
      </c>
      <c r="I409" s="20">
        <v>0</v>
      </c>
      <c r="J409" s="181"/>
      <c r="K409" s="181"/>
    </row>
    <row r="410" spans="1:12" x14ac:dyDescent="0.25">
      <c r="A410" s="181"/>
      <c r="B410" s="181"/>
      <c r="C410" s="181"/>
      <c r="D410" s="19">
        <v>2023</v>
      </c>
      <c r="E410" s="20">
        <f t="shared" si="37"/>
        <v>0</v>
      </c>
      <c r="F410" s="20">
        <v>0</v>
      </c>
      <c r="G410" s="20">
        <v>0</v>
      </c>
      <c r="H410" s="20">
        <v>0</v>
      </c>
      <c r="I410" s="20">
        <v>0</v>
      </c>
      <c r="J410" s="181"/>
      <c r="K410" s="181"/>
    </row>
    <row r="411" spans="1:12" x14ac:dyDescent="0.25">
      <c r="A411" s="181"/>
      <c r="B411" s="181"/>
      <c r="C411" s="181"/>
      <c r="D411" s="19">
        <v>2024</v>
      </c>
      <c r="E411" s="20">
        <f t="shared" si="37"/>
        <v>0</v>
      </c>
      <c r="F411" s="20">
        <v>0</v>
      </c>
      <c r="G411" s="20">
        <v>0</v>
      </c>
      <c r="H411" s="20">
        <v>0</v>
      </c>
      <c r="I411" s="20">
        <v>0</v>
      </c>
      <c r="J411" s="181"/>
      <c r="K411" s="181"/>
    </row>
    <row r="412" spans="1:12" x14ac:dyDescent="0.25">
      <c r="A412" s="181"/>
      <c r="B412" s="181"/>
      <c r="C412" s="181"/>
      <c r="D412" s="19">
        <v>2025</v>
      </c>
      <c r="E412" s="20">
        <f t="shared" si="37"/>
        <v>0</v>
      </c>
      <c r="F412" s="20">
        <v>0</v>
      </c>
      <c r="G412" s="20">
        <v>0</v>
      </c>
      <c r="H412" s="20">
        <v>0</v>
      </c>
      <c r="I412" s="20">
        <v>0</v>
      </c>
      <c r="J412" s="181"/>
      <c r="K412" s="181"/>
    </row>
    <row r="413" spans="1:12" x14ac:dyDescent="0.25">
      <c r="A413" s="181" t="s">
        <v>879</v>
      </c>
      <c r="B413" s="181" t="s">
        <v>880</v>
      </c>
      <c r="C413" s="181">
        <v>2022</v>
      </c>
      <c r="D413" s="19" t="s">
        <v>8</v>
      </c>
      <c r="E413" s="20">
        <f t="shared" si="37"/>
        <v>5000</v>
      </c>
      <c r="F413" s="20">
        <f>SUM(F414:F418)</f>
        <v>4750</v>
      </c>
      <c r="G413" s="20">
        <f>SUM(G414:G418)</f>
        <v>0</v>
      </c>
      <c r="H413" s="20">
        <f>SUM(H414:H418)</f>
        <v>250</v>
      </c>
      <c r="I413" s="20">
        <f>SUM(I414:I418)</f>
        <v>0</v>
      </c>
      <c r="J413" s="181" t="s">
        <v>881</v>
      </c>
      <c r="K413" s="181" t="s">
        <v>547</v>
      </c>
    </row>
    <row r="414" spans="1:12" x14ac:dyDescent="0.25">
      <c r="A414" s="181"/>
      <c r="B414" s="181"/>
      <c r="C414" s="181"/>
      <c r="D414" s="19">
        <v>2021</v>
      </c>
      <c r="E414" s="20">
        <f t="shared" si="37"/>
        <v>0</v>
      </c>
      <c r="F414" s="20">
        <v>0</v>
      </c>
      <c r="G414" s="20">
        <v>0</v>
      </c>
      <c r="H414" s="20">
        <v>0</v>
      </c>
      <c r="I414" s="20">
        <v>0</v>
      </c>
      <c r="J414" s="181"/>
      <c r="K414" s="181"/>
    </row>
    <row r="415" spans="1:12" x14ac:dyDescent="0.25">
      <c r="A415" s="181"/>
      <c r="B415" s="181"/>
      <c r="C415" s="181"/>
      <c r="D415" s="19">
        <v>2022</v>
      </c>
      <c r="E415" s="20">
        <f t="shared" si="37"/>
        <v>5000</v>
      </c>
      <c r="F415" s="20">
        <f>4750000/1000</f>
        <v>4750</v>
      </c>
      <c r="G415" s="20">
        <v>0</v>
      </c>
      <c r="H415" s="20">
        <f>F415*5%/95%</f>
        <v>250</v>
      </c>
      <c r="I415" s="20">
        <v>0</v>
      </c>
      <c r="J415" s="181"/>
      <c r="K415" s="181"/>
    </row>
    <row r="416" spans="1:12" x14ac:dyDescent="0.25">
      <c r="A416" s="181"/>
      <c r="B416" s="181"/>
      <c r="C416" s="181"/>
      <c r="D416" s="19">
        <v>2023</v>
      </c>
      <c r="E416" s="20">
        <f t="shared" si="37"/>
        <v>0</v>
      </c>
      <c r="F416" s="20">
        <v>0</v>
      </c>
      <c r="G416" s="20">
        <v>0</v>
      </c>
      <c r="H416" s="20">
        <v>0</v>
      </c>
      <c r="I416" s="20">
        <v>0</v>
      </c>
      <c r="J416" s="181"/>
      <c r="K416" s="181"/>
    </row>
    <row r="417" spans="1:12" x14ac:dyDescent="0.25">
      <c r="A417" s="181"/>
      <c r="B417" s="181"/>
      <c r="C417" s="181"/>
      <c r="D417" s="19">
        <v>2024</v>
      </c>
      <c r="E417" s="20">
        <f t="shared" si="37"/>
        <v>0</v>
      </c>
      <c r="F417" s="20">
        <v>0</v>
      </c>
      <c r="G417" s="20">
        <v>0</v>
      </c>
      <c r="H417" s="20">
        <v>0</v>
      </c>
      <c r="I417" s="20">
        <v>0</v>
      </c>
      <c r="J417" s="181"/>
      <c r="K417" s="181"/>
    </row>
    <row r="418" spans="1:12" x14ac:dyDescent="0.25">
      <c r="A418" s="181"/>
      <c r="B418" s="181"/>
      <c r="C418" s="181"/>
      <c r="D418" s="19">
        <v>2025</v>
      </c>
      <c r="E418" s="20">
        <f t="shared" si="37"/>
        <v>0</v>
      </c>
      <c r="F418" s="20">
        <v>0</v>
      </c>
      <c r="G418" s="20">
        <v>0</v>
      </c>
      <c r="H418" s="20">
        <v>0</v>
      </c>
      <c r="I418" s="20">
        <v>0</v>
      </c>
      <c r="J418" s="181"/>
      <c r="K418" s="181"/>
    </row>
    <row r="419" spans="1:12" x14ac:dyDescent="0.25">
      <c r="A419" s="181" t="s">
        <v>882</v>
      </c>
      <c r="B419" s="181" t="s">
        <v>1165</v>
      </c>
      <c r="C419" s="181">
        <v>2022</v>
      </c>
      <c r="D419" s="19" t="s">
        <v>8</v>
      </c>
      <c r="E419" s="20">
        <f t="shared" si="37"/>
        <v>0</v>
      </c>
      <c r="F419" s="20">
        <f>SUM(F420:F424)</f>
        <v>0</v>
      </c>
      <c r="G419" s="20">
        <f t="shared" ref="G419:G449" si="38">SUM(G420:G424)</f>
        <v>0</v>
      </c>
      <c r="H419" s="20">
        <f>SUM(H420:H424)</f>
        <v>0</v>
      </c>
      <c r="I419" s="20">
        <f t="shared" ref="I419:I467" si="39">SUM(I420:I424)</f>
        <v>0</v>
      </c>
      <c r="J419" s="181" t="s">
        <v>884</v>
      </c>
      <c r="K419" s="181" t="s">
        <v>547</v>
      </c>
    </row>
    <row r="420" spans="1:12" x14ac:dyDescent="0.25">
      <c r="A420" s="181"/>
      <c r="B420" s="181"/>
      <c r="C420" s="181"/>
      <c r="D420" s="19">
        <v>2021</v>
      </c>
      <c r="E420" s="20">
        <f t="shared" si="37"/>
        <v>0</v>
      </c>
      <c r="F420" s="20">
        <v>0</v>
      </c>
      <c r="G420" s="20">
        <f t="shared" si="38"/>
        <v>0</v>
      </c>
      <c r="H420" s="20">
        <v>0</v>
      </c>
      <c r="I420" s="20">
        <f t="shared" si="39"/>
        <v>0</v>
      </c>
      <c r="J420" s="181"/>
      <c r="K420" s="181"/>
    </row>
    <row r="421" spans="1:12" x14ac:dyDescent="0.25">
      <c r="A421" s="181"/>
      <c r="B421" s="181"/>
      <c r="C421" s="181"/>
      <c r="D421" s="19">
        <v>2022</v>
      </c>
      <c r="E421" s="20">
        <f t="shared" si="37"/>
        <v>0</v>
      </c>
      <c r="F421" s="20">
        <v>0</v>
      </c>
      <c r="G421" s="20">
        <f t="shared" si="38"/>
        <v>0</v>
      </c>
      <c r="H421" s="20">
        <v>0</v>
      </c>
      <c r="I421" s="20">
        <f t="shared" si="39"/>
        <v>0</v>
      </c>
      <c r="J421" s="181"/>
      <c r="K421" s="181"/>
    </row>
    <row r="422" spans="1:12" x14ac:dyDescent="0.25">
      <c r="A422" s="181"/>
      <c r="B422" s="181"/>
      <c r="C422" s="181"/>
      <c r="D422" s="19">
        <v>2023</v>
      </c>
      <c r="E422" s="20">
        <f t="shared" si="37"/>
        <v>0</v>
      </c>
      <c r="F422" s="20">
        <v>0</v>
      </c>
      <c r="G422" s="20">
        <f t="shared" si="38"/>
        <v>0</v>
      </c>
      <c r="H422" s="20">
        <v>0</v>
      </c>
      <c r="I422" s="20">
        <f t="shared" si="39"/>
        <v>0</v>
      </c>
      <c r="J422" s="181"/>
      <c r="K422" s="181"/>
    </row>
    <row r="423" spans="1:12" x14ac:dyDescent="0.25">
      <c r="A423" s="181"/>
      <c r="B423" s="181"/>
      <c r="C423" s="181"/>
      <c r="D423" s="19">
        <v>2024</v>
      </c>
      <c r="E423" s="20">
        <f t="shared" si="37"/>
        <v>0</v>
      </c>
      <c r="F423" s="20">
        <v>0</v>
      </c>
      <c r="G423" s="20">
        <f t="shared" si="38"/>
        <v>0</v>
      </c>
      <c r="H423" s="20">
        <v>0</v>
      </c>
      <c r="I423" s="20">
        <f t="shared" si="39"/>
        <v>0</v>
      </c>
      <c r="J423" s="181"/>
      <c r="K423" s="181"/>
    </row>
    <row r="424" spans="1:12" x14ac:dyDescent="0.25">
      <c r="A424" s="181"/>
      <c r="B424" s="181"/>
      <c r="C424" s="181"/>
      <c r="D424" s="19">
        <v>2025</v>
      </c>
      <c r="E424" s="20">
        <f t="shared" si="37"/>
        <v>0</v>
      </c>
      <c r="F424" s="20">
        <v>0</v>
      </c>
      <c r="G424" s="20">
        <f t="shared" si="38"/>
        <v>0</v>
      </c>
      <c r="H424" s="20">
        <v>0</v>
      </c>
      <c r="I424" s="20">
        <f t="shared" si="39"/>
        <v>0</v>
      </c>
      <c r="J424" s="181"/>
      <c r="K424" s="181"/>
    </row>
    <row r="425" spans="1:12" x14ac:dyDescent="0.25">
      <c r="A425" s="181" t="s">
        <v>885</v>
      </c>
      <c r="B425" s="181" t="s">
        <v>1166</v>
      </c>
      <c r="C425" s="181">
        <v>2022</v>
      </c>
      <c r="D425" s="19" t="s">
        <v>8</v>
      </c>
      <c r="E425" s="20">
        <f t="shared" si="37"/>
        <v>6815.7889999999998</v>
      </c>
      <c r="F425" s="20">
        <f>SUM(F426:F430)</f>
        <v>6475</v>
      </c>
      <c r="G425" s="20">
        <f t="shared" si="38"/>
        <v>0</v>
      </c>
      <c r="H425" s="20">
        <f>SUM(H426:H430)</f>
        <v>340.78899999999999</v>
      </c>
      <c r="I425" s="20">
        <f t="shared" si="39"/>
        <v>0</v>
      </c>
      <c r="J425" s="181" t="s">
        <v>1167</v>
      </c>
      <c r="K425" s="181" t="s">
        <v>547</v>
      </c>
    </row>
    <row r="426" spans="1:12" x14ac:dyDescent="0.25">
      <c r="A426" s="181"/>
      <c r="B426" s="181"/>
      <c r="C426" s="181"/>
      <c r="D426" s="19">
        <v>2021</v>
      </c>
      <c r="E426" s="20">
        <f t="shared" si="37"/>
        <v>0</v>
      </c>
      <c r="F426" s="20">
        <v>0</v>
      </c>
      <c r="G426" s="20">
        <v>0</v>
      </c>
      <c r="H426" s="20">
        <v>0</v>
      </c>
      <c r="I426" s="20">
        <f t="shared" si="39"/>
        <v>0</v>
      </c>
      <c r="J426" s="181"/>
      <c r="K426" s="181"/>
    </row>
    <row r="427" spans="1:12" x14ac:dyDescent="0.25">
      <c r="A427" s="181"/>
      <c r="B427" s="181"/>
      <c r="C427" s="181"/>
      <c r="D427" s="19">
        <v>2022</v>
      </c>
      <c r="E427" s="20">
        <f t="shared" si="37"/>
        <v>6815.7889999999998</v>
      </c>
      <c r="F427" s="20">
        <v>6475</v>
      </c>
      <c r="G427" s="20">
        <v>0</v>
      </c>
      <c r="H427" s="20">
        <v>340.78899999999999</v>
      </c>
      <c r="I427" s="20">
        <f t="shared" si="39"/>
        <v>0</v>
      </c>
      <c r="J427" s="181"/>
      <c r="K427" s="181"/>
    </row>
    <row r="428" spans="1:12" x14ac:dyDescent="0.25">
      <c r="A428" s="181"/>
      <c r="B428" s="181"/>
      <c r="C428" s="181"/>
      <c r="D428" s="19">
        <v>2023</v>
      </c>
      <c r="E428" s="20">
        <f t="shared" si="37"/>
        <v>0</v>
      </c>
      <c r="F428" s="20">
        <v>0</v>
      </c>
      <c r="G428" s="20">
        <v>0</v>
      </c>
      <c r="H428" s="20">
        <v>0</v>
      </c>
      <c r="I428" s="20">
        <f t="shared" si="39"/>
        <v>0</v>
      </c>
      <c r="J428" s="181"/>
      <c r="K428" s="181"/>
    </row>
    <row r="429" spans="1:12" x14ac:dyDescent="0.25">
      <c r="A429" s="181"/>
      <c r="B429" s="181"/>
      <c r="C429" s="181"/>
      <c r="D429" s="19">
        <v>2024</v>
      </c>
      <c r="E429" s="20">
        <f t="shared" si="37"/>
        <v>0</v>
      </c>
      <c r="F429" s="20">
        <v>0</v>
      </c>
      <c r="G429" s="20">
        <v>0</v>
      </c>
      <c r="H429" s="20">
        <v>0</v>
      </c>
      <c r="I429" s="20">
        <f t="shared" si="39"/>
        <v>0</v>
      </c>
      <c r="J429" s="181"/>
      <c r="K429" s="181"/>
    </row>
    <row r="430" spans="1:12" x14ac:dyDescent="0.25">
      <c r="A430" s="181"/>
      <c r="B430" s="181"/>
      <c r="C430" s="181"/>
      <c r="D430" s="19">
        <v>2025</v>
      </c>
      <c r="E430" s="20">
        <f t="shared" ref="E430:E493" si="40">SUM(F430:I430)</f>
        <v>0</v>
      </c>
      <c r="F430" s="20">
        <v>0</v>
      </c>
      <c r="G430" s="20">
        <v>0</v>
      </c>
      <c r="H430" s="20">
        <v>0</v>
      </c>
      <c r="I430" s="20">
        <f t="shared" si="39"/>
        <v>0</v>
      </c>
      <c r="J430" s="181"/>
      <c r="K430" s="181"/>
    </row>
    <row r="431" spans="1:12" x14ac:dyDescent="0.25">
      <c r="A431" s="181" t="s">
        <v>888</v>
      </c>
      <c r="B431" s="181" t="s">
        <v>889</v>
      </c>
      <c r="C431" s="181">
        <v>2022</v>
      </c>
      <c r="D431" s="19" t="s">
        <v>8</v>
      </c>
      <c r="E431" s="20">
        <f t="shared" si="40"/>
        <v>6717.1717171717173</v>
      </c>
      <c r="F431" s="20">
        <f>SUM(F432:F436)</f>
        <v>6650</v>
      </c>
      <c r="G431" s="20">
        <v>0</v>
      </c>
      <c r="H431" s="20">
        <f>SUM(H432:H436)</f>
        <v>67.171717171717177</v>
      </c>
      <c r="I431" s="20">
        <f t="shared" si="39"/>
        <v>0</v>
      </c>
      <c r="J431" s="181" t="s">
        <v>890</v>
      </c>
      <c r="K431" s="181" t="s">
        <v>547</v>
      </c>
      <c r="L431" s="180" t="s">
        <v>871</v>
      </c>
    </row>
    <row r="432" spans="1:12" x14ac:dyDescent="0.25">
      <c r="A432" s="181"/>
      <c r="B432" s="181"/>
      <c r="C432" s="181"/>
      <c r="D432" s="19">
        <v>2021</v>
      </c>
      <c r="E432" s="20">
        <f t="shared" si="40"/>
        <v>0</v>
      </c>
      <c r="F432" s="20">
        <v>0</v>
      </c>
      <c r="G432" s="20">
        <v>0</v>
      </c>
      <c r="H432" s="20">
        <v>0</v>
      </c>
      <c r="I432" s="20">
        <f t="shared" si="39"/>
        <v>0</v>
      </c>
      <c r="J432" s="181"/>
      <c r="K432" s="181"/>
      <c r="L432" s="180"/>
    </row>
    <row r="433" spans="1:12" x14ac:dyDescent="0.25">
      <c r="A433" s="181"/>
      <c r="B433" s="181"/>
      <c r="C433" s="181"/>
      <c r="D433" s="19">
        <v>2022</v>
      </c>
      <c r="E433" s="20">
        <f t="shared" si="40"/>
        <v>6717.1717171717173</v>
      </c>
      <c r="F433" s="20">
        <v>6650</v>
      </c>
      <c r="G433" s="20">
        <v>0</v>
      </c>
      <c r="H433" s="20">
        <f>F433/99*1</f>
        <v>67.171717171717177</v>
      </c>
      <c r="I433" s="20">
        <f t="shared" si="39"/>
        <v>0</v>
      </c>
      <c r="J433" s="181"/>
      <c r="K433" s="181"/>
      <c r="L433" s="180"/>
    </row>
    <row r="434" spans="1:12" x14ac:dyDescent="0.25">
      <c r="A434" s="181"/>
      <c r="B434" s="181"/>
      <c r="C434" s="181"/>
      <c r="D434" s="19">
        <v>2023</v>
      </c>
      <c r="E434" s="20">
        <f t="shared" si="40"/>
        <v>0</v>
      </c>
      <c r="F434" s="20">
        <v>0</v>
      </c>
      <c r="G434" s="20">
        <v>0</v>
      </c>
      <c r="H434" s="20">
        <v>0</v>
      </c>
      <c r="I434" s="20">
        <f t="shared" si="39"/>
        <v>0</v>
      </c>
      <c r="J434" s="181"/>
      <c r="K434" s="181"/>
      <c r="L434" s="180"/>
    </row>
    <row r="435" spans="1:12" x14ac:dyDescent="0.25">
      <c r="A435" s="181"/>
      <c r="B435" s="181"/>
      <c r="C435" s="181"/>
      <c r="D435" s="19">
        <v>2024</v>
      </c>
      <c r="E435" s="20">
        <f t="shared" si="40"/>
        <v>0</v>
      </c>
      <c r="F435" s="20">
        <v>0</v>
      </c>
      <c r="G435" s="20">
        <v>0</v>
      </c>
      <c r="H435" s="20">
        <v>0</v>
      </c>
      <c r="I435" s="20">
        <f t="shared" si="39"/>
        <v>0</v>
      </c>
      <c r="J435" s="181"/>
      <c r="K435" s="181"/>
      <c r="L435" s="180"/>
    </row>
    <row r="436" spans="1:12" x14ac:dyDescent="0.25">
      <c r="A436" s="181"/>
      <c r="B436" s="181"/>
      <c r="C436" s="181"/>
      <c r="D436" s="19">
        <v>2025</v>
      </c>
      <c r="E436" s="20">
        <f t="shared" si="40"/>
        <v>0</v>
      </c>
      <c r="F436" s="20">
        <v>0</v>
      </c>
      <c r="G436" s="20">
        <v>0</v>
      </c>
      <c r="H436" s="20">
        <v>0</v>
      </c>
      <c r="I436" s="20">
        <f t="shared" si="39"/>
        <v>0</v>
      </c>
      <c r="J436" s="181"/>
      <c r="K436" s="181"/>
      <c r="L436" s="180"/>
    </row>
    <row r="437" spans="1:12" x14ac:dyDescent="0.25">
      <c r="A437" s="181" t="s">
        <v>891</v>
      </c>
      <c r="B437" s="181" t="s">
        <v>892</v>
      </c>
      <c r="C437" s="181">
        <v>2023</v>
      </c>
      <c r="D437" s="19" t="s">
        <v>8</v>
      </c>
      <c r="E437" s="20">
        <f t="shared" si="40"/>
        <v>0</v>
      </c>
      <c r="F437" s="20">
        <f>SUM(F438:F442)</f>
        <v>0</v>
      </c>
      <c r="G437" s="20">
        <v>0</v>
      </c>
      <c r="H437" s="20">
        <f>SUM(H438:H442)</f>
        <v>0</v>
      </c>
      <c r="I437" s="20">
        <f t="shared" si="39"/>
        <v>0</v>
      </c>
      <c r="J437" s="181" t="s">
        <v>1168</v>
      </c>
      <c r="K437" s="181" t="s">
        <v>907</v>
      </c>
    </row>
    <row r="438" spans="1:12" x14ac:dyDescent="0.25">
      <c r="A438" s="181"/>
      <c r="B438" s="181"/>
      <c r="C438" s="181"/>
      <c r="D438" s="19">
        <v>2021</v>
      </c>
      <c r="E438" s="20">
        <f t="shared" si="40"/>
        <v>0</v>
      </c>
      <c r="F438" s="20">
        <v>0</v>
      </c>
      <c r="G438" s="20">
        <v>0</v>
      </c>
      <c r="H438" s="20">
        <v>0</v>
      </c>
      <c r="I438" s="20">
        <v>0</v>
      </c>
      <c r="J438" s="181"/>
      <c r="K438" s="181"/>
    </row>
    <row r="439" spans="1:12" x14ac:dyDescent="0.25">
      <c r="A439" s="181"/>
      <c r="B439" s="181"/>
      <c r="C439" s="181"/>
      <c r="D439" s="19">
        <v>2022</v>
      </c>
      <c r="E439" s="20">
        <f t="shared" si="40"/>
        <v>0</v>
      </c>
      <c r="F439" s="20">
        <v>0</v>
      </c>
      <c r="G439" s="20">
        <v>0</v>
      </c>
      <c r="H439" s="20">
        <v>0</v>
      </c>
      <c r="I439" s="20">
        <v>0</v>
      </c>
      <c r="J439" s="181"/>
      <c r="K439" s="181"/>
    </row>
    <row r="440" spans="1:12" x14ac:dyDescent="0.25">
      <c r="A440" s="181"/>
      <c r="B440" s="181"/>
      <c r="C440" s="181"/>
      <c r="D440" s="19">
        <v>2023</v>
      </c>
      <c r="E440" s="20">
        <f t="shared" si="40"/>
        <v>0</v>
      </c>
      <c r="F440" s="20">
        <v>0</v>
      </c>
      <c r="G440" s="20">
        <v>0</v>
      </c>
      <c r="H440" s="20">
        <v>0</v>
      </c>
      <c r="I440" s="20">
        <v>0</v>
      </c>
      <c r="J440" s="181"/>
      <c r="K440" s="181"/>
    </row>
    <row r="441" spans="1:12" x14ac:dyDescent="0.25">
      <c r="A441" s="181"/>
      <c r="B441" s="181"/>
      <c r="C441" s="181"/>
      <c r="D441" s="19">
        <v>2024</v>
      </c>
      <c r="E441" s="20">
        <f t="shared" si="40"/>
        <v>0</v>
      </c>
      <c r="F441" s="20">
        <v>0</v>
      </c>
      <c r="G441" s="20">
        <v>0</v>
      </c>
      <c r="H441" s="20">
        <v>0</v>
      </c>
      <c r="I441" s="20">
        <v>0</v>
      </c>
      <c r="J441" s="181"/>
      <c r="K441" s="181"/>
    </row>
    <row r="442" spans="1:12" x14ac:dyDescent="0.25">
      <c r="A442" s="181"/>
      <c r="B442" s="181"/>
      <c r="C442" s="181"/>
      <c r="D442" s="19">
        <v>2025</v>
      </c>
      <c r="E442" s="20">
        <f t="shared" si="40"/>
        <v>0</v>
      </c>
      <c r="F442" s="20">
        <v>0</v>
      </c>
      <c r="G442" s="20">
        <v>0</v>
      </c>
      <c r="H442" s="20">
        <v>0</v>
      </c>
      <c r="I442" s="20">
        <v>0</v>
      </c>
      <c r="J442" s="181"/>
      <c r="K442" s="181"/>
    </row>
    <row r="443" spans="1:12" x14ac:dyDescent="0.25">
      <c r="A443" s="181" t="s">
        <v>894</v>
      </c>
      <c r="B443" s="181" t="s">
        <v>793</v>
      </c>
      <c r="C443" s="181">
        <v>2022</v>
      </c>
      <c r="D443" s="19" t="s">
        <v>8</v>
      </c>
      <c r="E443" s="20">
        <f t="shared" si="40"/>
        <v>0</v>
      </c>
      <c r="F443" s="20">
        <f>SUM(F444:F448)</f>
        <v>0</v>
      </c>
      <c r="G443" s="20">
        <f t="shared" si="38"/>
        <v>0</v>
      </c>
      <c r="H443" s="20">
        <f>SUM(H444:H448)</f>
        <v>0</v>
      </c>
      <c r="I443" s="20">
        <f t="shared" si="39"/>
        <v>0</v>
      </c>
      <c r="J443" s="181" t="s">
        <v>895</v>
      </c>
      <c r="K443" s="181" t="s">
        <v>547</v>
      </c>
      <c r="L443" s="180"/>
    </row>
    <row r="444" spans="1:12" x14ac:dyDescent="0.25">
      <c r="A444" s="181"/>
      <c r="B444" s="181"/>
      <c r="C444" s="181"/>
      <c r="D444" s="19">
        <v>2021</v>
      </c>
      <c r="E444" s="20">
        <f t="shared" si="40"/>
        <v>0</v>
      </c>
      <c r="F444" s="20">
        <v>0</v>
      </c>
      <c r="G444" s="20">
        <v>0</v>
      </c>
      <c r="H444" s="20">
        <v>0</v>
      </c>
      <c r="I444" s="20">
        <v>0</v>
      </c>
      <c r="J444" s="181"/>
      <c r="K444" s="181"/>
      <c r="L444" s="180"/>
    </row>
    <row r="445" spans="1:12" x14ac:dyDescent="0.25">
      <c r="A445" s="181"/>
      <c r="B445" s="181"/>
      <c r="C445" s="181"/>
      <c r="D445" s="19">
        <v>2022</v>
      </c>
      <c r="E445" s="20">
        <f t="shared" si="40"/>
        <v>0</v>
      </c>
      <c r="F445" s="20">
        <v>0</v>
      </c>
      <c r="G445" s="20">
        <v>0</v>
      </c>
      <c r="H445" s="20">
        <v>0</v>
      </c>
      <c r="I445" s="20">
        <v>0</v>
      </c>
      <c r="J445" s="181"/>
      <c r="K445" s="181"/>
      <c r="L445" s="180"/>
    </row>
    <row r="446" spans="1:12" x14ac:dyDescent="0.25">
      <c r="A446" s="181"/>
      <c r="B446" s="181"/>
      <c r="C446" s="181"/>
      <c r="D446" s="19">
        <v>2023</v>
      </c>
      <c r="E446" s="20">
        <f t="shared" si="40"/>
        <v>0</v>
      </c>
      <c r="F446" s="20">
        <v>0</v>
      </c>
      <c r="G446" s="20">
        <v>0</v>
      </c>
      <c r="H446" s="20">
        <v>0</v>
      </c>
      <c r="I446" s="20">
        <v>0</v>
      </c>
      <c r="J446" s="181"/>
      <c r="K446" s="181"/>
      <c r="L446" s="180"/>
    </row>
    <row r="447" spans="1:12" x14ac:dyDescent="0.25">
      <c r="A447" s="181"/>
      <c r="B447" s="181"/>
      <c r="C447" s="181"/>
      <c r="D447" s="19">
        <v>2024</v>
      </c>
      <c r="E447" s="20">
        <f t="shared" si="40"/>
        <v>0</v>
      </c>
      <c r="F447" s="20">
        <v>0</v>
      </c>
      <c r="G447" s="20">
        <v>0</v>
      </c>
      <c r="H447" s="20">
        <v>0</v>
      </c>
      <c r="I447" s="20">
        <v>0</v>
      </c>
      <c r="J447" s="181"/>
      <c r="K447" s="181"/>
      <c r="L447" s="180"/>
    </row>
    <row r="448" spans="1:12" x14ac:dyDescent="0.25">
      <c r="A448" s="181"/>
      <c r="B448" s="181"/>
      <c r="C448" s="181"/>
      <c r="D448" s="19">
        <v>2025</v>
      </c>
      <c r="E448" s="20">
        <f t="shared" si="40"/>
        <v>0</v>
      </c>
      <c r="F448" s="20">
        <v>0</v>
      </c>
      <c r="G448" s="20">
        <v>0</v>
      </c>
      <c r="H448" s="20">
        <v>0</v>
      </c>
      <c r="I448" s="20">
        <v>0</v>
      </c>
      <c r="J448" s="181"/>
      <c r="K448" s="181"/>
      <c r="L448" s="180"/>
    </row>
    <row r="449" spans="1:12" x14ac:dyDescent="0.25">
      <c r="A449" s="181" t="s">
        <v>904</v>
      </c>
      <c r="B449" s="181" t="s">
        <v>905</v>
      </c>
      <c r="C449" s="181" t="s">
        <v>1169</v>
      </c>
      <c r="D449" s="19" t="s">
        <v>8</v>
      </c>
      <c r="E449" s="20">
        <f t="shared" si="40"/>
        <v>66399.149999999994</v>
      </c>
      <c r="F449" s="20">
        <f>SUM(F450:F454)</f>
        <v>66399.149999999994</v>
      </c>
      <c r="G449" s="20">
        <f t="shared" si="38"/>
        <v>0</v>
      </c>
      <c r="H449" s="20">
        <f>SUM(H450:H454)</f>
        <v>0</v>
      </c>
      <c r="I449" s="20">
        <f t="shared" si="39"/>
        <v>0</v>
      </c>
      <c r="J449" s="181" t="s">
        <v>906</v>
      </c>
      <c r="K449" s="181" t="s">
        <v>907</v>
      </c>
    </row>
    <row r="450" spans="1:12" x14ac:dyDescent="0.25">
      <c r="A450" s="181"/>
      <c r="B450" s="181"/>
      <c r="C450" s="181"/>
      <c r="D450" s="19">
        <v>2021</v>
      </c>
      <c r="E450" s="20">
        <f t="shared" si="40"/>
        <v>0</v>
      </c>
      <c r="F450" s="20">
        <v>0</v>
      </c>
      <c r="G450" s="20">
        <v>0</v>
      </c>
      <c r="H450" s="20">
        <v>0</v>
      </c>
      <c r="I450" s="20">
        <v>0</v>
      </c>
      <c r="J450" s="181"/>
      <c r="K450" s="181"/>
    </row>
    <row r="451" spans="1:12" x14ac:dyDescent="0.25">
      <c r="A451" s="181"/>
      <c r="B451" s="181"/>
      <c r="C451" s="181"/>
      <c r="D451" s="19">
        <v>2022</v>
      </c>
      <c r="E451" s="20">
        <f t="shared" si="40"/>
        <v>66399.149999999994</v>
      </c>
      <c r="F451" s="20">
        <f>200000-21582.6-112018.25</f>
        <v>66399.149999999994</v>
      </c>
      <c r="G451" s="20">
        <v>0</v>
      </c>
      <c r="H451" s="20">
        <v>0</v>
      </c>
      <c r="I451" s="20">
        <v>0</v>
      </c>
      <c r="J451" s="181"/>
      <c r="K451" s="181"/>
    </row>
    <row r="452" spans="1:12" x14ac:dyDescent="0.25">
      <c r="A452" s="181"/>
      <c r="B452" s="181"/>
      <c r="C452" s="181"/>
      <c r="D452" s="19">
        <v>2023</v>
      </c>
      <c r="E452" s="20">
        <f t="shared" si="40"/>
        <v>0</v>
      </c>
      <c r="F452" s="20">
        <v>0</v>
      </c>
      <c r="G452" s="20">
        <v>0</v>
      </c>
      <c r="H452" s="20">
        <v>0</v>
      </c>
      <c r="I452" s="20">
        <v>0</v>
      </c>
      <c r="J452" s="181"/>
      <c r="K452" s="181"/>
    </row>
    <row r="453" spans="1:12" x14ac:dyDescent="0.25">
      <c r="A453" s="181"/>
      <c r="B453" s="181"/>
      <c r="C453" s="181"/>
      <c r="D453" s="19">
        <v>2024</v>
      </c>
      <c r="E453" s="20">
        <f t="shared" si="40"/>
        <v>0</v>
      </c>
      <c r="F453" s="20">
        <v>0</v>
      </c>
      <c r="G453" s="20">
        <v>0</v>
      </c>
      <c r="H453" s="20">
        <v>0</v>
      </c>
      <c r="I453" s="20">
        <v>0</v>
      </c>
      <c r="J453" s="181"/>
      <c r="K453" s="181"/>
    </row>
    <row r="454" spans="1:12" x14ac:dyDescent="0.25">
      <c r="A454" s="181"/>
      <c r="B454" s="181"/>
      <c r="C454" s="181"/>
      <c r="D454" s="19">
        <v>2025</v>
      </c>
      <c r="E454" s="20">
        <f t="shared" si="40"/>
        <v>0</v>
      </c>
      <c r="F454" s="20">
        <v>0</v>
      </c>
      <c r="G454" s="20">
        <v>0</v>
      </c>
      <c r="H454" s="20">
        <v>0</v>
      </c>
      <c r="I454" s="20">
        <v>0</v>
      </c>
      <c r="J454" s="181"/>
      <c r="K454" s="181"/>
    </row>
    <row r="455" spans="1:12" x14ac:dyDescent="0.25">
      <c r="A455" s="181" t="s">
        <v>909</v>
      </c>
      <c r="B455" s="181" t="s">
        <v>910</v>
      </c>
      <c r="C455" s="181">
        <v>2022</v>
      </c>
      <c r="D455" s="19" t="s">
        <v>8</v>
      </c>
      <c r="E455" s="20">
        <f t="shared" si="40"/>
        <v>0</v>
      </c>
      <c r="F455" s="20">
        <f t="shared" ref="F455:H467" si="41">SUM(F456:F460)</f>
        <v>0</v>
      </c>
      <c r="G455" s="20">
        <f t="shared" si="41"/>
        <v>0</v>
      </c>
      <c r="H455" s="20">
        <f t="shared" si="41"/>
        <v>0</v>
      </c>
      <c r="I455" s="20">
        <f t="shared" si="39"/>
        <v>0</v>
      </c>
      <c r="J455" s="181" t="s">
        <v>911</v>
      </c>
      <c r="K455" s="181" t="s">
        <v>547</v>
      </c>
    </row>
    <row r="456" spans="1:12" x14ac:dyDescent="0.25">
      <c r="A456" s="181"/>
      <c r="B456" s="181"/>
      <c r="C456" s="181"/>
      <c r="D456" s="19">
        <v>2021</v>
      </c>
      <c r="E456" s="20">
        <f t="shared" si="40"/>
        <v>0</v>
      </c>
      <c r="F456" s="20">
        <v>0</v>
      </c>
      <c r="G456" s="20">
        <v>0</v>
      </c>
      <c r="H456" s="20">
        <v>0</v>
      </c>
      <c r="I456" s="20">
        <v>0</v>
      </c>
      <c r="J456" s="181"/>
      <c r="K456" s="181"/>
    </row>
    <row r="457" spans="1:12" x14ac:dyDescent="0.25">
      <c r="A457" s="181"/>
      <c r="B457" s="181"/>
      <c r="C457" s="181"/>
      <c r="D457" s="19">
        <v>2022</v>
      </c>
      <c r="E457" s="20">
        <f t="shared" si="40"/>
        <v>0</v>
      </c>
      <c r="F457" s="20">
        <v>0</v>
      </c>
      <c r="G457" s="20">
        <v>0</v>
      </c>
      <c r="H457" s="20">
        <v>0</v>
      </c>
      <c r="I457" s="20">
        <v>0</v>
      </c>
      <c r="J457" s="181"/>
      <c r="K457" s="181"/>
    </row>
    <row r="458" spans="1:12" x14ac:dyDescent="0.25">
      <c r="A458" s="181"/>
      <c r="B458" s="181"/>
      <c r="C458" s="181"/>
      <c r="D458" s="19">
        <v>2023</v>
      </c>
      <c r="E458" s="20">
        <f t="shared" si="40"/>
        <v>0</v>
      </c>
      <c r="F458" s="20">
        <v>0</v>
      </c>
      <c r="G458" s="20">
        <v>0</v>
      </c>
      <c r="H458" s="20">
        <v>0</v>
      </c>
      <c r="I458" s="20">
        <v>0</v>
      </c>
      <c r="J458" s="181"/>
      <c r="K458" s="181"/>
    </row>
    <row r="459" spans="1:12" x14ac:dyDescent="0.25">
      <c r="A459" s="181"/>
      <c r="B459" s="181"/>
      <c r="C459" s="181"/>
      <c r="D459" s="19">
        <v>2024</v>
      </c>
      <c r="E459" s="20">
        <f t="shared" si="40"/>
        <v>0</v>
      </c>
      <c r="F459" s="20">
        <v>0</v>
      </c>
      <c r="G459" s="20">
        <v>0</v>
      </c>
      <c r="H459" s="20">
        <v>0</v>
      </c>
      <c r="I459" s="20">
        <v>0</v>
      </c>
      <c r="J459" s="181"/>
      <c r="K459" s="181"/>
    </row>
    <row r="460" spans="1:12" x14ac:dyDescent="0.25">
      <c r="A460" s="181"/>
      <c r="B460" s="181"/>
      <c r="C460" s="181"/>
      <c r="D460" s="19">
        <v>2025</v>
      </c>
      <c r="E460" s="20">
        <f t="shared" si="40"/>
        <v>0</v>
      </c>
      <c r="F460" s="20">
        <v>0</v>
      </c>
      <c r="G460" s="20">
        <v>0</v>
      </c>
      <c r="H460" s="20">
        <v>0</v>
      </c>
      <c r="I460" s="20">
        <v>0</v>
      </c>
      <c r="J460" s="181"/>
      <c r="K460" s="181"/>
    </row>
    <row r="461" spans="1:12" x14ac:dyDescent="0.25">
      <c r="A461" s="181" t="s">
        <v>1170</v>
      </c>
      <c r="B461" s="181" t="s">
        <v>1171</v>
      </c>
      <c r="C461" s="181">
        <v>2022</v>
      </c>
      <c r="D461" s="19" t="s">
        <v>8</v>
      </c>
      <c r="E461" s="20">
        <f t="shared" si="40"/>
        <v>6133.3262999999997</v>
      </c>
      <c r="F461" s="20">
        <f t="shared" si="41"/>
        <v>5826.66</v>
      </c>
      <c r="G461" s="20">
        <v>0</v>
      </c>
      <c r="H461" s="20">
        <f t="shared" si="41"/>
        <v>306.66629999999998</v>
      </c>
      <c r="I461" s="20">
        <f t="shared" si="39"/>
        <v>0</v>
      </c>
      <c r="J461" s="181" t="s">
        <v>1172</v>
      </c>
      <c r="K461" s="181" t="s">
        <v>547</v>
      </c>
      <c r="L461" s="180"/>
    </row>
    <row r="462" spans="1:12" x14ac:dyDescent="0.25">
      <c r="A462" s="181"/>
      <c r="B462" s="181"/>
      <c r="C462" s="181"/>
      <c r="D462" s="19">
        <v>2021</v>
      </c>
      <c r="E462" s="20">
        <f t="shared" si="40"/>
        <v>0</v>
      </c>
      <c r="F462" s="20">
        <v>0</v>
      </c>
      <c r="G462" s="20">
        <v>0</v>
      </c>
      <c r="H462" s="20">
        <v>0</v>
      </c>
      <c r="I462" s="20">
        <v>0</v>
      </c>
      <c r="J462" s="181"/>
      <c r="K462" s="181"/>
      <c r="L462" s="180"/>
    </row>
    <row r="463" spans="1:12" x14ac:dyDescent="0.25">
      <c r="A463" s="181"/>
      <c r="B463" s="181"/>
      <c r="C463" s="181"/>
      <c r="D463" s="19">
        <v>2022</v>
      </c>
      <c r="E463" s="20">
        <f t="shared" si="40"/>
        <v>6133.3262999999997</v>
      </c>
      <c r="F463" s="20">
        <v>5826.66</v>
      </c>
      <c r="G463" s="20">
        <v>0</v>
      </c>
      <c r="H463" s="20">
        <v>306.66629999999998</v>
      </c>
      <c r="I463" s="20">
        <v>0</v>
      </c>
      <c r="J463" s="181"/>
      <c r="K463" s="181"/>
      <c r="L463" s="180"/>
    </row>
    <row r="464" spans="1:12" x14ac:dyDescent="0.25">
      <c r="A464" s="181"/>
      <c r="B464" s="181"/>
      <c r="C464" s="181"/>
      <c r="D464" s="19">
        <v>2023</v>
      </c>
      <c r="E464" s="20">
        <f t="shared" si="40"/>
        <v>0</v>
      </c>
      <c r="F464" s="20">
        <v>0</v>
      </c>
      <c r="G464" s="20">
        <v>0</v>
      </c>
      <c r="H464" s="20">
        <v>0</v>
      </c>
      <c r="I464" s="20">
        <v>0</v>
      </c>
      <c r="J464" s="181"/>
      <c r="K464" s="181"/>
    </row>
    <row r="465" spans="1:11" x14ac:dyDescent="0.25">
      <c r="A465" s="181"/>
      <c r="B465" s="181"/>
      <c r="C465" s="181"/>
      <c r="D465" s="19">
        <v>2024</v>
      </c>
      <c r="E465" s="20">
        <f t="shared" si="40"/>
        <v>0</v>
      </c>
      <c r="F465" s="20">
        <v>0</v>
      </c>
      <c r="G465" s="20">
        <v>0</v>
      </c>
      <c r="H465" s="20">
        <v>0</v>
      </c>
      <c r="I465" s="20">
        <v>0</v>
      </c>
      <c r="J465" s="181"/>
      <c r="K465" s="181"/>
    </row>
    <row r="466" spans="1:11" x14ac:dyDescent="0.25">
      <c r="A466" s="181"/>
      <c r="B466" s="181"/>
      <c r="C466" s="181"/>
      <c r="D466" s="19">
        <v>2025</v>
      </c>
      <c r="E466" s="20">
        <f t="shared" si="40"/>
        <v>0</v>
      </c>
      <c r="F466" s="20">
        <v>0</v>
      </c>
      <c r="G466" s="20">
        <v>0</v>
      </c>
      <c r="H466" s="20">
        <v>0</v>
      </c>
      <c r="I466" s="20">
        <v>0</v>
      </c>
      <c r="J466" s="181"/>
      <c r="K466" s="181"/>
    </row>
    <row r="467" spans="1:11" x14ac:dyDescent="0.25">
      <c r="A467" s="181" t="s">
        <v>1173</v>
      </c>
      <c r="B467" s="181" t="s">
        <v>1174</v>
      </c>
      <c r="C467" s="181">
        <v>2023</v>
      </c>
      <c r="D467" s="19" t="s">
        <v>8</v>
      </c>
      <c r="E467" s="20">
        <f t="shared" si="40"/>
        <v>0</v>
      </c>
      <c r="F467" s="20">
        <f t="shared" si="41"/>
        <v>0</v>
      </c>
      <c r="G467" s="20">
        <f t="shared" si="41"/>
        <v>0</v>
      </c>
      <c r="H467" s="20">
        <f t="shared" si="41"/>
        <v>0</v>
      </c>
      <c r="I467" s="20">
        <f t="shared" si="39"/>
        <v>0</v>
      </c>
      <c r="J467" s="181" t="s">
        <v>1175</v>
      </c>
      <c r="K467" s="181" t="s">
        <v>484</v>
      </c>
    </row>
    <row r="468" spans="1:11" x14ac:dyDescent="0.25">
      <c r="A468" s="181"/>
      <c r="B468" s="181"/>
      <c r="C468" s="181"/>
      <c r="D468" s="19">
        <v>2021</v>
      </c>
      <c r="E468" s="20">
        <f t="shared" si="40"/>
        <v>0</v>
      </c>
      <c r="F468" s="20">
        <v>0</v>
      </c>
      <c r="G468" s="20">
        <v>0</v>
      </c>
      <c r="H468" s="20">
        <v>0</v>
      </c>
      <c r="I468" s="20">
        <v>0</v>
      </c>
      <c r="J468" s="181"/>
      <c r="K468" s="181"/>
    </row>
    <row r="469" spans="1:11" x14ac:dyDescent="0.25">
      <c r="A469" s="181"/>
      <c r="B469" s="181"/>
      <c r="C469" s="181"/>
      <c r="D469" s="19">
        <v>2022</v>
      </c>
      <c r="E469" s="20">
        <f t="shared" si="40"/>
        <v>0</v>
      </c>
      <c r="F469" s="20">
        <v>0</v>
      </c>
      <c r="G469" s="20">
        <v>0</v>
      </c>
      <c r="H469" s="20">
        <v>0</v>
      </c>
      <c r="I469" s="20">
        <v>0</v>
      </c>
      <c r="J469" s="181"/>
      <c r="K469" s="181"/>
    </row>
    <row r="470" spans="1:11" x14ac:dyDescent="0.25">
      <c r="A470" s="181"/>
      <c r="B470" s="181"/>
      <c r="C470" s="181"/>
      <c r="D470" s="19">
        <v>2023</v>
      </c>
      <c r="E470" s="20">
        <f t="shared" si="40"/>
        <v>0</v>
      </c>
      <c r="F470" s="20">
        <v>0</v>
      </c>
      <c r="G470" s="20">
        <v>0</v>
      </c>
      <c r="H470" s="20">
        <v>0</v>
      </c>
      <c r="I470" s="20">
        <v>0</v>
      </c>
      <c r="J470" s="181"/>
      <c r="K470" s="181"/>
    </row>
    <row r="471" spans="1:11" x14ac:dyDescent="0.25">
      <c r="A471" s="181"/>
      <c r="B471" s="181"/>
      <c r="C471" s="181"/>
      <c r="D471" s="19">
        <v>2024</v>
      </c>
      <c r="E471" s="20">
        <f t="shared" si="40"/>
        <v>0</v>
      </c>
      <c r="F471" s="20">
        <v>0</v>
      </c>
      <c r="G471" s="20">
        <v>0</v>
      </c>
      <c r="H471" s="20">
        <v>0</v>
      </c>
      <c r="I471" s="20">
        <v>0</v>
      </c>
      <c r="J471" s="181"/>
      <c r="K471" s="181"/>
    </row>
    <row r="472" spans="1:11" x14ac:dyDescent="0.25">
      <c r="A472" s="181"/>
      <c r="B472" s="181"/>
      <c r="C472" s="181"/>
      <c r="D472" s="19">
        <v>2025</v>
      </c>
      <c r="E472" s="20">
        <f t="shared" si="40"/>
        <v>0</v>
      </c>
      <c r="F472" s="20">
        <v>0</v>
      </c>
      <c r="G472" s="20">
        <v>0</v>
      </c>
      <c r="H472" s="20">
        <v>0</v>
      </c>
      <c r="I472" s="20">
        <v>0</v>
      </c>
      <c r="J472" s="181"/>
      <c r="K472" s="181"/>
    </row>
    <row r="473" spans="1:11" x14ac:dyDescent="0.25">
      <c r="A473" s="181" t="s">
        <v>104</v>
      </c>
      <c r="B473" s="181" t="s">
        <v>105</v>
      </c>
      <c r="C473" s="181" t="s">
        <v>14</v>
      </c>
      <c r="D473" s="19" t="s">
        <v>8</v>
      </c>
      <c r="E473" s="20">
        <f t="shared" si="40"/>
        <v>705120.82076182624</v>
      </c>
      <c r="F473" s="20">
        <f t="shared" ref="F473" si="42">SUM(F474:F478)</f>
        <v>670136.02604999999</v>
      </c>
      <c r="G473" s="20">
        <f>SUM(G474:G478)</f>
        <v>0</v>
      </c>
      <c r="H473" s="20">
        <f>SUM(H474:H478)</f>
        <v>34984.794711826275</v>
      </c>
      <c r="I473" s="20">
        <f t="shared" ref="I473:I475" si="43">SUM(I480:I484)</f>
        <v>0</v>
      </c>
      <c r="J473" s="181" t="s">
        <v>106</v>
      </c>
      <c r="K473" s="181" t="s">
        <v>1176</v>
      </c>
    </row>
    <row r="474" spans="1:11" x14ac:dyDescent="0.25">
      <c r="A474" s="181"/>
      <c r="B474" s="181"/>
      <c r="C474" s="181"/>
      <c r="D474" s="19">
        <v>2021</v>
      </c>
      <c r="E474" s="20">
        <f t="shared" si="40"/>
        <v>195224.35576589749</v>
      </c>
      <c r="F474" s="20">
        <f>SUM(F480+F486+F492+F498+F504+F510+F516+F522+F528+F534+F540+F546+F552+F558+F564+F570+F576+F582+F588+F594+F600+F606+F612+F618+F624+F630+F636+F642+F648)</f>
        <v>179524.59972</v>
      </c>
      <c r="G474" s="20">
        <f t="shared" ref="G474:I478" si="44">SUM(G480+G486+G492+G498+G504+G510+G516+G522+G528+G534+G540+G546+G552+G558+G564+G570+G576+G582+G588+G594+G600+G606+G612+G618+G624+G630+G636+G642+G648)</f>
        <v>0</v>
      </c>
      <c r="H474" s="20">
        <f>SUM(H480+H486+H492+H498+H504+H510+H516+H522+H528+H534+H540+H546+H552+H558+H564+H570+H576+H582+H588+H594+H600+H606+H612+H618+H624+H630+H636+H642+H648)</f>
        <v>15699.756045897479</v>
      </c>
      <c r="I474" s="20">
        <f t="shared" si="43"/>
        <v>0</v>
      </c>
      <c r="J474" s="181"/>
      <c r="K474" s="181"/>
    </row>
    <row r="475" spans="1:11" x14ac:dyDescent="0.25">
      <c r="A475" s="181"/>
      <c r="B475" s="181"/>
      <c r="C475" s="181"/>
      <c r="D475" s="19">
        <v>2022</v>
      </c>
      <c r="E475" s="20">
        <f t="shared" si="40"/>
        <v>369218.75899592874</v>
      </c>
      <c r="F475" s="20">
        <f>SUM(F481+F487+F493+F499+F505+F511+F517+F523+F529+F535+F541+F547+F553+F559+F565+F571+F577+F583+F589+F595+F601+F607+F613+F619+F625+F631+F637+F643+F649+F655+F661+F667+F673)</f>
        <v>355399.40232999995</v>
      </c>
      <c r="G475" s="20">
        <f t="shared" si="44"/>
        <v>0</v>
      </c>
      <c r="H475" s="20">
        <f>SUM(H481+H487+H493+H499+H505+H511+H517+H523+H529+H535+H541+H547+H553+H559+H565+H571+H577+H583+H589+H595+H601+H607+H613+H619+H625+H631+H637+H643+H649+H655+H661+H667+H673)</f>
        <v>13819.356665928797</v>
      </c>
      <c r="I475" s="20">
        <f t="shared" si="43"/>
        <v>0</v>
      </c>
      <c r="J475" s="181"/>
      <c r="K475" s="181"/>
    </row>
    <row r="476" spans="1:11" x14ac:dyDescent="0.25">
      <c r="A476" s="181"/>
      <c r="B476" s="181"/>
      <c r="C476" s="181"/>
      <c r="D476" s="19">
        <v>2023</v>
      </c>
      <c r="E476" s="20">
        <f t="shared" si="40"/>
        <v>119877.70600000001</v>
      </c>
      <c r="F476" s="20">
        <f t="shared" ref="F476:F478" si="45">SUM(F482+F488+F494+F500+F506+F512+F518+F524+F530+F536+F542+F548+F554+F560+F566+F572+F578+F584+F590+F596+F602+F608+F614+F620+F626+F632+F638+F644+F650)</f>
        <v>114412.024</v>
      </c>
      <c r="G476" s="20">
        <f t="shared" si="44"/>
        <v>0</v>
      </c>
      <c r="H476" s="20">
        <f t="shared" si="44"/>
        <v>5465.6819999999998</v>
      </c>
      <c r="I476" s="20">
        <f t="shared" si="44"/>
        <v>0</v>
      </c>
      <c r="J476" s="181"/>
      <c r="K476" s="181"/>
    </row>
    <row r="477" spans="1:11" x14ac:dyDescent="0.25">
      <c r="A477" s="181"/>
      <c r="B477" s="181"/>
      <c r="C477" s="181"/>
      <c r="D477" s="19">
        <v>2024</v>
      </c>
      <c r="E477" s="20">
        <f t="shared" si="40"/>
        <v>10400</v>
      </c>
      <c r="F477" s="20">
        <f t="shared" si="45"/>
        <v>10400</v>
      </c>
      <c r="G477" s="20">
        <f t="shared" si="44"/>
        <v>0</v>
      </c>
      <c r="H477" s="20">
        <f t="shared" si="44"/>
        <v>0</v>
      </c>
      <c r="I477" s="20">
        <f t="shared" si="44"/>
        <v>0</v>
      </c>
      <c r="J477" s="181"/>
      <c r="K477" s="181"/>
    </row>
    <row r="478" spans="1:11" x14ac:dyDescent="0.25">
      <c r="A478" s="181"/>
      <c r="B478" s="181"/>
      <c r="C478" s="181"/>
      <c r="D478" s="19">
        <v>2025</v>
      </c>
      <c r="E478" s="20">
        <f t="shared" si="40"/>
        <v>10400</v>
      </c>
      <c r="F478" s="20">
        <f t="shared" si="45"/>
        <v>10400</v>
      </c>
      <c r="G478" s="20">
        <f t="shared" si="44"/>
        <v>0</v>
      </c>
      <c r="H478" s="20">
        <f t="shared" si="44"/>
        <v>0</v>
      </c>
      <c r="I478" s="20">
        <f t="shared" si="44"/>
        <v>0</v>
      </c>
      <c r="J478" s="181"/>
      <c r="K478" s="181"/>
    </row>
    <row r="479" spans="1:11" x14ac:dyDescent="0.25">
      <c r="A479" s="181" t="s">
        <v>108</v>
      </c>
      <c r="B479" s="181" t="s">
        <v>109</v>
      </c>
      <c r="C479" s="181" t="s">
        <v>19</v>
      </c>
      <c r="D479" s="19" t="s">
        <v>8</v>
      </c>
      <c r="E479" s="20">
        <f t="shared" si="40"/>
        <v>54408.455999999998</v>
      </c>
      <c r="F479" s="20">
        <f>SUM(F480:F484)</f>
        <v>50810.661</v>
      </c>
      <c r="G479" s="20">
        <f>SUM(G480:G484)</f>
        <v>0</v>
      </c>
      <c r="H479" s="20">
        <f>SUM(H480:H484)</f>
        <v>3597.7950000000001</v>
      </c>
      <c r="I479" s="20">
        <f>SUM(I480:I484)</f>
        <v>0</v>
      </c>
      <c r="J479" s="181" t="s">
        <v>1177</v>
      </c>
      <c r="K479" s="181" t="s">
        <v>566</v>
      </c>
    </row>
    <row r="480" spans="1:11" x14ac:dyDescent="0.25">
      <c r="A480" s="181"/>
      <c r="B480" s="181"/>
      <c r="C480" s="181"/>
      <c r="D480" s="19">
        <v>2021</v>
      </c>
      <c r="E480" s="20">
        <f t="shared" si="40"/>
        <v>27027.03</v>
      </c>
      <c r="F480" s="20">
        <v>25000</v>
      </c>
      <c r="G480" s="20">
        <v>0</v>
      </c>
      <c r="H480" s="20">
        <v>2027.03</v>
      </c>
      <c r="I480" s="20">
        <v>0</v>
      </c>
      <c r="J480" s="181"/>
      <c r="K480" s="181"/>
    </row>
    <row r="481" spans="1:11" x14ac:dyDescent="0.25">
      <c r="A481" s="181"/>
      <c r="B481" s="181"/>
      <c r="C481" s="181"/>
      <c r="D481" s="19">
        <v>2022</v>
      </c>
      <c r="E481" s="20">
        <f t="shared" si="40"/>
        <v>8067.7860000000001</v>
      </c>
      <c r="F481" s="20">
        <v>7462.7030000000004</v>
      </c>
      <c r="G481" s="20">
        <v>0</v>
      </c>
      <c r="H481" s="20">
        <v>605.08299999999997</v>
      </c>
      <c r="I481" s="20">
        <v>0</v>
      </c>
      <c r="J481" s="181"/>
      <c r="K481" s="181"/>
    </row>
    <row r="482" spans="1:11" x14ac:dyDescent="0.25">
      <c r="A482" s="181"/>
      <c r="B482" s="181"/>
      <c r="C482" s="181"/>
      <c r="D482" s="19">
        <v>2023</v>
      </c>
      <c r="E482" s="20">
        <f t="shared" si="40"/>
        <v>19313.64</v>
      </c>
      <c r="F482" s="20">
        <f>24463.944-6115.986</f>
        <v>18347.957999999999</v>
      </c>
      <c r="G482" s="20">
        <v>0</v>
      </c>
      <c r="H482" s="20">
        <v>965.68200000000002</v>
      </c>
      <c r="I482" s="20">
        <v>0</v>
      </c>
      <c r="J482" s="181"/>
      <c r="K482" s="181"/>
    </row>
    <row r="483" spans="1:11" x14ac:dyDescent="0.25">
      <c r="A483" s="181"/>
      <c r="B483" s="181"/>
      <c r="C483" s="181"/>
      <c r="D483" s="19">
        <v>2024</v>
      </c>
      <c r="E483" s="20">
        <f t="shared" si="40"/>
        <v>0</v>
      </c>
      <c r="F483" s="20">
        <v>0</v>
      </c>
      <c r="G483" s="20">
        <v>0</v>
      </c>
      <c r="H483" s="20">
        <v>0</v>
      </c>
      <c r="I483" s="20">
        <f>[8]дейст!Q90</f>
        <v>0</v>
      </c>
      <c r="J483" s="181"/>
      <c r="K483" s="181"/>
    </row>
    <row r="484" spans="1:11" x14ac:dyDescent="0.25">
      <c r="A484" s="181"/>
      <c r="B484" s="181"/>
      <c r="C484" s="181"/>
      <c r="D484" s="19">
        <v>2025</v>
      </c>
      <c r="E484" s="20">
        <f t="shared" si="40"/>
        <v>0</v>
      </c>
      <c r="F484" s="20">
        <v>0</v>
      </c>
      <c r="G484" s="20">
        <v>0</v>
      </c>
      <c r="H484" s="20">
        <v>0</v>
      </c>
      <c r="I484" s="20">
        <v>0</v>
      </c>
      <c r="J484" s="181"/>
      <c r="K484" s="181"/>
    </row>
    <row r="485" spans="1:11" x14ac:dyDescent="0.25">
      <c r="A485" s="181" t="s">
        <v>112</v>
      </c>
      <c r="B485" s="181" t="s">
        <v>113</v>
      </c>
      <c r="C485" s="181" t="s">
        <v>14</v>
      </c>
      <c r="D485" s="19" t="s">
        <v>8</v>
      </c>
      <c r="E485" s="20">
        <f t="shared" si="40"/>
        <v>66479.56</v>
      </c>
      <c r="F485" s="20">
        <f>SUM(F486:F490)</f>
        <v>66479.56</v>
      </c>
      <c r="G485" s="20">
        <f>SUM(G486:G490)</f>
        <v>0</v>
      </c>
      <c r="H485" s="20">
        <f>SUM(H486:H490)</f>
        <v>0</v>
      </c>
      <c r="I485" s="20">
        <f>SUM(I486:I490)</f>
        <v>0</v>
      </c>
      <c r="J485" s="181" t="s">
        <v>567</v>
      </c>
      <c r="K485" s="181" t="s">
        <v>563</v>
      </c>
    </row>
    <row r="486" spans="1:11" x14ac:dyDescent="0.25">
      <c r="A486" s="181"/>
      <c r="B486" s="181"/>
      <c r="C486" s="181"/>
      <c r="D486" s="19">
        <v>2021</v>
      </c>
      <c r="E486" s="20">
        <f t="shared" si="40"/>
        <v>6000</v>
      </c>
      <c r="F486" s="20">
        <v>6000</v>
      </c>
      <c r="G486" s="20">
        <v>0</v>
      </c>
      <c r="H486" s="20">
        <v>0</v>
      </c>
      <c r="I486" s="20">
        <v>0</v>
      </c>
      <c r="J486" s="181"/>
      <c r="K486" s="181"/>
    </row>
    <row r="487" spans="1:11" x14ac:dyDescent="0.25">
      <c r="A487" s="181"/>
      <c r="B487" s="181"/>
      <c r="C487" s="181"/>
      <c r="D487" s="19">
        <v>2022</v>
      </c>
      <c r="E487" s="20">
        <f t="shared" si="40"/>
        <v>42479.56</v>
      </c>
      <c r="F487" s="20">
        <v>42479.56</v>
      </c>
      <c r="G487" s="20">
        <v>0</v>
      </c>
      <c r="H487" s="20">
        <v>0</v>
      </c>
      <c r="I487" s="20">
        <v>0</v>
      </c>
      <c r="J487" s="181"/>
      <c r="K487" s="181"/>
    </row>
    <row r="488" spans="1:11" x14ac:dyDescent="0.25">
      <c r="A488" s="181"/>
      <c r="B488" s="181"/>
      <c r="C488" s="181"/>
      <c r="D488" s="19">
        <v>2023</v>
      </c>
      <c r="E488" s="20">
        <f t="shared" si="40"/>
        <v>6000</v>
      </c>
      <c r="F488" s="20">
        <v>6000</v>
      </c>
      <c r="G488" s="20">
        <v>0</v>
      </c>
      <c r="H488" s="20">
        <v>0</v>
      </c>
      <c r="I488" s="20">
        <v>0</v>
      </c>
      <c r="J488" s="181"/>
      <c r="K488" s="181"/>
    </row>
    <row r="489" spans="1:11" x14ac:dyDescent="0.25">
      <c r="A489" s="181"/>
      <c r="B489" s="181"/>
      <c r="C489" s="181"/>
      <c r="D489" s="19">
        <v>2024</v>
      </c>
      <c r="E489" s="20">
        <f t="shared" si="40"/>
        <v>6000</v>
      </c>
      <c r="F489" s="20">
        <v>6000</v>
      </c>
      <c r="G489" s="20">
        <v>0</v>
      </c>
      <c r="H489" s="20">
        <v>0</v>
      </c>
      <c r="I489" s="20">
        <v>0</v>
      </c>
      <c r="J489" s="181"/>
      <c r="K489" s="181"/>
    </row>
    <row r="490" spans="1:11" x14ac:dyDescent="0.25">
      <c r="A490" s="181"/>
      <c r="B490" s="181"/>
      <c r="C490" s="181"/>
      <c r="D490" s="19">
        <v>2025</v>
      </c>
      <c r="E490" s="20">
        <f t="shared" si="40"/>
        <v>6000</v>
      </c>
      <c r="F490" s="20">
        <v>6000</v>
      </c>
      <c r="G490" s="20">
        <v>0</v>
      </c>
      <c r="H490" s="20">
        <v>0</v>
      </c>
      <c r="I490" s="20">
        <v>0</v>
      </c>
      <c r="J490" s="181"/>
      <c r="K490" s="181"/>
    </row>
    <row r="491" spans="1:11" x14ac:dyDescent="0.25">
      <c r="A491" s="181" t="s">
        <v>568</v>
      </c>
      <c r="B491" s="181" t="s">
        <v>569</v>
      </c>
      <c r="C491" s="181" t="s">
        <v>124</v>
      </c>
      <c r="D491" s="19" t="s">
        <v>8</v>
      </c>
      <c r="E491" s="20">
        <f t="shared" si="40"/>
        <v>29876.245869999999</v>
      </c>
      <c r="F491" s="20">
        <f>SUM(F492:F496)</f>
        <v>29876.245869999999</v>
      </c>
      <c r="G491" s="20">
        <f>SUM(G492:G496)</f>
        <v>0</v>
      </c>
      <c r="H491" s="20">
        <f>SUM(H492:H496)</f>
        <v>0</v>
      </c>
      <c r="I491" s="20">
        <f>SUM(I492:I496)</f>
        <v>0</v>
      </c>
      <c r="J491" s="181" t="s">
        <v>570</v>
      </c>
      <c r="K491" s="181" t="s">
        <v>486</v>
      </c>
    </row>
    <row r="492" spans="1:11" x14ac:dyDescent="0.25">
      <c r="A492" s="181"/>
      <c r="B492" s="181"/>
      <c r="C492" s="181"/>
      <c r="D492" s="19">
        <v>2021</v>
      </c>
      <c r="E492" s="20">
        <f t="shared" si="40"/>
        <v>3963.1770000000001</v>
      </c>
      <c r="F492" s="20">
        <f>3963177/1000</f>
        <v>3963.1770000000001</v>
      </c>
      <c r="G492" s="20">
        <v>0</v>
      </c>
      <c r="H492" s="20">
        <v>0</v>
      </c>
      <c r="I492" s="20">
        <v>0</v>
      </c>
      <c r="J492" s="181"/>
      <c r="K492" s="181"/>
    </row>
    <row r="493" spans="1:11" x14ac:dyDescent="0.25">
      <c r="A493" s="181"/>
      <c r="B493" s="181"/>
      <c r="C493" s="181"/>
      <c r="D493" s="19">
        <v>2022</v>
      </c>
      <c r="E493" s="20">
        <f t="shared" si="40"/>
        <v>25913.068869999999</v>
      </c>
      <c r="F493" s="20">
        <f>32144.3+6312.158-13089.787+546.39787</f>
        <v>25913.068869999999</v>
      </c>
      <c r="G493" s="20">
        <v>0</v>
      </c>
      <c r="H493" s="20">
        <v>0</v>
      </c>
      <c r="I493" s="20">
        <v>0</v>
      </c>
      <c r="J493" s="181"/>
      <c r="K493" s="181"/>
    </row>
    <row r="494" spans="1:11" x14ac:dyDescent="0.25">
      <c r="A494" s="181"/>
      <c r="B494" s="181"/>
      <c r="C494" s="181"/>
      <c r="D494" s="19">
        <v>2023</v>
      </c>
      <c r="E494" s="20">
        <f t="shared" ref="E494:E557" si="46">SUM(F494:I494)</f>
        <v>0</v>
      </c>
      <c r="F494" s="20">
        <v>0</v>
      </c>
      <c r="G494" s="20">
        <v>0</v>
      </c>
      <c r="H494" s="20">
        <v>0</v>
      </c>
      <c r="I494" s="20">
        <v>0</v>
      </c>
      <c r="J494" s="181"/>
      <c r="K494" s="181"/>
    </row>
    <row r="495" spans="1:11" x14ac:dyDescent="0.25">
      <c r="A495" s="181"/>
      <c r="B495" s="181"/>
      <c r="C495" s="181"/>
      <c r="D495" s="19">
        <v>2024</v>
      </c>
      <c r="E495" s="20">
        <f t="shared" si="46"/>
        <v>0</v>
      </c>
      <c r="F495" s="20">
        <v>0</v>
      </c>
      <c r="G495" s="20">
        <v>0</v>
      </c>
      <c r="H495" s="20">
        <v>0</v>
      </c>
      <c r="I495" s="20">
        <v>0</v>
      </c>
      <c r="J495" s="181"/>
      <c r="K495" s="181"/>
    </row>
    <row r="496" spans="1:11" x14ac:dyDescent="0.25">
      <c r="A496" s="181"/>
      <c r="B496" s="181"/>
      <c r="C496" s="181"/>
      <c r="D496" s="19">
        <v>2025</v>
      </c>
      <c r="E496" s="20">
        <f t="shared" si="46"/>
        <v>0</v>
      </c>
      <c r="F496" s="20">
        <v>0</v>
      </c>
      <c r="G496" s="20">
        <v>0</v>
      </c>
      <c r="H496" s="20">
        <v>0</v>
      </c>
      <c r="I496" s="20">
        <v>0</v>
      </c>
      <c r="J496" s="181"/>
      <c r="K496" s="181"/>
    </row>
    <row r="497" spans="1:11" x14ac:dyDescent="0.25">
      <c r="A497" s="181" t="s">
        <v>571</v>
      </c>
      <c r="B497" s="181" t="s">
        <v>572</v>
      </c>
      <c r="C497" s="181">
        <v>2021</v>
      </c>
      <c r="D497" s="19" t="s">
        <v>8</v>
      </c>
      <c r="E497" s="20">
        <f t="shared" si="46"/>
        <v>22778.260870000002</v>
      </c>
      <c r="F497" s="20">
        <f>SUM(F498:F502)</f>
        <v>18860.400000000001</v>
      </c>
      <c r="G497" s="20">
        <f>SUM(G498:G502)</f>
        <v>0</v>
      </c>
      <c r="H497" s="20">
        <f>SUM(H498:H502)</f>
        <v>3917.86087</v>
      </c>
      <c r="I497" s="20">
        <f>SUM(I498:I502)</f>
        <v>0</v>
      </c>
      <c r="J497" s="181" t="s">
        <v>573</v>
      </c>
      <c r="K497" s="181" t="s">
        <v>566</v>
      </c>
    </row>
    <row r="498" spans="1:11" x14ac:dyDescent="0.25">
      <c r="A498" s="181"/>
      <c r="B498" s="181"/>
      <c r="C498" s="181"/>
      <c r="D498" s="19">
        <v>2021</v>
      </c>
      <c r="E498" s="20">
        <f t="shared" si="46"/>
        <v>22778.260870000002</v>
      </c>
      <c r="F498" s="20">
        <v>18860.400000000001</v>
      </c>
      <c r="G498" s="20">
        <v>0</v>
      </c>
      <c r="H498" s="20">
        <v>3917.86087</v>
      </c>
      <c r="I498" s="20">
        <v>0</v>
      </c>
      <c r="J498" s="181"/>
      <c r="K498" s="181"/>
    </row>
    <row r="499" spans="1:11" x14ac:dyDescent="0.25">
      <c r="A499" s="181"/>
      <c r="B499" s="181"/>
      <c r="C499" s="181"/>
      <c r="D499" s="19">
        <v>2022</v>
      </c>
      <c r="E499" s="20">
        <v>0</v>
      </c>
      <c r="F499" s="20">
        <v>0</v>
      </c>
      <c r="G499" s="20">
        <v>0</v>
      </c>
      <c r="H499" s="20">
        <v>0</v>
      </c>
      <c r="I499" s="20">
        <v>0</v>
      </c>
      <c r="J499" s="181"/>
      <c r="K499" s="181"/>
    </row>
    <row r="500" spans="1:11" x14ac:dyDescent="0.25">
      <c r="A500" s="181"/>
      <c r="B500" s="181"/>
      <c r="C500" s="181"/>
      <c r="D500" s="19">
        <v>2023</v>
      </c>
      <c r="E500" s="20">
        <v>0</v>
      </c>
      <c r="F500" s="20">
        <v>0</v>
      </c>
      <c r="G500" s="20">
        <v>0</v>
      </c>
      <c r="H500" s="20">
        <v>0</v>
      </c>
      <c r="I500" s="20">
        <v>0</v>
      </c>
      <c r="J500" s="181"/>
      <c r="K500" s="181"/>
    </row>
    <row r="501" spans="1:11" x14ac:dyDescent="0.25">
      <c r="A501" s="181"/>
      <c r="B501" s="181"/>
      <c r="C501" s="181"/>
      <c r="D501" s="19">
        <v>2024</v>
      </c>
      <c r="E501" s="20">
        <v>0</v>
      </c>
      <c r="F501" s="20">
        <v>0</v>
      </c>
      <c r="G501" s="20">
        <v>0</v>
      </c>
      <c r="H501" s="20">
        <v>0</v>
      </c>
      <c r="I501" s="20">
        <v>0</v>
      </c>
      <c r="J501" s="181"/>
      <c r="K501" s="181"/>
    </row>
    <row r="502" spans="1:11" x14ac:dyDescent="0.25">
      <c r="A502" s="181"/>
      <c r="B502" s="181"/>
      <c r="C502" s="181"/>
      <c r="D502" s="19">
        <v>2025</v>
      </c>
      <c r="E502" s="20">
        <v>0</v>
      </c>
      <c r="F502" s="20">
        <v>0</v>
      </c>
      <c r="G502" s="20">
        <v>0</v>
      </c>
      <c r="H502" s="20">
        <v>0</v>
      </c>
      <c r="I502" s="20">
        <v>0</v>
      </c>
      <c r="J502" s="181"/>
      <c r="K502" s="181"/>
    </row>
    <row r="503" spans="1:11" x14ac:dyDescent="0.25">
      <c r="A503" s="181" t="s">
        <v>574</v>
      </c>
      <c r="B503" s="181" t="s">
        <v>575</v>
      </c>
      <c r="C503" s="181">
        <v>2021</v>
      </c>
      <c r="D503" s="19" t="s">
        <v>8</v>
      </c>
      <c r="E503" s="20">
        <f t="shared" si="46"/>
        <v>13210.697336842104</v>
      </c>
      <c r="F503" s="20">
        <f>SUM(F504:F508)</f>
        <v>12550.162469999999</v>
      </c>
      <c r="G503" s="20">
        <f>SUM(G504:G508)</f>
        <v>0</v>
      </c>
      <c r="H503" s="20">
        <f>SUM(H504:H508)</f>
        <v>660.5348668421052</v>
      </c>
      <c r="I503" s="20">
        <f>SUM(I504:I508)</f>
        <v>0</v>
      </c>
      <c r="J503" s="181" t="s">
        <v>576</v>
      </c>
      <c r="K503" s="181" t="s">
        <v>547</v>
      </c>
    </row>
    <row r="504" spans="1:11" x14ac:dyDescent="0.25">
      <c r="A504" s="181"/>
      <c r="B504" s="181"/>
      <c r="C504" s="181"/>
      <c r="D504" s="19">
        <v>2021</v>
      </c>
      <c r="E504" s="20">
        <f t="shared" si="46"/>
        <v>13210.697336842104</v>
      </c>
      <c r="F504" s="20">
        <v>12550.162469999999</v>
      </c>
      <c r="G504" s="20">
        <v>0</v>
      </c>
      <c r="H504" s="20">
        <f>F504/95*5</f>
        <v>660.5348668421052</v>
      </c>
      <c r="I504" s="20">
        <v>0</v>
      </c>
      <c r="J504" s="181"/>
      <c r="K504" s="181"/>
    </row>
    <row r="505" spans="1:11" x14ac:dyDescent="0.25">
      <c r="A505" s="181"/>
      <c r="B505" s="181"/>
      <c r="C505" s="181"/>
      <c r="D505" s="19">
        <v>2022</v>
      </c>
      <c r="E505" s="20">
        <v>0</v>
      </c>
      <c r="F505" s="20">
        <v>0</v>
      </c>
      <c r="G505" s="20">
        <v>0</v>
      </c>
      <c r="H505" s="20">
        <v>0</v>
      </c>
      <c r="I505" s="20">
        <v>0</v>
      </c>
      <c r="J505" s="181"/>
      <c r="K505" s="181"/>
    </row>
    <row r="506" spans="1:11" x14ac:dyDescent="0.25">
      <c r="A506" s="181"/>
      <c r="B506" s="181"/>
      <c r="C506" s="181"/>
      <c r="D506" s="19">
        <v>2023</v>
      </c>
      <c r="E506" s="20">
        <v>0</v>
      </c>
      <c r="F506" s="20">
        <v>0</v>
      </c>
      <c r="G506" s="20">
        <v>0</v>
      </c>
      <c r="H506" s="20">
        <v>0</v>
      </c>
      <c r="I506" s="20">
        <v>0</v>
      </c>
      <c r="J506" s="181"/>
      <c r="K506" s="181"/>
    </row>
    <row r="507" spans="1:11" x14ac:dyDescent="0.25">
      <c r="A507" s="181"/>
      <c r="B507" s="181"/>
      <c r="C507" s="181"/>
      <c r="D507" s="19">
        <v>2024</v>
      </c>
      <c r="E507" s="20">
        <v>0</v>
      </c>
      <c r="F507" s="20">
        <v>0</v>
      </c>
      <c r="G507" s="20">
        <v>0</v>
      </c>
      <c r="H507" s="20">
        <v>0</v>
      </c>
      <c r="I507" s="20">
        <v>0</v>
      </c>
      <c r="J507" s="181"/>
      <c r="K507" s="181"/>
    </row>
    <row r="508" spans="1:11" x14ac:dyDescent="0.25">
      <c r="A508" s="181"/>
      <c r="B508" s="181"/>
      <c r="C508" s="181"/>
      <c r="D508" s="19">
        <v>2025</v>
      </c>
      <c r="E508" s="20">
        <v>0</v>
      </c>
      <c r="F508" s="20">
        <v>0</v>
      </c>
      <c r="G508" s="20">
        <v>0</v>
      </c>
      <c r="H508" s="20">
        <v>0</v>
      </c>
      <c r="I508" s="20">
        <v>0</v>
      </c>
      <c r="J508" s="181"/>
      <c r="K508" s="181"/>
    </row>
    <row r="509" spans="1:11" x14ac:dyDescent="0.25">
      <c r="A509" s="181" t="s">
        <v>577</v>
      </c>
      <c r="B509" s="181" t="s">
        <v>578</v>
      </c>
      <c r="C509" s="181">
        <v>2021</v>
      </c>
      <c r="D509" s="19" t="s">
        <v>8</v>
      </c>
      <c r="E509" s="20">
        <f t="shared" si="46"/>
        <v>7451.59</v>
      </c>
      <c r="F509" s="20">
        <f>SUM(F510:F514)</f>
        <v>7079.0105000000003</v>
      </c>
      <c r="G509" s="20">
        <f>SUM(G510:G514)</f>
        <v>0</v>
      </c>
      <c r="H509" s="20">
        <f>SUM(H510:H514)</f>
        <v>372.5795</v>
      </c>
      <c r="I509" s="20">
        <f>SUM(I510:I514)</f>
        <v>0</v>
      </c>
      <c r="J509" s="181" t="s">
        <v>579</v>
      </c>
      <c r="K509" s="181" t="s">
        <v>547</v>
      </c>
    </row>
    <row r="510" spans="1:11" x14ac:dyDescent="0.25">
      <c r="A510" s="181"/>
      <c r="B510" s="181"/>
      <c r="C510" s="181"/>
      <c r="D510" s="19">
        <v>2021</v>
      </c>
      <c r="E510" s="20">
        <f t="shared" si="46"/>
        <v>7451.59</v>
      </c>
      <c r="F510" s="20">
        <v>7079.0105000000003</v>
      </c>
      <c r="G510" s="20">
        <v>0</v>
      </c>
      <c r="H510" s="20">
        <f>F510/95*5</f>
        <v>372.5795</v>
      </c>
      <c r="I510" s="20">
        <v>0</v>
      </c>
      <c r="J510" s="181"/>
      <c r="K510" s="181"/>
    </row>
    <row r="511" spans="1:11" x14ac:dyDescent="0.25">
      <c r="A511" s="181"/>
      <c r="B511" s="181"/>
      <c r="C511" s="181"/>
      <c r="D511" s="19">
        <v>2022</v>
      </c>
      <c r="E511" s="20">
        <v>0</v>
      </c>
      <c r="F511" s="20">
        <v>0</v>
      </c>
      <c r="G511" s="20">
        <v>0</v>
      </c>
      <c r="H511" s="20">
        <v>0</v>
      </c>
      <c r="I511" s="20">
        <v>0</v>
      </c>
      <c r="J511" s="181"/>
      <c r="K511" s="181"/>
    </row>
    <row r="512" spans="1:11" x14ac:dyDescent="0.25">
      <c r="A512" s="181"/>
      <c r="B512" s="181"/>
      <c r="C512" s="181"/>
      <c r="D512" s="19">
        <v>2023</v>
      </c>
      <c r="E512" s="20">
        <v>0</v>
      </c>
      <c r="F512" s="20">
        <v>0</v>
      </c>
      <c r="G512" s="20">
        <v>0</v>
      </c>
      <c r="H512" s="20">
        <v>0</v>
      </c>
      <c r="I512" s="20">
        <v>0</v>
      </c>
      <c r="J512" s="181"/>
      <c r="K512" s="181"/>
    </row>
    <row r="513" spans="1:11" x14ac:dyDescent="0.25">
      <c r="A513" s="181"/>
      <c r="B513" s="181"/>
      <c r="C513" s="181"/>
      <c r="D513" s="19">
        <v>2024</v>
      </c>
      <c r="E513" s="20">
        <v>0</v>
      </c>
      <c r="F513" s="20">
        <v>0</v>
      </c>
      <c r="G513" s="20">
        <v>0</v>
      </c>
      <c r="H513" s="20">
        <v>0</v>
      </c>
      <c r="I513" s="20">
        <v>0</v>
      </c>
      <c r="J513" s="181"/>
      <c r="K513" s="181"/>
    </row>
    <row r="514" spans="1:11" x14ac:dyDescent="0.25">
      <c r="A514" s="181"/>
      <c r="B514" s="181"/>
      <c r="C514" s="181"/>
      <c r="D514" s="19">
        <v>2025</v>
      </c>
      <c r="E514" s="20">
        <v>0</v>
      </c>
      <c r="F514" s="20">
        <v>0</v>
      </c>
      <c r="G514" s="20">
        <v>0</v>
      </c>
      <c r="H514" s="20">
        <v>0</v>
      </c>
      <c r="I514" s="20">
        <v>0</v>
      </c>
      <c r="J514" s="181"/>
      <c r="K514" s="181"/>
    </row>
    <row r="515" spans="1:11" x14ac:dyDescent="0.25">
      <c r="A515" s="181" t="s">
        <v>580</v>
      </c>
      <c r="B515" s="181" t="s">
        <v>416</v>
      </c>
      <c r="C515" s="181">
        <v>2021</v>
      </c>
      <c r="D515" s="19" t="s">
        <v>8</v>
      </c>
      <c r="E515" s="20">
        <f t="shared" si="46"/>
        <v>50013.516600000003</v>
      </c>
      <c r="F515" s="20">
        <f>SUM(F516:F520)</f>
        <v>47512.840770000003</v>
      </c>
      <c r="G515" s="20">
        <f>SUM(G516:G520)</f>
        <v>0</v>
      </c>
      <c r="H515" s="20">
        <f>SUM(H516:H520)</f>
        <v>2500.6758300000001</v>
      </c>
      <c r="I515" s="20">
        <f>SUM(I516:I520)</f>
        <v>0</v>
      </c>
      <c r="J515" s="181" t="s">
        <v>581</v>
      </c>
      <c r="K515" s="181" t="s">
        <v>547</v>
      </c>
    </row>
    <row r="516" spans="1:11" x14ac:dyDescent="0.25">
      <c r="A516" s="181"/>
      <c r="B516" s="181"/>
      <c r="C516" s="181"/>
      <c r="D516" s="19">
        <v>2021</v>
      </c>
      <c r="E516" s="20">
        <f t="shared" si="46"/>
        <v>50013.516600000003</v>
      </c>
      <c r="F516" s="20">
        <v>47512.840770000003</v>
      </c>
      <c r="G516" s="20">
        <v>0</v>
      </c>
      <c r="H516" s="20">
        <f>F516/95*5</f>
        <v>2500.6758300000001</v>
      </c>
      <c r="I516" s="20">
        <v>0</v>
      </c>
      <c r="J516" s="181"/>
      <c r="K516" s="181"/>
    </row>
    <row r="517" spans="1:11" x14ac:dyDescent="0.25">
      <c r="A517" s="181"/>
      <c r="B517" s="181"/>
      <c r="C517" s="181"/>
      <c r="D517" s="19">
        <v>2022</v>
      </c>
      <c r="E517" s="20">
        <v>0</v>
      </c>
      <c r="F517" s="20">
        <v>0</v>
      </c>
      <c r="G517" s="20">
        <v>0</v>
      </c>
      <c r="H517" s="20">
        <v>0</v>
      </c>
      <c r="I517" s="20">
        <v>0</v>
      </c>
      <c r="J517" s="181"/>
      <c r="K517" s="181"/>
    </row>
    <row r="518" spans="1:11" x14ac:dyDescent="0.25">
      <c r="A518" s="181"/>
      <c r="B518" s="181"/>
      <c r="C518" s="181"/>
      <c r="D518" s="19">
        <v>2023</v>
      </c>
      <c r="E518" s="20">
        <v>0</v>
      </c>
      <c r="F518" s="20">
        <v>0</v>
      </c>
      <c r="G518" s="20">
        <v>0</v>
      </c>
      <c r="H518" s="20">
        <v>0</v>
      </c>
      <c r="I518" s="20">
        <v>0</v>
      </c>
      <c r="J518" s="181"/>
      <c r="K518" s="181"/>
    </row>
    <row r="519" spans="1:11" x14ac:dyDescent="0.25">
      <c r="A519" s="181"/>
      <c r="B519" s="181"/>
      <c r="C519" s="181"/>
      <c r="D519" s="19">
        <v>2024</v>
      </c>
      <c r="E519" s="20">
        <v>0</v>
      </c>
      <c r="F519" s="20">
        <v>0</v>
      </c>
      <c r="G519" s="20">
        <v>0</v>
      </c>
      <c r="H519" s="20">
        <v>0</v>
      </c>
      <c r="I519" s="20">
        <v>0</v>
      </c>
      <c r="J519" s="181"/>
      <c r="K519" s="181"/>
    </row>
    <row r="520" spans="1:11" x14ac:dyDescent="0.25">
      <c r="A520" s="181"/>
      <c r="B520" s="181"/>
      <c r="C520" s="181"/>
      <c r="D520" s="19">
        <v>2025</v>
      </c>
      <c r="E520" s="20">
        <v>0</v>
      </c>
      <c r="F520" s="20">
        <v>0</v>
      </c>
      <c r="G520" s="20">
        <v>0</v>
      </c>
      <c r="H520" s="20">
        <v>0</v>
      </c>
      <c r="I520" s="20">
        <v>0</v>
      </c>
      <c r="J520" s="181"/>
      <c r="K520" s="181"/>
    </row>
    <row r="521" spans="1:11" x14ac:dyDescent="0.25">
      <c r="A521" s="181" t="s">
        <v>582</v>
      </c>
      <c r="B521" s="181" t="s">
        <v>419</v>
      </c>
      <c r="C521" s="181">
        <v>2021</v>
      </c>
      <c r="D521" s="19" t="s">
        <v>8</v>
      </c>
      <c r="E521" s="20">
        <f t="shared" si="46"/>
        <v>9928.3460643185299</v>
      </c>
      <c r="F521" s="20">
        <f>SUM(F522:F526)</f>
        <v>6483.2099799999996</v>
      </c>
      <c r="G521" s="20">
        <f>SUM(G522:G526)</f>
        <v>0</v>
      </c>
      <c r="H521" s="20">
        <f>SUM(H522:H526)</f>
        <v>3445.1360843185298</v>
      </c>
      <c r="I521" s="20">
        <f>SUM(I522:I526)</f>
        <v>0</v>
      </c>
      <c r="J521" s="181" t="s">
        <v>583</v>
      </c>
      <c r="K521" s="181" t="s">
        <v>547</v>
      </c>
    </row>
    <row r="522" spans="1:11" x14ac:dyDescent="0.25">
      <c r="A522" s="181"/>
      <c r="B522" s="181"/>
      <c r="C522" s="181"/>
      <c r="D522" s="19">
        <v>2021</v>
      </c>
      <c r="E522" s="20">
        <f t="shared" si="46"/>
        <v>9928.3460643185299</v>
      </c>
      <c r="F522" s="20">
        <v>6483.2099799999996</v>
      </c>
      <c r="G522" s="20">
        <v>0</v>
      </c>
      <c r="H522" s="20">
        <f>F522/65.3*34.7</f>
        <v>3445.1360843185298</v>
      </c>
      <c r="I522" s="20">
        <v>0</v>
      </c>
      <c r="J522" s="181"/>
      <c r="K522" s="181"/>
    </row>
    <row r="523" spans="1:11" x14ac:dyDescent="0.25">
      <c r="A523" s="181"/>
      <c r="B523" s="181"/>
      <c r="C523" s="181"/>
      <c r="D523" s="19">
        <v>2022</v>
      </c>
      <c r="E523" s="20">
        <v>0</v>
      </c>
      <c r="F523" s="20">
        <v>0</v>
      </c>
      <c r="G523" s="20">
        <v>0</v>
      </c>
      <c r="H523" s="20">
        <v>0</v>
      </c>
      <c r="I523" s="20">
        <v>0</v>
      </c>
      <c r="J523" s="181"/>
      <c r="K523" s="181"/>
    </row>
    <row r="524" spans="1:11" x14ac:dyDescent="0.25">
      <c r="A524" s="181"/>
      <c r="B524" s="181"/>
      <c r="C524" s="181"/>
      <c r="D524" s="19">
        <v>2023</v>
      </c>
      <c r="E524" s="20">
        <v>0</v>
      </c>
      <c r="F524" s="20">
        <v>0</v>
      </c>
      <c r="G524" s="20">
        <v>0</v>
      </c>
      <c r="H524" s="20">
        <v>0</v>
      </c>
      <c r="I524" s="20">
        <v>0</v>
      </c>
      <c r="J524" s="181"/>
      <c r="K524" s="181"/>
    </row>
    <row r="525" spans="1:11" x14ac:dyDescent="0.25">
      <c r="A525" s="181"/>
      <c r="B525" s="181"/>
      <c r="C525" s="181"/>
      <c r="D525" s="19">
        <v>2024</v>
      </c>
      <c r="E525" s="20">
        <v>0</v>
      </c>
      <c r="F525" s="20">
        <v>0</v>
      </c>
      <c r="G525" s="20">
        <v>0</v>
      </c>
      <c r="H525" s="20">
        <v>0</v>
      </c>
      <c r="I525" s="20">
        <v>0</v>
      </c>
      <c r="J525" s="181"/>
      <c r="K525" s="181"/>
    </row>
    <row r="526" spans="1:11" x14ac:dyDescent="0.25">
      <c r="A526" s="181"/>
      <c r="B526" s="181"/>
      <c r="C526" s="181"/>
      <c r="D526" s="19">
        <v>2025</v>
      </c>
      <c r="E526" s="20">
        <v>0</v>
      </c>
      <c r="F526" s="20">
        <v>0</v>
      </c>
      <c r="G526" s="20">
        <v>0</v>
      </c>
      <c r="H526" s="20">
        <v>0</v>
      </c>
      <c r="I526" s="20">
        <v>0</v>
      </c>
      <c r="J526" s="181"/>
      <c r="K526" s="181"/>
    </row>
    <row r="527" spans="1:11" x14ac:dyDescent="0.25">
      <c r="A527" s="181" t="s">
        <v>584</v>
      </c>
      <c r="B527" s="181" t="s">
        <v>424</v>
      </c>
      <c r="C527" s="181">
        <v>2021</v>
      </c>
      <c r="D527" s="19" t="s">
        <v>8</v>
      </c>
      <c r="E527" s="20">
        <f t="shared" si="46"/>
        <v>0</v>
      </c>
      <c r="F527" s="20">
        <f>SUM(F528:F532)</f>
        <v>0</v>
      </c>
      <c r="G527" s="20">
        <f>SUM(G528:G532)</f>
        <v>0</v>
      </c>
      <c r="H527" s="20">
        <f>SUM(H528:H532)</f>
        <v>0</v>
      </c>
      <c r="I527" s="20">
        <f>SUM(I528:I532)</f>
        <v>0</v>
      </c>
      <c r="J527" s="181" t="s">
        <v>585</v>
      </c>
      <c r="K527" s="181" t="s">
        <v>547</v>
      </c>
    </row>
    <row r="528" spans="1:11" x14ac:dyDescent="0.25">
      <c r="A528" s="181"/>
      <c r="B528" s="181"/>
      <c r="C528" s="181"/>
      <c r="D528" s="19">
        <v>2021</v>
      </c>
      <c r="E528" s="20">
        <f t="shared" si="46"/>
        <v>0</v>
      </c>
      <c r="F528" s="20">
        <v>0</v>
      </c>
      <c r="G528" s="20">
        <v>0</v>
      </c>
      <c r="H528" s="20">
        <f>F528/95*5</f>
        <v>0</v>
      </c>
      <c r="I528" s="20">
        <v>0</v>
      </c>
      <c r="J528" s="181"/>
      <c r="K528" s="181"/>
    </row>
    <row r="529" spans="1:11" x14ac:dyDescent="0.25">
      <c r="A529" s="181"/>
      <c r="B529" s="181"/>
      <c r="C529" s="181"/>
      <c r="D529" s="19">
        <v>2022</v>
      </c>
      <c r="E529" s="20">
        <v>0</v>
      </c>
      <c r="F529" s="20">
        <v>0</v>
      </c>
      <c r="G529" s="20">
        <v>0</v>
      </c>
      <c r="H529" s="20">
        <v>0</v>
      </c>
      <c r="I529" s="20">
        <v>0</v>
      </c>
      <c r="J529" s="181"/>
      <c r="K529" s="181"/>
    </row>
    <row r="530" spans="1:11" x14ac:dyDescent="0.25">
      <c r="A530" s="181"/>
      <c r="B530" s="181"/>
      <c r="C530" s="181"/>
      <c r="D530" s="19">
        <v>2023</v>
      </c>
      <c r="E530" s="20">
        <v>0</v>
      </c>
      <c r="F530" s="20">
        <v>0</v>
      </c>
      <c r="G530" s="20">
        <v>0</v>
      </c>
      <c r="H530" s="20">
        <v>0</v>
      </c>
      <c r="I530" s="20">
        <v>0</v>
      </c>
      <c r="J530" s="181"/>
      <c r="K530" s="181"/>
    </row>
    <row r="531" spans="1:11" x14ac:dyDescent="0.25">
      <c r="A531" s="181"/>
      <c r="B531" s="181"/>
      <c r="C531" s="181"/>
      <c r="D531" s="19">
        <v>2024</v>
      </c>
      <c r="E531" s="20">
        <v>0</v>
      </c>
      <c r="F531" s="20">
        <v>0</v>
      </c>
      <c r="G531" s="20">
        <v>0</v>
      </c>
      <c r="H531" s="20">
        <v>0</v>
      </c>
      <c r="I531" s="20">
        <v>0</v>
      </c>
      <c r="J531" s="181"/>
      <c r="K531" s="181"/>
    </row>
    <row r="532" spans="1:11" x14ac:dyDescent="0.25">
      <c r="A532" s="181"/>
      <c r="B532" s="181"/>
      <c r="C532" s="181"/>
      <c r="D532" s="19">
        <v>2025</v>
      </c>
      <c r="E532" s="20">
        <v>0</v>
      </c>
      <c r="F532" s="20">
        <v>0</v>
      </c>
      <c r="G532" s="20">
        <v>0</v>
      </c>
      <c r="H532" s="20">
        <v>0</v>
      </c>
      <c r="I532" s="20">
        <v>0</v>
      </c>
      <c r="J532" s="181"/>
      <c r="K532" s="181"/>
    </row>
    <row r="533" spans="1:11" x14ac:dyDescent="0.25">
      <c r="A533" s="181" t="s">
        <v>586</v>
      </c>
      <c r="B533" s="181" t="s">
        <v>587</v>
      </c>
      <c r="C533" s="181">
        <v>2021</v>
      </c>
      <c r="D533" s="19" t="s">
        <v>8</v>
      </c>
      <c r="E533" s="20">
        <f t="shared" si="46"/>
        <v>28829.676842105262</v>
      </c>
      <c r="F533" s="20">
        <f>SUM(F534:F538)</f>
        <v>27388.192999999999</v>
      </c>
      <c r="G533" s="20">
        <f>SUM(G534:G538)</f>
        <v>0</v>
      </c>
      <c r="H533" s="20">
        <f>SUM(H534:H538)</f>
        <v>1441.483842105263</v>
      </c>
      <c r="I533" s="20">
        <f>SUM(I534:I538)</f>
        <v>0</v>
      </c>
      <c r="J533" s="181" t="s">
        <v>588</v>
      </c>
      <c r="K533" s="181" t="s">
        <v>547</v>
      </c>
    </row>
    <row r="534" spans="1:11" x14ac:dyDescent="0.25">
      <c r="A534" s="181"/>
      <c r="B534" s="181"/>
      <c r="C534" s="181"/>
      <c r="D534" s="19">
        <v>2021</v>
      </c>
      <c r="E534" s="20">
        <f t="shared" si="46"/>
        <v>28829.676842105262</v>
      </c>
      <c r="F534" s="20">
        <v>27388.192999999999</v>
      </c>
      <c r="G534" s="20">
        <v>0</v>
      </c>
      <c r="H534" s="20">
        <f>F534/95*5</f>
        <v>1441.483842105263</v>
      </c>
      <c r="I534" s="20">
        <v>0</v>
      </c>
      <c r="J534" s="181"/>
      <c r="K534" s="181"/>
    </row>
    <row r="535" spans="1:11" x14ac:dyDescent="0.25">
      <c r="A535" s="181"/>
      <c r="B535" s="181"/>
      <c r="C535" s="181"/>
      <c r="D535" s="19">
        <v>2022</v>
      </c>
      <c r="E535" s="20">
        <v>0</v>
      </c>
      <c r="F535" s="20">
        <v>0</v>
      </c>
      <c r="G535" s="20">
        <v>0</v>
      </c>
      <c r="H535" s="20">
        <v>0</v>
      </c>
      <c r="I535" s="20">
        <v>0</v>
      </c>
      <c r="J535" s="181"/>
      <c r="K535" s="181"/>
    </row>
    <row r="536" spans="1:11" x14ac:dyDescent="0.25">
      <c r="A536" s="181"/>
      <c r="B536" s="181"/>
      <c r="C536" s="181"/>
      <c r="D536" s="19">
        <v>2023</v>
      </c>
      <c r="E536" s="20">
        <v>0</v>
      </c>
      <c r="F536" s="20">
        <v>0</v>
      </c>
      <c r="G536" s="20">
        <v>0</v>
      </c>
      <c r="H536" s="20">
        <v>0</v>
      </c>
      <c r="I536" s="20">
        <v>0</v>
      </c>
      <c r="J536" s="181"/>
      <c r="K536" s="181"/>
    </row>
    <row r="537" spans="1:11" x14ac:dyDescent="0.25">
      <c r="A537" s="181"/>
      <c r="B537" s="181"/>
      <c r="C537" s="181"/>
      <c r="D537" s="19">
        <v>2024</v>
      </c>
      <c r="E537" s="20">
        <v>0</v>
      </c>
      <c r="F537" s="20">
        <v>0</v>
      </c>
      <c r="G537" s="20">
        <v>0</v>
      </c>
      <c r="H537" s="20">
        <v>0</v>
      </c>
      <c r="I537" s="20">
        <v>0</v>
      </c>
      <c r="J537" s="181"/>
      <c r="K537" s="181"/>
    </row>
    <row r="538" spans="1:11" x14ac:dyDescent="0.25">
      <c r="A538" s="181"/>
      <c r="B538" s="181"/>
      <c r="C538" s="181"/>
      <c r="D538" s="19">
        <v>2025</v>
      </c>
      <c r="E538" s="20">
        <v>0</v>
      </c>
      <c r="F538" s="20">
        <v>0</v>
      </c>
      <c r="G538" s="20">
        <v>0</v>
      </c>
      <c r="H538" s="20">
        <v>0</v>
      </c>
      <c r="I538" s="20">
        <v>0</v>
      </c>
      <c r="J538" s="181"/>
      <c r="K538" s="181"/>
    </row>
    <row r="539" spans="1:11" x14ac:dyDescent="0.25">
      <c r="A539" s="181" t="s">
        <v>589</v>
      </c>
      <c r="B539" s="181" t="s">
        <v>590</v>
      </c>
      <c r="C539" s="181" t="s">
        <v>124</v>
      </c>
      <c r="D539" s="19" t="s">
        <v>8</v>
      </c>
      <c r="E539" s="20">
        <f t="shared" si="46"/>
        <v>4724.9217200000003</v>
      </c>
      <c r="F539" s="20">
        <f>SUM(F540:F544)</f>
        <v>4431.9217200000003</v>
      </c>
      <c r="G539" s="20">
        <f>SUM(G540:G544)</f>
        <v>0</v>
      </c>
      <c r="H539" s="20">
        <f>SUM(H540:H544)</f>
        <v>293</v>
      </c>
      <c r="I539" s="20">
        <f>SUM(I540:I544)</f>
        <v>0</v>
      </c>
      <c r="J539" s="181" t="s">
        <v>1178</v>
      </c>
      <c r="K539" s="181" t="s">
        <v>547</v>
      </c>
    </row>
    <row r="540" spans="1:11" x14ac:dyDescent="0.25">
      <c r="A540" s="181"/>
      <c r="B540" s="181"/>
      <c r="C540" s="181"/>
      <c r="D540" s="19">
        <v>2021</v>
      </c>
      <c r="E540" s="20">
        <f t="shared" si="46"/>
        <v>2270.6600000000003</v>
      </c>
      <c r="F540" s="20">
        <v>2100.36</v>
      </c>
      <c r="G540" s="20">
        <v>0</v>
      </c>
      <c r="H540" s="20">
        <v>170.3</v>
      </c>
      <c r="I540" s="20">
        <v>0</v>
      </c>
      <c r="J540" s="181"/>
      <c r="K540" s="181"/>
    </row>
    <row r="541" spans="1:11" x14ac:dyDescent="0.25">
      <c r="A541" s="181"/>
      <c r="B541" s="181"/>
      <c r="C541" s="181"/>
      <c r="D541" s="19">
        <v>2022</v>
      </c>
      <c r="E541" s="20">
        <f t="shared" si="46"/>
        <v>2454.26172</v>
      </c>
      <c r="F541" s="20">
        <v>2331.5617200000002</v>
      </c>
      <c r="G541" s="20">
        <v>0</v>
      </c>
      <c r="H541" s="20">
        <v>122.7</v>
      </c>
      <c r="I541" s="20">
        <v>0</v>
      </c>
      <c r="J541" s="181"/>
      <c r="K541" s="181"/>
    </row>
    <row r="542" spans="1:11" x14ac:dyDescent="0.25">
      <c r="A542" s="181"/>
      <c r="B542" s="181"/>
      <c r="C542" s="181"/>
      <c r="D542" s="19">
        <v>2023</v>
      </c>
      <c r="E542" s="20">
        <f t="shared" si="46"/>
        <v>0</v>
      </c>
      <c r="F542" s="20">
        <v>0</v>
      </c>
      <c r="G542" s="20">
        <v>0</v>
      </c>
      <c r="H542" s="20">
        <v>0</v>
      </c>
      <c r="I542" s="20">
        <v>0</v>
      </c>
      <c r="J542" s="181"/>
      <c r="K542" s="181"/>
    </row>
    <row r="543" spans="1:11" x14ac:dyDescent="0.25">
      <c r="A543" s="181"/>
      <c r="B543" s="181"/>
      <c r="C543" s="181"/>
      <c r="D543" s="19">
        <v>2024</v>
      </c>
      <c r="E543" s="20">
        <f t="shared" si="46"/>
        <v>0</v>
      </c>
      <c r="F543" s="20">
        <v>0</v>
      </c>
      <c r="G543" s="20">
        <v>0</v>
      </c>
      <c r="H543" s="20">
        <v>0</v>
      </c>
      <c r="I543" s="20">
        <v>0</v>
      </c>
      <c r="J543" s="181"/>
      <c r="K543" s="181"/>
    </row>
    <row r="544" spans="1:11" x14ac:dyDescent="0.25">
      <c r="A544" s="181"/>
      <c r="B544" s="181"/>
      <c r="C544" s="181"/>
      <c r="D544" s="19">
        <v>2025</v>
      </c>
      <c r="E544" s="20">
        <f t="shared" si="46"/>
        <v>0</v>
      </c>
      <c r="F544" s="20">
        <v>0</v>
      </c>
      <c r="G544" s="20">
        <v>0</v>
      </c>
      <c r="H544" s="20">
        <v>0</v>
      </c>
      <c r="I544" s="20">
        <v>0</v>
      </c>
      <c r="J544" s="181"/>
      <c r="K544" s="181"/>
    </row>
    <row r="545" spans="1:11" x14ac:dyDescent="0.25">
      <c r="A545" s="181" t="s">
        <v>592</v>
      </c>
      <c r="B545" s="181" t="s">
        <v>593</v>
      </c>
      <c r="C545" s="181">
        <v>2021</v>
      </c>
      <c r="D545" s="19" t="s">
        <v>8</v>
      </c>
      <c r="E545" s="20">
        <f t="shared" si="46"/>
        <v>0</v>
      </c>
      <c r="F545" s="20">
        <v>0</v>
      </c>
      <c r="G545" s="20">
        <v>0</v>
      </c>
      <c r="H545" s="20">
        <v>0</v>
      </c>
      <c r="I545" s="20">
        <v>0</v>
      </c>
      <c r="J545" s="181" t="s">
        <v>594</v>
      </c>
      <c r="K545" s="181" t="s">
        <v>103</v>
      </c>
    </row>
    <row r="546" spans="1:11" x14ac:dyDescent="0.25">
      <c r="A546" s="181"/>
      <c r="B546" s="181"/>
      <c r="C546" s="181"/>
      <c r="D546" s="19">
        <v>2021</v>
      </c>
      <c r="E546" s="20">
        <f t="shared" si="46"/>
        <v>0</v>
      </c>
      <c r="F546" s="20">
        <v>0</v>
      </c>
      <c r="G546" s="20">
        <v>0</v>
      </c>
      <c r="H546" s="20">
        <v>0</v>
      </c>
      <c r="I546" s="20">
        <v>0</v>
      </c>
      <c r="J546" s="181"/>
      <c r="K546" s="181"/>
    </row>
    <row r="547" spans="1:11" x14ac:dyDescent="0.25">
      <c r="A547" s="181"/>
      <c r="B547" s="181"/>
      <c r="C547" s="181"/>
      <c r="D547" s="19">
        <v>2022</v>
      </c>
      <c r="E547" s="20">
        <f t="shared" si="46"/>
        <v>0</v>
      </c>
      <c r="F547" s="20">
        <v>0</v>
      </c>
      <c r="G547" s="20">
        <v>0</v>
      </c>
      <c r="H547" s="20">
        <v>0</v>
      </c>
      <c r="I547" s="20">
        <v>0</v>
      </c>
      <c r="J547" s="181"/>
      <c r="K547" s="181"/>
    </row>
    <row r="548" spans="1:11" x14ac:dyDescent="0.25">
      <c r="A548" s="181"/>
      <c r="B548" s="181"/>
      <c r="C548" s="181"/>
      <c r="D548" s="19">
        <v>2023</v>
      </c>
      <c r="E548" s="20">
        <f t="shared" si="46"/>
        <v>0</v>
      </c>
      <c r="F548" s="20">
        <v>0</v>
      </c>
      <c r="G548" s="20">
        <v>0</v>
      </c>
      <c r="H548" s="20">
        <v>0</v>
      </c>
      <c r="I548" s="20">
        <v>0</v>
      </c>
      <c r="J548" s="181"/>
      <c r="K548" s="181"/>
    </row>
    <row r="549" spans="1:11" x14ac:dyDescent="0.25">
      <c r="A549" s="181"/>
      <c r="B549" s="181"/>
      <c r="C549" s="181"/>
      <c r="D549" s="19">
        <v>2024</v>
      </c>
      <c r="E549" s="20">
        <f t="shared" si="46"/>
        <v>0</v>
      </c>
      <c r="F549" s="20">
        <v>0</v>
      </c>
      <c r="G549" s="20">
        <v>0</v>
      </c>
      <c r="H549" s="20">
        <v>0</v>
      </c>
      <c r="I549" s="20">
        <v>0</v>
      </c>
      <c r="J549" s="181"/>
      <c r="K549" s="181"/>
    </row>
    <row r="550" spans="1:11" x14ac:dyDescent="0.25">
      <c r="A550" s="181"/>
      <c r="B550" s="181"/>
      <c r="C550" s="181"/>
      <c r="D550" s="19">
        <v>2025</v>
      </c>
      <c r="E550" s="20">
        <f t="shared" si="46"/>
        <v>0</v>
      </c>
      <c r="F550" s="20">
        <v>0</v>
      </c>
      <c r="G550" s="20">
        <v>0</v>
      </c>
      <c r="H550" s="20">
        <v>0</v>
      </c>
      <c r="I550" s="20">
        <v>0</v>
      </c>
      <c r="J550" s="181"/>
      <c r="K550" s="181"/>
    </row>
    <row r="551" spans="1:11" x14ac:dyDescent="0.25">
      <c r="A551" s="181" t="s">
        <v>722</v>
      </c>
      <c r="B551" s="181" t="s">
        <v>595</v>
      </c>
      <c r="C551" s="181">
        <v>2021</v>
      </c>
      <c r="D551" s="19" t="s">
        <v>8</v>
      </c>
      <c r="E551" s="20">
        <f t="shared" si="46"/>
        <v>468.3</v>
      </c>
      <c r="F551" s="20">
        <f>SUM(F552:F556)</f>
        <v>468.3</v>
      </c>
      <c r="G551" s="20">
        <f>SUM(G552:G556)</f>
        <v>0</v>
      </c>
      <c r="H551" s="20">
        <f>SUM(H552:H556)</f>
        <v>0</v>
      </c>
      <c r="I551" s="20">
        <f>SUM(I552:I556)</f>
        <v>0</v>
      </c>
      <c r="J551" s="181" t="s">
        <v>596</v>
      </c>
      <c r="K551" s="181" t="s">
        <v>597</v>
      </c>
    </row>
    <row r="552" spans="1:11" x14ac:dyDescent="0.25">
      <c r="A552" s="181"/>
      <c r="B552" s="181"/>
      <c r="C552" s="181"/>
      <c r="D552" s="19">
        <v>2021</v>
      </c>
      <c r="E552" s="20">
        <f t="shared" si="46"/>
        <v>468.3</v>
      </c>
      <c r="F552" s="20">
        <v>468.3</v>
      </c>
      <c r="G552" s="20">
        <v>0</v>
      </c>
      <c r="H552" s="20">
        <v>0</v>
      </c>
      <c r="I552" s="20">
        <v>0</v>
      </c>
      <c r="J552" s="181"/>
      <c r="K552" s="181"/>
    </row>
    <row r="553" spans="1:11" x14ac:dyDescent="0.25">
      <c r="A553" s="181"/>
      <c r="B553" s="181"/>
      <c r="C553" s="181"/>
      <c r="D553" s="19">
        <v>2022</v>
      </c>
      <c r="E553" s="20">
        <f t="shared" si="46"/>
        <v>0</v>
      </c>
      <c r="F553" s="20">
        <v>0</v>
      </c>
      <c r="G553" s="20">
        <v>0</v>
      </c>
      <c r="H553" s="20">
        <v>0</v>
      </c>
      <c r="I553" s="20">
        <v>0</v>
      </c>
      <c r="J553" s="181"/>
      <c r="K553" s="181"/>
    </row>
    <row r="554" spans="1:11" x14ac:dyDescent="0.25">
      <c r="A554" s="181"/>
      <c r="B554" s="181"/>
      <c r="C554" s="181"/>
      <c r="D554" s="19">
        <v>2023</v>
      </c>
      <c r="E554" s="20">
        <f t="shared" si="46"/>
        <v>0</v>
      </c>
      <c r="F554" s="20">
        <v>0</v>
      </c>
      <c r="G554" s="20">
        <v>0</v>
      </c>
      <c r="H554" s="20">
        <v>0</v>
      </c>
      <c r="I554" s="20">
        <v>0</v>
      </c>
      <c r="J554" s="181"/>
      <c r="K554" s="181"/>
    </row>
    <row r="555" spans="1:11" x14ac:dyDescent="0.25">
      <c r="A555" s="181"/>
      <c r="B555" s="181"/>
      <c r="C555" s="181"/>
      <c r="D555" s="19">
        <v>2024</v>
      </c>
      <c r="E555" s="20">
        <f t="shared" si="46"/>
        <v>0</v>
      </c>
      <c r="F555" s="20">
        <v>0</v>
      </c>
      <c r="G555" s="20">
        <v>0</v>
      </c>
      <c r="H555" s="20">
        <v>0</v>
      </c>
      <c r="I555" s="20">
        <v>0</v>
      </c>
      <c r="J555" s="181"/>
      <c r="K555" s="181"/>
    </row>
    <row r="556" spans="1:11" x14ac:dyDescent="0.25">
      <c r="A556" s="181"/>
      <c r="B556" s="181"/>
      <c r="C556" s="181"/>
      <c r="D556" s="19">
        <v>2025</v>
      </c>
      <c r="E556" s="20">
        <f t="shared" si="46"/>
        <v>0</v>
      </c>
      <c r="F556" s="20">
        <v>0</v>
      </c>
      <c r="G556" s="20">
        <v>0</v>
      </c>
      <c r="H556" s="20">
        <v>0</v>
      </c>
      <c r="I556" s="20">
        <v>0</v>
      </c>
      <c r="J556" s="181"/>
      <c r="K556" s="181"/>
    </row>
    <row r="557" spans="1:11" x14ac:dyDescent="0.25">
      <c r="A557" s="181" t="s">
        <v>1179</v>
      </c>
      <c r="B557" s="181" t="s">
        <v>599</v>
      </c>
      <c r="C557" s="181">
        <v>2021</v>
      </c>
      <c r="D557" s="19" t="s">
        <v>8</v>
      </c>
      <c r="E557" s="20">
        <f t="shared" si="46"/>
        <v>8226.4694736842102</v>
      </c>
      <c r="F557" s="20">
        <f>SUM(F558:F562)</f>
        <v>7815.1459999999997</v>
      </c>
      <c r="G557" s="20">
        <f>SUM(G558:G562)</f>
        <v>0</v>
      </c>
      <c r="H557" s="20">
        <f>SUM(H558:H562)</f>
        <v>411.32347368421051</v>
      </c>
      <c r="I557" s="20">
        <f>SUM(I558:I562)</f>
        <v>0</v>
      </c>
      <c r="J557" s="181" t="s">
        <v>600</v>
      </c>
      <c r="K557" s="181" t="s">
        <v>547</v>
      </c>
    </row>
    <row r="558" spans="1:11" x14ac:dyDescent="0.25">
      <c r="A558" s="181"/>
      <c r="B558" s="181"/>
      <c r="C558" s="181"/>
      <c r="D558" s="19">
        <v>2021</v>
      </c>
      <c r="E558" s="20">
        <f t="shared" ref="E558:E621" si="47">SUM(F558:I558)</f>
        <v>8226.4694736842102</v>
      </c>
      <c r="F558" s="20">
        <v>7815.1459999999997</v>
      </c>
      <c r="G558" s="20">
        <v>0</v>
      </c>
      <c r="H558" s="20">
        <f t="shared" ref="H558:H559" si="48">F558/95*5</f>
        <v>411.32347368421051</v>
      </c>
      <c r="I558" s="20">
        <v>0</v>
      </c>
      <c r="J558" s="181"/>
      <c r="K558" s="181"/>
    </row>
    <row r="559" spans="1:11" x14ac:dyDescent="0.25">
      <c r="A559" s="181"/>
      <c r="B559" s="181"/>
      <c r="C559" s="181"/>
      <c r="D559" s="19">
        <v>2022</v>
      </c>
      <c r="E559" s="20">
        <f t="shared" si="47"/>
        <v>0</v>
      </c>
      <c r="F559" s="20">
        <v>0</v>
      </c>
      <c r="G559" s="20">
        <v>0</v>
      </c>
      <c r="H559" s="20">
        <f t="shared" si="48"/>
        <v>0</v>
      </c>
      <c r="I559" s="20">
        <v>0</v>
      </c>
      <c r="J559" s="181"/>
      <c r="K559" s="181"/>
    </row>
    <row r="560" spans="1:11" x14ac:dyDescent="0.25">
      <c r="A560" s="181"/>
      <c r="B560" s="181"/>
      <c r="C560" s="181"/>
      <c r="D560" s="19">
        <v>2023</v>
      </c>
      <c r="E560" s="20">
        <f t="shared" si="47"/>
        <v>0</v>
      </c>
      <c r="F560" s="20">
        <v>0</v>
      </c>
      <c r="G560" s="20">
        <v>0</v>
      </c>
      <c r="H560" s="20">
        <v>0</v>
      </c>
      <c r="I560" s="20">
        <v>0</v>
      </c>
      <c r="J560" s="181"/>
      <c r="K560" s="181"/>
    </row>
    <row r="561" spans="1:11" x14ac:dyDescent="0.25">
      <c r="A561" s="181"/>
      <c r="B561" s="181"/>
      <c r="C561" s="181"/>
      <c r="D561" s="19">
        <v>2024</v>
      </c>
      <c r="E561" s="20">
        <f t="shared" si="47"/>
        <v>0</v>
      </c>
      <c r="F561" s="20">
        <v>0</v>
      </c>
      <c r="G561" s="20">
        <v>0</v>
      </c>
      <c r="H561" s="20">
        <v>0</v>
      </c>
      <c r="I561" s="20">
        <v>0</v>
      </c>
      <c r="J561" s="181"/>
      <c r="K561" s="181"/>
    </row>
    <row r="562" spans="1:11" x14ac:dyDescent="0.25">
      <c r="A562" s="181"/>
      <c r="B562" s="181"/>
      <c r="C562" s="181"/>
      <c r="D562" s="19">
        <v>2025</v>
      </c>
      <c r="E562" s="20">
        <f t="shared" si="47"/>
        <v>0</v>
      </c>
      <c r="F562" s="20">
        <v>0</v>
      </c>
      <c r="G562" s="20">
        <v>0</v>
      </c>
      <c r="H562" s="20">
        <v>0</v>
      </c>
      <c r="I562" s="20">
        <v>0</v>
      </c>
      <c r="J562" s="181"/>
      <c r="K562" s="181"/>
    </row>
    <row r="563" spans="1:11" x14ac:dyDescent="0.25">
      <c r="A563" s="181" t="s">
        <v>1180</v>
      </c>
      <c r="B563" s="181" t="s">
        <v>613</v>
      </c>
      <c r="C563" s="181">
        <v>2021</v>
      </c>
      <c r="D563" s="19" t="s">
        <v>8</v>
      </c>
      <c r="E563" s="20">
        <f t="shared" si="47"/>
        <v>15056.631578947368</v>
      </c>
      <c r="F563" s="20">
        <f>SUM(F564:F568)</f>
        <v>14303.8</v>
      </c>
      <c r="G563" s="20">
        <f>SUM(G564:G568)</f>
        <v>0</v>
      </c>
      <c r="H563" s="20">
        <f>SUM(H564:H568)</f>
        <v>752.83157894736837</v>
      </c>
      <c r="I563" s="20">
        <v>0</v>
      </c>
      <c r="J563" s="181" t="s">
        <v>614</v>
      </c>
      <c r="K563" s="181" t="s">
        <v>547</v>
      </c>
    </row>
    <row r="564" spans="1:11" x14ac:dyDescent="0.25">
      <c r="A564" s="181"/>
      <c r="B564" s="181"/>
      <c r="C564" s="181"/>
      <c r="D564" s="19">
        <v>2021</v>
      </c>
      <c r="E564" s="20">
        <f t="shared" si="47"/>
        <v>15056.631578947368</v>
      </c>
      <c r="F564" s="20">
        <v>14303.8</v>
      </c>
      <c r="G564" s="20">
        <v>0</v>
      </c>
      <c r="H564" s="20">
        <f>F564/95*5</f>
        <v>752.83157894736837</v>
      </c>
      <c r="I564" s="20">
        <v>0</v>
      </c>
      <c r="J564" s="181"/>
      <c r="K564" s="181"/>
    </row>
    <row r="565" spans="1:11" x14ac:dyDescent="0.25">
      <c r="A565" s="181"/>
      <c r="B565" s="181"/>
      <c r="C565" s="181"/>
      <c r="D565" s="19">
        <v>2022</v>
      </c>
      <c r="E565" s="20">
        <f t="shared" si="47"/>
        <v>0</v>
      </c>
      <c r="F565" s="20">
        <v>0</v>
      </c>
      <c r="G565" s="20">
        <v>0</v>
      </c>
      <c r="H565" s="20">
        <v>0</v>
      </c>
      <c r="I565" s="20">
        <v>0</v>
      </c>
      <c r="J565" s="181"/>
      <c r="K565" s="181"/>
    </row>
    <row r="566" spans="1:11" x14ac:dyDescent="0.25">
      <c r="A566" s="181"/>
      <c r="B566" s="181"/>
      <c r="C566" s="181"/>
      <c r="D566" s="19">
        <v>2023</v>
      </c>
      <c r="E566" s="20">
        <f t="shared" si="47"/>
        <v>0</v>
      </c>
      <c r="F566" s="20">
        <v>0</v>
      </c>
      <c r="G566" s="20">
        <v>0</v>
      </c>
      <c r="H566" s="20">
        <v>0</v>
      </c>
      <c r="I566" s="20">
        <v>0</v>
      </c>
      <c r="J566" s="181"/>
      <c r="K566" s="181"/>
    </row>
    <row r="567" spans="1:11" x14ac:dyDescent="0.25">
      <c r="A567" s="181"/>
      <c r="B567" s="181"/>
      <c r="C567" s="181"/>
      <c r="D567" s="19">
        <v>2024</v>
      </c>
      <c r="E567" s="20">
        <f t="shared" si="47"/>
        <v>0</v>
      </c>
      <c r="F567" s="20">
        <v>0</v>
      </c>
      <c r="G567" s="20">
        <v>0</v>
      </c>
      <c r="H567" s="20">
        <v>0</v>
      </c>
      <c r="I567" s="20">
        <v>0</v>
      </c>
      <c r="J567" s="181"/>
      <c r="K567" s="181"/>
    </row>
    <row r="568" spans="1:11" x14ac:dyDescent="0.25">
      <c r="A568" s="181"/>
      <c r="B568" s="181"/>
      <c r="C568" s="181"/>
      <c r="D568" s="19">
        <v>2025</v>
      </c>
      <c r="E568" s="20">
        <f t="shared" si="47"/>
        <v>0</v>
      </c>
      <c r="F568" s="20">
        <v>0</v>
      </c>
      <c r="G568" s="20">
        <v>0</v>
      </c>
      <c r="H568" s="20">
        <v>0</v>
      </c>
      <c r="I568" s="20">
        <v>0</v>
      </c>
      <c r="J568" s="181"/>
      <c r="K568" s="181"/>
    </row>
    <row r="569" spans="1:11" x14ac:dyDescent="0.25">
      <c r="A569" s="181" t="s">
        <v>916</v>
      </c>
      <c r="B569" s="181" t="s">
        <v>913</v>
      </c>
      <c r="C569" s="181">
        <v>2022</v>
      </c>
      <c r="D569" s="19" t="s">
        <v>8</v>
      </c>
      <c r="E569" s="20">
        <f t="shared" si="47"/>
        <v>20912.768100000001</v>
      </c>
      <c r="F569" s="20">
        <f>SUM(F570:F574)</f>
        <v>20912.768100000001</v>
      </c>
      <c r="G569" s="20">
        <f>SUM(G570:G574)</f>
        <v>0</v>
      </c>
      <c r="H569" s="20">
        <f>SUM(H570:H574)</f>
        <v>0</v>
      </c>
      <c r="I569" s="20">
        <f>SUM(I570:I574)</f>
        <v>0</v>
      </c>
      <c r="J569" s="181" t="s">
        <v>914</v>
      </c>
      <c r="K569" s="181" t="s">
        <v>915</v>
      </c>
    </row>
    <row r="570" spans="1:11" x14ac:dyDescent="0.25">
      <c r="A570" s="181"/>
      <c r="B570" s="181"/>
      <c r="C570" s="181"/>
      <c r="D570" s="19">
        <v>2021</v>
      </c>
      <c r="E570" s="20">
        <f t="shared" si="47"/>
        <v>0</v>
      </c>
      <c r="F570" s="20">
        <v>0</v>
      </c>
      <c r="G570" s="20">
        <v>0</v>
      </c>
      <c r="H570" s="20">
        <v>0</v>
      </c>
      <c r="I570" s="20">
        <v>0</v>
      </c>
      <c r="J570" s="181"/>
      <c r="K570" s="181"/>
    </row>
    <row r="571" spans="1:11" x14ac:dyDescent="0.25">
      <c r="A571" s="181"/>
      <c r="B571" s="181"/>
      <c r="C571" s="181"/>
      <c r="D571" s="19">
        <v>2022</v>
      </c>
      <c r="E571" s="20">
        <f t="shared" si="47"/>
        <v>20912.768100000001</v>
      </c>
      <c r="F571" s="20">
        <v>20912.768100000001</v>
      </c>
      <c r="G571" s="20">
        <v>0</v>
      </c>
      <c r="H571" s="20">
        <v>0</v>
      </c>
      <c r="I571" s="20">
        <v>0</v>
      </c>
      <c r="J571" s="181"/>
      <c r="K571" s="181"/>
    </row>
    <row r="572" spans="1:11" x14ac:dyDescent="0.25">
      <c r="A572" s="181"/>
      <c r="B572" s="181"/>
      <c r="C572" s="181"/>
      <c r="D572" s="19">
        <v>2023</v>
      </c>
      <c r="E572" s="20">
        <f t="shared" si="47"/>
        <v>0</v>
      </c>
      <c r="F572" s="20">
        <v>0</v>
      </c>
      <c r="G572" s="20">
        <v>0</v>
      </c>
      <c r="H572" s="20">
        <v>0</v>
      </c>
      <c r="I572" s="20">
        <v>0</v>
      </c>
      <c r="J572" s="181"/>
      <c r="K572" s="181"/>
    </row>
    <row r="573" spans="1:11" x14ac:dyDescent="0.25">
      <c r="A573" s="181"/>
      <c r="B573" s="181"/>
      <c r="C573" s="181"/>
      <c r="D573" s="19">
        <v>2024</v>
      </c>
      <c r="E573" s="20">
        <f t="shared" si="47"/>
        <v>0</v>
      </c>
      <c r="F573" s="20">
        <v>0</v>
      </c>
      <c r="G573" s="20">
        <v>0</v>
      </c>
      <c r="H573" s="20">
        <v>0</v>
      </c>
      <c r="I573" s="20">
        <v>0</v>
      </c>
      <c r="J573" s="181"/>
      <c r="K573" s="181"/>
    </row>
    <row r="574" spans="1:11" x14ac:dyDescent="0.25">
      <c r="A574" s="181"/>
      <c r="B574" s="181"/>
      <c r="C574" s="181"/>
      <c r="D574" s="19">
        <v>2025</v>
      </c>
      <c r="E574" s="20">
        <f t="shared" si="47"/>
        <v>0</v>
      </c>
      <c r="F574" s="20">
        <v>0</v>
      </c>
      <c r="G574" s="20">
        <v>0</v>
      </c>
      <c r="H574" s="20">
        <v>0</v>
      </c>
      <c r="I574" s="20">
        <v>0</v>
      </c>
      <c r="J574" s="181"/>
      <c r="K574" s="181"/>
    </row>
    <row r="575" spans="1:11" x14ac:dyDescent="0.25">
      <c r="A575" s="181" t="s">
        <v>1181</v>
      </c>
      <c r="B575" s="181" t="s">
        <v>917</v>
      </c>
      <c r="C575" s="181" t="s">
        <v>1169</v>
      </c>
      <c r="D575" s="19" t="s">
        <v>8</v>
      </c>
      <c r="E575" s="20">
        <f t="shared" si="47"/>
        <v>150000</v>
      </c>
      <c r="F575" s="20">
        <f>SUM(F576:F580)</f>
        <v>142500</v>
      </c>
      <c r="G575" s="20">
        <f>SUM(G576:G580)</f>
        <v>0</v>
      </c>
      <c r="H575" s="20">
        <f>SUM(H576:H580)</f>
        <v>7500</v>
      </c>
      <c r="I575" s="20">
        <f>SUM(I576:I580)</f>
        <v>0</v>
      </c>
      <c r="J575" s="181" t="s">
        <v>1182</v>
      </c>
      <c r="K575" s="181" t="s">
        <v>547</v>
      </c>
    </row>
    <row r="576" spans="1:11" x14ac:dyDescent="0.25">
      <c r="A576" s="181"/>
      <c r="B576" s="181"/>
      <c r="C576" s="181"/>
      <c r="D576" s="19">
        <v>2021</v>
      </c>
      <c r="E576" s="20">
        <f t="shared" si="47"/>
        <v>0</v>
      </c>
      <c r="F576" s="20">
        <v>0</v>
      </c>
      <c r="G576" s="20">
        <v>0</v>
      </c>
      <c r="H576" s="20">
        <v>0</v>
      </c>
      <c r="I576" s="20">
        <v>0</v>
      </c>
      <c r="J576" s="181"/>
      <c r="K576" s="181"/>
    </row>
    <row r="577" spans="1:11" x14ac:dyDescent="0.25">
      <c r="A577" s="181"/>
      <c r="B577" s="181"/>
      <c r="C577" s="181"/>
      <c r="D577" s="19">
        <v>2022</v>
      </c>
      <c r="E577" s="20">
        <f t="shared" si="47"/>
        <v>70000</v>
      </c>
      <c r="F577" s="20">
        <v>66500</v>
      </c>
      <c r="G577" s="20">
        <v>0</v>
      </c>
      <c r="H577" s="20">
        <v>3500</v>
      </c>
      <c r="I577" s="20">
        <v>0</v>
      </c>
      <c r="J577" s="181"/>
      <c r="K577" s="181"/>
    </row>
    <row r="578" spans="1:11" x14ac:dyDescent="0.25">
      <c r="A578" s="181"/>
      <c r="B578" s="181"/>
      <c r="C578" s="181"/>
      <c r="D578" s="19">
        <v>2023</v>
      </c>
      <c r="E578" s="20">
        <f t="shared" si="47"/>
        <v>80000</v>
      </c>
      <c r="F578" s="20">
        <v>76000</v>
      </c>
      <c r="G578" s="20">
        <v>0</v>
      </c>
      <c r="H578" s="20">
        <v>4000</v>
      </c>
      <c r="I578" s="20">
        <v>0</v>
      </c>
      <c r="J578" s="181"/>
      <c r="K578" s="181"/>
    </row>
    <row r="579" spans="1:11" x14ac:dyDescent="0.25">
      <c r="A579" s="181"/>
      <c r="B579" s="181"/>
      <c r="C579" s="181"/>
      <c r="D579" s="19">
        <v>2024</v>
      </c>
      <c r="E579" s="20">
        <f t="shared" si="47"/>
        <v>0</v>
      </c>
      <c r="F579" s="20">
        <v>0</v>
      </c>
      <c r="G579" s="20">
        <v>0</v>
      </c>
      <c r="H579" s="20">
        <v>0</v>
      </c>
      <c r="I579" s="20">
        <v>0</v>
      </c>
      <c r="J579" s="181"/>
      <c r="K579" s="181"/>
    </row>
    <row r="580" spans="1:11" x14ac:dyDescent="0.25">
      <c r="A580" s="181"/>
      <c r="B580" s="181"/>
      <c r="C580" s="181"/>
      <c r="D580" s="19">
        <v>2025</v>
      </c>
      <c r="E580" s="20">
        <f t="shared" si="47"/>
        <v>0</v>
      </c>
      <c r="F580" s="20">
        <v>0</v>
      </c>
      <c r="G580" s="20">
        <v>0</v>
      </c>
      <c r="H580" s="20">
        <v>0</v>
      </c>
      <c r="I580" s="20">
        <v>0</v>
      </c>
      <c r="J580" s="181"/>
      <c r="K580" s="181"/>
    </row>
    <row r="581" spans="1:11" x14ac:dyDescent="0.25">
      <c r="A581" s="181" t="s">
        <v>922</v>
      </c>
      <c r="B581" s="181" t="s">
        <v>920</v>
      </c>
      <c r="C581" s="181" t="s">
        <v>1113</v>
      </c>
      <c r="D581" s="19" t="s">
        <v>8</v>
      </c>
      <c r="E581" s="20">
        <f t="shared" si="47"/>
        <v>17600</v>
      </c>
      <c r="F581" s="20">
        <f>SUM(F582:F586)</f>
        <v>17600</v>
      </c>
      <c r="G581" s="20">
        <f>SUM(G582:G586)</f>
        <v>0</v>
      </c>
      <c r="H581" s="20">
        <f>SUM(H582:H586)</f>
        <v>0</v>
      </c>
      <c r="I581" s="20">
        <f>SUM(I582:I586)</f>
        <v>0</v>
      </c>
      <c r="J581" s="181" t="s">
        <v>921</v>
      </c>
      <c r="K581" s="181" t="s">
        <v>563</v>
      </c>
    </row>
    <row r="582" spans="1:11" x14ac:dyDescent="0.25">
      <c r="A582" s="181"/>
      <c r="B582" s="181"/>
      <c r="C582" s="181"/>
      <c r="D582" s="19">
        <v>2021</v>
      </c>
      <c r="E582" s="20">
        <f t="shared" si="47"/>
        <v>0</v>
      </c>
      <c r="F582" s="20">
        <v>0</v>
      </c>
      <c r="G582" s="20">
        <v>0</v>
      </c>
      <c r="H582" s="20">
        <v>0</v>
      </c>
      <c r="I582" s="20">
        <v>0</v>
      </c>
      <c r="J582" s="181"/>
      <c r="K582" s="181"/>
    </row>
    <row r="583" spans="1:11" x14ac:dyDescent="0.25">
      <c r="A583" s="181"/>
      <c r="B583" s="181"/>
      <c r="C583" s="181"/>
      <c r="D583" s="19">
        <v>2022</v>
      </c>
      <c r="E583" s="20">
        <f t="shared" si="47"/>
        <v>4400</v>
      </c>
      <c r="F583" s="20">
        <v>4400</v>
      </c>
      <c r="G583" s="20">
        <v>0</v>
      </c>
      <c r="H583" s="20">
        <v>0</v>
      </c>
      <c r="I583" s="20">
        <v>0</v>
      </c>
      <c r="J583" s="181"/>
      <c r="K583" s="181"/>
    </row>
    <row r="584" spans="1:11" x14ac:dyDescent="0.25">
      <c r="A584" s="181"/>
      <c r="B584" s="181"/>
      <c r="C584" s="181"/>
      <c r="D584" s="19">
        <v>2023</v>
      </c>
      <c r="E584" s="20">
        <f t="shared" si="47"/>
        <v>4400</v>
      </c>
      <c r="F584" s="20">
        <v>4400</v>
      </c>
      <c r="G584" s="20">
        <v>0</v>
      </c>
      <c r="H584" s="20">
        <v>0</v>
      </c>
      <c r="I584" s="20">
        <v>0</v>
      </c>
      <c r="J584" s="181"/>
      <c r="K584" s="181"/>
    </row>
    <row r="585" spans="1:11" x14ac:dyDescent="0.25">
      <c r="A585" s="181"/>
      <c r="B585" s="181"/>
      <c r="C585" s="181"/>
      <c r="D585" s="19">
        <v>2024</v>
      </c>
      <c r="E585" s="20">
        <f t="shared" si="47"/>
        <v>4400</v>
      </c>
      <c r="F585" s="20">
        <v>4400</v>
      </c>
      <c r="G585" s="20">
        <v>0</v>
      </c>
      <c r="H585" s="20">
        <v>0</v>
      </c>
      <c r="I585" s="20">
        <v>0</v>
      </c>
      <c r="J585" s="181"/>
      <c r="K585" s="181"/>
    </row>
    <row r="586" spans="1:11" x14ac:dyDescent="0.25">
      <c r="A586" s="181"/>
      <c r="B586" s="181"/>
      <c r="C586" s="181"/>
      <c r="D586" s="19">
        <v>2025</v>
      </c>
      <c r="E586" s="20">
        <f t="shared" si="47"/>
        <v>4400</v>
      </c>
      <c r="F586" s="20">
        <v>4400</v>
      </c>
      <c r="G586" s="20">
        <v>0</v>
      </c>
      <c r="H586" s="20">
        <v>0</v>
      </c>
      <c r="I586" s="20">
        <v>0</v>
      </c>
      <c r="J586" s="181"/>
      <c r="K586" s="181"/>
    </row>
    <row r="587" spans="1:11" x14ac:dyDescent="0.25">
      <c r="A587" s="181" t="s">
        <v>925</v>
      </c>
      <c r="B587" s="181" t="s">
        <v>926</v>
      </c>
      <c r="C587" s="181">
        <v>2022</v>
      </c>
      <c r="D587" s="19" t="s">
        <v>8</v>
      </c>
      <c r="E587" s="20">
        <f t="shared" si="47"/>
        <v>65500</v>
      </c>
      <c r="F587" s="20">
        <f>SUM(F588:F592)</f>
        <v>62225</v>
      </c>
      <c r="G587" s="20">
        <f>SUM(G588:G592)</f>
        <v>0</v>
      </c>
      <c r="H587" s="20">
        <f>SUM(H588:H592)</f>
        <v>3275</v>
      </c>
      <c r="I587" s="20">
        <f>SUM(I588:I592)</f>
        <v>0</v>
      </c>
      <c r="J587" s="181" t="s">
        <v>927</v>
      </c>
      <c r="K587" s="181" t="s">
        <v>547</v>
      </c>
    </row>
    <row r="588" spans="1:11" x14ac:dyDescent="0.25">
      <c r="A588" s="181"/>
      <c r="B588" s="181"/>
      <c r="C588" s="181"/>
      <c r="D588" s="19">
        <v>2021</v>
      </c>
      <c r="E588" s="20">
        <f t="shared" si="47"/>
        <v>0</v>
      </c>
      <c r="F588" s="20">
        <v>0</v>
      </c>
      <c r="G588" s="20">
        <v>0</v>
      </c>
      <c r="H588" s="20">
        <v>0</v>
      </c>
      <c r="I588" s="20">
        <v>0</v>
      </c>
      <c r="J588" s="181"/>
      <c r="K588" s="181"/>
    </row>
    <row r="589" spans="1:11" x14ac:dyDescent="0.25">
      <c r="A589" s="181"/>
      <c r="B589" s="181"/>
      <c r="C589" s="181"/>
      <c r="D589" s="19">
        <v>2022</v>
      </c>
      <c r="E589" s="20">
        <f t="shared" si="47"/>
        <v>65500</v>
      </c>
      <c r="F589" s="20">
        <v>62225</v>
      </c>
      <c r="G589" s="20">
        <v>0</v>
      </c>
      <c r="H589" s="20">
        <v>3275</v>
      </c>
      <c r="I589" s="20">
        <v>0</v>
      </c>
      <c r="J589" s="181"/>
      <c r="K589" s="181"/>
    </row>
    <row r="590" spans="1:11" x14ac:dyDescent="0.25">
      <c r="A590" s="181"/>
      <c r="B590" s="181"/>
      <c r="C590" s="181"/>
      <c r="D590" s="19">
        <v>2023</v>
      </c>
      <c r="E590" s="20">
        <f t="shared" si="47"/>
        <v>0</v>
      </c>
      <c r="F590" s="20">
        <v>0</v>
      </c>
      <c r="G590" s="20">
        <v>0</v>
      </c>
      <c r="H590" s="20">
        <v>0</v>
      </c>
      <c r="I590" s="20">
        <v>0</v>
      </c>
      <c r="J590" s="181"/>
      <c r="K590" s="181"/>
    </row>
    <row r="591" spans="1:11" x14ac:dyDescent="0.25">
      <c r="A591" s="181"/>
      <c r="B591" s="181"/>
      <c r="C591" s="181"/>
      <c r="D591" s="19">
        <v>2024</v>
      </c>
      <c r="E591" s="20">
        <f t="shared" si="47"/>
        <v>0</v>
      </c>
      <c r="F591" s="20">
        <v>0</v>
      </c>
      <c r="G591" s="20">
        <v>0</v>
      </c>
      <c r="H591" s="20">
        <v>0</v>
      </c>
      <c r="I591" s="20">
        <v>0</v>
      </c>
      <c r="J591" s="181"/>
      <c r="K591" s="181"/>
    </row>
    <row r="592" spans="1:11" x14ac:dyDescent="0.25">
      <c r="A592" s="181"/>
      <c r="B592" s="181"/>
      <c r="C592" s="181"/>
      <c r="D592" s="19">
        <v>2025</v>
      </c>
      <c r="E592" s="20">
        <f t="shared" si="47"/>
        <v>0</v>
      </c>
      <c r="F592" s="20">
        <v>0</v>
      </c>
      <c r="G592" s="20">
        <v>0</v>
      </c>
      <c r="H592" s="20">
        <v>0</v>
      </c>
      <c r="I592" s="20">
        <v>0</v>
      </c>
      <c r="J592" s="181"/>
      <c r="K592" s="181"/>
    </row>
    <row r="593" spans="1:11" x14ac:dyDescent="0.25">
      <c r="A593" s="181" t="s">
        <v>928</v>
      </c>
      <c r="B593" s="181" t="s">
        <v>1183</v>
      </c>
      <c r="C593" s="181">
        <v>2022</v>
      </c>
      <c r="D593" s="19" t="s">
        <v>8</v>
      </c>
      <c r="E593" s="20">
        <f t="shared" si="47"/>
        <v>3010.9325454545456</v>
      </c>
      <c r="F593" s="20">
        <f>SUM(F594:F598)</f>
        <v>2980.8232200000002</v>
      </c>
      <c r="G593" s="20">
        <f t="shared" ref="G593:G608" si="49">SUM(G594:G598)</f>
        <v>0</v>
      </c>
      <c r="H593" s="20">
        <f>SUM(H594:H598)</f>
        <v>30.109325454545456</v>
      </c>
      <c r="I593" s="20">
        <f t="shared" ref="I593:I629" si="50">SUM(I594:I598)</f>
        <v>0</v>
      </c>
      <c r="J593" s="181" t="s">
        <v>930</v>
      </c>
      <c r="K593" s="181" t="s">
        <v>547</v>
      </c>
    </row>
    <row r="594" spans="1:11" x14ac:dyDescent="0.25">
      <c r="A594" s="181"/>
      <c r="B594" s="181"/>
      <c r="C594" s="181"/>
      <c r="D594" s="19">
        <v>2021</v>
      </c>
      <c r="E594" s="20">
        <f t="shared" si="47"/>
        <v>0</v>
      </c>
      <c r="F594" s="20"/>
      <c r="G594" s="20">
        <f t="shared" si="49"/>
        <v>0</v>
      </c>
      <c r="H594" s="20"/>
      <c r="I594" s="20">
        <f t="shared" si="50"/>
        <v>0</v>
      </c>
      <c r="J594" s="181"/>
      <c r="K594" s="181"/>
    </row>
    <row r="595" spans="1:11" x14ac:dyDescent="0.25">
      <c r="A595" s="181"/>
      <c r="B595" s="181"/>
      <c r="C595" s="181"/>
      <c r="D595" s="19">
        <v>2022</v>
      </c>
      <c r="E595" s="20">
        <f t="shared" si="47"/>
        <v>3010.9325454545456</v>
      </c>
      <c r="F595" s="20">
        <v>2980.8232200000002</v>
      </c>
      <c r="G595" s="20">
        <f t="shared" si="49"/>
        <v>0</v>
      </c>
      <c r="H595" s="20">
        <f>F595/99*1</f>
        <v>30.109325454545456</v>
      </c>
      <c r="I595" s="20">
        <f t="shared" si="50"/>
        <v>0</v>
      </c>
      <c r="J595" s="181"/>
      <c r="K595" s="181"/>
    </row>
    <row r="596" spans="1:11" x14ac:dyDescent="0.25">
      <c r="A596" s="181"/>
      <c r="B596" s="181"/>
      <c r="C596" s="181"/>
      <c r="D596" s="19">
        <v>2023</v>
      </c>
      <c r="E596" s="20">
        <f t="shared" si="47"/>
        <v>0</v>
      </c>
      <c r="F596" s="20"/>
      <c r="G596" s="20">
        <f t="shared" si="49"/>
        <v>0</v>
      </c>
      <c r="H596" s="20"/>
      <c r="I596" s="20">
        <f t="shared" si="50"/>
        <v>0</v>
      </c>
      <c r="J596" s="181"/>
      <c r="K596" s="181"/>
    </row>
    <row r="597" spans="1:11" x14ac:dyDescent="0.25">
      <c r="A597" s="181"/>
      <c r="B597" s="181"/>
      <c r="C597" s="181"/>
      <c r="D597" s="19">
        <v>2024</v>
      </c>
      <c r="E597" s="20">
        <f t="shared" si="47"/>
        <v>0</v>
      </c>
      <c r="F597" s="20"/>
      <c r="G597" s="20">
        <f t="shared" si="49"/>
        <v>0</v>
      </c>
      <c r="H597" s="20"/>
      <c r="I597" s="20">
        <f t="shared" si="50"/>
        <v>0</v>
      </c>
      <c r="J597" s="181"/>
      <c r="K597" s="181"/>
    </row>
    <row r="598" spans="1:11" x14ac:dyDescent="0.25">
      <c r="A598" s="181"/>
      <c r="B598" s="181"/>
      <c r="C598" s="181"/>
      <c r="D598" s="19">
        <v>2025</v>
      </c>
      <c r="E598" s="20">
        <f t="shared" si="47"/>
        <v>0</v>
      </c>
      <c r="F598" s="20"/>
      <c r="G598" s="20">
        <f t="shared" si="49"/>
        <v>0</v>
      </c>
      <c r="H598" s="20"/>
      <c r="I598" s="20">
        <f t="shared" si="50"/>
        <v>0</v>
      </c>
      <c r="J598" s="181"/>
      <c r="K598" s="181"/>
    </row>
    <row r="599" spans="1:11" x14ac:dyDescent="0.25">
      <c r="A599" s="181" t="s">
        <v>931</v>
      </c>
      <c r="B599" s="181" t="s">
        <v>932</v>
      </c>
      <c r="C599" s="181">
        <v>2022</v>
      </c>
      <c r="D599" s="19" t="s">
        <v>8</v>
      </c>
      <c r="E599" s="20">
        <f t="shared" si="47"/>
        <v>9956.0763399999996</v>
      </c>
      <c r="F599" s="20">
        <f>SUM(F600:F604)</f>
        <v>9458.2733399999997</v>
      </c>
      <c r="G599" s="20">
        <f t="shared" si="49"/>
        <v>0</v>
      </c>
      <c r="H599" s="20">
        <f>SUM(H600:H604)</f>
        <v>497.803</v>
      </c>
      <c r="I599" s="20">
        <f t="shared" si="50"/>
        <v>0</v>
      </c>
      <c r="J599" s="181" t="s">
        <v>933</v>
      </c>
      <c r="K599" s="181" t="s">
        <v>547</v>
      </c>
    </row>
    <row r="600" spans="1:11" x14ac:dyDescent="0.25">
      <c r="A600" s="181"/>
      <c r="B600" s="181"/>
      <c r="C600" s="181"/>
      <c r="D600" s="19">
        <v>2021</v>
      </c>
      <c r="E600" s="20">
        <f t="shared" si="47"/>
        <v>0</v>
      </c>
      <c r="F600" s="20">
        <v>0</v>
      </c>
      <c r="G600" s="20">
        <f t="shared" si="49"/>
        <v>0</v>
      </c>
      <c r="H600" s="20">
        <v>0</v>
      </c>
      <c r="I600" s="20">
        <f t="shared" si="50"/>
        <v>0</v>
      </c>
      <c r="J600" s="181"/>
      <c r="K600" s="181"/>
    </row>
    <row r="601" spans="1:11" x14ac:dyDescent="0.25">
      <c r="A601" s="181"/>
      <c r="B601" s="181"/>
      <c r="C601" s="181"/>
      <c r="D601" s="19">
        <v>2022</v>
      </c>
      <c r="E601" s="20">
        <f t="shared" si="47"/>
        <v>9956.0763399999996</v>
      </c>
      <c r="F601" s="20">
        <v>9458.2733399999997</v>
      </c>
      <c r="G601" s="20">
        <f t="shared" si="49"/>
        <v>0</v>
      </c>
      <c r="H601" s="20">
        <v>497.803</v>
      </c>
      <c r="I601" s="20">
        <f t="shared" si="50"/>
        <v>0</v>
      </c>
      <c r="J601" s="181"/>
      <c r="K601" s="181"/>
    </row>
    <row r="602" spans="1:11" x14ac:dyDescent="0.25">
      <c r="A602" s="181"/>
      <c r="B602" s="181"/>
      <c r="C602" s="181"/>
      <c r="D602" s="19">
        <v>2023</v>
      </c>
      <c r="E602" s="20">
        <f t="shared" si="47"/>
        <v>0</v>
      </c>
      <c r="F602" s="20">
        <v>0</v>
      </c>
      <c r="G602" s="20">
        <f t="shared" si="49"/>
        <v>0</v>
      </c>
      <c r="H602" s="20">
        <v>0</v>
      </c>
      <c r="I602" s="20">
        <f t="shared" si="50"/>
        <v>0</v>
      </c>
      <c r="J602" s="181"/>
      <c r="K602" s="181"/>
    </row>
    <row r="603" spans="1:11" x14ac:dyDescent="0.25">
      <c r="A603" s="181"/>
      <c r="B603" s="181"/>
      <c r="C603" s="181"/>
      <c r="D603" s="19">
        <v>2024</v>
      </c>
      <c r="E603" s="20">
        <f t="shared" si="47"/>
        <v>0</v>
      </c>
      <c r="F603" s="20">
        <v>0</v>
      </c>
      <c r="G603" s="20">
        <f t="shared" si="49"/>
        <v>0</v>
      </c>
      <c r="H603" s="20">
        <v>0</v>
      </c>
      <c r="I603" s="20">
        <f t="shared" si="50"/>
        <v>0</v>
      </c>
      <c r="J603" s="181"/>
      <c r="K603" s="181"/>
    </row>
    <row r="604" spans="1:11" x14ac:dyDescent="0.25">
      <c r="A604" s="181"/>
      <c r="B604" s="181"/>
      <c r="C604" s="181"/>
      <c r="D604" s="19">
        <v>2025</v>
      </c>
      <c r="E604" s="20">
        <f t="shared" si="47"/>
        <v>0</v>
      </c>
      <c r="F604" s="20">
        <v>0</v>
      </c>
      <c r="G604" s="20">
        <f t="shared" si="49"/>
        <v>0</v>
      </c>
      <c r="H604" s="20">
        <v>0</v>
      </c>
      <c r="I604" s="20">
        <f t="shared" si="50"/>
        <v>0</v>
      </c>
      <c r="J604" s="181"/>
      <c r="K604" s="181"/>
    </row>
    <row r="605" spans="1:11" x14ac:dyDescent="0.25">
      <c r="A605" s="181" t="s">
        <v>934</v>
      </c>
      <c r="B605" s="181" t="s">
        <v>1184</v>
      </c>
      <c r="C605" s="181">
        <v>2022</v>
      </c>
      <c r="D605" s="19" t="s">
        <v>8</v>
      </c>
      <c r="E605" s="20">
        <f t="shared" si="47"/>
        <v>3320.7358421052631</v>
      </c>
      <c r="F605" s="20">
        <f>SUM(F606:F610)</f>
        <v>3154.6990500000002</v>
      </c>
      <c r="G605" s="20">
        <f t="shared" si="49"/>
        <v>0</v>
      </c>
      <c r="H605" s="20">
        <f>SUM(H606:H610)</f>
        <v>166.03679210526315</v>
      </c>
      <c r="I605" s="20">
        <f t="shared" si="50"/>
        <v>0</v>
      </c>
      <c r="J605" s="181" t="s">
        <v>1185</v>
      </c>
      <c r="K605" s="181" t="s">
        <v>547</v>
      </c>
    </row>
    <row r="606" spans="1:11" x14ac:dyDescent="0.25">
      <c r="A606" s="181"/>
      <c r="B606" s="181"/>
      <c r="C606" s="181"/>
      <c r="D606" s="19">
        <v>2021</v>
      </c>
      <c r="E606" s="20">
        <f t="shared" si="47"/>
        <v>0</v>
      </c>
      <c r="F606" s="20">
        <v>0</v>
      </c>
      <c r="G606" s="20">
        <f t="shared" si="49"/>
        <v>0</v>
      </c>
      <c r="H606" s="20">
        <v>0</v>
      </c>
      <c r="I606" s="20">
        <f t="shared" si="50"/>
        <v>0</v>
      </c>
      <c r="J606" s="181"/>
      <c r="K606" s="181"/>
    </row>
    <row r="607" spans="1:11" x14ac:dyDescent="0.25">
      <c r="A607" s="181"/>
      <c r="B607" s="181"/>
      <c r="C607" s="181"/>
      <c r="D607" s="19">
        <v>2022</v>
      </c>
      <c r="E607" s="20">
        <f t="shared" si="47"/>
        <v>3320.7358421052631</v>
      </c>
      <c r="F607" s="20">
        <v>3154.6990500000002</v>
      </c>
      <c r="G607" s="20">
        <f t="shared" si="49"/>
        <v>0</v>
      </c>
      <c r="H607" s="20">
        <f>F607/95*5</f>
        <v>166.03679210526315</v>
      </c>
      <c r="I607" s="20">
        <f t="shared" si="50"/>
        <v>0</v>
      </c>
      <c r="J607" s="181"/>
      <c r="K607" s="181"/>
    </row>
    <row r="608" spans="1:11" x14ac:dyDescent="0.25">
      <c r="A608" s="181"/>
      <c r="B608" s="181"/>
      <c r="C608" s="181"/>
      <c r="D608" s="19">
        <v>2023</v>
      </c>
      <c r="E608" s="20">
        <f t="shared" si="47"/>
        <v>0</v>
      </c>
      <c r="F608" s="20">
        <v>0</v>
      </c>
      <c r="G608" s="20">
        <f t="shared" si="49"/>
        <v>0</v>
      </c>
      <c r="H608" s="20">
        <v>0</v>
      </c>
      <c r="I608" s="20">
        <f t="shared" si="50"/>
        <v>0</v>
      </c>
      <c r="J608" s="181"/>
      <c r="K608" s="181"/>
    </row>
    <row r="609" spans="1:11" x14ac:dyDescent="0.25">
      <c r="A609" s="181"/>
      <c r="B609" s="181"/>
      <c r="C609" s="181"/>
      <c r="D609" s="19">
        <v>2024</v>
      </c>
      <c r="E609" s="20">
        <f t="shared" si="47"/>
        <v>0</v>
      </c>
      <c r="F609" s="20">
        <v>0</v>
      </c>
      <c r="G609" s="20">
        <f t="shared" ref="G609:G624" si="51">SUM(G610:G614)</f>
        <v>0</v>
      </c>
      <c r="H609" s="20">
        <v>0</v>
      </c>
      <c r="I609" s="20">
        <f t="shared" si="50"/>
        <v>0</v>
      </c>
      <c r="J609" s="181"/>
      <c r="K609" s="181"/>
    </row>
    <row r="610" spans="1:11" x14ac:dyDescent="0.25">
      <c r="A610" s="181"/>
      <c r="B610" s="181"/>
      <c r="C610" s="181"/>
      <c r="D610" s="19">
        <v>2025</v>
      </c>
      <c r="E610" s="20">
        <f t="shared" si="47"/>
        <v>0</v>
      </c>
      <c r="F610" s="20">
        <v>0</v>
      </c>
      <c r="G610" s="20">
        <f t="shared" si="51"/>
        <v>0</v>
      </c>
      <c r="H610" s="20">
        <v>0</v>
      </c>
      <c r="I610" s="20">
        <f t="shared" si="50"/>
        <v>0</v>
      </c>
      <c r="J610" s="181"/>
      <c r="K610" s="181"/>
    </row>
    <row r="611" spans="1:11" x14ac:dyDescent="0.25">
      <c r="A611" s="181" t="s">
        <v>937</v>
      </c>
      <c r="B611" s="181" t="s">
        <v>938</v>
      </c>
      <c r="C611" s="181">
        <v>2022</v>
      </c>
      <c r="D611" s="19" t="s">
        <v>8</v>
      </c>
      <c r="E611" s="20">
        <f t="shared" si="47"/>
        <v>17129.317905263157</v>
      </c>
      <c r="F611" s="20">
        <f>SUM(F612:F616)</f>
        <v>16272.852010000001</v>
      </c>
      <c r="G611" s="20">
        <f t="shared" si="51"/>
        <v>0</v>
      </c>
      <c r="H611" s="20">
        <f>SUM(H612:H616)</f>
        <v>856.4658952631579</v>
      </c>
      <c r="I611" s="20">
        <f t="shared" si="50"/>
        <v>0</v>
      </c>
      <c r="J611" s="181" t="s">
        <v>939</v>
      </c>
      <c r="K611" s="181" t="s">
        <v>547</v>
      </c>
    </row>
    <row r="612" spans="1:11" x14ac:dyDescent="0.25">
      <c r="A612" s="181"/>
      <c r="B612" s="181"/>
      <c r="C612" s="181"/>
      <c r="D612" s="19">
        <v>2021</v>
      </c>
      <c r="E612" s="20">
        <f t="shared" si="47"/>
        <v>0</v>
      </c>
      <c r="F612" s="20">
        <v>0</v>
      </c>
      <c r="G612" s="20">
        <f t="shared" si="51"/>
        <v>0</v>
      </c>
      <c r="H612" s="20">
        <v>0</v>
      </c>
      <c r="I612" s="20">
        <f t="shared" si="50"/>
        <v>0</v>
      </c>
      <c r="J612" s="181"/>
      <c r="K612" s="181"/>
    </row>
    <row r="613" spans="1:11" x14ac:dyDescent="0.25">
      <c r="A613" s="181"/>
      <c r="B613" s="181"/>
      <c r="C613" s="181"/>
      <c r="D613" s="19">
        <v>2022</v>
      </c>
      <c r="E613" s="20">
        <f t="shared" si="47"/>
        <v>17129.317905263157</v>
      </c>
      <c r="F613" s="20">
        <v>16272.852010000001</v>
      </c>
      <c r="G613" s="20">
        <f t="shared" si="51"/>
        <v>0</v>
      </c>
      <c r="H613" s="20">
        <f>F613/95*5</f>
        <v>856.4658952631579</v>
      </c>
      <c r="I613" s="20">
        <f t="shared" si="50"/>
        <v>0</v>
      </c>
      <c r="J613" s="181"/>
      <c r="K613" s="181"/>
    </row>
    <row r="614" spans="1:11" x14ac:dyDescent="0.25">
      <c r="A614" s="181"/>
      <c r="B614" s="181"/>
      <c r="C614" s="181"/>
      <c r="D614" s="19">
        <v>2023</v>
      </c>
      <c r="E614" s="20">
        <f t="shared" si="47"/>
        <v>0</v>
      </c>
      <c r="F614" s="20">
        <v>0</v>
      </c>
      <c r="G614" s="20">
        <f t="shared" si="51"/>
        <v>0</v>
      </c>
      <c r="H614" s="20">
        <v>0</v>
      </c>
      <c r="I614" s="20">
        <f t="shared" si="50"/>
        <v>0</v>
      </c>
      <c r="J614" s="181"/>
      <c r="K614" s="181"/>
    </row>
    <row r="615" spans="1:11" x14ac:dyDescent="0.25">
      <c r="A615" s="181"/>
      <c r="B615" s="181"/>
      <c r="C615" s="181"/>
      <c r="D615" s="19">
        <v>2024</v>
      </c>
      <c r="E615" s="20">
        <f t="shared" si="47"/>
        <v>0</v>
      </c>
      <c r="F615" s="20">
        <v>0</v>
      </c>
      <c r="G615" s="20">
        <f t="shared" si="51"/>
        <v>0</v>
      </c>
      <c r="H615" s="20">
        <v>0</v>
      </c>
      <c r="I615" s="20">
        <f t="shared" si="50"/>
        <v>0</v>
      </c>
      <c r="J615" s="181"/>
      <c r="K615" s="181"/>
    </row>
    <row r="616" spans="1:11" x14ac:dyDescent="0.25">
      <c r="A616" s="181"/>
      <c r="B616" s="181"/>
      <c r="C616" s="181"/>
      <c r="D616" s="19">
        <v>2025</v>
      </c>
      <c r="E616" s="20">
        <f t="shared" si="47"/>
        <v>0</v>
      </c>
      <c r="F616" s="20">
        <v>0</v>
      </c>
      <c r="G616" s="20">
        <f t="shared" si="51"/>
        <v>0</v>
      </c>
      <c r="H616" s="20">
        <v>0</v>
      </c>
      <c r="I616" s="20">
        <f t="shared" si="50"/>
        <v>0</v>
      </c>
      <c r="J616" s="181"/>
      <c r="K616" s="181"/>
    </row>
    <row r="617" spans="1:11" x14ac:dyDescent="0.25">
      <c r="A617" s="181" t="s">
        <v>940</v>
      </c>
      <c r="B617" s="181" t="s">
        <v>1186</v>
      </c>
      <c r="C617" s="181">
        <v>2022</v>
      </c>
      <c r="D617" s="19" t="s">
        <v>8</v>
      </c>
      <c r="E617" s="20">
        <f t="shared" si="47"/>
        <v>5286.9536799999996</v>
      </c>
      <c r="F617" s="20">
        <f>SUM(F618:F622)</f>
        <v>5022.6066799999999</v>
      </c>
      <c r="G617" s="20">
        <f t="shared" si="51"/>
        <v>0</v>
      </c>
      <c r="H617" s="20">
        <f>SUM(H618:H622)</f>
        <v>264.34699999999998</v>
      </c>
      <c r="I617" s="20">
        <f t="shared" si="50"/>
        <v>0</v>
      </c>
      <c r="J617" s="181" t="s">
        <v>942</v>
      </c>
      <c r="K617" s="181" t="s">
        <v>547</v>
      </c>
    </row>
    <row r="618" spans="1:11" x14ac:dyDescent="0.25">
      <c r="A618" s="181"/>
      <c r="B618" s="181"/>
      <c r="C618" s="181"/>
      <c r="D618" s="19">
        <v>2021</v>
      </c>
      <c r="E618" s="20">
        <f t="shared" si="47"/>
        <v>0</v>
      </c>
      <c r="F618" s="20">
        <v>0</v>
      </c>
      <c r="G618" s="20">
        <f t="shared" si="51"/>
        <v>0</v>
      </c>
      <c r="H618" s="20">
        <v>0</v>
      </c>
      <c r="I618" s="20">
        <f t="shared" si="50"/>
        <v>0</v>
      </c>
      <c r="J618" s="181"/>
      <c r="K618" s="181"/>
    </row>
    <row r="619" spans="1:11" x14ac:dyDescent="0.25">
      <c r="A619" s="181"/>
      <c r="B619" s="181"/>
      <c r="C619" s="181"/>
      <c r="D619" s="19">
        <v>2022</v>
      </c>
      <c r="E619" s="20">
        <f t="shared" si="47"/>
        <v>5286.9536799999996</v>
      </c>
      <c r="F619" s="20">
        <v>5022.6066799999999</v>
      </c>
      <c r="G619" s="20">
        <f t="shared" si="51"/>
        <v>0</v>
      </c>
      <c r="H619" s="20">
        <v>264.34699999999998</v>
      </c>
      <c r="I619" s="20">
        <f t="shared" si="50"/>
        <v>0</v>
      </c>
      <c r="J619" s="181"/>
      <c r="K619" s="181"/>
    </row>
    <row r="620" spans="1:11" x14ac:dyDescent="0.25">
      <c r="A620" s="181"/>
      <c r="B620" s="181"/>
      <c r="C620" s="181"/>
      <c r="D620" s="19">
        <v>2023</v>
      </c>
      <c r="E620" s="20">
        <f t="shared" si="47"/>
        <v>0</v>
      </c>
      <c r="F620" s="20">
        <v>0</v>
      </c>
      <c r="G620" s="20">
        <f t="shared" si="51"/>
        <v>0</v>
      </c>
      <c r="H620" s="20">
        <v>0</v>
      </c>
      <c r="I620" s="20">
        <f t="shared" si="50"/>
        <v>0</v>
      </c>
      <c r="J620" s="181"/>
      <c r="K620" s="181"/>
    </row>
    <row r="621" spans="1:11" x14ac:dyDescent="0.25">
      <c r="A621" s="181"/>
      <c r="B621" s="181"/>
      <c r="C621" s="181"/>
      <c r="D621" s="19">
        <v>2024</v>
      </c>
      <c r="E621" s="20">
        <f t="shared" si="47"/>
        <v>0</v>
      </c>
      <c r="F621" s="20">
        <v>0</v>
      </c>
      <c r="G621" s="20">
        <f t="shared" si="51"/>
        <v>0</v>
      </c>
      <c r="H621" s="20">
        <v>0</v>
      </c>
      <c r="I621" s="20">
        <f t="shared" si="50"/>
        <v>0</v>
      </c>
      <c r="J621" s="181"/>
      <c r="K621" s="181"/>
    </row>
    <row r="622" spans="1:11" x14ac:dyDescent="0.25">
      <c r="A622" s="181"/>
      <c r="B622" s="181"/>
      <c r="C622" s="181"/>
      <c r="D622" s="19">
        <v>2025</v>
      </c>
      <c r="E622" s="20">
        <f t="shared" ref="E622:F685" si="52">SUM(F622:I622)</f>
        <v>0</v>
      </c>
      <c r="F622" s="20">
        <v>0</v>
      </c>
      <c r="G622" s="20">
        <f t="shared" si="51"/>
        <v>0</v>
      </c>
      <c r="H622" s="20">
        <v>0</v>
      </c>
      <c r="I622" s="20">
        <f t="shared" si="50"/>
        <v>0</v>
      </c>
      <c r="J622" s="181"/>
      <c r="K622" s="181"/>
    </row>
    <row r="623" spans="1:11" x14ac:dyDescent="0.25">
      <c r="A623" s="181" t="s">
        <v>943</v>
      </c>
      <c r="B623" s="181" t="s">
        <v>944</v>
      </c>
      <c r="C623" s="181">
        <v>2022</v>
      </c>
      <c r="D623" s="19" t="s">
        <v>8</v>
      </c>
      <c r="E623" s="20">
        <f t="shared" si="52"/>
        <v>2973.9789052631577</v>
      </c>
      <c r="F623" s="20">
        <f>SUM(F624:F628)</f>
        <v>2825.2799599999998</v>
      </c>
      <c r="G623" s="20">
        <f t="shared" si="51"/>
        <v>0</v>
      </c>
      <c r="H623" s="20">
        <f>SUM(H624:H628)</f>
        <v>148.69894526315787</v>
      </c>
      <c r="I623" s="20">
        <f t="shared" si="50"/>
        <v>0</v>
      </c>
      <c r="J623" s="181" t="s">
        <v>945</v>
      </c>
      <c r="K623" s="181" t="s">
        <v>547</v>
      </c>
    </row>
    <row r="624" spans="1:11" x14ac:dyDescent="0.25">
      <c r="A624" s="181"/>
      <c r="B624" s="181"/>
      <c r="C624" s="181"/>
      <c r="D624" s="19">
        <v>2021</v>
      </c>
      <c r="E624" s="20">
        <f t="shared" si="52"/>
        <v>0</v>
      </c>
      <c r="F624" s="20">
        <v>0</v>
      </c>
      <c r="G624" s="20">
        <f t="shared" si="51"/>
        <v>0</v>
      </c>
      <c r="H624" s="20">
        <v>0</v>
      </c>
      <c r="I624" s="20">
        <v>0</v>
      </c>
      <c r="J624" s="181"/>
      <c r="K624" s="181"/>
    </row>
    <row r="625" spans="1:11" x14ac:dyDescent="0.25">
      <c r="A625" s="181"/>
      <c r="B625" s="181"/>
      <c r="C625" s="181"/>
      <c r="D625" s="19">
        <v>2022</v>
      </c>
      <c r="E625" s="20">
        <f t="shared" si="52"/>
        <v>2973.9789052631577</v>
      </c>
      <c r="F625" s="20">
        <v>2825.2799599999998</v>
      </c>
      <c r="G625" s="20">
        <f t="shared" ref="G625:G635" si="53">SUM(G626:G630)</f>
        <v>0</v>
      </c>
      <c r="H625" s="20">
        <f>F625/95*5</f>
        <v>148.69894526315787</v>
      </c>
      <c r="I625" s="20">
        <v>0</v>
      </c>
      <c r="J625" s="181"/>
      <c r="K625" s="181"/>
    </row>
    <row r="626" spans="1:11" x14ac:dyDescent="0.25">
      <c r="A626" s="181"/>
      <c r="B626" s="181"/>
      <c r="C626" s="181"/>
      <c r="D626" s="19">
        <v>2023</v>
      </c>
      <c r="E626" s="20">
        <f t="shared" si="52"/>
        <v>0</v>
      </c>
      <c r="F626" s="20">
        <v>0</v>
      </c>
      <c r="G626" s="20">
        <v>0</v>
      </c>
      <c r="H626" s="20">
        <v>0</v>
      </c>
      <c r="I626" s="20">
        <v>0</v>
      </c>
      <c r="J626" s="181"/>
      <c r="K626" s="181"/>
    </row>
    <row r="627" spans="1:11" x14ac:dyDescent="0.25">
      <c r="A627" s="181"/>
      <c r="B627" s="181"/>
      <c r="C627" s="181"/>
      <c r="D627" s="19">
        <v>2024</v>
      </c>
      <c r="E627" s="20">
        <f t="shared" si="52"/>
        <v>0</v>
      </c>
      <c r="F627" s="20">
        <v>0</v>
      </c>
      <c r="G627" s="20">
        <v>0</v>
      </c>
      <c r="H627" s="20">
        <v>0</v>
      </c>
      <c r="I627" s="20">
        <v>0</v>
      </c>
      <c r="J627" s="181"/>
      <c r="K627" s="181"/>
    </row>
    <row r="628" spans="1:11" x14ac:dyDescent="0.25">
      <c r="A628" s="181"/>
      <c r="B628" s="181"/>
      <c r="C628" s="181"/>
      <c r="D628" s="19">
        <v>2025</v>
      </c>
      <c r="E628" s="20">
        <f t="shared" si="52"/>
        <v>0</v>
      </c>
      <c r="F628" s="20">
        <v>0</v>
      </c>
      <c r="G628" s="20">
        <v>0</v>
      </c>
      <c r="H628" s="20">
        <v>0</v>
      </c>
      <c r="I628" s="20">
        <v>0</v>
      </c>
      <c r="J628" s="181"/>
      <c r="K628" s="181"/>
    </row>
    <row r="629" spans="1:11" x14ac:dyDescent="0.25">
      <c r="A629" s="181" t="s">
        <v>946</v>
      </c>
      <c r="B629" s="181" t="s">
        <v>947</v>
      </c>
      <c r="C629" s="181" t="s">
        <v>1169</v>
      </c>
      <c r="D629" s="19" t="s">
        <v>8</v>
      </c>
      <c r="E629" s="20">
        <f t="shared" si="52"/>
        <v>26151.575000000001</v>
      </c>
      <c r="F629" s="20">
        <f>SUM(F630:F634)</f>
        <v>24843.99625</v>
      </c>
      <c r="G629" s="20">
        <f t="shared" si="53"/>
        <v>0</v>
      </c>
      <c r="H629" s="20">
        <f>SUM(H630:H634)</f>
        <v>1307.5787500000001</v>
      </c>
      <c r="I629" s="20">
        <f t="shared" si="50"/>
        <v>0</v>
      </c>
      <c r="J629" s="181" t="s">
        <v>1187</v>
      </c>
      <c r="K629" s="181" t="s">
        <v>547</v>
      </c>
    </row>
    <row r="630" spans="1:11" x14ac:dyDescent="0.25">
      <c r="A630" s="181"/>
      <c r="B630" s="181"/>
      <c r="C630" s="181"/>
      <c r="D630" s="19">
        <v>2021</v>
      </c>
      <c r="E630" s="20">
        <f t="shared" si="52"/>
        <v>0</v>
      </c>
      <c r="F630" s="20">
        <v>0</v>
      </c>
      <c r="G630" s="20">
        <v>0</v>
      </c>
      <c r="H630" s="20">
        <v>0</v>
      </c>
      <c r="I630" s="20">
        <f>SUM(I631:I634)</f>
        <v>0</v>
      </c>
      <c r="J630" s="181"/>
      <c r="K630" s="181"/>
    </row>
    <row r="631" spans="1:11" x14ac:dyDescent="0.25">
      <c r="A631" s="181"/>
      <c r="B631" s="181"/>
      <c r="C631" s="181"/>
      <c r="D631" s="19">
        <v>2022</v>
      </c>
      <c r="E631" s="20">
        <f t="shared" si="52"/>
        <v>16151.575000000001</v>
      </c>
      <c r="F631" s="20">
        <v>15343.99625</v>
      </c>
      <c r="G631" s="20">
        <v>0</v>
      </c>
      <c r="H631" s="20">
        <f>F631*5/95</f>
        <v>807.57875000000001</v>
      </c>
      <c r="I631" s="20">
        <f>SUM(I632:I634)</f>
        <v>0</v>
      </c>
      <c r="J631" s="181"/>
      <c r="K631" s="181"/>
    </row>
    <row r="632" spans="1:11" x14ac:dyDescent="0.25">
      <c r="A632" s="181"/>
      <c r="B632" s="181"/>
      <c r="C632" s="181"/>
      <c r="D632" s="19">
        <v>2023</v>
      </c>
      <c r="E632" s="20">
        <f t="shared" si="52"/>
        <v>10000</v>
      </c>
      <c r="F632" s="20">
        <v>9500</v>
      </c>
      <c r="G632" s="20">
        <v>0</v>
      </c>
      <c r="H632" s="20">
        <v>500</v>
      </c>
      <c r="I632" s="20">
        <f>SUM(I633:I634)</f>
        <v>0</v>
      </c>
      <c r="J632" s="181"/>
      <c r="K632" s="181"/>
    </row>
    <row r="633" spans="1:11" x14ac:dyDescent="0.25">
      <c r="A633" s="181"/>
      <c r="B633" s="181"/>
      <c r="C633" s="181"/>
      <c r="D633" s="19">
        <v>2024</v>
      </c>
      <c r="E633" s="20">
        <f t="shared" si="52"/>
        <v>0</v>
      </c>
      <c r="F633" s="20">
        <v>0</v>
      </c>
      <c r="G633" s="20">
        <v>0</v>
      </c>
      <c r="H633" s="20">
        <v>0</v>
      </c>
      <c r="I633" s="20">
        <v>0</v>
      </c>
      <c r="J633" s="181"/>
      <c r="K633" s="181"/>
    </row>
    <row r="634" spans="1:11" x14ac:dyDescent="0.25">
      <c r="A634" s="181"/>
      <c r="B634" s="181"/>
      <c r="C634" s="181"/>
      <c r="D634" s="19">
        <v>2025</v>
      </c>
      <c r="E634" s="20">
        <f t="shared" si="52"/>
        <v>0</v>
      </c>
      <c r="F634" s="20">
        <v>0</v>
      </c>
      <c r="G634" s="20">
        <v>0</v>
      </c>
      <c r="H634" s="20">
        <v>0</v>
      </c>
      <c r="I634" s="20">
        <v>0</v>
      </c>
      <c r="J634" s="181"/>
      <c r="K634" s="181"/>
    </row>
    <row r="635" spans="1:11" x14ac:dyDescent="0.25">
      <c r="A635" s="181" t="s">
        <v>1188</v>
      </c>
      <c r="B635" s="181" t="s">
        <v>1189</v>
      </c>
      <c r="C635" s="181" t="s">
        <v>1169</v>
      </c>
      <c r="D635" s="19" t="s">
        <v>8</v>
      </c>
      <c r="E635" s="20">
        <f t="shared" si="52"/>
        <v>11451.6183</v>
      </c>
      <c r="F635" s="20">
        <f>SUM(F636:F640)</f>
        <v>11451.6183</v>
      </c>
      <c r="G635" s="20">
        <f t="shared" si="53"/>
        <v>0</v>
      </c>
      <c r="H635" s="20">
        <f>SUM(H636:H640)</f>
        <v>0</v>
      </c>
      <c r="I635" s="20">
        <f>SUM(I636:I640)</f>
        <v>0</v>
      </c>
      <c r="J635" s="181" t="s">
        <v>1756</v>
      </c>
      <c r="K635" s="181" t="s">
        <v>1190</v>
      </c>
    </row>
    <row r="636" spans="1:11" x14ac:dyDescent="0.25">
      <c r="A636" s="181"/>
      <c r="B636" s="181"/>
      <c r="C636" s="181"/>
      <c r="D636" s="19">
        <v>2021</v>
      </c>
      <c r="E636" s="20">
        <f t="shared" si="52"/>
        <v>0</v>
      </c>
      <c r="F636" s="20">
        <v>0</v>
      </c>
      <c r="G636" s="20">
        <v>0</v>
      </c>
      <c r="H636" s="20">
        <v>0</v>
      </c>
      <c r="I636" s="20">
        <v>0</v>
      </c>
      <c r="J636" s="181"/>
      <c r="K636" s="181"/>
    </row>
    <row r="637" spans="1:11" x14ac:dyDescent="0.25">
      <c r="A637" s="181"/>
      <c r="B637" s="181"/>
      <c r="C637" s="181"/>
      <c r="D637" s="19">
        <v>2022</v>
      </c>
      <c r="E637" s="20">
        <f t="shared" si="52"/>
        <v>11287.552299999999</v>
      </c>
      <c r="F637" s="20">
        <v>11287.552299999999</v>
      </c>
      <c r="G637" s="20">
        <v>0</v>
      </c>
      <c r="H637" s="20">
        <v>0</v>
      </c>
      <c r="I637" s="20">
        <v>0</v>
      </c>
      <c r="J637" s="181"/>
      <c r="K637" s="181"/>
    </row>
    <row r="638" spans="1:11" x14ac:dyDescent="0.25">
      <c r="A638" s="181"/>
      <c r="B638" s="181"/>
      <c r="C638" s="181"/>
      <c r="D638" s="19">
        <v>2023</v>
      </c>
      <c r="E638" s="20">
        <f t="shared" si="52"/>
        <v>164.066</v>
      </c>
      <c r="F638" s="20">
        <v>164.066</v>
      </c>
      <c r="G638" s="20">
        <v>0</v>
      </c>
      <c r="H638" s="20">
        <v>0</v>
      </c>
      <c r="I638" s="20">
        <v>0</v>
      </c>
      <c r="J638" s="181"/>
      <c r="K638" s="181"/>
    </row>
    <row r="639" spans="1:11" x14ac:dyDescent="0.25">
      <c r="A639" s="181"/>
      <c r="B639" s="181"/>
      <c r="C639" s="181"/>
      <c r="D639" s="19">
        <v>2024</v>
      </c>
      <c r="E639" s="20">
        <f t="shared" si="52"/>
        <v>0</v>
      </c>
      <c r="F639" s="20">
        <v>0</v>
      </c>
      <c r="G639" s="20">
        <v>0</v>
      </c>
      <c r="H639" s="20">
        <v>0</v>
      </c>
      <c r="I639" s="20">
        <v>0</v>
      </c>
      <c r="J639" s="181"/>
      <c r="K639" s="181"/>
    </row>
    <row r="640" spans="1:11" x14ac:dyDescent="0.25">
      <c r="A640" s="181"/>
      <c r="B640" s="181"/>
      <c r="C640" s="181"/>
      <c r="D640" s="19">
        <v>2025</v>
      </c>
      <c r="E640" s="20">
        <f t="shared" si="52"/>
        <v>0</v>
      </c>
      <c r="F640" s="20">
        <v>0</v>
      </c>
      <c r="G640" s="20">
        <v>0</v>
      </c>
      <c r="H640" s="20">
        <v>0</v>
      </c>
      <c r="I640" s="20">
        <v>0</v>
      </c>
      <c r="J640" s="181"/>
      <c r="K640" s="181"/>
    </row>
    <row r="641" spans="1:11" x14ac:dyDescent="0.25">
      <c r="A641" s="181" t="s">
        <v>1191</v>
      </c>
      <c r="B641" s="181" t="s">
        <v>1192</v>
      </c>
      <c r="C641" s="181">
        <v>2022</v>
      </c>
      <c r="D641" s="19" t="s">
        <v>8</v>
      </c>
      <c r="E641" s="20">
        <f t="shared" si="52"/>
        <v>2900</v>
      </c>
      <c r="F641" s="20">
        <f>SUM(F642:F646)</f>
        <v>2900</v>
      </c>
      <c r="G641" s="20">
        <f t="shared" ref="G641:I653" si="54">SUM(G642:G646)</f>
        <v>0</v>
      </c>
      <c r="H641" s="20">
        <f>SUM(H642:H646)</f>
        <v>0</v>
      </c>
      <c r="I641" s="20">
        <f>SUM(I642:I646)</f>
        <v>0</v>
      </c>
      <c r="J641" s="181" t="s">
        <v>1193</v>
      </c>
      <c r="K641" s="181" t="s">
        <v>597</v>
      </c>
    </row>
    <row r="642" spans="1:11" x14ac:dyDescent="0.25">
      <c r="A642" s="181"/>
      <c r="B642" s="181"/>
      <c r="C642" s="181"/>
      <c r="D642" s="19">
        <v>2021</v>
      </c>
      <c r="E642" s="20">
        <f t="shared" si="52"/>
        <v>0</v>
      </c>
      <c r="F642" s="20">
        <v>0</v>
      </c>
      <c r="G642" s="20">
        <v>0</v>
      </c>
      <c r="H642" s="20">
        <v>0</v>
      </c>
      <c r="I642" s="20">
        <v>0</v>
      </c>
      <c r="J642" s="181"/>
      <c r="K642" s="181"/>
    </row>
    <row r="643" spans="1:11" x14ac:dyDescent="0.25">
      <c r="A643" s="181"/>
      <c r="B643" s="181"/>
      <c r="C643" s="181"/>
      <c r="D643" s="19">
        <v>2022</v>
      </c>
      <c r="E643" s="20">
        <f t="shared" si="52"/>
        <v>2900</v>
      </c>
      <c r="F643" s="20">
        <v>2900</v>
      </c>
      <c r="G643" s="20">
        <v>0</v>
      </c>
      <c r="H643" s="20">
        <v>0</v>
      </c>
      <c r="I643" s="20">
        <v>0</v>
      </c>
      <c r="J643" s="181"/>
      <c r="K643" s="181"/>
    </row>
    <row r="644" spans="1:11" x14ac:dyDescent="0.25">
      <c r="A644" s="181"/>
      <c r="B644" s="181"/>
      <c r="C644" s="181"/>
      <c r="D644" s="19">
        <v>2023</v>
      </c>
      <c r="E644" s="20">
        <f t="shared" si="52"/>
        <v>0</v>
      </c>
      <c r="F644" s="20">
        <v>0</v>
      </c>
      <c r="G644" s="20">
        <v>0</v>
      </c>
      <c r="H644" s="20">
        <v>0</v>
      </c>
      <c r="I644" s="20">
        <v>0</v>
      </c>
      <c r="J644" s="181"/>
      <c r="K644" s="181"/>
    </row>
    <row r="645" spans="1:11" x14ac:dyDescent="0.25">
      <c r="A645" s="181"/>
      <c r="B645" s="181"/>
      <c r="C645" s="181"/>
      <c r="D645" s="19">
        <v>2024</v>
      </c>
      <c r="E645" s="20">
        <f t="shared" si="52"/>
        <v>0</v>
      </c>
      <c r="F645" s="20">
        <v>0</v>
      </c>
      <c r="G645" s="20">
        <v>0</v>
      </c>
      <c r="H645" s="20">
        <v>0</v>
      </c>
      <c r="I645" s="20">
        <v>0</v>
      </c>
      <c r="J645" s="181"/>
      <c r="K645" s="181"/>
    </row>
    <row r="646" spans="1:11" x14ac:dyDescent="0.25">
      <c r="A646" s="181"/>
      <c r="B646" s="181"/>
      <c r="C646" s="181"/>
      <c r="D646" s="19">
        <v>2025</v>
      </c>
      <c r="E646" s="20">
        <f t="shared" si="52"/>
        <v>0</v>
      </c>
      <c r="F646" s="20">
        <v>0</v>
      </c>
      <c r="G646" s="20">
        <v>0</v>
      </c>
      <c r="H646" s="20">
        <v>0</v>
      </c>
      <c r="I646" s="20">
        <v>0</v>
      </c>
      <c r="J646" s="181"/>
      <c r="K646" s="181"/>
    </row>
    <row r="647" spans="1:11" x14ac:dyDescent="0.25">
      <c r="A647" s="181" t="s">
        <v>1194</v>
      </c>
      <c r="B647" s="181" t="s">
        <v>1195</v>
      </c>
      <c r="C647" s="181">
        <v>2022</v>
      </c>
      <c r="D647" s="19" t="s">
        <v>8</v>
      </c>
      <c r="E647" s="20">
        <f t="shared" si="52"/>
        <v>0</v>
      </c>
      <c r="F647" s="20">
        <f>SUM(F648:F652)</f>
        <v>0</v>
      </c>
      <c r="G647" s="20">
        <f t="shared" si="54"/>
        <v>0</v>
      </c>
      <c r="H647" s="20">
        <f>SUM(H648:H652)</f>
        <v>0</v>
      </c>
      <c r="I647" s="20">
        <f>SUM(I648:I652)</f>
        <v>0</v>
      </c>
      <c r="J647" s="181" t="s">
        <v>1196</v>
      </c>
      <c r="K647" s="181" t="s">
        <v>597</v>
      </c>
    </row>
    <row r="648" spans="1:11" x14ac:dyDescent="0.25">
      <c r="A648" s="181"/>
      <c r="B648" s="181"/>
      <c r="C648" s="181"/>
      <c r="D648" s="19">
        <v>2021</v>
      </c>
      <c r="E648" s="20">
        <f t="shared" si="52"/>
        <v>0</v>
      </c>
      <c r="F648" s="20">
        <v>0</v>
      </c>
      <c r="G648" s="20">
        <v>0</v>
      </c>
      <c r="H648" s="20">
        <v>0</v>
      </c>
      <c r="I648" s="20">
        <v>0</v>
      </c>
      <c r="J648" s="181"/>
      <c r="K648" s="181"/>
    </row>
    <row r="649" spans="1:11" x14ac:dyDescent="0.25">
      <c r="A649" s="181"/>
      <c r="B649" s="181"/>
      <c r="C649" s="181"/>
      <c r="D649" s="19">
        <v>2022</v>
      </c>
      <c r="E649" s="20">
        <f t="shared" si="52"/>
        <v>0</v>
      </c>
      <c r="F649" s="20">
        <v>0</v>
      </c>
      <c r="G649" s="20">
        <v>0</v>
      </c>
      <c r="H649" s="20">
        <v>0</v>
      </c>
      <c r="I649" s="20">
        <v>0</v>
      </c>
      <c r="J649" s="181"/>
      <c r="K649" s="181"/>
    </row>
    <row r="650" spans="1:11" x14ac:dyDescent="0.25">
      <c r="A650" s="181"/>
      <c r="B650" s="181"/>
      <c r="C650" s="181"/>
      <c r="D650" s="19">
        <v>2023</v>
      </c>
      <c r="E650" s="20">
        <f t="shared" si="52"/>
        <v>0</v>
      </c>
      <c r="F650" s="20">
        <v>0</v>
      </c>
      <c r="G650" s="20">
        <v>0</v>
      </c>
      <c r="H650" s="20">
        <v>0</v>
      </c>
      <c r="I650" s="20">
        <v>0</v>
      </c>
      <c r="J650" s="181"/>
      <c r="K650" s="181"/>
    </row>
    <row r="651" spans="1:11" x14ac:dyDescent="0.25">
      <c r="A651" s="181"/>
      <c r="B651" s="181"/>
      <c r="C651" s="181"/>
      <c r="D651" s="19">
        <v>2024</v>
      </c>
      <c r="E651" s="20">
        <f t="shared" si="52"/>
        <v>0</v>
      </c>
      <c r="F651" s="20">
        <v>0</v>
      </c>
      <c r="G651" s="20">
        <v>0</v>
      </c>
      <c r="H651" s="20">
        <v>0</v>
      </c>
      <c r="I651" s="20">
        <v>0</v>
      </c>
      <c r="J651" s="181"/>
      <c r="K651" s="181"/>
    </row>
    <row r="652" spans="1:11" x14ac:dyDescent="0.25">
      <c r="A652" s="181"/>
      <c r="B652" s="181"/>
      <c r="C652" s="181"/>
      <c r="D652" s="19">
        <v>2025</v>
      </c>
      <c r="E652" s="20">
        <f t="shared" si="52"/>
        <v>0</v>
      </c>
      <c r="F652" s="20">
        <v>0</v>
      </c>
      <c r="G652" s="20">
        <v>0</v>
      </c>
      <c r="H652" s="20">
        <v>0</v>
      </c>
      <c r="I652" s="20">
        <v>0</v>
      </c>
      <c r="J652" s="181"/>
      <c r="K652" s="181"/>
    </row>
    <row r="653" spans="1:11" x14ac:dyDescent="0.25">
      <c r="A653" s="181" t="s">
        <v>1197</v>
      </c>
      <c r="B653" s="181" t="s">
        <v>1198</v>
      </c>
      <c r="C653" s="181">
        <v>2022</v>
      </c>
      <c r="D653" s="19" t="s">
        <v>8</v>
      </c>
      <c r="E653" s="20">
        <f t="shared" si="52"/>
        <v>964.12733015494632</v>
      </c>
      <c r="F653" s="20">
        <f>SUM(F654:F658)</f>
        <v>808.90282999999999</v>
      </c>
      <c r="G653" s="20">
        <f t="shared" si="54"/>
        <v>0</v>
      </c>
      <c r="H653" s="20">
        <f t="shared" si="54"/>
        <v>155.22450015494636</v>
      </c>
      <c r="I653" s="20">
        <f t="shared" si="54"/>
        <v>0</v>
      </c>
      <c r="J653" s="181" t="s">
        <v>1199</v>
      </c>
      <c r="K653" s="181" t="s">
        <v>566</v>
      </c>
    </row>
    <row r="654" spans="1:11" x14ac:dyDescent="0.25">
      <c r="A654" s="181"/>
      <c r="B654" s="181"/>
      <c r="C654" s="181"/>
      <c r="D654" s="19">
        <v>2021</v>
      </c>
      <c r="E654" s="20">
        <f t="shared" si="52"/>
        <v>0</v>
      </c>
      <c r="F654" s="20">
        <v>0</v>
      </c>
      <c r="G654" s="20">
        <v>0</v>
      </c>
      <c r="H654" s="20">
        <v>0</v>
      </c>
      <c r="I654" s="20">
        <v>0</v>
      </c>
      <c r="J654" s="181"/>
      <c r="K654" s="181"/>
    </row>
    <row r="655" spans="1:11" x14ac:dyDescent="0.25">
      <c r="A655" s="181"/>
      <c r="B655" s="181"/>
      <c r="C655" s="181"/>
      <c r="D655" s="19">
        <v>2022</v>
      </c>
      <c r="E655" s="20">
        <f t="shared" si="52"/>
        <v>964.12733015494632</v>
      </c>
      <c r="F655" s="20">
        <f>808.944-0.04117</f>
        <v>808.90282999999999</v>
      </c>
      <c r="G655" s="20">
        <v>0</v>
      </c>
      <c r="H655" s="20">
        <f>F655*16.1/83.9</f>
        <v>155.22450015494636</v>
      </c>
      <c r="I655" s="20">
        <v>0</v>
      </c>
      <c r="J655" s="181"/>
      <c r="K655" s="181"/>
    </row>
    <row r="656" spans="1:11" x14ac:dyDescent="0.25">
      <c r="A656" s="181"/>
      <c r="B656" s="181"/>
      <c r="C656" s="181"/>
      <c r="D656" s="19">
        <v>2023</v>
      </c>
      <c r="E656" s="20">
        <f t="shared" si="52"/>
        <v>0</v>
      </c>
      <c r="F656" s="20">
        <v>0</v>
      </c>
      <c r="G656" s="20">
        <v>0</v>
      </c>
      <c r="H656" s="20">
        <v>0</v>
      </c>
      <c r="I656" s="20">
        <v>0</v>
      </c>
      <c r="J656" s="181"/>
      <c r="K656" s="181"/>
    </row>
    <row r="657" spans="1:11" x14ac:dyDescent="0.25">
      <c r="A657" s="181"/>
      <c r="B657" s="181"/>
      <c r="C657" s="181"/>
      <c r="D657" s="19">
        <v>2024</v>
      </c>
      <c r="E657" s="20">
        <f t="shared" si="52"/>
        <v>0</v>
      </c>
      <c r="F657" s="20">
        <v>0</v>
      </c>
      <c r="G657" s="20">
        <v>0</v>
      </c>
      <c r="H657" s="20">
        <v>0</v>
      </c>
      <c r="I657" s="20">
        <v>0</v>
      </c>
      <c r="J657" s="181"/>
      <c r="K657" s="181"/>
    </row>
    <row r="658" spans="1:11" x14ac:dyDescent="0.25">
      <c r="A658" s="181"/>
      <c r="B658" s="181"/>
      <c r="C658" s="181"/>
      <c r="D658" s="19">
        <v>2025</v>
      </c>
      <c r="E658" s="20">
        <f t="shared" si="52"/>
        <v>0</v>
      </c>
      <c r="F658" s="20">
        <v>0</v>
      </c>
      <c r="G658" s="20">
        <v>0</v>
      </c>
      <c r="H658" s="20">
        <v>0</v>
      </c>
      <c r="I658" s="20">
        <v>0</v>
      </c>
      <c r="J658" s="181"/>
      <c r="K658" s="181"/>
    </row>
    <row r="659" spans="1:11" x14ac:dyDescent="0.25">
      <c r="A659" s="181" t="s">
        <v>1200</v>
      </c>
      <c r="B659" s="181" t="s">
        <v>1201</v>
      </c>
      <c r="C659" s="181">
        <v>2022</v>
      </c>
      <c r="D659" s="19" t="s">
        <v>8</v>
      </c>
      <c r="E659" s="20">
        <f t="shared" si="52"/>
        <v>5088.3444576877237</v>
      </c>
      <c r="F659" s="20">
        <f>SUM(F660:F664)</f>
        <v>4269.1210000000001</v>
      </c>
      <c r="G659" s="20">
        <f t="shared" ref="G659:I677" si="55">SUM(G660:G664)</f>
        <v>0</v>
      </c>
      <c r="H659" s="20">
        <f t="shared" si="55"/>
        <v>819.22345768772345</v>
      </c>
      <c r="I659" s="20">
        <f t="shared" si="55"/>
        <v>0</v>
      </c>
      <c r="J659" s="181" t="s">
        <v>1202</v>
      </c>
      <c r="K659" s="181" t="s">
        <v>566</v>
      </c>
    </row>
    <row r="660" spans="1:11" x14ac:dyDescent="0.25">
      <c r="A660" s="181"/>
      <c r="B660" s="181"/>
      <c r="C660" s="181"/>
      <c r="D660" s="19">
        <v>2021</v>
      </c>
      <c r="E660" s="20">
        <f t="shared" si="52"/>
        <v>0</v>
      </c>
      <c r="F660" s="20">
        <v>0</v>
      </c>
      <c r="G660" s="20">
        <v>0</v>
      </c>
      <c r="H660" s="20">
        <v>0</v>
      </c>
      <c r="I660" s="20">
        <v>0</v>
      </c>
      <c r="J660" s="181"/>
      <c r="K660" s="181"/>
    </row>
    <row r="661" spans="1:11" x14ac:dyDescent="0.25">
      <c r="A661" s="181"/>
      <c r="B661" s="181"/>
      <c r="C661" s="181"/>
      <c r="D661" s="19">
        <v>2022</v>
      </c>
      <c r="E661" s="20">
        <f t="shared" si="52"/>
        <v>5088.3444576877237</v>
      </c>
      <c r="F661" s="20">
        <f>4677.411-408.29</f>
        <v>4269.1210000000001</v>
      </c>
      <c r="G661" s="20">
        <v>0</v>
      </c>
      <c r="H661" s="20">
        <f>F661*16.1/83.9</f>
        <v>819.22345768772345</v>
      </c>
      <c r="I661" s="20">
        <v>0</v>
      </c>
      <c r="J661" s="181"/>
      <c r="K661" s="181"/>
    </row>
    <row r="662" spans="1:11" x14ac:dyDescent="0.25">
      <c r="A662" s="181"/>
      <c r="B662" s="181"/>
      <c r="C662" s="181"/>
      <c r="D662" s="19">
        <v>2023</v>
      </c>
      <c r="E662" s="20">
        <f t="shared" si="52"/>
        <v>0</v>
      </c>
      <c r="F662" s="20">
        <v>0</v>
      </c>
      <c r="G662" s="20">
        <v>0</v>
      </c>
      <c r="H662" s="20">
        <v>0</v>
      </c>
      <c r="I662" s="20">
        <v>0</v>
      </c>
      <c r="J662" s="181"/>
      <c r="K662" s="181"/>
    </row>
    <row r="663" spans="1:11" x14ac:dyDescent="0.25">
      <c r="A663" s="181"/>
      <c r="B663" s="181"/>
      <c r="C663" s="181"/>
      <c r="D663" s="19">
        <v>2024</v>
      </c>
      <c r="E663" s="20">
        <f t="shared" si="52"/>
        <v>0</v>
      </c>
      <c r="F663" s="20">
        <v>0</v>
      </c>
      <c r="G663" s="20">
        <v>0</v>
      </c>
      <c r="H663" s="20">
        <v>0</v>
      </c>
      <c r="I663" s="20">
        <v>0</v>
      </c>
      <c r="J663" s="181"/>
      <c r="K663" s="181"/>
    </row>
    <row r="664" spans="1:11" x14ac:dyDescent="0.25">
      <c r="A664" s="181"/>
      <c r="B664" s="181"/>
      <c r="C664" s="181"/>
      <c r="D664" s="19">
        <v>2025</v>
      </c>
      <c r="E664" s="20">
        <f t="shared" si="52"/>
        <v>0</v>
      </c>
      <c r="F664" s="20">
        <v>0</v>
      </c>
      <c r="G664" s="20">
        <v>0</v>
      </c>
      <c r="H664" s="20">
        <v>0</v>
      </c>
      <c r="I664" s="20">
        <v>0</v>
      </c>
      <c r="J664" s="181"/>
      <c r="K664" s="181"/>
    </row>
    <row r="665" spans="1:11" x14ac:dyDescent="0.25">
      <c r="A665" s="181" t="s">
        <v>1203</v>
      </c>
      <c r="B665" s="181" t="s">
        <v>1204</v>
      </c>
      <c r="C665" s="181">
        <v>2022</v>
      </c>
      <c r="D665" s="19" t="s">
        <v>8</v>
      </c>
      <c r="E665" s="20">
        <f t="shared" si="52"/>
        <v>35550</v>
      </c>
      <c r="F665" s="20">
        <f>SUM(F666:F670)</f>
        <v>33772.5</v>
      </c>
      <c r="G665" s="20">
        <v>0</v>
      </c>
      <c r="H665" s="20">
        <f>SUM(H666:H670)</f>
        <v>1777.5</v>
      </c>
      <c r="I665" s="20">
        <v>0</v>
      </c>
      <c r="J665" s="181" t="s">
        <v>1205</v>
      </c>
      <c r="K665" s="181" t="s">
        <v>1206</v>
      </c>
    </row>
    <row r="666" spans="1:11" x14ac:dyDescent="0.25">
      <c r="A666" s="181"/>
      <c r="B666" s="181"/>
      <c r="C666" s="181"/>
      <c r="D666" s="19">
        <v>2021</v>
      </c>
      <c r="E666" s="20">
        <f t="shared" si="52"/>
        <v>0</v>
      </c>
      <c r="F666" s="20">
        <v>0</v>
      </c>
      <c r="G666" s="20">
        <v>0</v>
      </c>
      <c r="H666" s="20">
        <v>0</v>
      </c>
      <c r="I666" s="20">
        <v>0</v>
      </c>
      <c r="J666" s="181"/>
      <c r="K666" s="181"/>
    </row>
    <row r="667" spans="1:11" x14ac:dyDescent="0.25">
      <c r="A667" s="181"/>
      <c r="B667" s="181"/>
      <c r="C667" s="181"/>
      <c r="D667" s="19">
        <v>2022</v>
      </c>
      <c r="E667" s="20">
        <f t="shared" si="52"/>
        <v>35550</v>
      </c>
      <c r="F667" s="20">
        <v>33772.5</v>
      </c>
      <c r="G667" s="20">
        <v>0</v>
      </c>
      <c r="H667" s="20">
        <f>F667*5/95</f>
        <v>1777.5</v>
      </c>
      <c r="I667" s="20">
        <v>0</v>
      </c>
      <c r="J667" s="181"/>
      <c r="K667" s="181"/>
    </row>
    <row r="668" spans="1:11" x14ac:dyDescent="0.25">
      <c r="A668" s="181"/>
      <c r="B668" s="181"/>
      <c r="C668" s="181"/>
      <c r="D668" s="19">
        <v>2023</v>
      </c>
      <c r="E668" s="20">
        <f t="shared" si="52"/>
        <v>0</v>
      </c>
      <c r="F668" s="20">
        <v>0</v>
      </c>
      <c r="G668" s="20">
        <v>0</v>
      </c>
      <c r="H668" s="20">
        <v>0</v>
      </c>
      <c r="I668" s="20">
        <v>0</v>
      </c>
      <c r="J668" s="181"/>
      <c r="K668" s="181"/>
    </row>
    <row r="669" spans="1:11" x14ac:dyDescent="0.25">
      <c r="A669" s="181"/>
      <c r="B669" s="181"/>
      <c r="C669" s="181"/>
      <c r="D669" s="19">
        <v>2024</v>
      </c>
      <c r="E669" s="20">
        <f t="shared" si="52"/>
        <v>0</v>
      </c>
      <c r="F669" s="20">
        <v>0</v>
      </c>
      <c r="G669" s="20">
        <v>0</v>
      </c>
      <c r="H669" s="20">
        <v>0</v>
      </c>
      <c r="I669" s="20">
        <v>0</v>
      </c>
      <c r="J669" s="181"/>
      <c r="K669" s="181"/>
    </row>
    <row r="670" spans="1:11" x14ac:dyDescent="0.25">
      <c r="A670" s="181"/>
      <c r="B670" s="181"/>
      <c r="C670" s="181"/>
      <c r="D670" s="19">
        <v>2025</v>
      </c>
      <c r="E670" s="20">
        <f t="shared" si="52"/>
        <v>0</v>
      </c>
      <c r="F670" s="20">
        <v>0</v>
      </c>
      <c r="G670" s="20">
        <v>0</v>
      </c>
      <c r="H670" s="20">
        <v>0</v>
      </c>
      <c r="I670" s="20">
        <v>0</v>
      </c>
      <c r="J670" s="181"/>
      <c r="K670" s="181"/>
    </row>
    <row r="671" spans="1:11" x14ac:dyDescent="0.25">
      <c r="A671" s="181" t="s">
        <v>1207</v>
      </c>
      <c r="B671" s="181" t="s">
        <v>1208</v>
      </c>
      <c r="C671" s="181">
        <v>2022</v>
      </c>
      <c r="D671" s="19" t="s">
        <v>8</v>
      </c>
      <c r="E671" s="20">
        <f t="shared" si="52"/>
        <v>15871.72</v>
      </c>
      <c r="F671" s="20">
        <f>SUM(F672:F676)</f>
        <v>15078.134</v>
      </c>
      <c r="G671" s="20">
        <v>0</v>
      </c>
      <c r="H671" s="20">
        <f>SUM(H672:H676)</f>
        <v>793.58600000000001</v>
      </c>
      <c r="I671" s="20">
        <v>0</v>
      </c>
      <c r="J671" s="181" t="s">
        <v>1209</v>
      </c>
      <c r="K671" s="181" t="s">
        <v>1206</v>
      </c>
    </row>
    <row r="672" spans="1:11" x14ac:dyDescent="0.25">
      <c r="A672" s="181"/>
      <c r="B672" s="181"/>
      <c r="C672" s="181"/>
      <c r="D672" s="19">
        <v>2021</v>
      </c>
      <c r="E672" s="20">
        <f t="shared" si="52"/>
        <v>0</v>
      </c>
      <c r="F672" s="20">
        <f>SUM(G672:J672)</f>
        <v>0</v>
      </c>
      <c r="G672" s="20">
        <v>0</v>
      </c>
      <c r="H672" s="20">
        <v>0</v>
      </c>
      <c r="I672" s="20">
        <v>0</v>
      </c>
      <c r="J672" s="181"/>
      <c r="K672" s="181"/>
    </row>
    <row r="673" spans="1:11" x14ac:dyDescent="0.25">
      <c r="A673" s="181"/>
      <c r="B673" s="181"/>
      <c r="C673" s="181"/>
      <c r="D673" s="19">
        <v>2022</v>
      </c>
      <c r="E673" s="20">
        <f t="shared" si="52"/>
        <v>15871.72</v>
      </c>
      <c r="F673" s="20">
        <v>15078.134</v>
      </c>
      <c r="G673" s="20">
        <v>0</v>
      </c>
      <c r="H673" s="20">
        <f>F673*5/95</f>
        <v>793.58600000000001</v>
      </c>
      <c r="I673" s="20">
        <v>0</v>
      </c>
      <c r="J673" s="181"/>
      <c r="K673" s="181"/>
    </row>
    <row r="674" spans="1:11" x14ac:dyDescent="0.25">
      <c r="A674" s="181"/>
      <c r="B674" s="181"/>
      <c r="C674" s="181"/>
      <c r="D674" s="19">
        <v>2023</v>
      </c>
      <c r="E674" s="20">
        <f t="shared" si="52"/>
        <v>0</v>
      </c>
      <c r="F674" s="20">
        <f t="shared" si="52"/>
        <v>0</v>
      </c>
      <c r="G674" s="20">
        <v>0</v>
      </c>
      <c r="H674" s="20">
        <v>0</v>
      </c>
      <c r="I674" s="20">
        <v>0</v>
      </c>
      <c r="J674" s="181"/>
      <c r="K674" s="181"/>
    </row>
    <row r="675" spans="1:11" x14ac:dyDescent="0.25">
      <c r="A675" s="181"/>
      <c r="B675" s="181"/>
      <c r="C675" s="181"/>
      <c r="D675" s="19">
        <v>2024</v>
      </c>
      <c r="E675" s="20">
        <f t="shared" si="52"/>
        <v>0</v>
      </c>
      <c r="F675" s="20">
        <f t="shared" si="52"/>
        <v>0</v>
      </c>
      <c r="G675" s="20">
        <v>0</v>
      </c>
      <c r="H675" s="20">
        <v>0</v>
      </c>
      <c r="I675" s="20">
        <v>0</v>
      </c>
      <c r="J675" s="181"/>
      <c r="K675" s="181"/>
    </row>
    <row r="676" spans="1:11" x14ac:dyDescent="0.25">
      <c r="A676" s="181"/>
      <c r="B676" s="181"/>
      <c r="C676" s="181"/>
      <c r="D676" s="19">
        <v>2025</v>
      </c>
      <c r="E676" s="20">
        <f t="shared" si="52"/>
        <v>0</v>
      </c>
      <c r="F676" s="20">
        <f t="shared" si="52"/>
        <v>0</v>
      </c>
      <c r="G676" s="20">
        <v>0</v>
      </c>
      <c r="H676" s="20">
        <v>0</v>
      </c>
      <c r="I676" s="20">
        <v>0</v>
      </c>
      <c r="J676" s="181"/>
      <c r="K676" s="181"/>
    </row>
    <row r="677" spans="1:11" x14ac:dyDescent="0.25">
      <c r="A677" s="181" t="s">
        <v>1210</v>
      </c>
      <c r="B677" s="181" t="s">
        <v>1211</v>
      </c>
      <c r="C677" s="181" t="s">
        <v>1113</v>
      </c>
      <c r="D677" s="19" t="s">
        <v>8</v>
      </c>
      <c r="E677" s="20">
        <f t="shared" si="52"/>
        <v>328021.95</v>
      </c>
      <c r="F677" s="20">
        <f>SUM(F678:F682)</f>
        <v>98140.857000000004</v>
      </c>
      <c r="G677" s="20">
        <f t="shared" si="55"/>
        <v>229881.09299999999</v>
      </c>
      <c r="H677" s="20">
        <f>SUM(H678:H682)</f>
        <v>0</v>
      </c>
      <c r="I677" s="20">
        <f>SUM(I678:I682)</f>
        <v>0</v>
      </c>
      <c r="J677" s="181" t="s">
        <v>117</v>
      </c>
      <c r="K677" s="181" t="s">
        <v>484</v>
      </c>
    </row>
    <row r="678" spans="1:11" x14ac:dyDescent="0.25">
      <c r="A678" s="181"/>
      <c r="B678" s="181"/>
      <c r="C678" s="181"/>
      <c r="D678" s="19">
        <v>2021</v>
      </c>
      <c r="E678" s="20">
        <f t="shared" si="52"/>
        <v>0</v>
      </c>
      <c r="F678" s="20">
        <f t="shared" ref="F678:I682" si="56">F684</f>
        <v>0</v>
      </c>
      <c r="G678" s="20">
        <f>G684</f>
        <v>0</v>
      </c>
      <c r="H678" s="20">
        <f t="shared" si="56"/>
        <v>0</v>
      </c>
      <c r="I678" s="20">
        <f t="shared" si="56"/>
        <v>0</v>
      </c>
      <c r="J678" s="181"/>
      <c r="K678" s="181"/>
    </row>
    <row r="679" spans="1:11" x14ac:dyDescent="0.25">
      <c r="A679" s="181"/>
      <c r="B679" s="181"/>
      <c r="C679" s="181"/>
      <c r="D679" s="19">
        <v>2022</v>
      </c>
      <c r="E679" s="20">
        <f t="shared" si="52"/>
        <v>67438.159</v>
      </c>
      <c r="F679" s="20">
        <f t="shared" si="56"/>
        <v>19557.065999999999</v>
      </c>
      <c r="G679" s="20">
        <f t="shared" si="56"/>
        <v>47881.093000000001</v>
      </c>
      <c r="H679" s="20">
        <f t="shared" si="56"/>
        <v>0</v>
      </c>
      <c r="I679" s="20">
        <f t="shared" si="56"/>
        <v>0</v>
      </c>
      <c r="J679" s="181"/>
      <c r="K679" s="181"/>
    </row>
    <row r="680" spans="1:11" x14ac:dyDescent="0.25">
      <c r="A680" s="181"/>
      <c r="B680" s="181"/>
      <c r="C680" s="181"/>
      <c r="D680" s="19">
        <v>2023</v>
      </c>
      <c r="E680" s="20">
        <f t="shared" si="52"/>
        <v>0</v>
      </c>
      <c r="F680" s="20">
        <f t="shared" si="56"/>
        <v>0</v>
      </c>
      <c r="G680" s="20">
        <f t="shared" si="56"/>
        <v>0</v>
      </c>
      <c r="H680" s="20">
        <f t="shared" si="56"/>
        <v>0</v>
      </c>
      <c r="I680" s="20">
        <f t="shared" si="56"/>
        <v>0</v>
      </c>
      <c r="J680" s="181"/>
      <c r="K680" s="181"/>
    </row>
    <row r="681" spans="1:11" x14ac:dyDescent="0.25">
      <c r="A681" s="181"/>
      <c r="B681" s="181"/>
      <c r="C681" s="181"/>
      <c r="D681" s="19">
        <v>2024</v>
      </c>
      <c r="E681" s="20">
        <f t="shared" si="52"/>
        <v>109859.15399999999</v>
      </c>
      <c r="F681" s="20">
        <f t="shared" si="56"/>
        <v>31859.153999999999</v>
      </c>
      <c r="G681" s="20">
        <f t="shared" si="56"/>
        <v>78000</v>
      </c>
      <c r="H681" s="20">
        <f t="shared" si="56"/>
        <v>0</v>
      </c>
      <c r="I681" s="20">
        <f t="shared" si="56"/>
        <v>0</v>
      </c>
      <c r="J681" s="181"/>
      <c r="K681" s="181"/>
    </row>
    <row r="682" spans="1:11" x14ac:dyDescent="0.25">
      <c r="A682" s="181"/>
      <c r="B682" s="181"/>
      <c r="C682" s="181"/>
      <c r="D682" s="19">
        <v>2025</v>
      </c>
      <c r="E682" s="20">
        <f t="shared" si="52"/>
        <v>150724.63699999999</v>
      </c>
      <c r="F682" s="20">
        <f t="shared" si="56"/>
        <v>46724.637000000002</v>
      </c>
      <c r="G682" s="20">
        <f t="shared" si="56"/>
        <v>104000</v>
      </c>
      <c r="H682" s="20">
        <f t="shared" si="56"/>
        <v>0</v>
      </c>
      <c r="I682" s="20">
        <f t="shared" si="56"/>
        <v>0</v>
      </c>
      <c r="J682" s="181"/>
      <c r="K682" s="181"/>
    </row>
    <row r="683" spans="1:11" x14ac:dyDescent="0.25">
      <c r="A683" s="181" t="s">
        <v>1212</v>
      </c>
      <c r="B683" s="181" t="s">
        <v>1736</v>
      </c>
      <c r="C683" s="181" t="s">
        <v>1113</v>
      </c>
      <c r="D683" s="19" t="s">
        <v>8</v>
      </c>
      <c r="E683" s="20">
        <f t="shared" si="52"/>
        <v>328021.95</v>
      </c>
      <c r="F683" s="20">
        <f>SUM(F684:F688)</f>
        <v>98140.857000000004</v>
      </c>
      <c r="G683" s="20">
        <f>SUM(G684:G688)</f>
        <v>229881.09299999999</v>
      </c>
      <c r="H683" s="20">
        <f>SUM(H684:H688)</f>
        <v>0</v>
      </c>
      <c r="I683" s="20">
        <f>SUM(I684:I688)</f>
        <v>0</v>
      </c>
      <c r="J683" s="181" t="s">
        <v>1213</v>
      </c>
      <c r="K683" s="181" t="s">
        <v>484</v>
      </c>
    </row>
    <row r="684" spans="1:11" x14ac:dyDescent="0.25">
      <c r="A684" s="181"/>
      <c r="B684" s="181"/>
      <c r="C684" s="181"/>
      <c r="D684" s="19">
        <v>2021</v>
      </c>
      <c r="E684" s="20">
        <f t="shared" si="52"/>
        <v>0</v>
      </c>
      <c r="F684" s="20">
        <v>0</v>
      </c>
      <c r="G684" s="20">
        <v>0</v>
      </c>
      <c r="H684" s="20">
        <v>0</v>
      </c>
      <c r="I684" s="20">
        <v>0</v>
      </c>
      <c r="J684" s="181"/>
      <c r="K684" s="181"/>
    </row>
    <row r="685" spans="1:11" x14ac:dyDescent="0.25">
      <c r="A685" s="181"/>
      <c r="B685" s="181"/>
      <c r="C685" s="181"/>
      <c r="D685" s="19">
        <v>2022</v>
      </c>
      <c r="E685" s="20">
        <f t="shared" si="52"/>
        <v>67438.159</v>
      </c>
      <c r="F685" s="20">
        <v>19557.065999999999</v>
      </c>
      <c r="G685" s="20">
        <v>47881.093000000001</v>
      </c>
      <c r="H685" s="20">
        <v>0</v>
      </c>
      <c r="I685" s="20">
        <v>0</v>
      </c>
      <c r="J685" s="181"/>
      <c r="K685" s="181"/>
    </row>
    <row r="686" spans="1:11" x14ac:dyDescent="0.25">
      <c r="A686" s="181"/>
      <c r="B686" s="181"/>
      <c r="C686" s="181"/>
      <c r="D686" s="19">
        <v>2023</v>
      </c>
      <c r="E686" s="20">
        <f t="shared" ref="E686:E749" si="57">SUM(F686:I686)</f>
        <v>0</v>
      </c>
      <c r="F686" s="20">
        <v>0</v>
      </c>
      <c r="G686" s="20">
        <v>0</v>
      </c>
      <c r="H686" s="20">
        <v>0</v>
      </c>
      <c r="I686" s="20">
        <v>0</v>
      </c>
      <c r="J686" s="181"/>
      <c r="K686" s="181"/>
    </row>
    <row r="687" spans="1:11" x14ac:dyDescent="0.25">
      <c r="A687" s="181"/>
      <c r="B687" s="181"/>
      <c r="C687" s="181"/>
      <c r="D687" s="19">
        <v>2024</v>
      </c>
      <c r="E687" s="20">
        <f t="shared" si="57"/>
        <v>109859.15399999999</v>
      </c>
      <c r="F687" s="20">
        <v>31859.153999999999</v>
      </c>
      <c r="G687" s="20">
        <v>78000</v>
      </c>
      <c r="H687" s="20">
        <v>0</v>
      </c>
      <c r="I687" s="20">
        <v>0</v>
      </c>
      <c r="J687" s="181"/>
      <c r="K687" s="181"/>
    </row>
    <row r="688" spans="1:11" x14ac:dyDescent="0.25">
      <c r="A688" s="181"/>
      <c r="B688" s="181"/>
      <c r="C688" s="181"/>
      <c r="D688" s="19">
        <v>2025</v>
      </c>
      <c r="E688" s="20">
        <f t="shared" si="57"/>
        <v>150724.63699999999</v>
      </c>
      <c r="F688" s="20">
        <v>46724.637000000002</v>
      </c>
      <c r="G688" s="20">
        <v>104000</v>
      </c>
      <c r="H688" s="20">
        <f>SUM(I682:L682)</f>
        <v>0</v>
      </c>
      <c r="I688" s="20">
        <f>SUM(J682:L682)</f>
        <v>0</v>
      </c>
      <c r="J688" s="181"/>
      <c r="K688" s="181"/>
    </row>
    <row r="689" spans="1:11" x14ac:dyDescent="0.25">
      <c r="A689" s="181" t="s">
        <v>1214</v>
      </c>
      <c r="B689" s="181" t="s">
        <v>1215</v>
      </c>
      <c r="C689" s="181" t="s">
        <v>1216</v>
      </c>
      <c r="D689" s="19" t="s">
        <v>8</v>
      </c>
      <c r="E689" s="20">
        <f t="shared" si="57"/>
        <v>1965199.79856</v>
      </c>
      <c r="F689" s="20">
        <f>SUM(F690:F694)</f>
        <v>1667880.05856</v>
      </c>
      <c r="G689" s="20">
        <f>SUM(G690:G694)</f>
        <v>297319.74</v>
      </c>
      <c r="H689" s="20">
        <f>SUM(H690:H694)</f>
        <v>0</v>
      </c>
      <c r="I689" s="20">
        <f>SUM(I690:I694)</f>
        <v>0</v>
      </c>
      <c r="J689" s="181" t="s">
        <v>1217</v>
      </c>
      <c r="K689" s="181" t="s">
        <v>1760</v>
      </c>
    </row>
    <row r="690" spans="1:11" x14ac:dyDescent="0.25">
      <c r="A690" s="181"/>
      <c r="B690" s="181"/>
      <c r="C690" s="181"/>
      <c r="D690" s="19">
        <v>2021</v>
      </c>
      <c r="E690" s="20">
        <f t="shared" si="57"/>
        <v>0</v>
      </c>
      <c r="F690" s="20">
        <f t="shared" ref="F690:I694" si="58">F696+F702+F708</f>
        <v>0</v>
      </c>
      <c r="G690" s="20">
        <f t="shared" si="58"/>
        <v>0</v>
      </c>
      <c r="H690" s="20">
        <f t="shared" si="58"/>
        <v>0</v>
      </c>
      <c r="I690" s="20">
        <f t="shared" si="58"/>
        <v>0</v>
      </c>
      <c r="J690" s="181"/>
      <c r="K690" s="181"/>
    </row>
    <row r="691" spans="1:11" x14ac:dyDescent="0.25">
      <c r="A691" s="181"/>
      <c r="B691" s="181"/>
      <c r="C691" s="181"/>
      <c r="D691" s="19">
        <v>2022</v>
      </c>
      <c r="E691" s="20">
        <f t="shared" si="57"/>
        <v>0</v>
      </c>
      <c r="F691" s="20">
        <f t="shared" si="58"/>
        <v>0</v>
      </c>
      <c r="G691" s="20">
        <f t="shared" si="58"/>
        <v>0</v>
      </c>
      <c r="H691" s="20">
        <f t="shared" si="58"/>
        <v>0</v>
      </c>
      <c r="I691" s="20">
        <f t="shared" si="58"/>
        <v>0</v>
      </c>
      <c r="J691" s="181"/>
      <c r="K691" s="181"/>
    </row>
    <row r="692" spans="1:11" x14ac:dyDescent="0.25">
      <c r="A692" s="181"/>
      <c r="B692" s="181"/>
      <c r="C692" s="181"/>
      <c r="D692" s="19">
        <v>2023</v>
      </c>
      <c r="E692" s="20">
        <f t="shared" si="57"/>
        <v>381844.82530999999</v>
      </c>
      <c r="F692" s="20">
        <f t="shared" si="58"/>
        <v>84525.085309999995</v>
      </c>
      <c r="G692" s="20">
        <f t="shared" si="58"/>
        <v>297319.74</v>
      </c>
      <c r="H692" s="20">
        <f t="shared" si="58"/>
        <v>0</v>
      </c>
      <c r="I692" s="20">
        <f t="shared" si="58"/>
        <v>0</v>
      </c>
      <c r="J692" s="181"/>
      <c r="K692" s="181"/>
    </row>
    <row r="693" spans="1:11" x14ac:dyDescent="0.25">
      <c r="A693" s="181"/>
      <c r="B693" s="181"/>
      <c r="C693" s="181"/>
      <c r="D693" s="19">
        <v>2024</v>
      </c>
      <c r="E693" s="20">
        <f t="shared" si="57"/>
        <v>1101184.97325</v>
      </c>
      <c r="F693" s="20">
        <f t="shared" si="58"/>
        <v>1101184.97325</v>
      </c>
      <c r="G693" s="20">
        <f t="shared" si="58"/>
        <v>0</v>
      </c>
      <c r="H693" s="20">
        <f t="shared" si="58"/>
        <v>0</v>
      </c>
      <c r="I693" s="20">
        <f t="shared" si="58"/>
        <v>0</v>
      </c>
      <c r="J693" s="181"/>
      <c r="K693" s="181"/>
    </row>
    <row r="694" spans="1:11" x14ac:dyDescent="0.25">
      <c r="A694" s="181"/>
      <c r="B694" s="181"/>
      <c r="C694" s="181"/>
      <c r="D694" s="19">
        <v>2025</v>
      </c>
      <c r="E694" s="20">
        <f t="shared" si="57"/>
        <v>482170</v>
      </c>
      <c r="F694" s="20">
        <f t="shared" si="58"/>
        <v>482170</v>
      </c>
      <c r="G694" s="20">
        <f t="shared" si="58"/>
        <v>0</v>
      </c>
      <c r="H694" s="20">
        <f t="shared" si="58"/>
        <v>0</v>
      </c>
      <c r="I694" s="20">
        <f t="shared" si="58"/>
        <v>0</v>
      </c>
      <c r="J694" s="181"/>
      <c r="K694" s="181"/>
    </row>
    <row r="695" spans="1:11" x14ac:dyDescent="0.25">
      <c r="A695" s="181" t="s">
        <v>1218</v>
      </c>
      <c r="B695" s="181" t="s">
        <v>101</v>
      </c>
      <c r="C695" s="181" t="s">
        <v>1216</v>
      </c>
      <c r="D695" s="19" t="s">
        <v>8</v>
      </c>
      <c r="E695" s="20">
        <f t="shared" si="57"/>
        <v>884016.68856000004</v>
      </c>
      <c r="F695" s="20">
        <f>SUM(F696:F700)</f>
        <v>703540.05856000003</v>
      </c>
      <c r="G695" s="20">
        <f>SUM(G696:G700)</f>
        <v>180476.63</v>
      </c>
      <c r="H695" s="20">
        <f>SUM(H696:H700)</f>
        <v>0</v>
      </c>
      <c r="I695" s="20">
        <f>SUM(I696:I700)</f>
        <v>0</v>
      </c>
      <c r="J695" s="181" t="s">
        <v>1219</v>
      </c>
      <c r="K695" s="181" t="s">
        <v>1220</v>
      </c>
    </row>
    <row r="696" spans="1:11" x14ac:dyDescent="0.25">
      <c r="A696" s="181"/>
      <c r="B696" s="181"/>
      <c r="C696" s="181"/>
      <c r="D696" s="19">
        <v>2021</v>
      </c>
      <c r="E696" s="20">
        <f t="shared" si="57"/>
        <v>0</v>
      </c>
      <c r="F696" s="20">
        <v>0</v>
      </c>
      <c r="G696" s="20">
        <v>0</v>
      </c>
      <c r="H696" s="20">
        <v>0</v>
      </c>
      <c r="I696" s="20">
        <v>0</v>
      </c>
      <c r="J696" s="181"/>
      <c r="K696" s="181"/>
    </row>
    <row r="697" spans="1:11" x14ac:dyDescent="0.25">
      <c r="A697" s="181"/>
      <c r="B697" s="181"/>
      <c r="C697" s="181"/>
      <c r="D697" s="19">
        <v>2022</v>
      </c>
      <c r="E697" s="20">
        <f t="shared" si="57"/>
        <v>0</v>
      </c>
      <c r="F697" s="20">
        <v>0</v>
      </c>
      <c r="G697" s="20">
        <v>0</v>
      </c>
      <c r="H697" s="20">
        <v>0</v>
      </c>
      <c r="I697" s="20">
        <v>0</v>
      </c>
      <c r="J697" s="181"/>
      <c r="K697" s="181"/>
    </row>
    <row r="698" spans="1:11" x14ac:dyDescent="0.25">
      <c r="A698" s="181"/>
      <c r="B698" s="181"/>
      <c r="C698" s="181"/>
      <c r="D698" s="19">
        <v>2023</v>
      </c>
      <c r="E698" s="20">
        <f t="shared" si="57"/>
        <v>265001.71531</v>
      </c>
      <c r="F698" s="20">
        <f>6710+77815.08531</f>
        <v>84525.085309999995</v>
      </c>
      <c r="G698" s="20">
        <v>180476.63</v>
      </c>
      <c r="H698" s="20">
        <v>0</v>
      </c>
      <c r="I698" s="20">
        <v>0</v>
      </c>
      <c r="J698" s="181"/>
      <c r="K698" s="181"/>
    </row>
    <row r="699" spans="1:11" x14ac:dyDescent="0.25">
      <c r="A699" s="181"/>
      <c r="B699" s="181"/>
      <c r="C699" s="181"/>
      <c r="D699" s="19">
        <v>2024</v>
      </c>
      <c r="E699" s="20">
        <f t="shared" si="57"/>
        <v>619014.97325000004</v>
      </c>
      <c r="F699" s="20">
        <f>270710.3+348304.67325</f>
        <v>619014.97325000004</v>
      </c>
      <c r="G699" s="20">
        <v>0</v>
      </c>
      <c r="H699" s="20">
        <v>0</v>
      </c>
      <c r="I699" s="20">
        <v>0</v>
      </c>
      <c r="J699" s="181"/>
      <c r="K699" s="181"/>
    </row>
    <row r="700" spans="1:11" x14ac:dyDescent="0.25">
      <c r="A700" s="181"/>
      <c r="B700" s="181"/>
      <c r="C700" s="181"/>
      <c r="D700" s="19">
        <v>2025</v>
      </c>
      <c r="E700" s="20">
        <f t="shared" si="57"/>
        <v>0</v>
      </c>
      <c r="F700" s="20">
        <v>0</v>
      </c>
      <c r="G700" s="20">
        <v>0</v>
      </c>
      <c r="H700" s="20">
        <f>SUM(I694:L694)</f>
        <v>0</v>
      </c>
      <c r="I700" s="20">
        <f>SUM(J694:L694)</f>
        <v>0</v>
      </c>
      <c r="J700" s="181"/>
      <c r="K700" s="181"/>
    </row>
    <row r="701" spans="1:11" x14ac:dyDescent="0.25">
      <c r="A701" s="181" t="s">
        <v>1221</v>
      </c>
      <c r="B701" s="181" t="s">
        <v>1755</v>
      </c>
      <c r="C701" s="181">
        <v>2023</v>
      </c>
      <c r="D701" s="19" t="s">
        <v>8</v>
      </c>
      <c r="E701" s="20">
        <f t="shared" si="57"/>
        <v>249780</v>
      </c>
      <c r="F701" s="20">
        <f>SUM(F702:F706)</f>
        <v>184340</v>
      </c>
      <c r="G701" s="20">
        <f>SUM(G702:G706)</f>
        <v>65440</v>
      </c>
      <c r="H701" s="20">
        <f>SUM(H702:H706)</f>
        <v>0</v>
      </c>
      <c r="I701" s="20">
        <f>SUM(I702:I706)</f>
        <v>0</v>
      </c>
      <c r="J701" s="183" t="s">
        <v>1763</v>
      </c>
      <c r="K701" s="181" t="s">
        <v>1757</v>
      </c>
    </row>
    <row r="702" spans="1:11" x14ac:dyDescent="0.25">
      <c r="A702" s="181"/>
      <c r="B702" s="181"/>
      <c r="C702" s="181"/>
      <c r="D702" s="19">
        <v>2021</v>
      </c>
      <c r="E702" s="20">
        <f t="shared" si="57"/>
        <v>0</v>
      </c>
      <c r="F702" s="20">
        <v>0</v>
      </c>
      <c r="G702" s="20">
        <v>0</v>
      </c>
      <c r="H702" s="20">
        <v>0</v>
      </c>
      <c r="I702" s="20">
        <v>0</v>
      </c>
      <c r="J702" s="183"/>
      <c r="K702" s="181"/>
    </row>
    <row r="703" spans="1:11" x14ac:dyDescent="0.25">
      <c r="A703" s="181"/>
      <c r="B703" s="181"/>
      <c r="C703" s="181"/>
      <c r="D703" s="19">
        <v>2022</v>
      </c>
      <c r="E703" s="20">
        <f t="shared" si="57"/>
        <v>0</v>
      </c>
      <c r="F703" s="20">
        <v>0</v>
      </c>
      <c r="G703" s="20">
        <v>0</v>
      </c>
      <c r="H703" s="20">
        <v>0</v>
      </c>
      <c r="I703" s="20">
        <v>0</v>
      </c>
      <c r="J703" s="183"/>
      <c r="K703" s="181"/>
    </row>
    <row r="704" spans="1:11" x14ac:dyDescent="0.25">
      <c r="A704" s="181"/>
      <c r="B704" s="181"/>
      <c r="C704" s="181"/>
      <c r="D704" s="19">
        <v>2023</v>
      </c>
      <c r="E704" s="20">
        <f t="shared" si="57"/>
        <v>65440</v>
      </c>
      <c r="F704" s="20">
        <v>0</v>
      </c>
      <c r="G704" s="20">
        <v>65440</v>
      </c>
      <c r="H704" s="20">
        <v>0</v>
      </c>
      <c r="I704" s="20">
        <v>0</v>
      </c>
      <c r="J704" s="183"/>
      <c r="K704" s="181"/>
    </row>
    <row r="705" spans="1:13" x14ac:dyDescent="0.25">
      <c r="A705" s="181"/>
      <c r="B705" s="181"/>
      <c r="C705" s="181"/>
      <c r="D705" s="19">
        <v>2024</v>
      </c>
      <c r="E705" s="20">
        <f t="shared" si="57"/>
        <v>92170</v>
      </c>
      <c r="F705" s="21">
        <v>92170</v>
      </c>
      <c r="G705" s="20">
        <v>0</v>
      </c>
      <c r="H705" s="20">
        <v>0</v>
      </c>
      <c r="I705" s="20">
        <v>0</v>
      </c>
      <c r="J705" s="183"/>
      <c r="K705" s="181"/>
    </row>
    <row r="706" spans="1:13" x14ac:dyDescent="0.25">
      <c r="A706" s="181"/>
      <c r="B706" s="181"/>
      <c r="C706" s="181"/>
      <c r="D706" s="19">
        <v>2025</v>
      </c>
      <c r="E706" s="20">
        <f t="shared" si="57"/>
        <v>92170</v>
      </c>
      <c r="F706" s="21">
        <v>92170</v>
      </c>
      <c r="G706" s="20">
        <v>0</v>
      </c>
      <c r="H706" s="20">
        <f>SUM(I700:L700)</f>
        <v>0</v>
      </c>
      <c r="I706" s="20">
        <f>SUM(J700:L700)</f>
        <v>0</v>
      </c>
      <c r="J706" s="183"/>
      <c r="K706" s="181"/>
    </row>
    <row r="707" spans="1:13" x14ac:dyDescent="0.25">
      <c r="A707" s="181" t="s">
        <v>677</v>
      </c>
      <c r="B707" s="181" t="s">
        <v>1754</v>
      </c>
      <c r="C707" s="181">
        <v>2023</v>
      </c>
      <c r="D707" s="19" t="s">
        <v>8</v>
      </c>
      <c r="E707" s="20">
        <f t="shared" si="57"/>
        <v>831403.11</v>
      </c>
      <c r="F707" s="20">
        <f>SUM(F708:F712)</f>
        <v>780000</v>
      </c>
      <c r="G707" s="20">
        <f>SUM(G708:G712)</f>
        <v>51403.11</v>
      </c>
      <c r="H707" s="20">
        <f>SUM(H708:H712)</f>
        <v>0</v>
      </c>
      <c r="I707" s="20">
        <f>SUM(I708:I712)</f>
        <v>0</v>
      </c>
      <c r="J707" s="183" t="s">
        <v>1763</v>
      </c>
      <c r="K707" s="181" t="s">
        <v>1757</v>
      </c>
    </row>
    <row r="708" spans="1:13" x14ac:dyDescent="0.25">
      <c r="A708" s="181"/>
      <c r="B708" s="181"/>
      <c r="C708" s="181"/>
      <c r="D708" s="19">
        <v>2021</v>
      </c>
      <c r="E708" s="20">
        <f t="shared" si="57"/>
        <v>0</v>
      </c>
      <c r="F708" s="20">
        <v>0</v>
      </c>
      <c r="G708" s="20">
        <v>0</v>
      </c>
      <c r="H708" s="20">
        <v>0</v>
      </c>
      <c r="I708" s="20">
        <v>0</v>
      </c>
      <c r="J708" s="183"/>
      <c r="K708" s="181"/>
    </row>
    <row r="709" spans="1:13" x14ac:dyDescent="0.25">
      <c r="A709" s="181"/>
      <c r="B709" s="181"/>
      <c r="C709" s="181"/>
      <c r="D709" s="19">
        <v>2022</v>
      </c>
      <c r="E709" s="20">
        <f t="shared" si="57"/>
        <v>0</v>
      </c>
      <c r="F709" s="20">
        <v>0</v>
      </c>
      <c r="G709" s="20">
        <v>0</v>
      </c>
      <c r="H709" s="20">
        <v>0</v>
      </c>
      <c r="I709" s="20">
        <v>0</v>
      </c>
      <c r="J709" s="183"/>
      <c r="K709" s="181"/>
    </row>
    <row r="710" spans="1:13" x14ac:dyDescent="0.25">
      <c r="A710" s="181"/>
      <c r="B710" s="181"/>
      <c r="C710" s="181"/>
      <c r="D710" s="19">
        <v>2023</v>
      </c>
      <c r="E710" s="20">
        <f t="shared" si="57"/>
        <v>51403.11</v>
      </c>
      <c r="F710" s="20">
        <v>0</v>
      </c>
      <c r="G710" s="20">
        <v>51403.11</v>
      </c>
      <c r="H710" s="20">
        <v>0</v>
      </c>
      <c r="I710" s="20">
        <v>0</v>
      </c>
      <c r="J710" s="183"/>
      <c r="K710" s="181"/>
    </row>
    <row r="711" spans="1:13" x14ac:dyDescent="0.25">
      <c r="A711" s="181"/>
      <c r="B711" s="181"/>
      <c r="C711" s="181"/>
      <c r="D711" s="19">
        <v>2024</v>
      </c>
      <c r="E711" s="20">
        <f t="shared" si="57"/>
        <v>390000</v>
      </c>
      <c r="F711" s="21">
        <v>390000</v>
      </c>
      <c r="G711" s="20">
        <v>0</v>
      </c>
      <c r="H711" s="20">
        <v>0</v>
      </c>
      <c r="I711" s="20">
        <v>0</v>
      </c>
      <c r="J711" s="183"/>
      <c r="K711" s="181"/>
    </row>
    <row r="712" spans="1:13" x14ac:dyDescent="0.25">
      <c r="A712" s="181"/>
      <c r="B712" s="181"/>
      <c r="C712" s="181"/>
      <c r="D712" s="19">
        <v>2025</v>
      </c>
      <c r="E712" s="20">
        <f t="shared" si="57"/>
        <v>390000</v>
      </c>
      <c r="F712" s="21">
        <v>390000</v>
      </c>
      <c r="G712" s="20">
        <v>0</v>
      </c>
      <c r="H712" s="20">
        <f>SUM(I706:L706)</f>
        <v>0</v>
      </c>
      <c r="I712" s="20">
        <f>SUM(J706:L706)</f>
        <v>0</v>
      </c>
      <c r="J712" s="183"/>
      <c r="K712" s="181"/>
    </row>
    <row r="713" spans="1:13" x14ac:dyDescent="0.25">
      <c r="A713" s="181" t="s">
        <v>1747</v>
      </c>
      <c r="B713" s="181" t="s">
        <v>1761</v>
      </c>
      <c r="C713" s="181" t="s">
        <v>1125</v>
      </c>
      <c r="D713" s="19" t="s">
        <v>8</v>
      </c>
      <c r="E713" s="20">
        <f t="shared" ref="E713:I718" si="59">SUM(E719,E725)</f>
        <v>187892.8</v>
      </c>
      <c r="F713" s="20">
        <f t="shared" si="59"/>
        <v>186013.8</v>
      </c>
      <c r="G713" s="20">
        <f t="shared" si="59"/>
        <v>0</v>
      </c>
      <c r="H713" s="20">
        <f t="shared" si="59"/>
        <v>1879</v>
      </c>
      <c r="I713" s="20">
        <f t="shared" si="59"/>
        <v>0</v>
      </c>
      <c r="J713" s="181" t="s">
        <v>1759</v>
      </c>
      <c r="K713" s="181" t="s">
        <v>1749</v>
      </c>
    </row>
    <row r="714" spans="1:13" x14ac:dyDescent="0.25">
      <c r="A714" s="181"/>
      <c r="B714" s="181"/>
      <c r="C714" s="181"/>
      <c r="D714" s="19">
        <v>2021</v>
      </c>
      <c r="E714" s="20">
        <f t="shared" si="59"/>
        <v>0</v>
      </c>
      <c r="F714" s="20">
        <f t="shared" si="59"/>
        <v>0</v>
      </c>
      <c r="G714" s="20">
        <f t="shared" si="59"/>
        <v>0</v>
      </c>
      <c r="H714" s="20">
        <f t="shared" si="59"/>
        <v>0</v>
      </c>
      <c r="I714" s="20">
        <f t="shared" si="59"/>
        <v>0</v>
      </c>
      <c r="J714" s="181"/>
      <c r="K714" s="181"/>
    </row>
    <row r="715" spans="1:13" x14ac:dyDescent="0.25">
      <c r="A715" s="181"/>
      <c r="B715" s="181"/>
      <c r="C715" s="181"/>
      <c r="D715" s="19">
        <v>2022</v>
      </c>
      <c r="E715" s="20">
        <f t="shared" si="59"/>
        <v>0</v>
      </c>
      <c r="F715" s="20">
        <f t="shared" si="59"/>
        <v>0</v>
      </c>
      <c r="G715" s="20">
        <f t="shared" si="59"/>
        <v>0</v>
      </c>
      <c r="H715" s="20">
        <f t="shared" si="59"/>
        <v>0</v>
      </c>
      <c r="I715" s="20">
        <f t="shared" si="59"/>
        <v>0</v>
      </c>
      <c r="J715" s="181"/>
      <c r="K715" s="181"/>
    </row>
    <row r="716" spans="1:13" x14ac:dyDescent="0.25">
      <c r="A716" s="181"/>
      <c r="B716" s="181"/>
      <c r="C716" s="181"/>
      <c r="D716" s="19">
        <v>2023</v>
      </c>
      <c r="E716" s="20">
        <f t="shared" si="59"/>
        <v>28290</v>
      </c>
      <c r="F716" s="20">
        <f t="shared" si="59"/>
        <v>28000</v>
      </c>
      <c r="G716" s="20">
        <f t="shared" si="59"/>
        <v>0</v>
      </c>
      <c r="H716" s="20">
        <f t="shared" si="59"/>
        <v>290</v>
      </c>
      <c r="I716" s="20">
        <f t="shared" si="59"/>
        <v>0</v>
      </c>
      <c r="J716" s="181"/>
      <c r="K716" s="181"/>
    </row>
    <row r="717" spans="1:13" x14ac:dyDescent="0.25">
      <c r="A717" s="181"/>
      <c r="B717" s="181"/>
      <c r="C717" s="181"/>
      <c r="D717" s="19">
        <v>2024</v>
      </c>
      <c r="E717" s="20">
        <f t="shared" si="59"/>
        <v>80355</v>
      </c>
      <c r="F717" s="20">
        <f t="shared" si="59"/>
        <v>79555</v>
      </c>
      <c r="G717" s="20">
        <f t="shared" si="59"/>
        <v>0</v>
      </c>
      <c r="H717" s="20">
        <f t="shared" si="59"/>
        <v>800</v>
      </c>
      <c r="I717" s="20">
        <f t="shared" si="59"/>
        <v>0</v>
      </c>
      <c r="J717" s="181"/>
      <c r="K717" s="181"/>
    </row>
    <row r="718" spans="1:13" x14ac:dyDescent="0.25">
      <c r="A718" s="181"/>
      <c r="B718" s="181"/>
      <c r="C718" s="181"/>
      <c r="D718" s="19">
        <v>2025</v>
      </c>
      <c r="E718" s="20">
        <f t="shared" si="59"/>
        <v>79247.8</v>
      </c>
      <c r="F718" s="20">
        <f t="shared" si="59"/>
        <v>78458.8</v>
      </c>
      <c r="G718" s="20">
        <f t="shared" si="59"/>
        <v>0</v>
      </c>
      <c r="H718" s="20">
        <f t="shared" si="59"/>
        <v>789</v>
      </c>
      <c r="I718" s="20">
        <f t="shared" si="59"/>
        <v>0</v>
      </c>
      <c r="J718" s="181"/>
      <c r="K718" s="181"/>
    </row>
    <row r="719" spans="1:13" x14ac:dyDescent="0.25">
      <c r="A719" s="181" t="s">
        <v>1750</v>
      </c>
      <c r="B719" s="181" t="s">
        <v>1753</v>
      </c>
      <c r="C719" s="181" t="s">
        <v>1125</v>
      </c>
      <c r="D719" s="19" t="s">
        <v>8</v>
      </c>
      <c r="E719" s="20">
        <f t="shared" ref="E719:E730" si="60">SUM(F719:I719)</f>
        <v>138499.6</v>
      </c>
      <c r="F719" s="20">
        <f>SUM(F720:F724)</f>
        <v>137114.6</v>
      </c>
      <c r="G719" s="20">
        <f>SUM(G720:G724)</f>
        <v>0</v>
      </c>
      <c r="H719" s="20">
        <f>SUM(H720:H724)</f>
        <v>1385</v>
      </c>
      <c r="I719" s="20">
        <f>SUM(I720:I724)</f>
        <v>0</v>
      </c>
      <c r="J719" s="181" t="s">
        <v>1752</v>
      </c>
      <c r="K719" s="181" t="s">
        <v>1748</v>
      </c>
    </row>
    <row r="720" spans="1:13" x14ac:dyDescent="0.25">
      <c r="A720" s="181"/>
      <c r="B720" s="181"/>
      <c r="C720" s="181"/>
      <c r="D720" s="19">
        <v>2021</v>
      </c>
      <c r="E720" s="20">
        <f t="shared" si="60"/>
        <v>0</v>
      </c>
      <c r="F720" s="20">
        <v>0</v>
      </c>
      <c r="G720" s="20">
        <v>0</v>
      </c>
      <c r="H720" s="20">
        <v>0</v>
      </c>
      <c r="I720" s="20">
        <v>0</v>
      </c>
      <c r="J720" s="181"/>
      <c r="K720" s="181"/>
      <c r="M720" s="18">
        <f>SUM(E719,E725)</f>
        <v>187892.8</v>
      </c>
    </row>
    <row r="721" spans="1:13" x14ac:dyDescent="0.25">
      <c r="A721" s="181"/>
      <c r="B721" s="181"/>
      <c r="C721" s="181"/>
      <c r="D721" s="19">
        <v>2022</v>
      </c>
      <c r="E721" s="20">
        <f t="shared" si="60"/>
        <v>0</v>
      </c>
      <c r="F721" s="20">
        <v>0</v>
      </c>
      <c r="G721" s="20">
        <v>0</v>
      </c>
      <c r="H721" s="20">
        <v>0</v>
      </c>
      <c r="I721" s="20">
        <v>0</v>
      </c>
      <c r="J721" s="181"/>
      <c r="K721" s="181"/>
    </row>
    <row r="722" spans="1:13" x14ac:dyDescent="0.25">
      <c r="A722" s="181"/>
      <c r="B722" s="181"/>
      <c r="C722" s="181"/>
      <c r="D722" s="19">
        <v>2023</v>
      </c>
      <c r="E722" s="20">
        <f t="shared" si="60"/>
        <v>20666.5</v>
      </c>
      <c r="F722" s="20">
        <v>20452.7</v>
      </c>
      <c r="G722" s="20">
        <v>0</v>
      </c>
      <c r="H722" s="20">
        <v>213.8</v>
      </c>
      <c r="I722" s="20">
        <v>0</v>
      </c>
      <c r="J722" s="181"/>
      <c r="K722" s="181"/>
    </row>
    <row r="723" spans="1:13" x14ac:dyDescent="0.25">
      <c r="A723" s="181"/>
      <c r="B723" s="181"/>
      <c r="C723" s="181"/>
      <c r="D723" s="19">
        <v>2024</v>
      </c>
      <c r="E723" s="20">
        <f t="shared" si="60"/>
        <v>59324.6</v>
      </c>
      <c r="F723" s="20">
        <v>58734.9</v>
      </c>
      <c r="G723" s="20">
        <v>0</v>
      </c>
      <c r="H723" s="20">
        <v>589.70000000000005</v>
      </c>
      <c r="I723" s="20">
        <v>0</v>
      </c>
      <c r="J723" s="181"/>
      <c r="K723" s="181"/>
    </row>
    <row r="724" spans="1:13" x14ac:dyDescent="0.25">
      <c r="A724" s="181"/>
      <c r="B724" s="181"/>
      <c r="C724" s="181"/>
      <c r="D724" s="19">
        <v>2025</v>
      </c>
      <c r="E724" s="20">
        <f t="shared" si="60"/>
        <v>58508.5</v>
      </c>
      <c r="F724" s="20">
        <v>57927</v>
      </c>
      <c r="G724" s="20">
        <v>0</v>
      </c>
      <c r="H724" s="20">
        <v>581.5</v>
      </c>
      <c r="I724" s="20">
        <v>0</v>
      </c>
      <c r="J724" s="181"/>
      <c r="K724" s="181"/>
    </row>
    <row r="725" spans="1:13" x14ac:dyDescent="0.25">
      <c r="A725" s="181" t="s">
        <v>1751</v>
      </c>
      <c r="B725" s="181" t="s">
        <v>1758</v>
      </c>
      <c r="C725" s="181" t="s">
        <v>1125</v>
      </c>
      <c r="D725" s="19" t="s">
        <v>8</v>
      </c>
      <c r="E725" s="20">
        <f t="shared" si="60"/>
        <v>49393.2</v>
      </c>
      <c r="F725" s="20">
        <f>SUM(F726:F730)</f>
        <v>48899.199999999997</v>
      </c>
      <c r="G725" s="20">
        <f>SUM(G726:G730)</f>
        <v>0</v>
      </c>
      <c r="H725" s="20">
        <f>SUM(H726:H730)</f>
        <v>494</v>
      </c>
      <c r="I725" s="20">
        <f>SUM(I726:I730)</f>
        <v>0</v>
      </c>
      <c r="J725" s="181" t="s">
        <v>1752</v>
      </c>
      <c r="K725" s="181" t="s">
        <v>1748</v>
      </c>
    </row>
    <row r="726" spans="1:13" x14ac:dyDescent="0.25">
      <c r="A726" s="181"/>
      <c r="B726" s="181"/>
      <c r="C726" s="181"/>
      <c r="D726" s="19">
        <v>2021</v>
      </c>
      <c r="E726" s="20">
        <f t="shared" si="60"/>
        <v>0</v>
      </c>
      <c r="F726" s="20">
        <v>0</v>
      </c>
      <c r="G726" s="20">
        <v>0</v>
      </c>
      <c r="H726" s="20">
        <v>0</v>
      </c>
      <c r="I726" s="20">
        <v>0</v>
      </c>
      <c r="J726" s="181"/>
      <c r="K726" s="181"/>
    </row>
    <row r="727" spans="1:13" x14ac:dyDescent="0.25">
      <c r="A727" s="181"/>
      <c r="B727" s="181"/>
      <c r="C727" s="181"/>
      <c r="D727" s="19">
        <v>2022</v>
      </c>
      <c r="E727" s="20">
        <f t="shared" si="60"/>
        <v>0</v>
      </c>
      <c r="F727" s="20">
        <v>0</v>
      </c>
      <c r="G727" s="20">
        <v>0</v>
      </c>
      <c r="H727" s="20">
        <v>0</v>
      </c>
      <c r="I727" s="20">
        <v>0</v>
      </c>
      <c r="J727" s="181"/>
      <c r="K727" s="181"/>
      <c r="M727" s="18">
        <f>SUM(F728,F722)</f>
        <v>28000</v>
      </c>
    </row>
    <row r="728" spans="1:13" x14ac:dyDescent="0.25">
      <c r="A728" s="181"/>
      <c r="B728" s="181"/>
      <c r="C728" s="181"/>
      <c r="D728" s="19">
        <v>2023</v>
      </c>
      <c r="E728" s="20">
        <f t="shared" si="60"/>
        <v>7623.5</v>
      </c>
      <c r="F728" s="20">
        <v>7547.3</v>
      </c>
      <c r="G728" s="20">
        <v>0</v>
      </c>
      <c r="H728" s="20">
        <v>76.2</v>
      </c>
      <c r="I728" s="20">
        <v>0</v>
      </c>
      <c r="J728" s="181"/>
      <c r="K728" s="181"/>
    </row>
    <row r="729" spans="1:13" x14ac:dyDescent="0.25">
      <c r="A729" s="181"/>
      <c r="B729" s="181"/>
      <c r="C729" s="181"/>
      <c r="D729" s="19">
        <v>2024</v>
      </c>
      <c r="E729" s="20">
        <f t="shared" si="60"/>
        <v>21030.399999999998</v>
      </c>
      <c r="F729" s="20">
        <v>20820.099999999999</v>
      </c>
      <c r="G729" s="20">
        <v>0</v>
      </c>
      <c r="H729" s="20">
        <v>210.3</v>
      </c>
      <c r="I729" s="20">
        <v>0</v>
      </c>
      <c r="J729" s="181"/>
      <c r="K729" s="181"/>
    </row>
    <row r="730" spans="1:13" x14ac:dyDescent="0.25">
      <c r="A730" s="181"/>
      <c r="B730" s="181"/>
      <c r="C730" s="181"/>
      <c r="D730" s="19">
        <v>2025</v>
      </c>
      <c r="E730" s="20">
        <f t="shared" si="60"/>
        <v>20739.3</v>
      </c>
      <c r="F730" s="20">
        <v>20531.8</v>
      </c>
      <c r="G730" s="20">
        <v>0</v>
      </c>
      <c r="H730" s="20">
        <v>207.5</v>
      </c>
      <c r="I730" s="20">
        <v>0</v>
      </c>
      <c r="J730" s="181"/>
      <c r="K730" s="181"/>
    </row>
    <row r="731" spans="1:13" x14ac:dyDescent="0.25">
      <c r="A731" s="181" t="s">
        <v>116</v>
      </c>
      <c r="B731" s="181" t="s">
        <v>40</v>
      </c>
      <c r="C731" s="181" t="s">
        <v>14</v>
      </c>
      <c r="D731" s="19" t="s">
        <v>8</v>
      </c>
      <c r="E731" s="20">
        <f t="shared" si="57"/>
        <v>1328210.8980899998</v>
      </c>
      <c r="F731" s="20">
        <f>SUM(F732:F736)</f>
        <v>735152.66107999999</v>
      </c>
      <c r="G731" s="20">
        <f>SUM(G732:G736)</f>
        <v>562487.59899999993</v>
      </c>
      <c r="H731" s="20">
        <f>SUM(H732:H736)</f>
        <v>30570.638009999973</v>
      </c>
      <c r="I731" s="20">
        <f>SUM(I732:I736)</f>
        <v>0</v>
      </c>
      <c r="J731" s="181" t="s">
        <v>117</v>
      </c>
      <c r="K731" s="181" t="s">
        <v>601</v>
      </c>
    </row>
    <row r="732" spans="1:13" x14ac:dyDescent="0.25">
      <c r="A732" s="181"/>
      <c r="B732" s="181"/>
      <c r="C732" s="181"/>
      <c r="D732" s="19">
        <v>2021</v>
      </c>
      <c r="E732" s="20">
        <f t="shared" si="57"/>
        <v>277483.179</v>
      </c>
      <c r="F732" s="20">
        <f t="shared" ref="F732:I736" si="61">F738+F744+F750+F756</f>
        <v>19160.86</v>
      </c>
      <c r="G732" s="20">
        <f t="shared" si="61"/>
        <v>257488.69899999999</v>
      </c>
      <c r="H732" s="20">
        <f t="shared" si="61"/>
        <v>833.61999999999989</v>
      </c>
      <c r="I732" s="20">
        <f t="shared" si="61"/>
        <v>0</v>
      </c>
      <c r="J732" s="181"/>
      <c r="K732" s="181"/>
    </row>
    <row r="733" spans="1:13" x14ac:dyDescent="0.25">
      <c r="A733" s="181"/>
      <c r="B733" s="181"/>
      <c r="C733" s="181"/>
      <c r="D733" s="19">
        <v>2022</v>
      </c>
      <c r="E733" s="20">
        <f t="shared" si="57"/>
        <v>684506.5541999999</v>
      </c>
      <c r="F733" s="20">
        <f t="shared" si="61"/>
        <v>488280.63192999997</v>
      </c>
      <c r="G733" s="20">
        <f t="shared" si="61"/>
        <v>177607.9</v>
      </c>
      <c r="H733" s="20">
        <f t="shared" si="61"/>
        <v>18618.022270000001</v>
      </c>
      <c r="I733" s="20">
        <f t="shared" si="61"/>
        <v>0</v>
      </c>
      <c r="J733" s="181"/>
      <c r="K733" s="181"/>
    </row>
    <row r="734" spans="1:13" x14ac:dyDescent="0.25">
      <c r="A734" s="181"/>
      <c r="B734" s="181"/>
      <c r="C734" s="181"/>
      <c r="D734" s="19">
        <v>2023</v>
      </c>
      <c r="E734" s="20">
        <f t="shared" si="57"/>
        <v>139473.16488999996</v>
      </c>
      <c r="F734" s="20">
        <f t="shared" si="61"/>
        <v>11675.569150000007</v>
      </c>
      <c r="G734" s="20">
        <f t="shared" si="61"/>
        <v>127391</v>
      </c>
      <c r="H734" s="20">
        <f t="shared" si="61"/>
        <v>406.59573999997519</v>
      </c>
      <c r="I734" s="20">
        <f t="shared" si="61"/>
        <v>0</v>
      </c>
      <c r="J734" s="181"/>
      <c r="K734" s="181"/>
    </row>
    <row r="735" spans="1:13" x14ac:dyDescent="0.25">
      <c r="A735" s="181"/>
      <c r="B735" s="181"/>
      <c r="C735" s="181"/>
      <c r="D735" s="19">
        <v>2024</v>
      </c>
      <c r="E735" s="20">
        <f t="shared" si="57"/>
        <v>220498</v>
      </c>
      <c r="F735" s="20">
        <f t="shared" si="61"/>
        <v>209785.60000000001</v>
      </c>
      <c r="G735" s="20">
        <f t="shared" si="61"/>
        <v>0</v>
      </c>
      <c r="H735" s="20">
        <f t="shared" si="61"/>
        <v>10712.4</v>
      </c>
      <c r="I735" s="20">
        <f t="shared" si="61"/>
        <v>0</v>
      </c>
      <c r="J735" s="181"/>
      <c r="K735" s="181"/>
    </row>
    <row r="736" spans="1:13" x14ac:dyDescent="0.25">
      <c r="A736" s="181"/>
      <c r="B736" s="181"/>
      <c r="C736" s="181"/>
      <c r="D736" s="19">
        <v>2025</v>
      </c>
      <c r="E736" s="20">
        <f t="shared" si="57"/>
        <v>6250</v>
      </c>
      <c r="F736" s="20">
        <f t="shared" si="61"/>
        <v>6250</v>
      </c>
      <c r="G736" s="20">
        <f t="shared" si="61"/>
        <v>0</v>
      </c>
      <c r="H736" s="20">
        <f t="shared" si="61"/>
        <v>0</v>
      </c>
      <c r="I736" s="20">
        <f t="shared" si="61"/>
        <v>0</v>
      </c>
      <c r="J736" s="181"/>
      <c r="K736" s="181"/>
    </row>
    <row r="737" spans="1:12" x14ac:dyDescent="0.25">
      <c r="A737" s="181" t="s">
        <v>119</v>
      </c>
      <c r="B737" s="181" t="s">
        <v>120</v>
      </c>
      <c r="C737" s="181" t="s">
        <v>14</v>
      </c>
      <c r="D737" s="19" t="s">
        <v>8</v>
      </c>
      <c r="E737" s="20">
        <f t="shared" si="57"/>
        <v>25746.25</v>
      </c>
      <c r="F737" s="20">
        <f>SUM(F738:F742)</f>
        <v>25746.25</v>
      </c>
      <c r="G737" s="20">
        <f>SUM(G738:G742)</f>
        <v>0</v>
      </c>
      <c r="H737" s="20">
        <f>SUM(H738:H742)</f>
        <v>0</v>
      </c>
      <c r="I737" s="20">
        <f>SUM(I738:I742)</f>
        <v>0</v>
      </c>
      <c r="J737" s="181" t="s">
        <v>1222</v>
      </c>
      <c r="K737" s="181" t="s">
        <v>484</v>
      </c>
      <c r="L737" s="180" t="s">
        <v>950</v>
      </c>
    </row>
    <row r="738" spans="1:12" x14ac:dyDescent="0.25">
      <c r="A738" s="181"/>
      <c r="B738" s="181"/>
      <c r="C738" s="181"/>
      <c r="D738" s="19">
        <v>2021</v>
      </c>
      <c r="E738" s="20">
        <f t="shared" si="57"/>
        <v>3320.7</v>
      </c>
      <c r="F738" s="20">
        <v>3320.7</v>
      </c>
      <c r="G738" s="20">
        <v>0</v>
      </c>
      <c r="H738" s="20">
        <v>0</v>
      </c>
      <c r="I738" s="20">
        <v>0</v>
      </c>
      <c r="J738" s="181"/>
      <c r="K738" s="181"/>
      <c r="L738" s="180"/>
    </row>
    <row r="739" spans="1:12" x14ac:dyDescent="0.25">
      <c r="A739" s="181"/>
      <c r="B739" s="181"/>
      <c r="C739" s="181"/>
      <c r="D739" s="19">
        <v>2022</v>
      </c>
      <c r="E739" s="20">
        <f t="shared" si="57"/>
        <v>5975.3</v>
      </c>
      <c r="F739" s="20">
        <v>5975.3</v>
      </c>
      <c r="G739" s="20">
        <v>0</v>
      </c>
      <c r="H739" s="20">
        <v>0</v>
      </c>
      <c r="I739" s="20">
        <v>0</v>
      </c>
      <c r="J739" s="181"/>
      <c r="K739" s="181"/>
      <c r="L739" s="180"/>
    </row>
    <row r="740" spans="1:12" x14ac:dyDescent="0.25">
      <c r="A740" s="181"/>
      <c r="B740" s="181"/>
      <c r="C740" s="181"/>
      <c r="D740" s="19">
        <v>2023</v>
      </c>
      <c r="E740" s="20">
        <f t="shared" si="57"/>
        <v>3950.25</v>
      </c>
      <c r="F740" s="20">
        <f>6250-2299.75</f>
        <v>3950.25</v>
      </c>
      <c r="G740" s="20">
        <v>0</v>
      </c>
      <c r="H740" s="20">
        <v>0</v>
      </c>
      <c r="I740" s="20">
        <v>0</v>
      </c>
      <c r="J740" s="181"/>
      <c r="K740" s="181"/>
      <c r="L740" s="180"/>
    </row>
    <row r="741" spans="1:12" x14ac:dyDescent="0.25">
      <c r="A741" s="181"/>
      <c r="B741" s="181"/>
      <c r="C741" s="181"/>
      <c r="D741" s="19">
        <v>2024</v>
      </c>
      <c r="E741" s="20">
        <f t="shared" si="57"/>
        <v>6250</v>
      </c>
      <c r="F741" s="20">
        <v>6250</v>
      </c>
      <c r="G741" s="20">
        <v>0</v>
      </c>
      <c r="H741" s="20">
        <v>0</v>
      </c>
      <c r="I741" s="20">
        <v>0</v>
      </c>
      <c r="J741" s="181"/>
      <c r="K741" s="181"/>
      <c r="L741" s="180"/>
    </row>
    <row r="742" spans="1:12" x14ac:dyDescent="0.25">
      <c r="A742" s="181"/>
      <c r="B742" s="181"/>
      <c r="C742" s="181"/>
      <c r="D742" s="19">
        <v>2025</v>
      </c>
      <c r="E742" s="20">
        <f t="shared" si="57"/>
        <v>6250</v>
      </c>
      <c r="F742" s="20">
        <v>6250</v>
      </c>
      <c r="G742" s="20">
        <v>0</v>
      </c>
      <c r="H742" s="20">
        <v>0</v>
      </c>
      <c r="I742" s="20">
        <v>0</v>
      </c>
      <c r="J742" s="181"/>
      <c r="K742" s="181"/>
      <c r="L742" s="180"/>
    </row>
    <row r="743" spans="1:12" x14ac:dyDescent="0.25">
      <c r="A743" s="181" t="s">
        <v>122</v>
      </c>
      <c r="B743" s="181" t="s">
        <v>123</v>
      </c>
      <c r="C743" s="181" t="s">
        <v>124</v>
      </c>
      <c r="D743" s="19" t="s">
        <v>8</v>
      </c>
      <c r="E743" s="20">
        <f t="shared" si="57"/>
        <v>447152.68754999997</v>
      </c>
      <c r="F743" s="20">
        <f>SUM(F744:F748)</f>
        <v>316032.67813999997</v>
      </c>
      <c r="G743" s="20">
        <f>SUM(G744:G748)</f>
        <v>121253.24804000001</v>
      </c>
      <c r="H743" s="20">
        <f>SUM(H744:H748)</f>
        <v>9866.7613700000002</v>
      </c>
      <c r="I743" s="20">
        <f>SUM(I744:I748)</f>
        <v>0</v>
      </c>
      <c r="J743" s="181" t="s">
        <v>949</v>
      </c>
      <c r="K743" s="181" t="s">
        <v>547</v>
      </c>
      <c r="L743" s="180"/>
    </row>
    <row r="744" spans="1:12" x14ac:dyDescent="0.25">
      <c r="A744" s="181"/>
      <c r="B744" s="181"/>
      <c r="C744" s="181"/>
      <c r="D744" s="19">
        <v>2021</v>
      </c>
      <c r="E744" s="20">
        <f t="shared" si="57"/>
        <v>94469.148000000001</v>
      </c>
      <c r="F744" s="20">
        <v>5458.1030000000001</v>
      </c>
      <c r="G744" s="20">
        <v>88723.845000000001</v>
      </c>
      <c r="H744" s="20">
        <v>287.2</v>
      </c>
      <c r="I744" s="20">
        <v>0</v>
      </c>
      <c r="J744" s="181"/>
      <c r="K744" s="181"/>
      <c r="L744" s="180"/>
    </row>
    <row r="745" spans="1:12" x14ac:dyDescent="0.25">
      <c r="A745" s="181"/>
      <c r="B745" s="181"/>
      <c r="C745" s="181"/>
      <c r="D745" s="19">
        <v>2022</v>
      </c>
      <c r="E745" s="20">
        <f t="shared" si="57"/>
        <v>352683.53954999999</v>
      </c>
      <c r="F745" s="20">
        <v>310574.57513999997</v>
      </c>
      <c r="G745" s="20">
        <v>32529.403040000001</v>
      </c>
      <c r="H745" s="20">
        <v>9579.5613699999994</v>
      </c>
      <c r="I745" s="20">
        <v>0</v>
      </c>
      <c r="J745" s="181"/>
      <c r="K745" s="181"/>
      <c r="L745" s="180"/>
    </row>
    <row r="746" spans="1:12" x14ac:dyDescent="0.25">
      <c r="A746" s="181"/>
      <c r="B746" s="181"/>
      <c r="C746" s="181"/>
      <c r="D746" s="19">
        <v>2023</v>
      </c>
      <c r="E746" s="20">
        <f t="shared" si="57"/>
        <v>0</v>
      </c>
      <c r="F746" s="20">
        <v>0</v>
      </c>
      <c r="G746" s="20">
        <v>0</v>
      </c>
      <c r="H746" s="20">
        <v>0</v>
      </c>
      <c r="I746" s="20">
        <v>0</v>
      </c>
      <c r="J746" s="181"/>
      <c r="K746" s="181"/>
      <c r="L746" s="180"/>
    </row>
    <row r="747" spans="1:12" x14ac:dyDescent="0.25">
      <c r="A747" s="181"/>
      <c r="B747" s="181"/>
      <c r="C747" s="181"/>
      <c r="D747" s="19">
        <v>2024</v>
      </c>
      <c r="E747" s="20">
        <f t="shared" si="57"/>
        <v>0</v>
      </c>
      <c r="F747" s="20">
        <v>0</v>
      </c>
      <c r="G747" s="20">
        <v>0</v>
      </c>
      <c r="H747" s="20">
        <v>0</v>
      </c>
      <c r="I747" s="20">
        <v>0</v>
      </c>
      <c r="J747" s="181"/>
      <c r="K747" s="181"/>
      <c r="L747" s="180"/>
    </row>
    <row r="748" spans="1:12" x14ac:dyDescent="0.25">
      <c r="A748" s="181"/>
      <c r="B748" s="181"/>
      <c r="C748" s="181"/>
      <c r="D748" s="19">
        <v>2025</v>
      </c>
      <c r="E748" s="20">
        <f t="shared" si="57"/>
        <v>0</v>
      </c>
      <c r="F748" s="20">
        <v>0</v>
      </c>
      <c r="G748" s="20">
        <v>0</v>
      </c>
      <c r="H748" s="20">
        <v>0</v>
      </c>
      <c r="I748" s="20">
        <v>0</v>
      </c>
      <c r="J748" s="181"/>
      <c r="K748" s="181"/>
      <c r="L748" s="180"/>
    </row>
    <row r="749" spans="1:12" x14ac:dyDescent="0.25">
      <c r="A749" s="181" t="s">
        <v>126</v>
      </c>
      <c r="B749" s="181" t="s">
        <v>127</v>
      </c>
      <c r="C749" s="181" t="s">
        <v>124</v>
      </c>
      <c r="D749" s="19" t="s">
        <v>8</v>
      </c>
      <c r="E749" s="20">
        <f t="shared" si="57"/>
        <v>508717.68395999999</v>
      </c>
      <c r="F749" s="20">
        <v>242209.413</v>
      </c>
      <c r="G749" s="20">
        <v>253746.75095999998</v>
      </c>
      <c r="H749" s="20">
        <v>12761.52</v>
      </c>
      <c r="I749" s="20">
        <f>SUM(I750:I754)</f>
        <v>0</v>
      </c>
      <c r="J749" s="181" t="s">
        <v>1223</v>
      </c>
      <c r="K749" s="181" t="s">
        <v>547</v>
      </c>
    </row>
    <row r="750" spans="1:12" x14ac:dyDescent="0.25">
      <c r="A750" s="181"/>
      <c r="B750" s="181"/>
      <c r="C750" s="181"/>
      <c r="D750" s="19">
        <v>2021</v>
      </c>
      <c r="E750" s="20">
        <f t="shared" ref="E750:E778" si="62">SUM(F750:I750)</f>
        <v>179693.33100000001</v>
      </c>
      <c r="F750" s="20">
        <v>10382.057000000001</v>
      </c>
      <c r="G750" s="20">
        <v>168764.85399999999</v>
      </c>
      <c r="H750" s="20">
        <v>546.41999999999996</v>
      </c>
      <c r="I750" s="20">
        <v>0</v>
      </c>
      <c r="J750" s="181"/>
      <c r="K750" s="181"/>
    </row>
    <row r="751" spans="1:12" x14ac:dyDescent="0.25">
      <c r="A751" s="181"/>
      <c r="B751" s="181"/>
      <c r="C751" s="181"/>
      <c r="D751" s="19">
        <v>2022</v>
      </c>
      <c r="E751" s="20">
        <f t="shared" si="62"/>
        <v>325847.71465000004</v>
      </c>
      <c r="F751" s="20">
        <v>171730.75679000001</v>
      </c>
      <c r="G751" s="20">
        <v>145078.49695999999</v>
      </c>
      <c r="H751" s="20">
        <v>9038.4609</v>
      </c>
      <c r="I751" s="20">
        <v>0</v>
      </c>
      <c r="J751" s="181"/>
      <c r="K751" s="181"/>
    </row>
    <row r="752" spans="1:12" x14ac:dyDescent="0.25">
      <c r="A752" s="181"/>
      <c r="B752" s="181"/>
      <c r="C752" s="181"/>
      <c r="D752" s="19">
        <v>2023</v>
      </c>
      <c r="E752" s="20">
        <f t="shared" si="62"/>
        <v>0</v>
      </c>
      <c r="F752" s="20">
        <v>0</v>
      </c>
      <c r="G752" s="20">
        <v>0</v>
      </c>
      <c r="H752" s="20">
        <v>0</v>
      </c>
      <c r="I752" s="20">
        <v>0</v>
      </c>
      <c r="J752" s="181"/>
      <c r="K752" s="181"/>
    </row>
    <row r="753" spans="1:11" x14ac:dyDescent="0.25">
      <c r="A753" s="181"/>
      <c r="B753" s="181"/>
      <c r="C753" s="181"/>
      <c r="D753" s="19">
        <v>2024</v>
      </c>
      <c r="E753" s="20">
        <f t="shared" si="62"/>
        <v>0</v>
      </c>
      <c r="F753" s="20">
        <v>0</v>
      </c>
      <c r="G753" s="20">
        <v>0</v>
      </c>
      <c r="H753" s="20">
        <v>0</v>
      </c>
      <c r="I753" s="20">
        <v>0</v>
      </c>
      <c r="J753" s="181"/>
      <c r="K753" s="181"/>
    </row>
    <row r="754" spans="1:11" x14ac:dyDescent="0.25">
      <c r="A754" s="181"/>
      <c r="B754" s="181"/>
      <c r="C754" s="181"/>
      <c r="D754" s="19">
        <v>2025</v>
      </c>
      <c r="E754" s="20">
        <f t="shared" si="62"/>
        <v>0</v>
      </c>
      <c r="F754" s="20">
        <v>0</v>
      </c>
      <c r="G754" s="20">
        <v>0</v>
      </c>
      <c r="H754" s="20">
        <v>0</v>
      </c>
      <c r="I754" s="20">
        <v>0</v>
      </c>
      <c r="J754" s="181"/>
      <c r="K754" s="181"/>
    </row>
    <row r="755" spans="1:11" x14ac:dyDescent="0.25">
      <c r="A755" s="181" t="s">
        <v>128</v>
      </c>
      <c r="B755" s="181" t="s">
        <v>1224</v>
      </c>
      <c r="C755" s="181" t="s">
        <v>1216</v>
      </c>
      <c r="D755" s="19" t="s">
        <v>8</v>
      </c>
      <c r="E755" s="20">
        <f t="shared" si="62"/>
        <v>349770.91488999996</v>
      </c>
      <c r="F755" s="20">
        <f>SUM(F756:F760)</f>
        <v>211260.91915</v>
      </c>
      <c r="G755" s="20">
        <f>SUM(G756:G760)</f>
        <v>127391</v>
      </c>
      <c r="H755" s="20">
        <f>SUM(H756:H760)</f>
        <v>11118.995739999975</v>
      </c>
      <c r="I755" s="20">
        <f>SUM(I756:I760)</f>
        <v>0</v>
      </c>
      <c r="J755" s="181" t="s">
        <v>952</v>
      </c>
      <c r="K755" s="181" t="s">
        <v>547</v>
      </c>
    </row>
    <row r="756" spans="1:11" x14ac:dyDescent="0.25">
      <c r="A756" s="181"/>
      <c r="B756" s="181"/>
      <c r="C756" s="181"/>
      <c r="D756" s="19">
        <v>2021</v>
      </c>
      <c r="E756" s="20">
        <f t="shared" si="62"/>
        <v>0</v>
      </c>
      <c r="F756" s="20">
        <v>0</v>
      </c>
      <c r="G756" s="20">
        <v>0</v>
      </c>
      <c r="H756" s="20">
        <v>0</v>
      </c>
      <c r="I756" s="20">
        <v>0</v>
      </c>
      <c r="J756" s="181"/>
      <c r="K756" s="181"/>
    </row>
    <row r="757" spans="1:11" x14ac:dyDescent="0.25">
      <c r="A757" s="181"/>
      <c r="B757" s="181"/>
      <c r="C757" s="181"/>
      <c r="D757" s="19">
        <v>2022</v>
      </c>
      <c r="E757" s="20">
        <f t="shared" si="62"/>
        <v>0</v>
      </c>
      <c r="F757" s="20">
        <v>0</v>
      </c>
      <c r="G757" s="20">
        <v>0</v>
      </c>
      <c r="H757" s="20">
        <v>0</v>
      </c>
      <c r="I757" s="20">
        <v>0</v>
      </c>
      <c r="J757" s="181"/>
      <c r="K757" s="181"/>
    </row>
    <row r="758" spans="1:11" x14ac:dyDescent="0.25">
      <c r="A758" s="181"/>
      <c r="B758" s="181"/>
      <c r="C758" s="181"/>
      <c r="D758" s="19">
        <v>2023</v>
      </c>
      <c r="E758" s="20">
        <f t="shared" si="62"/>
        <v>135522.91488999996</v>
      </c>
      <c r="F758" s="20">
        <f>(135116319.15-127391000)/1000</f>
        <v>7725.3191500000057</v>
      </c>
      <c r="G758" s="20">
        <v>127391</v>
      </c>
      <c r="H758" s="20">
        <f>135522914.89/1000-F758-G758</f>
        <v>406.59573999997519</v>
      </c>
      <c r="I758" s="20">
        <v>0</v>
      </c>
      <c r="J758" s="181"/>
      <c r="K758" s="181"/>
    </row>
    <row r="759" spans="1:11" x14ac:dyDescent="0.25">
      <c r="A759" s="181"/>
      <c r="B759" s="181"/>
      <c r="C759" s="181"/>
      <c r="D759" s="19">
        <v>2024</v>
      </c>
      <c r="E759" s="20">
        <f t="shared" si="62"/>
        <v>214248</v>
      </c>
      <c r="F759" s="20">
        <v>203535.6</v>
      </c>
      <c r="G759" s="20">
        <v>0</v>
      </c>
      <c r="H759" s="20">
        <v>10712.4</v>
      </c>
      <c r="I759" s="20">
        <v>0</v>
      </c>
      <c r="J759" s="181"/>
      <c r="K759" s="181"/>
    </row>
    <row r="760" spans="1:11" x14ac:dyDescent="0.25">
      <c r="A760" s="181"/>
      <c r="B760" s="181"/>
      <c r="C760" s="181"/>
      <c r="D760" s="19">
        <v>2025</v>
      </c>
      <c r="E760" s="20">
        <f t="shared" si="62"/>
        <v>0</v>
      </c>
      <c r="F760" s="20">
        <v>0</v>
      </c>
      <c r="G760" s="20">
        <v>0</v>
      </c>
      <c r="H760" s="20">
        <v>0</v>
      </c>
      <c r="I760" s="20">
        <v>0</v>
      </c>
      <c r="J760" s="181"/>
      <c r="K760" s="181"/>
    </row>
    <row r="761" spans="1:11" x14ac:dyDescent="0.25">
      <c r="A761" s="181" t="s">
        <v>131</v>
      </c>
      <c r="B761" s="181" t="s">
        <v>132</v>
      </c>
      <c r="C761" s="181" t="s">
        <v>14</v>
      </c>
      <c r="D761" s="19" t="s">
        <v>8</v>
      </c>
      <c r="E761" s="20">
        <f t="shared" si="62"/>
        <v>254013.038</v>
      </c>
      <c r="F761" s="20">
        <f>SUM(F762:F766)</f>
        <v>254013.038</v>
      </c>
      <c r="G761" s="20">
        <f>SUM(G762:G766)</f>
        <v>0</v>
      </c>
      <c r="H761" s="20">
        <f>SUM(H762:H766)</f>
        <v>0</v>
      </c>
      <c r="I761" s="20">
        <f>SUM(I762:I766)</f>
        <v>0</v>
      </c>
      <c r="J761" s="181"/>
      <c r="K761" s="181" t="s">
        <v>484</v>
      </c>
    </row>
    <row r="762" spans="1:11" x14ac:dyDescent="0.25">
      <c r="A762" s="181"/>
      <c r="B762" s="181"/>
      <c r="C762" s="181"/>
      <c r="D762" s="19">
        <v>2021</v>
      </c>
      <c r="E762" s="20">
        <f t="shared" si="62"/>
        <v>40456.699999999997</v>
      </c>
      <c r="F762" s="20">
        <f t="shared" ref="F762:I766" si="63">F768</f>
        <v>40456.699999999997</v>
      </c>
      <c r="G762" s="20">
        <f t="shared" si="63"/>
        <v>0</v>
      </c>
      <c r="H762" s="20">
        <f t="shared" si="63"/>
        <v>0</v>
      </c>
      <c r="I762" s="20">
        <f t="shared" si="63"/>
        <v>0</v>
      </c>
      <c r="J762" s="181"/>
      <c r="K762" s="181"/>
    </row>
    <row r="763" spans="1:11" x14ac:dyDescent="0.25">
      <c r="A763" s="181"/>
      <c r="B763" s="181"/>
      <c r="C763" s="181"/>
      <c r="D763" s="19">
        <v>2022</v>
      </c>
      <c r="E763" s="20">
        <f t="shared" si="62"/>
        <v>50867.625999999997</v>
      </c>
      <c r="F763" s="20">
        <f t="shared" si="63"/>
        <v>50867.625999999997</v>
      </c>
      <c r="G763" s="20">
        <f t="shared" si="63"/>
        <v>0</v>
      </c>
      <c r="H763" s="20">
        <f t="shared" si="63"/>
        <v>0</v>
      </c>
      <c r="I763" s="20">
        <f t="shared" si="63"/>
        <v>0</v>
      </c>
      <c r="J763" s="181"/>
      <c r="K763" s="181"/>
    </row>
    <row r="764" spans="1:11" x14ac:dyDescent="0.25">
      <c r="A764" s="181"/>
      <c r="B764" s="181"/>
      <c r="C764" s="181"/>
      <c r="D764" s="19">
        <v>2023</v>
      </c>
      <c r="E764" s="20">
        <f t="shared" si="62"/>
        <v>54125.195</v>
      </c>
      <c r="F764" s="20">
        <f t="shared" si="63"/>
        <v>54125.195</v>
      </c>
      <c r="G764" s="20">
        <f t="shared" si="63"/>
        <v>0</v>
      </c>
      <c r="H764" s="20">
        <f t="shared" si="63"/>
        <v>0</v>
      </c>
      <c r="I764" s="20">
        <f t="shared" si="63"/>
        <v>0</v>
      </c>
      <c r="J764" s="181"/>
      <c r="K764" s="181"/>
    </row>
    <row r="765" spans="1:11" x14ac:dyDescent="0.25">
      <c r="A765" s="181"/>
      <c r="B765" s="181"/>
      <c r="C765" s="181"/>
      <c r="D765" s="19">
        <v>2024</v>
      </c>
      <c r="E765" s="20">
        <f t="shared" si="62"/>
        <v>54249.398000000001</v>
      </c>
      <c r="F765" s="20">
        <f t="shared" si="63"/>
        <v>54249.398000000001</v>
      </c>
      <c r="G765" s="20">
        <f t="shared" si="63"/>
        <v>0</v>
      </c>
      <c r="H765" s="20">
        <f t="shared" si="63"/>
        <v>0</v>
      </c>
      <c r="I765" s="20">
        <f t="shared" si="63"/>
        <v>0</v>
      </c>
      <c r="J765" s="181"/>
      <c r="K765" s="181"/>
    </row>
    <row r="766" spans="1:11" x14ac:dyDescent="0.25">
      <c r="A766" s="181"/>
      <c r="B766" s="181"/>
      <c r="C766" s="181"/>
      <c r="D766" s="19">
        <v>2025</v>
      </c>
      <c r="E766" s="20">
        <f t="shared" si="62"/>
        <v>54314.118999999999</v>
      </c>
      <c r="F766" s="20">
        <f t="shared" si="63"/>
        <v>54314.118999999999</v>
      </c>
      <c r="G766" s="20">
        <f t="shared" si="63"/>
        <v>0</v>
      </c>
      <c r="H766" s="20">
        <f t="shared" si="63"/>
        <v>0</v>
      </c>
      <c r="I766" s="20">
        <f t="shared" si="63"/>
        <v>0</v>
      </c>
      <c r="J766" s="181"/>
      <c r="K766" s="181"/>
    </row>
    <row r="767" spans="1:11" x14ac:dyDescent="0.25">
      <c r="A767" s="181" t="s">
        <v>133</v>
      </c>
      <c r="B767" s="181" t="s">
        <v>134</v>
      </c>
      <c r="C767" s="181" t="s">
        <v>14</v>
      </c>
      <c r="D767" s="19" t="s">
        <v>8</v>
      </c>
      <c r="E767" s="20">
        <f t="shared" si="62"/>
        <v>254013.038</v>
      </c>
      <c r="F767" s="20">
        <f>SUM(F768:F772)</f>
        <v>254013.038</v>
      </c>
      <c r="G767" s="20">
        <f>SUM(G768:G772)</f>
        <v>0</v>
      </c>
      <c r="H767" s="20">
        <f>SUM(H768:H772)</f>
        <v>0</v>
      </c>
      <c r="I767" s="20">
        <f>SUM(I768:I772)</f>
        <v>0</v>
      </c>
      <c r="J767" s="181" t="s">
        <v>605</v>
      </c>
      <c r="K767" s="181" t="s">
        <v>484</v>
      </c>
    </row>
    <row r="768" spans="1:11" x14ac:dyDescent="0.25">
      <c r="A768" s="181"/>
      <c r="B768" s="181"/>
      <c r="C768" s="181"/>
      <c r="D768" s="19">
        <v>2021</v>
      </c>
      <c r="E768" s="20">
        <f t="shared" si="62"/>
        <v>40456.699999999997</v>
      </c>
      <c r="F768" s="20">
        <f t="shared" ref="F768:I772" si="64">F774</f>
        <v>40456.699999999997</v>
      </c>
      <c r="G768" s="20">
        <f t="shared" si="64"/>
        <v>0</v>
      </c>
      <c r="H768" s="20">
        <f t="shared" si="64"/>
        <v>0</v>
      </c>
      <c r="I768" s="20">
        <f t="shared" si="64"/>
        <v>0</v>
      </c>
      <c r="J768" s="181"/>
      <c r="K768" s="181"/>
    </row>
    <row r="769" spans="1:11" x14ac:dyDescent="0.25">
      <c r="A769" s="181"/>
      <c r="B769" s="181"/>
      <c r="C769" s="181"/>
      <c r="D769" s="19">
        <v>2022</v>
      </c>
      <c r="E769" s="20">
        <f t="shared" si="62"/>
        <v>50867.625999999997</v>
      </c>
      <c r="F769" s="20">
        <f t="shared" si="64"/>
        <v>50867.625999999997</v>
      </c>
      <c r="G769" s="20">
        <f t="shared" si="64"/>
        <v>0</v>
      </c>
      <c r="H769" s="20">
        <f t="shared" si="64"/>
        <v>0</v>
      </c>
      <c r="I769" s="20">
        <f t="shared" si="64"/>
        <v>0</v>
      </c>
      <c r="J769" s="181"/>
      <c r="K769" s="181"/>
    </row>
    <row r="770" spans="1:11" x14ac:dyDescent="0.25">
      <c r="A770" s="181"/>
      <c r="B770" s="181"/>
      <c r="C770" s="181"/>
      <c r="D770" s="19">
        <v>2023</v>
      </c>
      <c r="E770" s="20">
        <f t="shared" si="62"/>
        <v>54125.195</v>
      </c>
      <c r="F770" s="20">
        <f t="shared" si="64"/>
        <v>54125.195</v>
      </c>
      <c r="G770" s="20">
        <f t="shared" si="64"/>
        <v>0</v>
      </c>
      <c r="H770" s="20">
        <f t="shared" si="64"/>
        <v>0</v>
      </c>
      <c r="I770" s="20">
        <f t="shared" si="64"/>
        <v>0</v>
      </c>
      <c r="J770" s="181"/>
      <c r="K770" s="181"/>
    </row>
    <row r="771" spans="1:11" x14ac:dyDescent="0.25">
      <c r="A771" s="181"/>
      <c r="B771" s="181"/>
      <c r="C771" s="181"/>
      <c r="D771" s="19">
        <v>2024</v>
      </c>
      <c r="E771" s="20">
        <f t="shared" si="62"/>
        <v>54249.398000000001</v>
      </c>
      <c r="F771" s="20">
        <f t="shared" si="64"/>
        <v>54249.398000000001</v>
      </c>
      <c r="G771" s="20">
        <f t="shared" si="64"/>
        <v>0</v>
      </c>
      <c r="H771" s="20">
        <f t="shared" si="64"/>
        <v>0</v>
      </c>
      <c r="I771" s="20">
        <f t="shared" si="64"/>
        <v>0</v>
      </c>
      <c r="J771" s="181"/>
      <c r="K771" s="181"/>
    </row>
    <row r="772" spans="1:11" x14ac:dyDescent="0.25">
      <c r="A772" s="181"/>
      <c r="B772" s="181"/>
      <c r="C772" s="181"/>
      <c r="D772" s="19">
        <v>2025</v>
      </c>
      <c r="E772" s="20">
        <f t="shared" si="62"/>
        <v>54314.118999999999</v>
      </c>
      <c r="F772" s="20">
        <f t="shared" si="64"/>
        <v>54314.118999999999</v>
      </c>
      <c r="G772" s="20">
        <f>G778</f>
        <v>0</v>
      </c>
      <c r="H772" s="20">
        <f>H778</f>
        <v>0</v>
      </c>
      <c r="I772" s="20">
        <f>I778</f>
        <v>0</v>
      </c>
      <c r="J772" s="181"/>
      <c r="K772" s="181"/>
    </row>
    <row r="773" spans="1:11" x14ac:dyDescent="0.25">
      <c r="A773" s="181" t="s">
        <v>135</v>
      </c>
      <c r="B773" s="181" t="s">
        <v>954</v>
      </c>
      <c r="C773" s="181" t="s">
        <v>14</v>
      </c>
      <c r="D773" s="19" t="s">
        <v>8</v>
      </c>
      <c r="E773" s="20">
        <f t="shared" si="62"/>
        <v>254013.038</v>
      </c>
      <c r="F773" s="20">
        <f>SUM(F774:F778)</f>
        <v>254013.038</v>
      </c>
      <c r="G773" s="20">
        <f>SUM(G774:G778)</f>
        <v>0</v>
      </c>
      <c r="H773" s="20">
        <f>SUM(H774:H778)</f>
        <v>0</v>
      </c>
      <c r="I773" s="20">
        <f>SUM(I774:I778)</f>
        <v>0</v>
      </c>
      <c r="J773" s="181" t="s">
        <v>607</v>
      </c>
      <c r="K773" s="181" t="s">
        <v>484</v>
      </c>
    </row>
    <row r="774" spans="1:11" x14ac:dyDescent="0.25">
      <c r="A774" s="181"/>
      <c r="B774" s="181"/>
      <c r="C774" s="181"/>
      <c r="D774" s="19">
        <v>2021</v>
      </c>
      <c r="E774" s="20">
        <f t="shared" si="62"/>
        <v>40456.699999999997</v>
      </c>
      <c r="F774" s="20">
        <v>40456.699999999997</v>
      </c>
      <c r="G774" s="20">
        <v>0</v>
      </c>
      <c r="H774" s="20">
        <v>0</v>
      </c>
      <c r="I774" s="20">
        <v>0</v>
      </c>
      <c r="J774" s="181"/>
      <c r="K774" s="181"/>
    </row>
    <row r="775" spans="1:11" x14ac:dyDescent="0.25">
      <c r="A775" s="181"/>
      <c r="B775" s="181"/>
      <c r="C775" s="181"/>
      <c r="D775" s="19">
        <v>2022</v>
      </c>
      <c r="E775" s="20">
        <f t="shared" si="62"/>
        <v>50867.625999999997</v>
      </c>
      <c r="F775" s="20">
        <v>50867.625999999997</v>
      </c>
      <c r="G775" s="20">
        <v>0</v>
      </c>
      <c r="H775" s="20">
        <v>0</v>
      </c>
      <c r="I775" s="20">
        <v>0</v>
      </c>
      <c r="J775" s="181"/>
      <c r="K775" s="181"/>
    </row>
    <row r="776" spans="1:11" x14ac:dyDescent="0.25">
      <c r="A776" s="181"/>
      <c r="B776" s="181"/>
      <c r="C776" s="181"/>
      <c r="D776" s="19">
        <v>2023</v>
      </c>
      <c r="E776" s="20">
        <f t="shared" si="62"/>
        <v>54125.195</v>
      </c>
      <c r="F776" s="20">
        <v>54125.195</v>
      </c>
      <c r="G776" s="20">
        <v>0</v>
      </c>
      <c r="H776" s="20">
        <v>0</v>
      </c>
      <c r="I776" s="20">
        <v>0</v>
      </c>
      <c r="J776" s="181"/>
      <c r="K776" s="181"/>
    </row>
    <row r="777" spans="1:11" x14ac:dyDescent="0.25">
      <c r="A777" s="181"/>
      <c r="B777" s="181"/>
      <c r="C777" s="181"/>
      <c r="D777" s="19">
        <v>2024</v>
      </c>
      <c r="E777" s="20">
        <f t="shared" si="62"/>
        <v>54249.398000000001</v>
      </c>
      <c r="F777" s="20">
        <v>54249.398000000001</v>
      </c>
      <c r="G777" s="20">
        <v>0</v>
      </c>
      <c r="H777" s="20">
        <v>0</v>
      </c>
      <c r="I777" s="20">
        <v>0</v>
      </c>
      <c r="J777" s="181"/>
      <c r="K777" s="181"/>
    </row>
    <row r="778" spans="1:11" x14ac:dyDescent="0.25">
      <c r="A778" s="181"/>
      <c r="B778" s="181"/>
      <c r="C778" s="181"/>
      <c r="D778" s="19">
        <v>2025</v>
      </c>
      <c r="E778" s="20">
        <f t="shared" si="62"/>
        <v>54314.118999999999</v>
      </c>
      <c r="F778" s="20">
        <v>54314.118999999999</v>
      </c>
      <c r="G778" s="20">
        <v>0</v>
      </c>
      <c r="H778" s="20">
        <v>0</v>
      </c>
      <c r="I778" s="20">
        <v>0</v>
      </c>
      <c r="J778" s="181"/>
      <c r="K778" s="181"/>
    </row>
    <row r="780" spans="1:11" x14ac:dyDescent="0.25">
      <c r="A780" s="18" t="s">
        <v>1745</v>
      </c>
    </row>
  </sheetData>
  <mergeCells count="666">
    <mergeCell ref="A773:A778"/>
    <mergeCell ref="B773:B778"/>
    <mergeCell ref="C773:C778"/>
    <mergeCell ref="J773:J778"/>
    <mergeCell ref="K773:K778"/>
    <mergeCell ref="A761:A766"/>
    <mergeCell ref="B761:B766"/>
    <mergeCell ref="C761:C766"/>
    <mergeCell ref="J761:J766"/>
    <mergeCell ref="K761:K766"/>
    <mergeCell ref="A767:A772"/>
    <mergeCell ref="B767:B772"/>
    <mergeCell ref="C767:C772"/>
    <mergeCell ref="J767:J772"/>
    <mergeCell ref="K767:K772"/>
    <mergeCell ref="A749:A754"/>
    <mergeCell ref="B749:B754"/>
    <mergeCell ref="C749:C754"/>
    <mergeCell ref="J749:J754"/>
    <mergeCell ref="K749:K754"/>
    <mergeCell ref="A755:A760"/>
    <mergeCell ref="B755:B760"/>
    <mergeCell ref="C755:C760"/>
    <mergeCell ref="J755:J760"/>
    <mergeCell ref="K755:K760"/>
    <mergeCell ref="A743:A748"/>
    <mergeCell ref="B743:B748"/>
    <mergeCell ref="C743:C748"/>
    <mergeCell ref="J743:J748"/>
    <mergeCell ref="K743:K748"/>
    <mergeCell ref="L743:L748"/>
    <mergeCell ref="A737:A742"/>
    <mergeCell ref="B737:B742"/>
    <mergeCell ref="C737:C742"/>
    <mergeCell ref="J737:J742"/>
    <mergeCell ref="K737:K742"/>
    <mergeCell ref="L737:L742"/>
    <mergeCell ref="A725:A730"/>
    <mergeCell ref="B725:B730"/>
    <mergeCell ref="C725:C730"/>
    <mergeCell ref="J725:J730"/>
    <mergeCell ref="K725:K730"/>
    <mergeCell ref="A731:A736"/>
    <mergeCell ref="B731:B736"/>
    <mergeCell ref="C731:C736"/>
    <mergeCell ref="J731:J736"/>
    <mergeCell ref="K731:K736"/>
    <mergeCell ref="A713:A718"/>
    <mergeCell ref="B713:B718"/>
    <mergeCell ref="C713:C718"/>
    <mergeCell ref="J713:J718"/>
    <mergeCell ref="K713:K718"/>
    <mergeCell ref="A719:A724"/>
    <mergeCell ref="B719:B724"/>
    <mergeCell ref="C719:C724"/>
    <mergeCell ref="J719:J724"/>
    <mergeCell ref="K719:K724"/>
    <mergeCell ref="A701:A706"/>
    <mergeCell ref="B701:B706"/>
    <mergeCell ref="C701:C706"/>
    <mergeCell ref="J701:J706"/>
    <mergeCell ref="K701:K706"/>
    <mergeCell ref="A707:A712"/>
    <mergeCell ref="B707:B712"/>
    <mergeCell ref="C707:C712"/>
    <mergeCell ref="J707:J712"/>
    <mergeCell ref="K707:K712"/>
    <mergeCell ref="A689:A694"/>
    <mergeCell ref="B689:B694"/>
    <mergeCell ref="C689:C694"/>
    <mergeCell ref="J689:J694"/>
    <mergeCell ref="K689:K694"/>
    <mergeCell ref="A695:A700"/>
    <mergeCell ref="B695:B700"/>
    <mergeCell ref="C695:C700"/>
    <mergeCell ref="J695:J700"/>
    <mergeCell ref="K695:K700"/>
    <mergeCell ref="A677:A682"/>
    <mergeCell ref="B677:B682"/>
    <mergeCell ref="C677:C682"/>
    <mergeCell ref="J677:J682"/>
    <mergeCell ref="K677:K682"/>
    <mergeCell ref="A683:A688"/>
    <mergeCell ref="B683:B688"/>
    <mergeCell ref="C683:C688"/>
    <mergeCell ref="J683:J688"/>
    <mergeCell ref="K683:K688"/>
    <mergeCell ref="A665:A670"/>
    <mergeCell ref="B665:B670"/>
    <mergeCell ref="C665:C670"/>
    <mergeCell ref="J665:J670"/>
    <mergeCell ref="K665:K670"/>
    <mergeCell ref="A671:A676"/>
    <mergeCell ref="B671:B676"/>
    <mergeCell ref="C671:C676"/>
    <mergeCell ref="J671:J676"/>
    <mergeCell ref="K671:K676"/>
    <mergeCell ref="A653:A658"/>
    <mergeCell ref="B653:B658"/>
    <mergeCell ref="C653:C658"/>
    <mergeCell ref="J653:J658"/>
    <mergeCell ref="K653:K658"/>
    <mergeCell ref="A659:A664"/>
    <mergeCell ref="B659:B664"/>
    <mergeCell ref="C659:C664"/>
    <mergeCell ref="J659:J664"/>
    <mergeCell ref="K659:K664"/>
    <mergeCell ref="A641:A646"/>
    <mergeCell ref="B641:B646"/>
    <mergeCell ref="C641:C646"/>
    <mergeCell ref="J641:J646"/>
    <mergeCell ref="K641:K646"/>
    <mergeCell ref="A647:A652"/>
    <mergeCell ref="B647:B652"/>
    <mergeCell ref="C647:C652"/>
    <mergeCell ref="J647:J652"/>
    <mergeCell ref="K647:K652"/>
    <mergeCell ref="A629:A634"/>
    <mergeCell ref="B629:B634"/>
    <mergeCell ref="C629:C634"/>
    <mergeCell ref="J629:J634"/>
    <mergeCell ref="K629:K634"/>
    <mergeCell ref="A635:A640"/>
    <mergeCell ref="B635:B640"/>
    <mergeCell ref="C635:C640"/>
    <mergeCell ref="J635:J640"/>
    <mergeCell ref="K635:K640"/>
    <mergeCell ref="A617:A622"/>
    <mergeCell ref="B617:B622"/>
    <mergeCell ref="C617:C622"/>
    <mergeCell ref="J617:J622"/>
    <mergeCell ref="K617:K622"/>
    <mergeCell ref="A623:A628"/>
    <mergeCell ref="B623:B628"/>
    <mergeCell ref="C623:C628"/>
    <mergeCell ref="J623:J628"/>
    <mergeCell ref="K623:K628"/>
    <mergeCell ref="A605:A610"/>
    <mergeCell ref="B605:B610"/>
    <mergeCell ref="C605:C610"/>
    <mergeCell ref="J605:J610"/>
    <mergeCell ref="K605:K610"/>
    <mergeCell ref="A611:A616"/>
    <mergeCell ref="B611:B616"/>
    <mergeCell ref="C611:C616"/>
    <mergeCell ref="J611:J616"/>
    <mergeCell ref="K611:K616"/>
    <mergeCell ref="A593:A598"/>
    <mergeCell ref="B593:B598"/>
    <mergeCell ref="C593:C598"/>
    <mergeCell ref="J593:J598"/>
    <mergeCell ref="K593:K598"/>
    <mergeCell ref="A599:A604"/>
    <mergeCell ref="B599:B604"/>
    <mergeCell ref="C599:C604"/>
    <mergeCell ref="J599:J604"/>
    <mergeCell ref="K599:K604"/>
    <mergeCell ref="A581:A586"/>
    <mergeCell ref="B581:B586"/>
    <mergeCell ref="C581:C586"/>
    <mergeCell ref="J581:J586"/>
    <mergeCell ref="K581:K586"/>
    <mergeCell ref="A587:A592"/>
    <mergeCell ref="B587:B592"/>
    <mergeCell ref="C587:C592"/>
    <mergeCell ref="J587:J592"/>
    <mergeCell ref="K587:K592"/>
    <mergeCell ref="A569:A574"/>
    <mergeCell ref="B569:B574"/>
    <mergeCell ref="C569:C574"/>
    <mergeCell ref="J569:J574"/>
    <mergeCell ref="K569:K574"/>
    <mergeCell ref="A575:A580"/>
    <mergeCell ref="B575:B580"/>
    <mergeCell ref="C575:C580"/>
    <mergeCell ref="J575:J580"/>
    <mergeCell ref="K575:K580"/>
    <mergeCell ref="A557:A562"/>
    <mergeCell ref="B557:B562"/>
    <mergeCell ref="C557:C562"/>
    <mergeCell ref="J557:J562"/>
    <mergeCell ref="K557:K562"/>
    <mergeCell ref="A563:A568"/>
    <mergeCell ref="B563:B568"/>
    <mergeCell ref="C563:C568"/>
    <mergeCell ref="J563:J568"/>
    <mergeCell ref="K563:K568"/>
    <mergeCell ref="A545:A550"/>
    <mergeCell ref="B545:B550"/>
    <mergeCell ref="C545:C550"/>
    <mergeCell ref="J545:J550"/>
    <mergeCell ref="K545:K550"/>
    <mergeCell ref="A551:A556"/>
    <mergeCell ref="B551:B556"/>
    <mergeCell ref="C551:C556"/>
    <mergeCell ref="J551:J556"/>
    <mergeCell ref="K551:K556"/>
    <mergeCell ref="A533:A538"/>
    <mergeCell ref="B533:B538"/>
    <mergeCell ref="C533:C538"/>
    <mergeCell ref="J533:J538"/>
    <mergeCell ref="K533:K538"/>
    <mergeCell ref="A539:A544"/>
    <mergeCell ref="B539:B544"/>
    <mergeCell ref="C539:C544"/>
    <mergeCell ref="J539:J544"/>
    <mergeCell ref="K539:K544"/>
    <mergeCell ref="A521:A526"/>
    <mergeCell ref="B521:B526"/>
    <mergeCell ref="C521:C526"/>
    <mergeCell ref="J521:J526"/>
    <mergeCell ref="K521:K526"/>
    <mergeCell ref="A527:A532"/>
    <mergeCell ref="B527:B532"/>
    <mergeCell ref="C527:C532"/>
    <mergeCell ref="J527:J532"/>
    <mergeCell ref="K527:K532"/>
    <mergeCell ref="A509:A514"/>
    <mergeCell ref="B509:B514"/>
    <mergeCell ref="C509:C514"/>
    <mergeCell ref="J509:J514"/>
    <mergeCell ref="K509:K514"/>
    <mergeCell ref="A515:A520"/>
    <mergeCell ref="B515:B520"/>
    <mergeCell ref="C515:C520"/>
    <mergeCell ref="J515:J520"/>
    <mergeCell ref="K515:K520"/>
    <mergeCell ref="A497:A502"/>
    <mergeCell ref="B497:B502"/>
    <mergeCell ref="C497:C502"/>
    <mergeCell ref="J497:J502"/>
    <mergeCell ref="K497:K502"/>
    <mergeCell ref="A503:A508"/>
    <mergeCell ref="B503:B508"/>
    <mergeCell ref="C503:C508"/>
    <mergeCell ref="J503:J508"/>
    <mergeCell ref="K503:K508"/>
    <mergeCell ref="A485:A490"/>
    <mergeCell ref="B485:B490"/>
    <mergeCell ref="C485:C490"/>
    <mergeCell ref="J485:J490"/>
    <mergeCell ref="K485:K490"/>
    <mergeCell ref="A491:A496"/>
    <mergeCell ref="B491:B496"/>
    <mergeCell ref="C491:C496"/>
    <mergeCell ref="J491:J496"/>
    <mergeCell ref="K491:K496"/>
    <mergeCell ref="A473:A478"/>
    <mergeCell ref="B473:B478"/>
    <mergeCell ref="C473:C478"/>
    <mergeCell ref="J473:J478"/>
    <mergeCell ref="K473:K478"/>
    <mergeCell ref="A479:A484"/>
    <mergeCell ref="B479:B484"/>
    <mergeCell ref="C479:C484"/>
    <mergeCell ref="J479:J484"/>
    <mergeCell ref="K479:K484"/>
    <mergeCell ref="L461:L463"/>
    <mergeCell ref="A467:A472"/>
    <mergeCell ref="B467:B472"/>
    <mergeCell ref="C467:C472"/>
    <mergeCell ref="J467:J472"/>
    <mergeCell ref="K467:K472"/>
    <mergeCell ref="A455:A460"/>
    <mergeCell ref="B455:B460"/>
    <mergeCell ref="C455:C460"/>
    <mergeCell ref="J455:J460"/>
    <mergeCell ref="K455:K460"/>
    <mergeCell ref="A461:A466"/>
    <mergeCell ref="B461:B466"/>
    <mergeCell ref="C461:C466"/>
    <mergeCell ref="J461:J466"/>
    <mergeCell ref="K461:K466"/>
    <mergeCell ref="L443:L448"/>
    <mergeCell ref="A449:A454"/>
    <mergeCell ref="B449:B454"/>
    <mergeCell ref="C449:C454"/>
    <mergeCell ref="J449:J454"/>
    <mergeCell ref="K449:K454"/>
    <mergeCell ref="A437:A442"/>
    <mergeCell ref="B437:B442"/>
    <mergeCell ref="C437:C442"/>
    <mergeCell ref="J437:J442"/>
    <mergeCell ref="K437:K442"/>
    <mergeCell ref="A443:A448"/>
    <mergeCell ref="B443:B448"/>
    <mergeCell ref="C443:C448"/>
    <mergeCell ref="J443:J448"/>
    <mergeCell ref="K443:K44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A407:A412"/>
    <mergeCell ref="B407:B412"/>
    <mergeCell ref="C407:C412"/>
    <mergeCell ref="J407:J412"/>
    <mergeCell ref="K407:K412"/>
    <mergeCell ref="A413:A418"/>
    <mergeCell ref="B413:B418"/>
    <mergeCell ref="C413:C418"/>
    <mergeCell ref="J413:J418"/>
    <mergeCell ref="K413:K418"/>
    <mergeCell ref="A401:A406"/>
    <mergeCell ref="B401:B406"/>
    <mergeCell ref="C401:C406"/>
    <mergeCell ref="J401:J406"/>
    <mergeCell ref="K401:K406"/>
    <mergeCell ref="L401:L406"/>
    <mergeCell ref="L389:L394"/>
    <mergeCell ref="A395:A400"/>
    <mergeCell ref="B395:B400"/>
    <mergeCell ref="C395:C400"/>
    <mergeCell ref="J395:J400"/>
    <mergeCell ref="K395:K400"/>
    <mergeCell ref="L395:L400"/>
    <mergeCell ref="A383:A388"/>
    <mergeCell ref="B383:B388"/>
    <mergeCell ref="C383:C388"/>
    <mergeCell ref="J383:J388"/>
    <mergeCell ref="K383:K388"/>
    <mergeCell ref="A389:A394"/>
    <mergeCell ref="B389:B394"/>
    <mergeCell ref="C389:C394"/>
    <mergeCell ref="J389:J394"/>
    <mergeCell ref="K389:K394"/>
    <mergeCell ref="A371:A376"/>
    <mergeCell ref="B371:B376"/>
    <mergeCell ref="C371:C376"/>
    <mergeCell ref="J371:J376"/>
    <mergeCell ref="K371:K376"/>
    <mergeCell ref="A377:A382"/>
    <mergeCell ref="B377:B382"/>
    <mergeCell ref="C377:C382"/>
    <mergeCell ref="J377:J382"/>
    <mergeCell ref="K377:K382"/>
    <mergeCell ref="A359:A364"/>
    <mergeCell ref="B359:B364"/>
    <mergeCell ref="C359:C364"/>
    <mergeCell ref="J359:J364"/>
    <mergeCell ref="K359:K364"/>
    <mergeCell ref="A365:A370"/>
    <mergeCell ref="B365:B370"/>
    <mergeCell ref="C365:C370"/>
    <mergeCell ref="J365:J370"/>
    <mergeCell ref="K365:K370"/>
    <mergeCell ref="A347:A352"/>
    <mergeCell ref="B347:B352"/>
    <mergeCell ref="C347:C352"/>
    <mergeCell ref="J347:J352"/>
    <mergeCell ref="K347:K352"/>
    <mergeCell ref="A353:A358"/>
    <mergeCell ref="B353:B358"/>
    <mergeCell ref="C353:C358"/>
    <mergeCell ref="J353:J358"/>
    <mergeCell ref="K353:K358"/>
    <mergeCell ref="A335:A340"/>
    <mergeCell ref="B335:B340"/>
    <mergeCell ref="C335:C340"/>
    <mergeCell ref="J335:J340"/>
    <mergeCell ref="K335:K340"/>
    <mergeCell ref="A341:A346"/>
    <mergeCell ref="B341:B346"/>
    <mergeCell ref="C341:C346"/>
    <mergeCell ref="J341:J346"/>
    <mergeCell ref="K341:K346"/>
    <mergeCell ref="A323:A328"/>
    <mergeCell ref="B323:B328"/>
    <mergeCell ref="C323:C328"/>
    <mergeCell ref="J323:J328"/>
    <mergeCell ref="K323:K328"/>
    <mergeCell ref="A329:A334"/>
    <mergeCell ref="B329:B334"/>
    <mergeCell ref="C329:C334"/>
    <mergeCell ref="J329:J334"/>
    <mergeCell ref="K329:K334"/>
    <mergeCell ref="A311:A316"/>
    <mergeCell ref="B311:B316"/>
    <mergeCell ref="C311:C316"/>
    <mergeCell ref="J311:J316"/>
    <mergeCell ref="K311:K316"/>
    <mergeCell ref="A317:A322"/>
    <mergeCell ref="B317:B322"/>
    <mergeCell ref="C317:C322"/>
    <mergeCell ref="J317:J322"/>
    <mergeCell ref="K317:K322"/>
    <mergeCell ref="A299:A304"/>
    <mergeCell ref="B299:B304"/>
    <mergeCell ref="C299:C304"/>
    <mergeCell ref="J299:J304"/>
    <mergeCell ref="K299:K304"/>
    <mergeCell ref="A305:A310"/>
    <mergeCell ref="B305:B310"/>
    <mergeCell ref="C305:C310"/>
    <mergeCell ref="J305:J310"/>
    <mergeCell ref="K305:K310"/>
    <mergeCell ref="A287:A292"/>
    <mergeCell ref="B287:B292"/>
    <mergeCell ref="C287:C292"/>
    <mergeCell ref="J287:J292"/>
    <mergeCell ref="K287:K292"/>
    <mergeCell ref="A293:A298"/>
    <mergeCell ref="B293:B298"/>
    <mergeCell ref="C293:C298"/>
    <mergeCell ref="J293:J298"/>
    <mergeCell ref="K293:K298"/>
    <mergeCell ref="A275:A280"/>
    <mergeCell ref="B275:B280"/>
    <mergeCell ref="C275:C280"/>
    <mergeCell ref="J275:J280"/>
    <mergeCell ref="K275:K280"/>
    <mergeCell ref="A281:A286"/>
    <mergeCell ref="B281:B286"/>
    <mergeCell ref="C281:C286"/>
    <mergeCell ref="J281:J286"/>
    <mergeCell ref="K281:K286"/>
    <mergeCell ref="A263:A268"/>
    <mergeCell ref="B263:B268"/>
    <mergeCell ref="C263:C268"/>
    <mergeCell ref="J263:J268"/>
    <mergeCell ref="K263:K268"/>
    <mergeCell ref="A269:A274"/>
    <mergeCell ref="B269:B274"/>
    <mergeCell ref="C269:C274"/>
    <mergeCell ref="J269:J274"/>
    <mergeCell ref="K269:K274"/>
    <mergeCell ref="A251:A256"/>
    <mergeCell ref="B251:B256"/>
    <mergeCell ref="C251:C256"/>
    <mergeCell ref="J251:J256"/>
    <mergeCell ref="K251:K256"/>
    <mergeCell ref="A257:A262"/>
    <mergeCell ref="B257:B262"/>
    <mergeCell ref="C257:C262"/>
    <mergeCell ref="J257:J262"/>
    <mergeCell ref="K257:K262"/>
    <mergeCell ref="A239:A244"/>
    <mergeCell ref="B239:B244"/>
    <mergeCell ref="C239:C244"/>
    <mergeCell ref="J239:J244"/>
    <mergeCell ref="K239:K244"/>
    <mergeCell ref="A245:A250"/>
    <mergeCell ref="B245:B250"/>
    <mergeCell ref="C245:C250"/>
    <mergeCell ref="J245:J250"/>
    <mergeCell ref="K245:K250"/>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85:A190"/>
    <mergeCell ref="B185:B190"/>
    <mergeCell ref="C185:C190"/>
    <mergeCell ref="J185:J190"/>
    <mergeCell ref="K185:K190"/>
    <mergeCell ref="L185:L190"/>
    <mergeCell ref="A179:A184"/>
    <mergeCell ref="B179:B184"/>
    <mergeCell ref="C179:C184"/>
    <mergeCell ref="J179:J184"/>
    <mergeCell ref="K179:K184"/>
    <mergeCell ref="L179:L184"/>
    <mergeCell ref="A167:A172"/>
    <mergeCell ref="B167:B172"/>
    <mergeCell ref="C167:C172"/>
    <mergeCell ref="J167:J172"/>
    <mergeCell ref="K167:K172"/>
    <mergeCell ref="A173:A178"/>
    <mergeCell ref="B173:B178"/>
    <mergeCell ref="C173:C178"/>
    <mergeCell ref="J173:J178"/>
    <mergeCell ref="K173:K178"/>
    <mergeCell ref="L155:L160"/>
    <mergeCell ref="A161:A166"/>
    <mergeCell ref="B161:B166"/>
    <mergeCell ref="C161:C166"/>
    <mergeCell ref="J161:J166"/>
    <mergeCell ref="K161:K166"/>
    <mergeCell ref="A149:A154"/>
    <mergeCell ref="B149:B154"/>
    <mergeCell ref="C149:C154"/>
    <mergeCell ref="J149:J154"/>
    <mergeCell ref="K149:K154"/>
    <mergeCell ref="A155:A160"/>
    <mergeCell ref="B155:B160"/>
    <mergeCell ref="C155:C160"/>
    <mergeCell ref="J155:J160"/>
    <mergeCell ref="K155:K160"/>
    <mergeCell ref="A137:A142"/>
    <mergeCell ref="B137:B142"/>
    <mergeCell ref="C137:C142"/>
    <mergeCell ref="J137:J142"/>
    <mergeCell ref="K137:K142"/>
    <mergeCell ref="A143:A148"/>
    <mergeCell ref="B143:B148"/>
    <mergeCell ref="C143:C148"/>
    <mergeCell ref="J143:J148"/>
    <mergeCell ref="K143:K148"/>
    <mergeCell ref="A125:A130"/>
    <mergeCell ref="B125:B130"/>
    <mergeCell ref="C125:C130"/>
    <mergeCell ref="J125:J130"/>
    <mergeCell ref="K125:K130"/>
    <mergeCell ref="A131:A136"/>
    <mergeCell ref="B131:B136"/>
    <mergeCell ref="C131:C136"/>
    <mergeCell ref="J131:J136"/>
    <mergeCell ref="K131:K136"/>
    <mergeCell ref="A113:A118"/>
    <mergeCell ref="B113:B118"/>
    <mergeCell ref="C113:C118"/>
    <mergeCell ref="J113:J118"/>
    <mergeCell ref="K113:K118"/>
    <mergeCell ref="A119:A124"/>
    <mergeCell ref="B119:B124"/>
    <mergeCell ref="C119:C124"/>
    <mergeCell ref="J119:J124"/>
    <mergeCell ref="K119:K124"/>
    <mergeCell ref="A101:A106"/>
    <mergeCell ref="B101:B106"/>
    <mergeCell ref="C101:C106"/>
    <mergeCell ref="J101:J106"/>
    <mergeCell ref="K101:K106"/>
    <mergeCell ref="A107:A112"/>
    <mergeCell ref="B107:B112"/>
    <mergeCell ref="C107:C112"/>
    <mergeCell ref="J107:J112"/>
    <mergeCell ref="K107:K112"/>
    <mergeCell ref="A89:A94"/>
    <mergeCell ref="B89:B94"/>
    <mergeCell ref="C89:C94"/>
    <mergeCell ref="J89:J94"/>
    <mergeCell ref="K89:K94"/>
    <mergeCell ref="A95:A100"/>
    <mergeCell ref="B95:B100"/>
    <mergeCell ref="C95:C100"/>
    <mergeCell ref="J95:J100"/>
    <mergeCell ref="K95:K100"/>
    <mergeCell ref="A77:A82"/>
    <mergeCell ref="B77:B82"/>
    <mergeCell ref="C77:C82"/>
    <mergeCell ref="J77:J82"/>
    <mergeCell ref="K77:K82"/>
    <mergeCell ref="A83:A88"/>
    <mergeCell ref="B83:B88"/>
    <mergeCell ref="C83:C88"/>
    <mergeCell ref="J83:J88"/>
    <mergeCell ref="K83:K88"/>
    <mergeCell ref="A65:A70"/>
    <mergeCell ref="B65:B70"/>
    <mergeCell ref="C65:C70"/>
    <mergeCell ref="J65:J70"/>
    <mergeCell ref="K65:K70"/>
    <mergeCell ref="A71:A76"/>
    <mergeCell ref="B71:B76"/>
    <mergeCell ref="C71:C76"/>
    <mergeCell ref="J71:J76"/>
    <mergeCell ref="K71:K76"/>
    <mergeCell ref="A53:A58"/>
    <mergeCell ref="B53:B58"/>
    <mergeCell ref="C53:C58"/>
    <mergeCell ref="J53:J58"/>
    <mergeCell ref="K53:K58"/>
    <mergeCell ref="A59:A64"/>
    <mergeCell ref="B59:B64"/>
    <mergeCell ref="C59:C64"/>
    <mergeCell ref="J59:J64"/>
    <mergeCell ref="K59:K64"/>
    <mergeCell ref="L41:L46"/>
    <mergeCell ref="A47:A52"/>
    <mergeCell ref="B47:B52"/>
    <mergeCell ref="C47:C52"/>
    <mergeCell ref="J47:J52"/>
    <mergeCell ref="K47:K52"/>
    <mergeCell ref="A35:A40"/>
    <mergeCell ref="B35:B40"/>
    <mergeCell ref="C35:C40"/>
    <mergeCell ref="J35:J40"/>
    <mergeCell ref="K35:K40"/>
    <mergeCell ref="A41:A46"/>
    <mergeCell ref="B41:B46"/>
    <mergeCell ref="C41:C46"/>
    <mergeCell ref="J41:J46"/>
    <mergeCell ref="K41:K46"/>
    <mergeCell ref="A11:A16"/>
    <mergeCell ref="B11:B16"/>
    <mergeCell ref="C11:C16"/>
    <mergeCell ref="J11:J16"/>
    <mergeCell ref="K11:K16"/>
    <mergeCell ref="L23:L28"/>
    <mergeCell ref="A29:A34"/>
    <mergeCell ref="B29:B34"/>
    <mergeCell ref="C29:C34"/>
    <mergeCell ref="J29:J34"/>
    <mergeCell ref="K29:K34"/>
    <mergeCell ref="L29:L34"/>
    <mergeCell ref="A17:A22"/>
    <mergeCell ref="B17:B22"/>
    <mergeCell ref="C17:C22"/>
    <mergeCell ref="J17:J22"/>
    <mergeCell ref="K17:K22"/>
    <mergeCell ref="A23:A28"/>
    <mergeCell ref="B23:B28"/>
    <mergeCell ref="C23:C28"/>
    <mergeCell ref="J23:J28"/>
    <mergeCell ref="K23:K28"/>
    <mergeCell ref="A1:K2"/>
    <mergeCell ref="A3:A4"/>
    <mergeCell ref="B3:B4"/>
    <mergeCell ref="C3:C4"/>
    <mergeCell ref="D3:I3"/>
    <mergeCell ref="J3:J4"/>
    <mergeCell ref="K3:K4"/>
    <mergeCell ref="A5:A10"/>
    <mergeCell ref="B5:B10"/>
    <mergeCell ref="C5:C10"/>
    <mergeCell ref="J5:J10"/>
    <mergeCell ref="K5:K10"/>
  </mergeCells>
  <pageMargins left="0.7" right="0.7" top="0.75" bottom="0.75" header="0.3" footer="0.3"/>
  <pageSetup paperSize="9" firstPageNumber="2147483647"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780"/>
  <sheetViews>
    <sheetView zoomScale="115" zoomScaleNormal="115" workbookViewId="0">
      <pane xSplit="3" ySplit="4" topLeftCell="D50" activePane="bottomRight" state="frozen"/>
      <selection activeCell="J305" sqref="J305:J310"/>
      <selection pane="topRight"/>
      <selection pane="bottomLeft"/>
      <selection pane="bottomRight" activeCell="B53" sqref="B53:B58"/>
    </sheetView>
  </sheetViews>
  <sheetFormatPr defaultRowHeight="15" outlineLevelRow="1" x14ac:dyDescent="0.25"/>
  <cols>
    <col min="1" max="1" width="6.28515625" style="5" customWidth="1"/>
    <col min="2" max="2" width="36.42578125" style="5" customWidth="1"/>
    <col min="3" max="4" width="8.85546875" style="5" customWidth="1"/>
    <col min="5" max="5" width="17.140625" style="5" customWidth="1"/>
    <col min="6" max="6" width="18" style="5" customWidth="1"/>
    <col min="7" max="7" width="15" style="5" customWidth="1"/>
    <col min="8" max="8" width="11.7109375" style="5" customWidth="1"/>
    <col min="9" max="9" width="15.5703125" style="5" customWidth="1"/>
    <col min="10" max="10" width="43.42578125" style="5" customWidth="1"/>
    <col min="11" max="11" width="32.7109375" style="5" customWidth="1"/>
    <col min="12" max="12" width="0.140625" style="5" hidden="1" customWidth="1"/>
    <col min="13" max="13" width="12.85546875" style="5" customWidth="1"/>
    <col min="14" max="14" width="39.85546875" style="5" customWidth="1"/>
    <col min="15" max="15" width="12.5703125" style="5" customWidth="1"/>
    <col min="16" max="16" width="13.5703125" style="5" customWidth="1"/>
    <col min="17" max="16384" width="9.140625" style="5"/>
  </cols>
  <sheetData>
    <row r="1" spans="1:15" ht="15.75" customHeight="1" x14ac:dyDescent="0.25">
      <c r="A1" s="124" t="s">
        <v>0</v>
      </c>
      <c r="B1" s="124"/>
      <c r="C1" s="124"/>
      <c r="D1" s="124"/>
      <c r="E1" s="124"/>
      <c r="F1" s="124"/>
      <c r="G1" s="124"/>
      <c r="H1" s="124"/>
      <c r="I1" s="124"/>
      <c r="J1" s="124"/>
      <c r="K1" s="124"/>
    </row>
    <row r="2" spans="1:15" x14ac:dyDescent="0.25">
      <c r="A2" s="124"/>
      <c r="B2" s="124"/>
      <c r="C2" s="124"/>
      <c r="D2" s="124"/>
      <c r="E2" s="124"/>
      <c r="F2" s="124"/>
      <c r="G2" s="124"/>
      <c r="H2" s="124"/>
      <c r="I2" s="124"/>
      <c r="J2" s="124"/>
      <c r="K2" s="124"/>
    </row>
    <row r="3" spans="1:15" ht="39.75" customHeight="1" x14ac:dyDescent="0.25">
      <c r="A3" s="184" t="s">
        <v>1</v>
      </c>
      <c r="B3" s="184" t="s">
        <v>2</v>
      </c>
      <c r="C3" s="184" t="s">
        <v>3</v>
      </c>
      <c r="D3" s="186" t="s">
        <v>4</v>
      </c>
      <c r="E3" s="186"/>
      <c r="F3" s="186"/>
      <c r="G3" s="186"/>
      <c r="H3" s="186"/>
      <c r="I3" s="186"/>
      <c r="J3" s="184" t="s">
        <v>5</v>
      </c>
      <c r="K3" s="184" t="s">
        <v>6</v>
      </c>
    </row>
    <row r="4" spans="1:15" ht="36.75" customHeight="1" x14ac:dyDescent="0.25">
      <c r="A4" s="184"/>
      <c r="B4" s="184"/>
      <c r="C4" s="184"/>
      <c r="D4" s="6" t="s">
        <v>7</v>
      </c>
      <c r="E4" s="6" t="s">
        <v>8</v>
      </c>
      <c r="F4" s="6" t="s">
        <v>9</v>
      </c>
      <c r="G4" s="6" t="s">
        <v>10</v>
      </c>
      <c r="H4" s="6" t="s">
        <v>11</v>
      </c>
      <c r="I4" s="6" t="s">
        <v>12</v>
      </c>
      <c r="J4" s="184"/>
      <c r="K4" s="184"/>
    </row>
    <row r="5" spans="1:15" ht="15" customHeight="1" x14ac:dyDescent="0.25">
      <c r="A5" s="184"/>
      <c r="B5" s="184" t="s">
        <v>13</v>
      </c>
      <c r="C5" s="184" t="s">
        <v>14</v>
      </c>
      <c r="D5" s="6" t="s">
        <v>8</v>
      </c>
      <c r="E5" s="4">
        <f>'5092197'!E5</f>
        <v>11392870.399334751</v>
      </c>
      <c r="F5" s="4">
        <f>'5092197'!F5</f>
        <v>9997884.8653100003</v>
      </c>
      <c r="G5" s="4">
        <f>'5092197'!G5</f>
        <v>1184784.5228500001</v>
      </c>
      <c r="H5" s="4">
        <f>'5092197'!H5</f>
        <v>210201.01117475086</v>
      </c>
      <c r="I5" s="4">
        <f>'5092197'!I5</f>
        <v>0</v>
      </c>
      <c r="J5" s="184"/>
      <c r="K5" s="184" t="s">
        <v>482</v>
      </c>
      <c r="M5" s="5">
        <f>E11+E17</f>
        <v>11392870.399334751</v>
      </c>
    </row>
    <row r="6" spans="1:15" x14ac:dyDescent="0.25">
      <c r="A6" s="184"/>
      <c r="B6" s="184"/>
      <c r="C6" s="184"/>
      <c r="D6" s="6">
        <v>2021</v>
      </c>
      <c r="E6" s="4">
        <f>'5092197'!E6</f>
        <v>1613228.6017916503</v>
      </c>
      <c r="F6" s="4">
        <f>'5092197'!F6</f>
        <v>1267910.29015</v>
      </c>
      <c r="G6" s="4">
        <f>'5092197'!G6</f>
        <v>301879.99800000002</v>
      </c>
      <c r="H6" s="4">
        <f>'5092197'!H6</f>
        <v>43438.313641650384</v>
      </c>
      <c r="I6" s="4">
        <f>'5092197'!I6</f>
        <v>0</v>
      </c>
      <c r="J6" s="184"/>
      <c r="K6" s="184"/>
    </row>
    <row r="7" spans="1:15" x14ac:dyDescent="0.25">
      <c r="A7" s="184"/>
      <c r="B7" s="184"/>
      <c r="C7" s="184"/>
      <c r="D7" s="6">
        <v>2022</v>
      </c>
      <c r="E7" s="4">
        <f>'5092197'!E7</f>
        <v>2883391.4108731011</v>
      </c>
      <c r="F7" s="4">
        <f>'5092197'!F7</f>
        <v>2558971.7024200005</v>
      </c>
      <c r="G7" s="4">
        <f>'5092197'!G7</f>
        <v>244045.77</v>
      </c>
      <c r="H7" s="4">
        <f>'5092197'!H7</f>
        <v>80373.93845310052</v>
      </c>
      <c r="I7" s="4">
        <f>'5092197'!I7</f>
        <v>0</v>
      </c>
      <c r="J7" s="184"/>
      <c r="K7" s="184"/>
    </row>
    <row r="8" spans="1:15" x14ac:dyDescent="0.25">
      <c r="A8" s="184"/>
      <c r="B8" s="184"/>
      <c r="C8" s="184"/>
      <c r="D8" s="6">
        <v>2023</v>
      </c>
      <c r="E8" s="4">
        <f>'5092197'!E8</f>
        <v>2099875.0684199999</v>
      </c>
      <c r="F8" s="4">
        <f>'5092197'!F8</f>
        <v>1621528.81449</v>
      </c>
      <c r="G8" s="4">
        <f>'5092197'!G8</f>
        <v>436920.95484999998</v>
      </c>
      <c r="H8" s="4">
        <f>'5092197'!H8</f>
        <v>41425.299079999975</v>
      </c>
      <c r="I8" s="4">
        <f>'5092197'!I8</f>
        <v>0</v>
      </c>
      <c r="J8" s="184"/>
      <c r="K8" s="184"/>
    </row>
    <row r="9" spans="1:15" x14ac:dyDescent="0.25">
      <c r="A9" s="184"/>
      <c r="B9" s="184"/>
      <c r="C9" s="184"/>
      <c r="D9" s="6">
        <v>2024</v>
      </c>
      <c r="E9" s="4">
        <f>'5092197'!E9</f>
        <v>2805670.42025</v>
      </c>
      <c r="F9" s="4">
        <f>'5092197'!F9</f>
        <v>2679889.19025</v>
      </c>
      <c r="G9" s="4">
        <f>'5092197'!G9</f>
        <v>97937.8</v>
      </c>
      <c r="H9" s="4">
        <f>'5092197'!H9</f>
        <v>27843.43</v>
      </c>
      <c r="I9" s="4">
        <f>'5092197'!I9</f>
        <v>0</v>
      </c>
      <c r="J9" s="184"/>
      <c r="K9" s="184"/>
    </row>
    <row r="10" spans="1:15" x14ac:dyDescent="0.25">
      <c r="A10" s="184"/>
      <c r="B10" s="184"/>
      <c r="C10" s="184"/>
      <c r="D10" s="6">
        <v>2025</v>
      </c>
      <c r="E10" s="4">
        <f>'5092197'!E10</f>
        <v>1990704.8979999998</v>
      </c>
      <c r="F10" s="4">
        <f>'5092197'!F10</f>
        <v>1869584.8679999998</v>
      </c>
      <c r="G10" s="4">
        <f>'5092197'!G10</f>
        <v>104000</v>
      </c>
      <c r="H10" s="4">
        <f>'5092197'!H10</f>
        <v>17120.03</v>
      </c>
      <c r="I10" s="4">
        <f>'5092197'!I10</f>
        <v>0</v>
      </c>
      <c r="J10" s="184"/>
      <c r="K10" s="184"/>
    </row>
    <row r="11" spans="1:15" x14ac:dyDescent="0.25">
      <c r="A11" s="184"/>
      <c r="B11" s="184" t="s">
        <v>483</v>
      </c>
      <c r="C11" s="184" t="s">
        <v>14</v>
      </c>
      <c r="D11" s="6" t="s">
        <v>8</v>
      </c>
      <c r="E11" s="4">
        <f>'5092197'!E11</f>
        <v>7160269.7847478427</v>
      </c>
      <c r="F11" s="4">
        <f>'5092197'!F11</f>
        <v>6728782.5355200004</v>
      </c>
      <c r="G11" s="4">
        <f>'5092197'!G11</f>
        <v>324977.18385000003</v>
      </c>
      <c r="H11" s="4">
        <f>'5092197'!H11</f>
        <v>106510.06537784266</v>
      </c>
      <c r="I11" s="4">
        <f>'5092197'!I11</f>
        <v>0</v>
      </c>
      <c r="J11" s="184"/>
      <c r="K11" s="184" t="s">
        <v>484</v>
      </c>
    </row>
    <row r="12" spans="1:15" x14ac:dyDescent="0.25">
      <c r="A12" s="184"/>
      <c r="B12" s="184"/>
      <c r="C12" s="184"/>
      <c r="D12" s="6">
        <v>2021</v>
      </c>
      <c r="E12" s="4">
        <f>'5092197'!E12</f>
        <v>1143437.1402100001</v>
      </c>
      <c r="F12" s="4">
        <f>'5092197'!F12</f>
        <v>1079783.2501300001</v>
      </c>
      <c r="G12" s="4">
        <f>'5092197'!G12</f>
        <v>44391.299000000028</v>
      </c>
      <c r="H12" s="4">
        <f>'5092197'!H12</f>
        <v>19262.591080000006</v>
      </c>
      <c r="I12" s="4">
        <f>'5092197'!I12</f>
        <v>0</v>
      </c>
      <c r="J12" s="184"/>
      <c r="K12" s="184"/>
      <c r="M12" s="5" t="s">
        <v>9</v>
      </c>
      <c r="N12" s="5" t="s">
        <v>10</v>
      </c>
      <c r="O12" s="5" t="s">
        <v>11</v>
      </c>
    </row>
    <row r="13" spans="1:15" x14ac:dyDescent="0.25">
      <c r="A13" s="184"/>
      <c r="B13" s="184"/>
      <c r="C13" s="184"/>
      <c r="D13" s="6">
        <v>2022</v>
      </c>
      <c r="E13" s="4">
        <f>'5092197'!E13</f>
        <v>1725609.8373178432</v>
      </c>
      <c r="F13" s="4">
        <f>'5092197'!F13</f>
        <v>1637815.2563600005</v>
      </c>
      <c r="G13" s="4">
        <f>'5092197'!G13</f>
        <v>66437.87</v>
      </c>
      <c r="H13" s="4">
        <f>'5092197'!H13</f>
        <v>21356.710957842668</v>
      </c>
      <c r="I13" s="4">
        <f>'5092197'!I13</f>
        <v>0</v>
      </c>
      <c r="J13" s="184"/>
      <c r="K13" s="184"/>
      <c r="M13" s="5">
        <f>SUM(F25,F175,F379,F391,F469,F481,F487,F493,F499,F553,F583,F643,F649,F655,F661,F679,F739,F763)</f>
        <v>1637815.2563600005</v>
      </c>
      <c r="N13" s="5">
        <f>SUM(G25,G175,G379,G391,G469,G481,G487,G493,G499,G553,G583,G643,G649,G655,G661,G679,G739,G763)</f>
        <v>66437.87</v>
      </c>
      <c r="O13" s="5">
        <f>SUM(H25,H175,H379,H391,H469,H481,H487,H493,H499,H553,H583,H643,H649,H655,H661,H679,H739,H763)</f>
        <v>21356.710957842668</v>
      </c>
    </row>
    <row r="14" spans="1:15" x14ac:dyDescent="0.25">
      <c r="A14" s="184"/>
      <c r="B14" s="184"/>
      <c r="C14" s="184"/>
      <c r="D14" s="6">
        <v>2023</v>
      </c>
      <c r="E14" s="4">
        <f>'5092197'!E14</f>
        <v>1452053.2622199999</v>
      </c>
      <c r="F14" s="4">
        <f>'5092197'!F14</f>
        <v>1406614.34403</v>
      </c>
      <c r="G14" s="4">
        <f>'5092197'!G14</f>
        <v>12210.214849999989</v>
      </c>
      <c r="H14" s="4">
        <f>'5092197'!H14</f>
        <v>33228.70334</v>
      </c>
      <c r="I14" s="4">
        <f>'5092197'!I14</f>
        <v>0</v>
      </c>
      <c r="J14" s="184"/>
      <c r="K14" s="184"/>
    </row>
    <row r="15" spans="1:15" x14ac:dyDescent="0.25">
      <c r="A15" s="184"/>
      <c r="B15" s="184"/>
      <c r="C15" s="184"/>
      <c r="D15" s="6">
        <v>2024</v>
      </c>
      <c r="E15" s="4">
        <f>'5092197'!E15</f>
        <v>1409882.4470000002</v>
      </c>
      <c r="F15" s="4">
        <f>'5092197'!F15</f>
        <v>1295613.6170000001</v>
      </c>
      <c r="G15" s="4">
        <f>'5092197'!G15</f>
        <v>97937.8</v>
      </c>
      <c r="H15" s="4">
        <f>'5092197'!H15</f>
        <v>16331.03</v>
      </c>
      <c r="I15" s="4">
        <f>'5092197'!I15</f>
        <v>0</v>
      </c>
      <c r="J15" s="184"/>
      <c r="K15" s="184"/>
      <c r="M15" s="5">
        <f t="shared" ref="M15:O16" si="0">SUM(F27,F177,F381,F393,F471,F483,F489,F495,F501,F555,F585,F645,F651,F657,F663,F681,F741,F765)</f>
        <v>1295613.6170000001</v>
      </c>
      <c r="N15" s="5">
        <f t="shared" si="0"/>
        <v>97937.8</v>
      </c>
      <c r="O15" s="5">
        <f t="shared" si="0"/>
        <v>16331.03</v>
      </c>
    </row>
    <row r="16" spans="1:15" x14ac:dyDescent="0.25">
      <c r="A16" s="184"/>
      <c r="B16" s="184"/>
      <c r="C16" s="184"/>
      <c r="D16" s="6">
        <v>2025</v>
      </c>
      <c r="E16" s="4">
        <f>'5092197'!E16</f>
        <v>1429287.0979999998</v>
      </c>
      <c r="F16" s="4">
        <f>'5092197'!F16</f>
        <v>1308956.0679999997</v>
      </c>
      <c r="G16" s="4">
        <f>'5092197'!G16</f>
        <v>104000</v>
      </c>
      <c r="H16" s="4">
        <f>'5092197'!H16</f>
        <v>16331.029999999999</v>
      </c>
      <c r="I16" s="4">
        <f>'5092197'!I16</f>
        <v>0</v>
      </c>
      <c r="J16" s="184"/>
      <c r="K16" s="184"/>
      <c r="M16" s="5">
        <f t="shared" si="0"/>
        <v>1308956.068</v>
      </c>
      <c r="N16" s="5">
        <f t="shared" si="0"/>
        <v>104000</v>
      </c>
      <c r="O16" s="5">
        <f t="shared" si="0"/>
        <v>16331.03</v>
      </c>
    </row>
    <row r="17" spans="1:12" x14ac:dyDescent="0.25">
      <c r="A17" s="184"/>
      <c r="B17" s="184" t="s">
        <v>18</v>
      </c>
      <c r="C17" s="184" t="s">
        <v>41</v>
      </c>
      <c r="D17" s="6" t="s">
        <v>8</v>
      </c>
      <c r="E17" s="4">
        <f>'5092197'!E17</f>
        <v>4232600.6145869074</v>
      </c>
      <c r="F17" s="4">
        <f>'5092197'!F17</f>
        <v>3269102.3297899999</v>
      </c>
      <c r="G17" s="4">
        <f>'5092197'!G17</f>
        <v>859807.33899999992</v>
      </c>
      <c r="H17" s="4">
        <f>'5092197'!H17</f>
        <v>103690.9457969082</v>
      </c>
      <c r="I17" s="4">
        <f>'5092197'!I17</f>
        <v>0</v>
      </c>
      <c r="J17" s="184"/>
      <c r="K17" s="184" t="s">
        <v>20</v>
      </c>
    </row>
    <row r="18" spans="1:12" x14ac:dyDescent="0.25">
      <c r="A18" s="184"/>
      <c r="B18" s="184"/>
      <c r="C18" s="184"/>
      <c r="D18" s="6">
        <v>2021</v>
      </c>
      <c r="E18" s="4">
        <f>'5092197'!E18</f>
        <v>469791.46158165036</v>
      </c>
      <c r="F18" s="4">
        <f>'5092197'!F18</f>
        <v>188127.04001999999</v>
      </c>
      <c r="G18" s="4">
        <f>'5092197'!G18</f>
        <v>257488.69899999999</v>
      </c>
      <c r="H18" s="4">
        <f>'5092197'!H18</f>
        <v>24175.722561650378</v>
      </c>
      <c r="I18" s="4">
        <f>'5092197'!I18</f>
        <v>0</v>
      </c>
      <c r="J18" s="184"/>
      <c r="K18" s="184"/>
    </row>
    <row r="19" spans="1:12" x14ac:dyDescent="0.25">
      <c r="A19" s="184"/>
      <c r="B19" s="184"/>
      <c r="C19" s="184"/>
      <c r="D19" s="6">
        <v>2022</v>
      </c>
      <c r="E19" s="4">
        <f>'5092197'!E19</f>
        <v>1157781.5735552579</v>
      </c>
      <c r="F19" s="4">
        <f>'5092197'!F19</f>
        <v>921156.4460600001</v>
      </c>
      <c r="G19" s="4">
        <f>'5092197'!G19</f>
        <v>177607.9</v>
      </c>
      <c r="H19" s="4">
        <f>'5092197'!H19</f>
        <v>59017.227495257852</v>
      </c>
      <c r="I19" s="4">
        <f>'5092197'!I19</f>
        <v>0</v>
      </c>
      <c r="J19" s="184"/>
      <c r="K19" s="184"/>
    </row>
    <row r="20" spans="1:12" x14ac:dyDescent="0.25">
      <c r="A20" s="184"/>
      <c r="B20" s="184"/>
      <c r="C20" s="184"/>
      <c r="D20" s="6">
        <v>2023</v>
      </c>
      <c r="E20" s="4">
        <f>'5092197'!E20</f>
        <v>647821.80619999999</v>
      </c>
      <c r="F20" s="4">
        <f>'5092197'!F20</f>
        <v>214914.47045999998</v>
      </c>
      <c r="G20" s="4">
        <f>'5092197'!G20</f>
        <v>424710.74</v>
      </c>
      <c r="H20" s="4">
        <f>'5092197'!H20</f>
        <v>8196.5957399999752</v>
      </c>
      <c r="I20" s="4">
        <f>'5092197'!I20</f>
        <v>0</v>
      </c>
      <c r="J20" s="184"/>
      <c r="K20" s="184"/>
    </row>
    <row r="21" spans="1:12" x14ac:dyDescent="0.25">
      <c r="A21" s="184"/>
      <c r="B21" s="184"/>
      <c r="C21" s="184"/>
      <c r="D21" s="6">
        <v>2024</v>
      </c>
      <c r="E21" s="4">
        <f>'5092197'!E21</f>
        <v>1395787.9732499998</v>
      </c>
      <c r="F21" s="4">
        <f>'5092197'!F21</f>
        <v>1384275.5732499999</v>
      </c>
      <c r="G21" s="4">
        <f>'5092197'!G21</f>
        <v>0</v>
      </c>
      <c r="H21" s="4">
        <f>'5092197'!H21</f>
        <v>11512.4</v>
      </c>
      <c r="I21" s="4">
        <f>'5092197'!I21</f>
        <v>0</v>
      </c>
      <c r="J21" s="184"/>
      <c r="K21" s="184"/>
    </row>
    <row r="22" spans="1:12" x14ac:dyDescent="0.25">
      <c r="A22" s="184"/>
      <c r="B22" s="184"/>
      <c r="C22" s="184"/>
      <c r="D22" s="6">
        <v>2025</v>
      </c>
      <c r="E22" s="4">
        <f>'5092197'!E22</f>
        <v>561417.80000000005</v>
      </c>
      <c r="F22" s="4">
        <f>'5092197'!F22</f>
        <v>560628.80000000005</v>
      </c>
      <c r="G22" s="4">
        <f>'5092197'!G22</f>
        <v>0</v>
      </c>
      <c r="H22" s="4">
        <f>'5092197'!H22</f>
        <v>789</v>
      </c>
      <c r="I22" s="4">
        <f>'5092197'!I22</f>
        <v>0</v>
      </c>
      <c r="J22" s="184"/>
      <c r="K22" s="184"/>
    </row>
    <row r="23" spans="1:12" ht="15" customHeight="1" x14ac:dyDescent="0.25">
      <c r="A23" s="184" t="s">
        <v>806</v>
      </c>
      <c r="B23" s="184" t="s">
        <v>818</v>
      </c>
      <c r="C23" s="184" t="s">
        <v>14</v>
      </c>
      <c r="D23" s="6" t="s">
        <v>8</v>
      </c>
      <c r="E23" s="4">
        <f t="shared" ref="E23:E28" si="1">SUM(F23:I23)</f>
        <v>1109996.4124400001</v>
      </c>
      <c r="F23" s="4">
        <f>SUM(F24:F28)</f>
        <v>1073827.3136200001</v>
      </c>
      <c r="G23" s="4">
        <f>SUM(G24:G28)</f>
        <v>23683.307479999996</v>
      </c>
      <c r="H23" s="4">
        <f>SUM(H24:H28)</f>
        <v>12485.79134</v>
      </c>
      <c r="I23" s="4">
        <f>SUM(I24:I28)</f>
        <v>0</v>
      </c>
      <c r="J23" s="184"/>
      <c r="K23" s="184" t="s">
        <v>486</v>
      </c>
      <c r="L23" s="124" t="s">
        <v>1111</v>
      </c>
    </row>
    <row r="24" spans="1:12" x14ac:dyDescent="0.25">
      <c r="A24" s="184"/>
      <c r="B24" s="184"/>
      <c r="C24" s="184"/>
      <c r="D24" s="6">
        <v>2021</v>
      </c>
      <c r="E24" s="4">
        <f t="shared" si="1"/>
        <v>138607.88275000002</v>
      </c>
      <c r="F24" s="4">
        <f t="shared" ref="F24:I28" si="2">F30+F48+F144</f>
        <v>118407.68375000001</v>
      </c>
      <c r="G24" s="4">
        <f t="shared" si="2"/>
        <v>20200.198999999997</v>
      </c>
      <c r="H24" s="4">
        <f t="shared" si="2"/>
        <v>0</v>
      </c>
      <c r="I24" s="4">
        <f t="shared" si="2"/>
        <v>0</v>
      </c>
      <c r="J24" s="184"/>
      <c r="K24" s="184"/>
      <c r="L24" s="124"/>
    </row>
    <row r="25" spans="1:12" x14ac:dyDescent="0.25">
      <c r="A25" s="184"/>
      <c r="B25" s="184"/>
      <c r="C25" s="184"/>
      <c r="D25" s="6">
        <v>2022</v>
      </c>
      <c r="E25" s="4">
        <f t="shared" si="1"/>
        <v>284204.41166000004</v>
      </c>
      <c r="F25" s="4">
        <f t="shared" si="2"/>
        <v>281836.93466000003</v>
      </c>
      <c r="G25" s="4">
        <f t="shared" si="2"/>
        <v>2367.4769999999999</v>
      </c>
      <c r="H25" s="4">
        <f t="shared" si="2"/>
        <v>0</v>
      </c>
      <c r="I25" s="4">
        <f t="shared" si="2"/>
        <v>0</v>
      </c>
      <c r="J25" s="184"/>
      <c r="K25" s="184"/>
      <c r="L25" s="124"/>
    </row>
    <row r="26" spans="1:12" x14ac:dyDescent="0.25">
      <c r="A26" s="184"/>
      <c r="B26" s="184"/>
      <c r="C26" s="184"/>
      <c r="D26" s="6">
        <v>2023</v>
      </c>
      <c r="E26" s="4">
        <f t="shared" si="1"/>
        <v>265991.44603000005</v>
      </c>
      <c r="F26" s="4">
        <f>F32+F50+F146</f>
        <v>252390.02321000001</v>
      </c>
      <c r="G26" s="4">
        <f t="shared" si="2"/>
        <v>1115.63148</v>
      </c>
      <c r="H26" s="4">
        <f t="shared" si="2"/>
        <v>12485.79134</v>
      </c>
      <c r="I26" s="4">
        <f t="shared" si="2"/>
        <v>0</v>
      </c>
      <c r="J26" s="184"/>
      <c r="K26" s="184"/>
      <c r="L26" s="124"/>
    </row>
    <row r="27" spans="1:12" x14ac:dyDescent="0.25">
      <c r="A27" s="184"/>
      <c r="B27" s="184"/>
      <c r="C27" s="184"/>
      <c r="D27" s="6">
        <v>2024</v>
      </c>
      <c r="E27" s="4">
        <f t="shared" si="1"/>
        <v>210596.33600000001</v>
      </c>
      <c r="F27" s="4">
        <f t="shared" si="2"/>
        <v>210596.33600000001</v>
      </c>
      <c r="G27" s="4">
        <f t="shared" si="2"/>
        <v>0</v>
      </c>
      <c r="H27" s="4">
        <f t="shared" si="2"/>
        <v>0</v>
      </c>
      <c r="I27" s="4">
        <f t="shared" si="2"/>
        <v>0</v>
      </c>
      <c r="J27" s="184"/>
      <c r="K27" s="184"/>
      <c r="L27" s="124"/>
    </row>
    <row r="28" spans="1:12" x14ac:dyDescent="0.25">
      <c r="A28" s="184"/>
      <c r="B28" s="184"/>
      <c r="C28" s="184"/>
      <c r="D28" s="6">
        <v>2025</v>
      </c>
      <c r="E28" s="4">
        <f t="shared" si="1"/>
        <v>210596.33600000001</v>
      </c>
      <c r="F28" s="4">
        <f t="shared" si="2"/>
        <v>210596.33600000001</v>
      </c>
      <c r="G28" s="4">
        <f t="shared" si="2"/>
        <v>0</v>
      </c>
      <c r="H28" s="4">
        <f t="shared" si="2"/>
        <v>0</v>
      </c>
      <c r="I28" s="4">
        <f t="shared" si="2"/>
        <v>0</v>
      </c>
      <c r="J28" s="184"/>
      <c r="K28" s="184"/>
      <c r="L28" s="124"/>
    </row>
    <row r="29" spans="1:12" x14ac:dyDescent="0.25">
      <c r="A29" s="184" t="s">
        <v>23</v>
      </c>
      <c r="B29" s="184" t="s">
        <v>24</v>
      </c>
      <c r="C29" s="184" t="s">
        <v>14</v>
      </c>
      <c r="D29" s="6" t="s">
        <v>8</v>
      </c>
      <c r="E29" s="4">
        <f t="shared" ref="E29:E40" si="3">SUM(F29:I29)</f>
        <v>3054.4259999999999</v>
      </c>
      <c r="F29" s="4">
        <f>SUM(F30:F34)</f>
        <v>3054.4259999999999</v>
      </c>
      <c r="G29" s="4">
        <f>SUM(G30:G34)</f>
        <v>0</v>
      </c>
      <c r="H29" s="4">
        <f>SUM(H30:H34)</f>
        <v>0</v>
      </c>
      <c r="I29" s="4">
        <f>SUM(I30:I34)</f>
        <v>0</v>
      </c>
      <c r="J29" s="184" t="s">
        <v>487</v>
      </c>
      <c r="K29" s="184" t="s">
        <v>488</v>
      </c>
      <c r="L29" s="124"/>
    </row>
    <row r="30" spans="1:12" x14ac:dyDescent="0.25">
      <c r="A30" s="184"/>
      <c r="B30" s="184"/>
      <c r="C30" s="184"/>
      <c r="D30" s="6">
        <v>2021</v>
      </c>
      <c r="E30" s="4">
        <f t="shared" si="3"/>
        <v>3054.4259999999999</v>
      </c>
      <c r="F30" s="4">
        <f t="shared" ref="F30:I34" si="4">F36+F42</f>
        <v>3054.4259999999999</v>
      </c>
      <c r="G30" s="4">
        <f t="shared" si="4"/>
        <v>0</v>
      </c>
      <c r="H30" s="4">
        <f t="shared" si="4"/>
        <v>0</v>
      </c>
      <c r="I30" s="4">
        <f t="shared" si="4"/>
        <v>0</v>
      </c>
      <c r="J30" s="184"/>
      <c r="K30" s="184"/>
      <c r="L30" s="124"/>
    </row>
    <row r="31" spans="1:12" x14ac:dyDescent="0.25">
      <c r="A31" s="184"/>
      <c r="B31" s="184"/>
      <c r="C31" s="184"/>
      <c r="D31" s="6">
        <v>2022</v>
      </c>
      <c r="E31" s="4">
        <f t="shared" si="3"/>
        <v>0</v>
      </c>
      <c r="F31" s="4">
        <f t="shared" si="4"/>
        <v>0</v>
      </c>
      <c r="G31" s="4">
        <f t="shared" si="4"/>
        <v>0</v>
      </c>
      <c r="H31" s="4">
        <f t="shared" si="4"/>
        <v>0</v>
      </c>
      <c r="I31" s="4">
        <f t="shared" si="4"/>
        <v>0</v>
      </c>
      <c r="J31" s="184"/>
      <c r="K31" s="184"/>
      <c r="L31" s="124"/>
    </row>
    <row r="32" spans="1:12" x14ac:dyDescent="0.25">
      <c r="A32" s="184"/>
      <c r="B32" s="184"/>
      <c r="C32" s="184"/>
      <c r="D32" s="6">
        <v>2023</v>
      </c>
      <c r="E32" s="4">
        <f t="shared" si="3"/>
        <v>0</v>
      </c>
      <c r="F32" s="4">
        <f t="shared" si="4"/>
        <v>0</v>
      </c>
      <c r="G32" s="4">
        <f t="shared" si="4"/>
        <v>0</v>
      </c>
      <c r="H32" s="4">
        <f t="shared" si="4"/>
        <v>0</v>
      </c>
      <c r="I32" s="4">
        <f t="shared" si="4"/>
        <v>0</v>
      </c>
      <c r="J32" s="184"/>
      <c r="K32" s="184"/>
      <c r="L32" s="124"/>
    </row>
    <row r="33" spans="1:12" x14ac:dyDescent="0.25">
      <c r="A33" s="184"/>
      <c r="B33" s="184"/>
      <c r="C33" s="184"/>
      <c r="D33" s="6">
        <v>2024</v>
      </c>
      <c r="E33" s="4">
        <f t="shared" si="3"/>
        <v>0</v>
      </c>
      <c r="F33" s="4">
        <f t="shared" si="4"/>
        <v>0</v>
      </c>
      <c r="G33" s="4">
        <f t="shared" si="4"/>
        <v>0</v>
      </c>
      <c r="H33" s="4">
        <f t="shared" si="4"/>
        <v>0</v>
      </c>
      <c r="I33" s="4">
        <f t="shared" si="4"/>
        <v>0</v>
      </c>
      <c r="J33" s="184"/>
      <c r="K33" s="184"/>
      <c r="L33" s="124"/>
    </row>
    <row r="34" spans="1:12" x14ac:dyDescent="0.25">
      <c r="A34" s="184"/>
      <c r="B34" s="184"/>
      <c r="C34" s="184"/>
      <c r="D34" s="6">
        <v>2025</v>
      </c>
      <c r="E34" s="4">
        <f t="shared" si="3"/>
        <v>0</v>
      </c>
      <c r="F34" s="4">
        <f t="shared" si="4"/>
        <v>0</v>
      </c>
      <c r="G34" s="4">
        <f t="shared" si="4"/>
        <v>0</v>
      </c>
      <c r="H34" s="4">
        <f t="shared" si="4"/>
        <v>0</v>
      </c>
      <c r="I34" s="4">
        <f t="shared" si="4"/>
        <v>0</v>
      </c>
      <c r="J34" s="184"/>
      <c r="K34" s="184"/>
      <c r="L34" s="124"/>
    </row>
    <row r="35" spans="1:12" x14ac:dyDescent="0.25">
      <c r="A35" s="184" t="s">
        <v>27</v>
      </c>
      <c r="B35" s="184" t="s">
        <v>489</v>
      </c>
      <c r="C35" s="184" t="s">
        <v>490</v>
      </c>
      <c r="D35" s="6" t="s">
        <v>8</v>
      </c>
      <c r="E35" s="4">
        <f t="shared" si="3"/>
        <v>0</v>
      </c>
      <c r="F35" s="4">
        <f>SUM(F36:F40)</f>
        <v>0</v>
      </c>
      <c r="G35" s="4">
        <f>SUM(G36:G40)</f>
        <v>0</v>
      </c>
      <c r="H35" s="4">
        <f>SUM(H36:H40)</f>
        <v>0</v>
      </c>
      <c r="I35" s="4">
        <f>SUM(I36:I40)</f>
        <v>0</v>
      </c>
      <c r="J35" s="184" t="s">
        <v>29</v>
      </c>
      <c r="K35" s="184" t="s">
        <v>486</v>
      </c>
    </row>
    <row r="36" spans="1:12" x14ac:dyDescent="0.25">
      <c r="A36" s="184"/>
      <c r="B36" s="184"/>
      <c r="C36" s="184"/>
      <c r="D36" s="6">
        <v>2021</v>
      </c>
      <c r="E36" s="4">
        <f t="shared" si="3"/>
        <v>0</v>
      </c>
      <c r="F36" s="4">
        <v>0</v>
      </c>
      <c r="G36" s="4">
        <v>0</v>
      </c>
      <c r="H36" s="4">
        <v>0</v>
      </c>
      <c r="I36" s="4">
        <v>0</v>
      </c>
      <c r="J36" s="184"/>
      <c r="K36" s="184"/>
    </row>
    <row r="37" spans="1:12" x14ac:dyDescent="0.25">
      <c r="A37" s="184"/>
      <c r="B37" s="184"/>
      <c r="C37" s="184"/>
      <c r="D37" s="6">
        <v>2022</v>
      </c>
      <c r="E37" s="4">
        <f t="shared" si="3"/>
        <v>0</v>
      </c>
      <c r="F37" s="4">
        <v>0</v>
      </c>
      <c r="G37" s="4">
        <v>0</v>
      </c>
      <c r="H37" s="4">
        <v>0</v>
      </c>
      <c r="I37" s="4">
        <v>0</v>
      </c>
      <c r="J37" s="184"/>
      <c r="K37" s="184"/>
    </row>
    <row r="38" spans="1:12" x14ac:dyDescent="0.25">
      <c r="A38" s="184"/>
      <c r="B38" s="184"/>
      <c r="C38" s="184"/>
      <c r="D38" s="6">
        <v>2023</v>
      </c>
      <c r="E38" s="4">
        <f t="shared" si="3"/>
        <v>0</v>
      </c>
      <c r="F38" s="4">
        <v>0</v>
      </c>
      <c r="G38" s="4">
        <v>0</v>
      </c>
      <c r="H38" s="4">
        <v>0</v>
      </c>
      <c r="I38" s="4">
        <v>0</v>
      </c>
      <c r="J38" s="184"/>
      <c r="K38" s="184"/>
    </row>
    <row r="39" spans="1:12" x14ac:dyDescent="0.25">
      <c r="A39" s="184"/>
      <c r="B39" s="184"/>
      <c r="C39" s="184"/>
      <c r="D39" s="6">
        <v>2024</v>
      </c>
      <c r="E39" s="4">
        <f t="shared" si="3"/>
        <v>0</v>
      </c>
      <c r="F39" s="4">
        <v>0</v>
      </c>
      <c r="G39" s="4">
        <v>0</v>
      </c>
      <c r="H39" s="4">
        <v>0</v>
      </c>
      <c r="I39" s="4">
        <v>0</v>
      </c>
      <c r="J39" s="184"/>
      <c r="K39" s="184"/>
    </row>
    <row r="40" spans="1:12" x14ac:dyDescent="0.25">
      <c r="A40" s="184"/>
      <c r="B40" s="184"/>
      <c r="C40" s="184"/>
      <c r="D40" s="6">
        <v>2025</v>
      </c>
      <c r="E40" s="4">
        <f t="shared" si="3"/>
        <v>0</v>
      </c>
      <c r="F40" s="4">
        <v>0</v>
      </c>
      <c r="G40" s="4">
        <v>0</v>
      </c>
      <c r="H40" s="4">
        <v>0</v>
      </c>
      <c r="I40" s="4">
        <v>0</v>
      </c>
      <c r="J40" s="184"/>
      <c r="K40" s="184"/>
    </row>
    <row r="41" spans="1:12" x14ac:dyDescent="0.25">
      <c r="A41" s="184" t="s">
        <v>491</v>
      </c>
      <c r="B41" s="184" t="s">
        <v>492</v>
      </c>
      <c r="C41" s="184" t="s">
        <v>490</v>
      </c>
      <c r="D41" s="6" t="s">
        <v>8</v>
      </c>
      <c r="E41" s="4">
        <f>SUM(E42:E46)</f>
        <v>3054.4259999999999</v>
      </c>
      <c r="F41" s="4">
        <f>SUM(F42:F46)</f>
        <v>3054.4259999999999</v>
      </c>
      <c r="G41" s="4">
        <f>SUM(G42:G46)</f>
        <v>0</v>
      </c>
      <c r="H41" s="4">
        <f>SUM(H42:H46)</f>
        <v>0</v>
      </c>
      <c r="I41" s="4">
        <f>SUM(I42:I46)</f>
        <v>0</v>
      </c>
      <c r="J41" s="184" t="s">
        <v>493</v>
      </c>
      <c r="K41" s="184" t="s">
        <v>494</v>
      </c>
      <c r="L41" s="124"/>
    </row>
    <row r="42" spans="1:12" x14ac:dyDescent="0.25">
      <c r="A42" s="184"/>
      <c r="B42" s="184"/>
      <c r="C42" s="184"/>
      <c r="D42" s="6">
        <v>2021</v>
      </c>
      <c r="E42" s="4">
        <f t="shared" ref="E42:E105" si="5">SUM(F42:I42)</f>
        <v>3054.4259999999999</v>
      </c>
      <c r="F42" s="4">
        <v>3054.4259999999999</v>
      </c>
      <c r="G42" s="4">
        <v>0</v>
      </c>
      <c r="H42" s="4">
        <v>0</v>
      </c>
      <c r="I42" s="4">
        <v>0</v>
      </c>
      <c r="J42" s="184"/>
      <c r="K42" s="184"/>
      <c r="L42" s="124"/>
    </row>
    <row r="43" spans="1:12" x14ac:dyDescent="0.25">
      <c r="A43" s="184"/>
      <c r="B43" s="184"/>
      <c r="C43" s="184"/>
      <c r="D43" s="6">
        <v>2022</v>
      </c>
      <c r="E43" s="4">
        <f t="shared" si="5"/>
        <v>0</v>
      </c>
      <c r="F43" s="4">
        <v>0</v>
      </c>
      <c r="G43" s="4">
        <v>0</v>
      </c>
      <c r="H43" s="4">
        <v>0</v>
      </c>
      <c r="I43" s="4">
        <v>0</v>
      </c>
      <c r="J43" s="184"/>
      <c r="K43" s="184"/>
      <c r="L43" s="124"/>
    </row>
    <row r="44" spans="1:12" x14ac:dyDescent="0.25">
      <c r="A44" s="184"/>
      <c r="B44" s="184"/>
      <c r="C44" s="184"/>
      <c r="D44" s="6">
        <v>2023</v>
      </c>
      <c r="E44" s="4">
        <f t="shared" si="5"/>
        <v>0</v>
      </c>
      <c r="F44" s="4">
        <v>0</v>
      </c>
      <c r="G44" s="4">
        <v>0</v>
      </c>
      <c r="H44" s="4">
        <v>0</v>
      </c>
      <c r="I44" s="4">
        <v>0</v>
      </c>
      <c r="J44" s="184"/>
      <c r="K44" s="184"/>
      <c r="L44" s="124"/>
    </row>
    <row r="45" spans="1:12" x14ac:dyDescent="0.25">
      <c r="A45" s="184"/>
      <c r="B45" s="184"/>
      <c r="C45" s="184"/>
      <c r="D45" s="6">
        <v>2024</v>
      </c>
      <c r="E45" s="4">
        <f t="shared" si="5"/>
        <v>0</v>
      </c>
      <c r="F45" s="4">
        <v>0</v>
      </c>
      <c r="G45" s="4">
        <v>0</v>
      </c>
      <c r="H45" s="4">
        <v>0</v>
      </c>
      <c r="I45" s="4">
        <v>0</v>
      </c>
      <c r="J45" s="184"/>
      <c r="K45" s="184"/>
      <c r="L45" s="124"/>
    </row>
    <row r="46" spans="1:12" x14ac:dyDescent="0.25">
      <c r="A46" s="184"/>
      <c r="B46" s="184"/>
      <c r="C46" s="184"/>
      <c r="D46" s="6">
        <v>2025</v>
      </c>
      <c r="E46" s="4">
        <f t="shared" si="5"/>
        <v>0</v>
      </c>
      <c r="F46" s="4">
        <v>0</v>
      </c>
      <c r="G46" s="4">
        <v>0</v>
      </c>
      <c r="H46" s="4">
        <v>0</v>
      </c>
      <c r="I46" s="4">
        <v>0</v>
      </c>
      <c r="J46" s="184"/>
      <c r="K46" s="184"/>
      <c r="L46" s="124"/>
    </row>
    <row r="47" spans="1:12" ht="27.75" customHeight="1" x14ac:dyDescent="0.25">
      <c r="A47" s="184" t="s">
        <v>30</v>
      </c>
      <c r="B47" s="184" t="s">
        <v>608</v>
      </c>
      <c r="C47" s="184" t="s">
        <v>14</v>
      </c>
      <c r="D47" s="6" t="s">
        <v>8</v>
      </c>
      <c r="E47" s="4">
        <f t="shared" si="5"/>
        <v>1047183.55969</v>
      </c>
      <c r="F47" s="4">
        <f>SUM(F48:F52)</f>
        <v>1034697.76835</v>
      </c>
      <c r="G47" s="4">
        <f>SUM(G48:G52)</f>
        <v>0</v>
      </c>
      <c r="H47" s="4">
        <f>SUM(H48:H52)</f>
        <v>12485.79134</v>
      </c>
      <c r="I47" s="4">
        <f>SUM(I48:I52)</f>
        <v>0</v>
      </c>
      <c r="J47" s="184" t="s">
        <v>495</v>
      </c>
      <c r="K47" s="184" t="s">
        <v>486</v>
      </c>
    </row>
    <row r="48" spans="1:12" ht="27.75" customHeight="1" x14ac:dyDescent="0.25">
      <c r="A48" s="184"/>
      <c r="B48" s="184"/>
      <c r="C48" s="184"/>
      <c r="D48" s="6">
        <v>2021</v>
      </c>
      <c r="E48" s="4">
        <f t="shared" si="5"/>
        <v>108436.894</v>
      </c>
      <c r="F48" s="4">
        <f t="shared" ref="F48:F49" si="6">SUM(F54+F60+F66+F72+F78+F84+F90+F102+F108+F114+F132)</f>
        <v>108436.894</v>
      </c>
      <c r="G48" s="4">
        <f t="shared" ref="G48:I52" si="7">SUM(G54+G60+G66+G72+G78+G84+G90+G102+G108+G114)</f>
        <v>0</v>
      </c>
      <c r="H48" s="4">
        <f t="shared" si="7"/>
        <v>0</v>
      </c>
      <c r="I48" s="4">
        <f t="shared" si="7"/>
        <v>0</v>
      </c>
      <c r="J48" s="184"/>
      <c r="K48" s="184"/>
    </row>
    <row r="49" spans="1:11" ht="27.75" customHeight="1" x14ac:dyDescent="0.25">
      <c r="A49" s="184"/>
      <c r="B49" s="184"/>
      <c r="C49" s="184"/>
      <c r="D49" s="6">
        <v>2022</v>
      </c>
      <c r="E49" s="4">
        <f t="shared" si="5"/>
        <v>274226.68966000003</v>
      </c>
      <c r="F49" s="4">
        <f t="shared" si="6"/>
        <v>274226.68966000003</v>
      </c>
      <c r="G49" s="4">
        <f t="shared" si="7"/>
        <v>0</v>
      </c>
      <c r="H49" s="4">
        <f t="shared" si="7"/>
        <v>0</v>
      </c>
      <c r="I49" s="4">
        <f t="shared" si="7"/>
        <v>0</v>
      </c>
      <c r="J49" s="184"/>
      <c r="K49" s="184"/>
    </row>
    <row r="50" spans="1:11" ht="27.75" customHeight="1" x14ac:dyDescent="0.25">
      <c r="A50" s="184"/>
      <c r="B50" s="184"/>
      <c r="C50" s="184"/>
      <c r="D50" s="6">
        <v>2023</v>
      </c>
      <c r="E50" s="4">
        <f t="shared" si="5"/>
        <v>257645.50403000001</v>
      </c>
      <c r="F50" s="4">
        <f>SUM(F56+F62+F68+F74+F80+F86+F92+F104+F110+F116+F134+F122+F128+F140)</f>
        <v>245159.71269000001</v>
      </c>
      <c r="G50" s="4">
        <f>SUM(G56+G62+G68+G74+G80+G86+G92+G104+G110+G116+G134+G122+G128)</f>
        <v>0</v>
      </c>
      <c r="H50" s="4">
        <f>SUM(H56+H62+H68+H74+H80+H86+H92+H104+H110+H116+H134+H122+H128)</f>
        <v>12485.79134</v>
      </c>
      <c r="I50" s="4">
        <f t="shared" si="7"/>
        <v>0</v>
      </c>
      <c r="J50" s="184"/>
      <c r="K50" s="184"/>
    </row>
    <row r="51" spans="1:11" ht="27.75" customHeight="1" x14ac:dyDescent="0.25">
      <c r="A51" s="184"/>
      <c r="B51" s="184"/>
      <c r="C51" s="184"/>
      <c r="D51" s="6">
        <v>2024</v>
      </c>
      <c r="E51" s="4">
        <f t="shared" si="5"/>
        <v>203437.236</v>
      </c>
      <c r="F51" s="4">
        <f t="shared" ref="F51:F52" si="8">SUM(F57+F63+F69+F75+F81+F87+F93+F105+F111+F117+F135+F123+F129)</f>
        <v>203437.236</v>
      </c>
      <c r="G51" s="4">
        <f t="shared" si="7"/>
        <v>0</v>
      </c>
      <c r="H51" s="4">
        <f t="shared" si="7"/>
        <v>0</v>
      </c>
      <c r="I51" s="4">
        <f t="shared" si="7"/>
        <v>0</v>
      </c>
      <c r="J51" s="184"/>
      <c r="K51" s="184"/>
    </row>
    <row r="52" spans="1:11" ht="27.75" customHeight="1" x14ac:dyDescent="0.25">
      <c r="A52" s="184"/>
      <c r="B52" s="184"/>
      <c r="C52" s="184"/>
      <c r="D52" s="6">
        <v>2025</v>
      </c>
      <c r="E52" s="4">
        <f t="shared" si="5"/>
        <v>203437.236</v>
      </c>
      <c r="F52" s="4">
        <f t="shared" si="8"/>
        <v>203437.236</v>
      </c>
      <c r="G52" s="4">
        <f t="shared" si="7"/>
        <v>0</v>
      </c>
      <c r="H52" s="4">
        <f t="shared" si="7"/>
        <v>0</v>
      </c>
      <c r="I52" s="4">
        <f t="shared" si="7"/>
        <v>0</v>
      </c>
      <c r="J52" s="184"/>
      <c r="K52" s="184"/>
    </row>
    <row r="53" spans="1:11" ht="15" customHeight="1" x14ac:dyDescent="0.25">
      <c r="A53" s="184" t="s">
        <v>33</v>
      </c>
      <c r="B53" s="184" t="s">
        <v>496</v>
      </c>
      <c r="C53" s="184" t="s">
        <v>14</v>
      </c>
      <c r="D53" s="6" t="s">
        <v>8</v>
      </c>
      <c r="E53" s="4">
        <f t="shared" si="5"/>
        <v>197000</v>
      </c>
      <c r="F53" s="4">
        <f>SUM(F54:F58)</f>
        <v>197000</v>
      </c>
      <c r="G53" s="4">
        <f>SUM(G54:G58)</f>
        <v>0</v>
      </c>
      <c r="H53" s="4">
        <f>SUM(H54:H58)</f>
        <v>0</v>
      </c>
      <c r="I53" s="4">
        <f>SUM(I54:I58)</f>
        <v>0</v>
      </c>
      <c r="J53" s="184" t="s">
        <v>819</v>
      </c>
      <c r="K53" s="184" t="s">
        <v>484</v>
      </c>
    </row>
    <row r="54" spans="1:11" x14ac:dyDescent="0.25">
      <c r="A54" s="184"/>
      <c r="B54" s="184"/>
      <c r="C54" s="184"/>
      <c r="D54" s="6">
        <v>2021</v>
      </c>
      <c r="E54" s="4">
        <f t="shared" si="5"/>
        <v>43000</v>
      </c>
      <c r="F54" s="4">
        <v>43000</v>
      </c>
      <c r="G54" s="4">
        <v>0</v>
      </c>
      <c r="H54" s="4">
        <v>0</v>
      </c>
      <c r="I54" s="4">
        <v>0</v>
      </c>
      <c r="J54" s="184"/>
      <c r="K54" s="184"/>
    </row>
    <row r="55" spans="1:11" x14ac:dyDescent="0.25">
      <c r="A55" s="184"/>
      <c r="B55" s="184"/>
      <c r="C55" s="184"/>
      <c r="D55" s="6">
        <v>2022</v>
      </c>
      <c r="E55" s="4">
        <f t="shared" si="5"/>
        <v>45000</v>
      </c>
      <c r="F55" s="4">
        <v>45000</v>
      </c>
      <c r="G55" s="4">
        <v>0</v>
      </c>
      <c r="H55" s="4">
        <v>0</v>
      </c>
      <c r="I55" s="4">
        <v>0</v>
      </c>
      <c r="J55" s="184"/>
      <c r="K55" s="184"/>
    </row>
    <row r="56" spans="1:11" x14ac:dyDescent="0.25">
      <c r="A56" s="184"/>
      <c r="B56" s="184"/>
      <c r="C56" s="184"/>
      <c r="D56" s="6">
        <v>2023</v>
      </c>
      <c r="E56" s="4">
        <f t="shared" si="5"/>
        <v>49000</v>
      </c>
      <c r="F56" s="4">
        <f>30000+10000+9000</f>
        <v>49000</v>
      </c>
      <c r="G56" s="4">
        <v>0</v>
      </c>
      <c r="H56" s="4">
        <v>0</v>
      </c>
      <c r="I56" s="4">
        <v>0</v>
      </c>
      <c r="J56" s="184"/>
      <c r="K56" s="184"/>
    </row>
    <row r="57" spans="1:11" x14ac:dyDescent="0.25">
      <c r="A57" s="184"/>
      <c r="B57" s="184"/>
      <c r="C57" s="184"/>
      <c r="D57" s="6">
        <v>2024</v>
      </c>
      <c r="E57" s="4">
        <f t="shared" si="5"/>
        <v>30000</v>
      </c>
      <c r="F57" s="4">
        <v>30000</v>
      </c>
      <c r="G57" s="4">
        <v>0</v>
      </c>
      <c r="H57" s="4">
        <v>0</v>
      </c>
      <c r="I57" s="4">
        <v>0</v>
      </c>
      <c r="J57" s="184"/>
      <c r="K57" s="184"/>
    </row>
    <row r="58" spans="1:11" x14ac:dyDescent="0.25">
      <c r="A58" s="184"/>
      <c r="B58" s="184"/>
      <c r="C58" s="184"/>
      <c r="D58" s="6">
        <v>2025</v>
      </c>
      <c r="E58" s="4">
        <f t="shared" si="5"/>
        <v>30000</v>
      </c>
      <c r="F58" s="4">
        <v>30000</v>
      </c>
      <c r="G58" s="4">
        <v>0</v>
      </c>
      <c r="H58" s="4">
        <v>0</v>
      </c>
      <c r="I58" s="4">
        <v>0</v>
      </c>
      <c r="J58" s="184"/>
      <c r="K58" s="184"/>
    </row>
    <row r="59" spans="1:11" ht="13.5" customHeight="1" outlineLevel="1" x14ac:dyDescent="0.25">
      <c r="A59" s="184" t="s">
        <v>36</v>
      </c>
      <c r="B59" s="184" t="s">
        <v>498</v>
      </c>
      <c r="C59" s="184">
        <v>2021</v>
      </c>
      <c r="D59" s="6" t="s">
        <v>8</v>
      </c>
      <c r="E59" s="4">
        <f t="shared" si="5"/>
        <v>0</v>
      </c>
      <c r="F59" s="4">
        <f>SUM(F60:F64)</f>
        <v>0</v>
      </c>
      <c r="G59" s="4">
        <f>SUM(G60:G64)</f>
        <v>0</v>
      </c>
      <c r="H59" s="4">
        <f>SUM(H60:H64)</f>
        <v>0</v>
      </c>
      <c r="I59" s="4">
        <f>SUM(I60:I64)</f>
        <v>0</v>
      </c>
      <c r="J59" s="184" t="s">
        <v>499</v>
      </c>
      <c r="K59" s="184" t="s">
        <v>484</v>
      </c>
    </row>
    <row r="60" spans="1:11" ht="13.5" customHeight="1" outlineLevel="1" x14ac:dyDescent="0.25">
      <c r="A60" s="184"/>
      <c r="B60" s="184"/>
      <c r="C60" s="184"/>
      <c r="D60" s="6">
        <v>2021</v>
      </c>
      <c r="E60" s="4">
        <f t="shared" si="5"/>
        <v>0</v>
      </c>
      <c r="F60" s="4">
        <v>0</v>
      </c>
      <c r="G60" s="4">
        <v>0</v>
      </c>
      <c r="H60" s="4">
        <v>0</v>
      </c>
      <c r="I60" s="4">
        <v>0</v>
      </c>
      <c r="J60" s="184"/>
      <c r="K60" s="184"/>
    </row>
    <row r="61" spans="1:11" ht="13.5" customHeight="1" outlineLevel="1" x14ac:dyDescent="0.25">
      <c r="A61" s="184"/>
      <c r="B61" s="184"/>
      <c r="C61" s="184"/>
      <c r="D61" s="6">
        <v>2022</v>
      </c>
      <c r="E61" s="4">
        <f t="shared" si="5"/>
        <v>0</v>
      </c>
      <c r="F61" s="4">
        <v>0</v>
      </c>
      <c r="G61" s="4">
        <v>0</v>
      </c>
      <c r="H61" s="4">
        <v>0</v>
      </c>
      <c r="I61" s="4">
        <v>0</v>
      </c>
      <c r="J61" s="184"/>
      <c r="K61" s="184"/>
    </row>
    <row r="62" spans="1:11" ht="13.5" customHeight="1" outlineLevel="1" x14ac:dyDescent="0.25">
      <c r="A62" s="184"/>
      <c r="B62" s="184"/>
      <c r="C62" s="184"/>
      <c r="D62" s="6">
        <v>2023</v>
      </c>
      <c r="E62" s="4">
        <f t="shared" si="5"/>
        <v>0</v>
      </c>
      <c r="F62" s="4">
        <v>0</v>
      </c>
      <c r="G62" s="4">
        <v>0</v>
      </c>
      <c r="H62" s="4">
        <v>0</v>
      </c>
      <c r="I62" s="4">
        <v>0</v>
      </c>
      <c r="J62" s="184"/>
      <c r="K62" s="184"/>
    </row>
    <row r="63" spans="1:11" ht="13.5" customHeight="1" outlineLevel="1" x14ac:dyDescent="0.25">
      <c r="A63" s="184"/>
      <c r="B63" s="184"/>
      <c r="C63" s="184"/>
      <c r="D63" s="6">
        <v>2024</v>
      </c>
      <c r="E63" s="4">
        <f t="shared" si="5"/>
        <v>0</v>
      </c>
      <c r="F63" s="4">
        <v>0</v>
      </c>
      <c r="G63" s="4">
        <v>0</v>
      </c>
      <c r="H63" s="4">
        <v>0</v>
      </c>
      <c r="I63" s="4">
        <v>0</v>
      </c>
      <c r="J63" s="184"/>
      <c r="K63" s="184"/>
    </row>
    <row r="64" spans="1:11" ht="13.5" customHeight="1" outlineLevel="1" x14ac:dyDescent="0.25">
      <c r="A64" s="184"/>
      <c r="B64" s="184"/>
      <c r="C64" s="184"/>
      <c r="D64" s="6">
        <v>2025</v>
      </c>
      <c r="E64" s="4">
        <f t="shared" si="5"/>
        <v>0</v>
      </c>
      <c r="F64" s="4">
        <v>0</v>
      </c>
      <c r="G64" s="4">
        <v>0</v>
      </c>
      <c r="H64" s="4">
        <v>0</v>
      </c>
      <c r="I64" s="4">
        <v>0</v>
      </c>
      <c r="J64" s="184"/>
      <c r="K64" s="184"/>
    </row>
    <row r="65" spans="1:13" ht="13.5" customHeight="1" outlineLevel="1" x14ac:dyDescent="0.25">
      <c r="A65" s="184" t="s">
        <v>500</v>
      </c>
      <c r="B65" s="184" t="s">
        <v>501</v>
      </c>
      <c r="C65" s="184" t="s">
        <v>14</v>
      </c>
      <c r="D65" s="6" t="s">
        <v>8</v>
      </c>
      <c r="E65" s="4">
        <f t="shared" si="5"/>
        <v>193993.769</v>
      </c>
      <c r="F65" s="4">
        <f>SUM(F66:F70)</f>
        <v>193993.769</v>
      </c>
      <c r="G65" s="4">
        <f>SUM(G66:G70)</f>
        <v>0</v>
      </c>
      <c r="H65" s="4">
        <f>SUM(H66:H70)</f>
        <v>0</v>
      </c>
      <c r="I65" s="4">
        <f>SUM(I66:I70)</f>
        <v>0</v>
      </c>
      <c r="J65" s="184" t="s">
        <v>820</v>
      </c>
      <c r="K65" s="184" t="s">
        <v>484</v>
      </c>
    </row>
    <row r="66" spans="1:13" ht="13.5" customHeight="1" outlineLevel="1" x14ac:dyDescent="0.25">
      <c r="A66" s="184"/>
      <c r="B66" s="184"/>
      <c r="C66" s="184"/>
      <c r="D66" s="6">
        <v>2021</v>
      </c>
      <c r="E66" s="4">
        <f t="shared" si="5"/>
        <v>33993.769</v>
      </c>
      <c r="F66" s="4">
        <v>33993.769</v>
      </c>
      <c r="G66" s="4">
        <v>0</v>
      </c>
      <c r="H66" s="4">
        <v>0</v>
      </c>
      <c r="I66" s="4">
        <v>0</v>
      </c>
      <c r="J66" s="184"/>
      <c r="K66" s="184"/>
    </row>
    <row r="67" spans="1:13" ht="13.5" customHeight="1" outlineLevel="1" x14ac:dyDescent="0.25">
      <c r="A67" s="184"/>
      <c r="B67" s="184"/>
      <c r="C67" s="184"/>
      <c r="D67" s="6">
        <v>2022</v>
      </c>
      <c r="E67" s="4">
        <f t="shared" si="5"/>
        <v>40000</v>
      </c>
      <c r="F67" s="4">
        <v>40000</v>
      </c>
      <c r="G67" s="4">
        <v>0</v>
      </c>
      <c r="H67" s="4">
        <v>0</v>
      </c>
      <c r="I67" s="4">
        <v>0</v>
      </c>
      <c r="J67" s="184"/>
      <c r="K67" s="184"/>
    </row>
    <row r="68" spans="1:13" ht="13.5" customHeight="1" outlineLevel="1" x14ac:dyDescent="0.25">
      <c r="A68" s="184"/>
      <c r="B68" s="184"/>
      <c r="C68" s="184"/>
      <c r="D68" s="6">
        <v>2023</v>
      </c>
      <c r="E68" s="4">
        <f t="shared" si="5"/>
        <v>40000</v>
      </c>
      <c r="F68" s="4">
        <v>40000</v>
      </c>
      <c r="G68" s="4">
        <v>0</v>
      </c>
      <c r="H68" s="4">
        <v>0</v>
      </c>
      <c r="I68" s="4">
        <v>0</v>
      </c>
      <c r="J68" s="184"/>
      <c r="K68" s="184"/>
    </row>
    <row r="69" spans="1:13" ht="13.5" customHeight="1" outlineLevel="1" x14ac:dyDescent="0.25">
      <c r="A69" s="184"/>
      <c r="B69" s="184"/>
      <c r="C69" s="184"/>
      <c r="D69" s="6">
        <v>2024</v>
      </c>
      <c r="E69" s="4">
        <f t="shared" si="5"/>
        <v>40000</v>
      </c>
      <c r="F69" s="4">
        <v>40000</v>
      </c>
      <c r="G69" s="4">
        <v>0</v>
      </c>
      <c r="H69" s="4">
        <v>0</v>
      </c>
      <c r="I69" s="4">
        <v>0</v>
      </c>
      <c r="J69" s="184"/>
      <c r="K69" s="184"/>
    </row>
    <row r="70" spans="1:13" ht="13.5" customHeight="1" outlineLevel="1" x14ac:dyDescent="0.25">
      <c r="A70" s="184"/>
      <c r="B70" s="184"/>
      <c r="C70" s="184"/>
      <c r="D70" s="6">
        <v>2025</v>
      </c>
      <c r="E70" s="4">
        <f t="shared" si="5"/>
        <v>40000</v>
      </c>
      <c r="F70" s="4">
        <v>40000</v>
      </c>
      <c r="G70" s="4">
        <v>0</v>
      </c>
      <c r="H70" s="4">
        <v>0</v>
      </c>
      <c r="I70" s="4">
        <v>0</v>
      </c>
      <c r="J70" s="184"/>
      <c r="K70" s="184"/>
    </row>
    <row r="71" spans="1:13" ht="13.5" customHeight="1" outlineLevel="1" x14ac:dyDescent="0.25">
      <c r="A71" s="184" t="s">
        <v>503</v>
      </c>
      <c r="B71" s="184" t="s">
        <v>1112</v>
      </c>
      <c r="C71" s="184" t="s">
        <v>14</v>
      </c>
      <c r="D71" s="6" t="s">
        <v>8</v>
      </c>
      <c r="E71" s="4">
        <f t="shared" si="5"/>
        <v>18416.99869</v>
      </c>
      <c r="F71" s="4">
        <f>SUM(F72:F76)</f>
        <v>18416.99869</v>
      </c>
      <c r="G71" s="4">
        <f>SUM(G72:G76)</f>
        <v>0</v>
      </c>
      <c r="H71" s="4">
        <f>SUM(H72:H76)</f>
        <v>0</v>
      </c>
      <c r="I71" s="4">
        <f>SUM(I72:I76)</f>
        <v>0</v>
      </c>
      <c r="J71" s="184" t="s">
        <v>505</v>
      </c>
      <c r="K71" s="184" t="s">
        <v>484</v>
      </c>
    </row>
    <row r="72" spans="1:13" ht="13.5" customHeight="1" outlineLevel="1" x14ac:dyDescent="0.25">
      <c r="A72" s="184"/>
      <c r="B72" s="184"/>
      <c r="C72" s="184"/>
      <c r="D72" s="6">
        <v>2021</v>
      </c>
      <c r="E72" s="4">
        <f t="shared" si="5"/>
        <v>2000</v>
      </c>
      <c r="F72" s="4">
        <v>2000</v>
      </c>
      <c r="G72" s="4">
        <v>0</v>
      </c>
      <c r="H72" s="4">
        <v>0</v>
      </c>
      <c r="I72" s="4">
        <v>0</v>
      </c>
      <c r="J72" s="184"/>
      <c r="K72" s="184"/>
    </row>
    <row r="73" spans="1:13" ht="13.5" customHeight="1" outlineLevel="1" x14ac:dyDescent="0.25">
      <c r="A73" s="184"/>
      <c r="B73" s="184"/>
      <c r="C73" s="184"/>
      <c r="D73" s="6">
        <v>2022</v>
      </c>
      <c r="E73" s="4">
        <f t="shared" si="5"/>
        <v>2900</v>
      </c>
      <c r="F73" s="4">
        <v>2900</v>
      </c>
      <c r="G73" s="4">
        <v>0</v>
      </c>
      <c r="H73" s="4">
        <v>0</v>
      </c>
      <c r="I73" s="4">
        <v>0</v>
      </c>
      <c r="J73" s="184"/>
      <c r="K73" s="184"/>
    </row>
    <row r="74" spans="1:13" ht="13.5" customHeight="1" outlineLevel="1" x14ac:dyDescent="0.25">
      <c r="A74" s="184"/>
      <c r="B74" s="184"/>
      <c r="C74" s="184"/>
      <c r="D74" s="6">
        <v>2023</v>
      </c>
      <c r="E74" s="4">
        <f t="shared" si="5"/>
        <v>2316.9986900000004</v>
      </c>
      <c r="F74" s="4">
        <f>5600-3148.56931-134.432</f>
        <v>2316.9986900000004</v>
      </c>
      <c r="G74" s="4">
        <v>0</v>
      </c>
      <c r="H74" s="4">
        <v>0</v>
      </c>
      <c r="I74" s="4">
        <v>0</v>
      </c>
      <c r="J74" s="184"/>
      <c r="K74" s="184"/>
      <c r="M74" s="5" t="s">
        <v>1743</v>
      </c>
    </row>
    <row r="75" spans="1:13" ht="13.5" customHeight="1" outlineLevel="1" x14ac:dyDescent="0.25">
      <c r="A75" s="184"/>
      <c r="B75" s="184"/>
      <c r="C75" s="184"/>
      <c r="D75" s="6">
        <v>2024</v>
      </c>
      <c r="E75" s="4">
        <f t="shared" si="5"/>
        <v>5600</v>
      </c>
      <c r="F75" s="4">
        <v>5600</v>
      </c>
      <c r="G75" s="4">
        <v>0</v>
      </c>
      <c r="H75" s="4">
        <v>0</v>
      </c>
      <c r="I75" s="4">
        <v>0</v>
      </c>
      <c r="J75" s="184"/>
      <c r="K75" s="184"/>
    </row>
    <row r="76" spans="1:13" ht="13.5" customHeight="1" outlineLevel="1" x14ac:dyDescent="0.25">
      <c r="A76" s="184"/>
      <c r="B76" s="184"/>
      <c r="C76" s="184"/>
      <c r="D76" s="6">
        <v>2025</v>
      </c>
      <c r="E76" s="4">
        <f t="shared" si="5"/>
        <v>5600</v>
      </c>
      <c r="F76" s="4">
        <v>5600</v>
      </c>
      <c r="G76" s="4">
        <v>0</v>
      </c>
      <c r="H76" s="4">
        <v>0</v>
      </c>
      <c r="I76" s="4">
        <v>0</v>
      </c>
      <c r="J76" s="184"/>
      <c r="K76" s="184"/>
    </row>
    <row r="77" spans="1:13" ht="13.5" customHeight="1" outlineLevel="1" x14ac:dyDescent="0.25">
      <c r="A77" s="184" t="s">
        <v>506</v>
      </c>
      <c r="B77" s="184" t="s">
        <v>1225</v>
      </c>
      <c r="C77" s="184" t="s">
        <v>14</v>
      </c>
      <c r="D77" s="6" t="s">
        <v>8</v>
      </c>
      <c r="E77" s="4">
        <f t="shared" si="5"/>
        <v>234813.071</v>
      </c>
      <c r="F77" s="4">
        <f>SUM(F78:F82)</f>
        <v>234813.071</v>
      </c>
      <c r="G77" s="4">
        <f>SUM(G78:G82)</f>
        <v>0</v>
      </c>
      <c r="H77" s="4">
        <f>SUM(H78:H82)</f>
        <v>0</v>
      </c>
      <c r="I77" s="4">
        <f>SUM(I78:I82)</f>
        <v>0</v>
      </c>
      <c r="J77" s="184" t="s">
        <v>508</v>
      </c>
      <c r="K77" s="184" t="s">
        <v>486</v>
      </c>
    </row>
    <row r="78" spans="1:13" ht="13.5" customHeight="1" outlineLevel="1" x14ac:dyDescent="0.25">
      <c r="A78" s="184"/>
      <c r="B78" s="184"/>
      <c r="C78" s="184"/>
      <c r="D78" s="6">
        <v>2021</v>
      </c>
      <c r="E78" s="4">
        <f t="shared" si="5"/>
        <v>29443.125</v>
      </c>
      <c r="F78" s="4">
        <f>29443125/1000</f>
        <v>29443.125</v>
      </c>
      <c r="G78" s="4">
        <v>0</v>
      </c>
      <c r="H78" s="4">
        <v>0</v>
      </c>
      <c r="I78" s="4">
        <v>0</v>
      </c>
      <c r="J78" s="184"/>
      <c r="K78" s="184"/>
    </row>
    <row r="79" spans="1:13" ht="13.5" customHeight="1" outlineLevel="1" x14ac:dyDescent="0.25">
      <c r="A79" s="184"/>
      <c r="B79" s="184"/>
      <c r="C79" s="184"/>
      <c r="D79" s="6">
        <v>2022</v>
      </c>
      <c r="E79" s="4">
        <f t="shared" si="5"/>
        <v>99747.438999999998</v>
      </c>
      <c r="F79" s="4">
        <v>99747.438999999998</v>
      </c>
      <c r="G79" s="4">
        <v>0</v>
      </c>
      <c r="H79" s="4">
        <v>0</v>
      </c>
      <c r="I79" s="4">
        <v>0</v>
      </c>
      <c r="J79" s="184"/>
      <c r="K79" s="184"/>
    </row>
    <row r="80" spans="1:13" ht="13.5" customHeight="1" outlineLevel="1" x14ac:dyDescent="0.25">
      <c r="A80" s="184"/>
      <c r="B80" s="184"/>
      <c r="C80" s="184"/>
      <c r="D80" s="6">
        <v>2023</v>
      </c>
      <c r="E80" s="4">
        <f t="shared" si="5"/>
        <v>57948.035000000003</v>
      </c>
      <c r="F80" s="4">
        <f>56948.035+1000</f>
        <v>57948.035000000003</v>
      </c>
      <c r="G80" s="4">
        <v>0</v>
      </c>
      <c r="H80" s="4">
        <v>0</v>
      </c>
      <c r="I80" s="4">
        <v>0</v>
      </c>
      <c r="J80" s="184"/>
      <c r="K80" s="184"/>
    </row>
    <row r="81" spans="1:11" ht="13.5" customHeight="1" outlineLevel="1" x14ac:dyDescent="0.25">
      <c r="A81" s="184"/>
      <c r="B81" s="184"/>
      <c r="C81" s="184"/>
      <c r="D81" s="6">
        <v>2024</v>
      </c>
      <c r="E81" s="4">
        <f t="shared" si="5"/>
        <v>23837.236000000001</v>
      </c>
      <c r="F81" s="4">
        <v>23837.236000000001</v>
      </c>
      <c r="G81" s="4">
        <v>0</v>
      </c>
      <c r="H81" s="4">
        <v>0</v>
      </c>
      <c r="I81" s="4">
        <v>0</v>
      </c>
      <c r="J81" s="184"/>
      <c r="K81" s="184"/>
    </row>
    <row r="82" spans="1:11" ht="13.5" customHeight="1" outlineLevel="1" x14ac:dyDescent="0.25">
      <c r="A82" s="184"/>
      <c r="B82" s="184"/>
      <c r="C82" s="184"/>
      <c r="D82" s="6">
        <v>2025</v>
      </c>
      <c r="E82" s="4">
        <f t="shared" si="5"/>
        <v>23837.236000000001</v>
      </c>
      <c r="F82" s="4">
        <v>23837.236000000001</v>
      </c>
      <c r="G82" s="4">
        <v>0</v>
      </c>
      <c r="H82" s="4">
        <v>0</v>
      </c>
      <c r="I82" s="4">
        <v>0</v>
      </c>
      <c r="J82" s="184"/>
      <c r="K82" s="184"/>
    </row>
    <row r="83" spans="1:11" ht="13.5" customHeight="1" outlineLevel="1" x14ac:dyDescent="0.25">
      <c r="A83" s="184" t="s">
        <v>821</v>
      </c>
      <c r="B83" s="184" t="s">
        <v>822</v>
      </c>
      <c r="C83" s="184" t="s">
        <v>1113</v>
      </c>
      <c r="D83" s="6" t="s">
        <v>8</v>
      </c>
      <c r="E83" s="4">
        <f t="shared" si="5"/>
        <v>80000</v>
      </c>
      <c r="F83" s="4">
        <f>SUM(F84:F88)</f>
        <v>80000</v>
      </c>
      <c r="G83" s="4">
        <f>SUM(G84:G88)</f>
        <v>0</v>
      </c>
      <c r="H83" s="4">
        <f>SUM(H84:H88)</f>
        <v>0</v>
      </c>
      <c r="I83" s="4">
        <f>SUM(I84:I88)</f>
        <v>0</v>
      </c>
      <c r="J83" s="184" t="s">
        <v>823</v>
      </c>
      <c r="K83" s="184" t="s">
        <v>484</v>
      </c>
    </row>
    <row r="84" spans="1:11" ht="13.5" customHeight="1" outlineLevel="1" x14ac:dyDescent="0.25">
      <c r="A84" s="184"/>
      <c r="B84" s="184"/>
      <c r="C84" s="184"/>
      <c r="D84" s="6">
        <v>2021</v>
      </c>
      <c r="E84" s="4">
        <f t="shared" si="5"/>
        <v>0</v>
      </c>
      <c r="F84" s="4">
        <v>0</v>
      </c>
      <c r="G84" s="4">
        <v>0</v>
      </c>
      <c r="H84" s="4">
        <v>0</v>
      </c>
      <c r="I84" s="4">
        <v>0</v>
      </c>
      <c r="J84" s="184"/>
      <c r="K84" s="184"/>
    </row>
    <row r="85" spans="1:11" ht="13.5" customHeight="1" outlineLevel="1" x14ac:dyDescent="0.25">
      <c r="A85" s="184"/>
      <c r="B85" s="184"/>
      <c r="C85" s="184"/>
      <c r="D85" s="6">
        <v>2022</v>
      </c>
      <c r="E85" s="4">
        <f t="shared" si="5"/>
        <v>20000</v>
      </c>
      <c r="F85" s="4">
        <v>20000</v>
      </c>
      <c r="G85" s="4">
        <v>0</v>
      </c>
      <c r="H85" s="4">
        <v>0</v>
      </c>
      <c r="I85" s="4">
        <v>0</v>
      </c>
      <c r="J85" s="184"/>
      <c r="K85" s="184"/>
    </row>
    <row r="86" spans="1:11" ht="13.5" customHeight="1" outlineLevel="1" x14ac:dyDescent="0.25">
      <c r="A86" s="184"/>
      <c r="B86" s="184"/>
      <c r="C86" s="184"/>
      <c r="D86" s="6">
        <v>2023</v>
      </c>
      <c r="E86" s="4">
        <f t="shared" si="5"/>
        <v>20000</v>
      </c>
      <c r="F86" s="4">
        <v>20000</v>
      </c>
      <c r="G86" s="4">
        <v>0</v>
      </c>
      <c r="H86" s="4">
        <v>0</v>
      </c>
      <c r="I86" s="4">
        <v>0</v>
      </c>
      <c r="J86" s="184"/>
      <c r="K86" s="184"/>
    </row>
    <row r="87" spans="1:11" ht="13.5" customHeight="1" outlineLevel="1" x14ac:dyDescent="0.25">
      <c r="A87" s="184"/>
      <c r="B87" s="184"/>
      <c r="C87" s="184"/>
      <c r="D87" s="6">
        <v>2024</v>
      </c>
      <c r="E87" s="4">
        <f t="shared" si="5"/>
        <v>20000</v>
      </c>
      <c r="F87" s="4">
        <v>20000</v>
      </c>
      <c r="G87" s="4">
        <v>0</v>
      </c>
      <c r="H87" s="4">
        <v>0</v>
      </c>
      <c r="I87" s="4">
        <v>0</v>
      </c>
      <c r="J87" s="184"/>
      <c r="K87" s="184"/>
    </row>
    <row r="88" spans="1:11" ht="13.5" customHeight="1" outlineLevel="1" x14ac:dyDescent="0.25">
      <c r="A88" s="184"/>
      <c r="B88" s="184"/>
      <c r="C88" s="184"/>
      <c r="D88" s="6">
        <v>2025</v>
      </c>
      <c r="E88" s="4">
        <f t="shared" si="5"/>
        <v>20000</v>
      </c>
      <c r="F88" s="4">
        <v>20000</v>
      </c>
      <c r="G88" s="4">
        <v>0</v>
      </c>
      <c r="H88" s="4">
        <v>0</v>
      </c>
      <c r="I88" s="4">
        <v>0</v>
      </c>
      <c r="J88" s="184"/>
      <c r="K88" s="184"/>
    </row>
    <row r="89" spans="1:11" ht="13.5" customHeight="1" outlineLevel="1" x14ac:dyDescent="0.25">
      <c r="A89" s="184" t="s">
        <v>824</v>
      </c>
      <c r="B89" s="184" t="s">
        <v>1114</v>
      </c>
      <c r="C89" s="184" t="s">
        <v>14</v>
      </c>
      <c r="D89" s="6" t="s">
        <v>8</v>
      </c>
      <c r="E89" s="4">
        <f t="shared" si="5"/>
        <v>3220</v>
      </c>
      <c r="F89" s="4">
        <f>SUM(F90:F94)</f>
        <v>3220</v>
      </c>
      <c r="G89" s="4">
        <f>SUM(G90:G94)</f>
        <v>0</v>
      </c>
      <c r="H89" s="4">
        <f>SUM(H90:H94)</f>
        <v>0</v>
      </c>
      <c r="I89" s="4">
        <f>SUM(I90:I94)</f>
        <v>0</v>
      </c>
      <c r="J89" s="184" t="s">
        <v>1115</v>
      </c>
      <c r="K89" s="184" t="s">
        <v>484</v>
      </c>
    </row>
    <row r="90" spans="1:11" ht="13.5" customHeight="1" outlineLevel="1" x14ac:dyDescent="0.25">
      <c r="A90" s="184"/>
      <c r="B90" s="184"/>
      <c r="C90" s="184"/>
      <c r="D90" s="6">
        <v>2021</v>
      </c>
      <c r="E90" s="4">
        <f t="shared" si="5"/>
        <v>0</v>
      </c>
      <c r="F90" s="4">
        <v>0</v>
      </c>
      <c r="G90" s="4">
        <v>0</v>
      </c>
      <c r="H90" s="4">
        <v>0</v>
      </c>
      <c r="I90" s="4">
        <v>0</v>
      </c>
      <c r="J90" s="184"/>
      <c r="K90" s="184"/>
    </row>
    <row r="91" spans="1:11" ht="13.5" customHeight="1" outlineLevel="1" x14ac:dyDescent="0.25">
      <c r="A91" s="184"/>
      <c r="B91" s="184"/>
      <c r="C91" s="184"/>
      <c r="D91" s="6">
        <v>2022</v>
      </c>
      <c r="E91" s="4">
        <f t="shared" si="5"/>
        <v>3220</v>
      </c>
      <c r="F91" s="4">
        <f>3360-140</f>
        <v>3220</v>
      </c>
      <c r="G91" s="4">
        <v>0</v>
      </c>
      <c r="H91" s="4">
        <v>0</v>
      </c>
      <c r="I91" s="4">
        <v>0</v>
      </c>
      <c r="J91" s="184"/>
      <c r="K91" s="184"/>
    </row>
    <row r="92" spans="1:11" ht="13.5" customHeight="1" outlineLevel="1" x14ac:dyDescent="0.25">
      <c r="A92" s="184"/>
      <c r="B92" s="184"/>
      <c r="C92" s="184"/>
      <c r="D92" s="6">
        <v>2023</v>
      </c>
      <c r="E92" s="4">
        <f t="shared" si="5"/>
        <v>0</v>
      </c>
      <c r="F92" s="4">
        <v>0</v>
      </c>
      <c r="G92" s="4">
        <v>0</v>
      </c>
      <c r="H92" s="4">
        <v>0</v>
      </c>
      <c r="I92" s="4">
        <v>0</v>
      </c>
      <c r="J92" s="184"/>
      <c r="K92" s="184"/>
    </row>
    <row r="93" spans="1:11" ht="13.5" customHeight="1" outlineLevel="1" x14ac:dyDescent="0.25">
      <c r="A93" s="184"/>
      <c r="B93" s="184"/>
      <c r="C93" s="184"/>
      <c r="D93" s="6">
        <v>2024</v>
      </c>
      <c r="E93" s="4">
        <f t="shared" si="5"/>
        <v>0</v>
      </c>
      <c r="F93" s="4">
        <v>0</v>
      </c>
      <c r="G93" s="4">
        <v>0</v>
      </c>
      <c r="H93" s="4">
        <v>0</v>
      </c>
      <c r="I93" s="4">
        <v>0</v>
      </c>
      <c r="J93" s="184"/>
      <c r="K93" s="184"/>
    </row>
    <row r="94" spans="1:11" ht="13.5" customHeight="1" outlineLevel="1" x14ac:dyDescent="0.25">
      <c r="A94" s="184"/>
      <c r="B94" s="184"/>
      <c r="C94" s="184"/>
      <c r="D94" s="6">
        <v>2025</v>
      </c>
      <c r="E94" s="4">
        <f t="shared" si="5"/>
        <v>0</v>
      </c>
      <c r="F94" s="4">
        <v>0</v>
      </c>
      <c r="G94" s="4">
        <v>0</v>
      </c>
      <c r="H94" s="4">
        <v>0</v>
      </c>
      <c r="I94" s="4">
        <v>0</v>
      </c>
      <c r="J94" s="184"/>
      <c r="K94" s="184"/>
    </row>
    <row r="95" spans="1:11" ht="23.25" customHeight="1" outlineLevel="1" x14ac:dyDescent="0.25">
      <c r="A95" s="184" t="s">
        <v>826</v>
      </c>
      <c r="B95" s="184" t="s">
        <v>1116</v>
      </c>
      <c r="C95" s="184" t="s">
        <v>828</v>
      </c>
      <c r="D95" s="6" t="s">
        <v>8</v>
      </c>
      <c r="E95" s="4">
        <f t="shared" si="5"/>
        <v>0</v>
      </c>
      <c r="F95" s="4">
        <f>SUM(F96:F100)</f>
        <v>0</v>
      </c>
      <c r="G95" s="4">
        <f>SUM(G96:G100)</f>
        <v>0</v>
      </c>
      <c r="H95" s="4">
        <f>SUM(H96:H100)</f>
        <v>0</v>
      </c>
      <c r="I95" s="4">
        <f>SUM(I96:I100)</f>
        <v>0</v>
      </c>
      <c r="J95" s="184" t="s">
        <v>829</v>
      </c>
      <c r="K95" s="184" t="s">
        <v>484</v>
      </c>
    </row>
    <row r="96" spans="1:11" ht="13.5" customHeight="1" outlineLevel="1" x14ac:dyDescent="0.25">
      <c r="A96" s="184"/>
      <c r="B96" s="184"/>
      <c r="C96" s="184"/>
      <c r="D96" s="6">
        <v>2021</v>
      </c>
      <c r="E96" s="4">
        <f t="shared" si="5"/>
        <v>0</v>
      </c>
      <c r="F96" s="4">
        <v>0</v>
      </c>
      <c r="G96" s="4">
        <v>0</v>
      </c>
      <c r="H96" s="4">
        <v>0</v>
      </c>
      <c r="I96" s="4">
        <v>0</v>
      </c>
      <c r="J96" s="184"/>
      <c r="K96" s="184"/>
    </row>
    <row r="97" spans="1:11" ht="13.5" customHeight="1" outlineLevel="1" x14ac:dyDescent="0.25">
      <c r="A97" s="184"/>
      <c r="B97" s="184"/>
      <c r="C97" s="184"/>
      <c r="D97" s="6">
        <v>2022</v>
      </c>
      <c r="E97" s="4">
        <f t="shared" si="5"/>
        <v>0</v>
      </c>
      <c r="F97" s="4">
        <v>0</v>
      </c>
      <c r="G97" s="4">
        <v>0</v>
      </c>
      <c r="H97" s="4">
        <v>0</v>
      </c>
      <c r="I97" s="4">
        <v>0</v>
      </c>
      <c r="J97" s="184"/>
      <c r="K97" s="184"/>
    </row>
    <row r="98" spans="1:11" ht="13.5" customHeight="1" outlineLevel="1" x14ac:dyDescent="0.25">
      <c r="A98" s="184"/>
      <c r="B98" s="184"/>
      <c r="C98" s="184"/>
      <c r="D98" s="6">
        <v>2023</v>
      </c>
      <c r="E98" s="4">
        <f t="shared" si="5"/>
        <v>0</v>
      </c>
      <c r="F98" s="4">
        <v>0</v>
      </c>
      <c r="G98" s="4">
        <v>0</v>
      </c>
      <c r="H98" s="4">
        <v>0</v>
      </c>
      <c r="I98" s="4">
        <v>0</v>
      </c>
      <c r="J98" s="184"/>
      <c r="K98" s="184"/>
    </row>
    <row r="99" spans="1:11" ht="13.5" customHeight="1" outlineLevel="1" x14ac:dyDescent="0.25">
      <c r="A99" s="184"/>
      <c r="B99" s="184"/>
      <c r="C99" s="184"/>
      <c r="D99" s="6">
        <v>2024</v>
      </c>
      <c r="E99" s="4">
        <f t="shared" si="5"/>
        <v>0</v>
      </c>
      <c r="F99" s="4">
        <v>0</v>
      </c>
      <c r="G99" s="4">
        <v>0</v>
      </c>
      <c r="H99" s="4">
        <v>0</v>
      </c>
      <c r="I99" s="4">
        <v>0</v>
      </c>
      <c r="J99" s="184"/>
      <c r="K99" s="184"/>
    </row>
    <row r="100" spans="1:11" ht="13.5" customHeight="1" outlineLevel="1" x14ac:dyDescent="0.25">
      <c r="A100" s="184"/>
      <c r="B100" s="184"/>
      <c r="C100" s="184"/>
      <c r="D100" s="6">
        <v>2025</v>
      </c>
      <c r="E100" s="4">
        <v>0</v>
      </c>
      <c r="F100" s="4">
        <v>0</v>
      </c>
      <c r="G100" s="4">
        <v>0</v>
      </c>
      <c r="H100" s="4">
        <v>0</v>
      </c>
      <c r="I100" s="4">
        <v>0</v>
      </c>
      <c r="J100" s="184"/>
      <c r="K100" s="184"/>
    </row>
    <row r="101" spans="1:11" ht="13.5" customHeight="1" outlineLevel="1" x14ac:dyDescent="0.25">
      <c r="A101" s="184" t="s">
        <v>830</v>
      </c>
      <c r="B101" s="184" t="s">
        <v>1117</v>
      </c>
      <c r="C101" s="184" t="s">
        <v>14</v>
      </c>
      <c r="D101" s="6" t="s">
        <v>8</v>
      </c>
      <c r="E101" s="4">
        <f t="shared" si="5"/>
        <v>99000</v>
      </c>
      <c r="F101" s="4">
        <f>SUM(F102:F106)</f>
        <v>99000</v>
      </c>
      <c r="G101" s="4">
        <f>SUM(G102:G106)</f>
        <v>0</v>
      </c>
      <c r="H101" s="4">
        <f>SUM(H102:H106)</f>
        <v>0</v>
      </c>
      <c r="I101" s="4">
        <f>SUM(I102:I106)</f>
        <v>0</v>
      </c>
      <c r="J101" s="184" t="s">
        <v>1118</v>
      </c>
      <c r="K101" s="184" t="s">
        <v>515</v>
      </c>
    </row>
    <row r="102" spans="1:11" ht="13.5" customHeight="1" outlineLevel="1" x14ac:dyDescent="0.25">
      <c r="A102" s="184"/>
      <c r="B102" s="184"/>
      <c r="C102" s="184"/>
      <c r="D102" s="6">
        <v>2021</v>
      </c>
      <c r="E102" s="4">
        <f t="shared" si="5"/>
        <v>0</v>
      </c>
      <c r="F102" s="4">
        <v>0</v>
      </c>
      <c r="G102" s="4">
        <v>0</v>
      </c>
      <c r="H102" s="4">
        <v>0</v>
      </c>
      <c r="I102" s="4">
        <v>0</v>
      </c>
      <c r="J102" s="184"/>
      <c r="K102" s="184"/>
    </row>
    <row r="103" spans="1:11" ht="13.5" customHeight="1" outlineLevel="1" x14ac:dyDescent="0.25">
      <c r="A103" s="184"/>
      <c r="B103" s="184"/>
      <c r="C103" s="184"/>
      <c r="D103" s="6">
        <v>2022</v>
      </c>
      <c r="E103" s="4">
        <f t="shared" si="5"/>
        <v>21000</v>
      </c>
      <c r="F103" s="4">
        <v>21000</v>
      </c>
      <c r="G103" s="4">
        <v>0</v>
      </c>
      <c r="H103" s="4">
        <v>0</v>
      </c>
      <c r="I103" s="4">
        <v>0</v>
      </c>
      <c r="J103" s="184"/>
      <c r="K103" s="184"/>
    </row>
    <row r="104" spans="1:11" ht="13.5" customHeight="1" outlineLevel="1" x14ac:dyDescent="0.25">
      <c r="A104" s="184"/>
      <c r="B104" s="184"/>
      <c r="C104" s="184"/>
      <c r="D104" s="6">
        <v>2023</v>
      </c>
      <c r="E104" s="4">
        <f t="shared" si="5"/>
        <v>26000</v>
      </c>
      <c r="F104" s="4">
        <f>26000</f>
        <v>26000</v>
      </c>
      <c r="G104" s="4">
        <v>0</v>
      </c>
      <c r="H104" s="4">
        <v>0</v>
      </c>
      <c r="I104" s="4">
        <v>0</v>
      </c>
      <c r="J104" s="184"/>
      <c r="K104" s="184"/>
    </row>
    <row r="105" spans="1:11" ht="13.5" customHeight="1" outlineLevel="1" x14ac:dyDescent="0.25">
      <c r="A105" s="184"/>
      <c r="B105" s="184"/>
      <c r="C105" s="184"/>
      <c r="D105" s="6">
        <v>2024</v>
      </c>
      <c r="E105" s="4">
        <f t="shared" si="5"/>
        <v>26000</v>
      </c>
      <c r="F105" s="4">
        <v>26000</v>
      </c>
      <c r="G105" s="4">
        <v>0</v>
      </c>
      <c r="H105" s="4">
        <v>0</v>
      </c>
      <c r="I105" s="4">
        <v>0</v>
      </c>
      <c r="J105" s="184"/>
      <c r="K105" s="184"/>
    </row>
    <row r="106" spans="1:11" ht="13.5" customHeight="1" outlineLevel="1" x14ac:dyDescent="0.25">
      <c r="A106" s="184"/>
      <c r="B106" s="184"/>
      <c r="C106" s="184"/>
      <c r="D106" s="6">
        <v>2025</v>
      </c>
      <c r="E106" s="4">
        <f t="shared" ref="E106:H120" si="9">SUM(F106:I106)</f>
        <v>26000</v>
      </c>
      <c r="F106" s="4">
        <v>26000</v>
      </c>
      <c r="G106" s="4">
        <v>0</v>
      </c>
      <c r="H106" s="4">
        <v>0</v>
      </c>
      <c r="I106" s="4">
        <v>0</v>
      </c>
      <c r="J106" s="184"/>
      <c r="K106" s="184"/>
    </row>
    <row r="107" spans="1:11" ht="18" customHeight="1" outlineLevel="1" x14ac:dyDescent="0.25">
      <c r="A107" s="184" t="s">
        <v>832</v>
      </c>
      <c r="B107" s="184" t="s">
        <v>1119</v>
      </c>
      <c r="C107" s="184" t="s">
        <v>124</v>
      </c>
      <c r="D107" s="6" t="s">
        <v>8</v>
      </c>
      <c r="E107" s="4">
        <f t="shared" si="9"/>
        <v>9000</v>
      </c>
      <c r="F107" s="4">
        <f>SUM(F108:F112)</f>
        <v>9000</v>
      </c>
      <c r="G107" s="4">
        <f>SUM(G108:G112)</f>
        <v>0</v>
      </c>
      <c r="H107" s="4">
        <f>SUM(H108:H112)</f>
        <v>0</v>
      </c>
      <c r="I107" s="4">
        <f>SUM(I108:I112)</f>
        <v>0</v>
      </c>
      <c r="J107" s="184" t="s">
        <v>1120</v>
      </c>
      <c r="K107" s="184" t="s">
        <v>515</v>
      </c>
    </row>
    <row r="108" spans="1:11" ht="22.5" customHeight="1" outlineLevel="1" x14ac:dyDescent="0.25">
      <c r="A108" s="184"/>
      <c r="B108" s="184"/>
      <c r="C108" s="184"/>
      <c r="D108" s="6">
        <v>2021</v>
      </c>
      <c r="E108" s="4">
        <f t="shared" si="9"/>
        <v>0</v>
      </c>
      <c r="F108" s="4">
        <v>0</v>
      </c>
      <c r="G108" s="4">
        <v>0</v>
      </c>
      <c r="H108" s="4">
        <v>0</v>
      </c>
      <c r="I108" s="4">
        <v>0</v>
      </c>
      <c r="J108" s="184"/>
      <c r="K108" s="184"/>
    </row>
    <row r="109" spans="1:11" ht="26.25" customHeight="1" outlineLevel="1" x14ac:dyDescent="0.25">
      <c r="A109" s="184"/>
      <c r="B109" s="184"/>
      <c r="C109" s="184"/>
      <c r="D109" s="6">
        <v>2022</v>
      </c>
      <c r="E109" s="4">
        <f t="shared" si="9"/>
        <v>9000</v>
      </c>
      <c r="F109" s="4">
        <v>9000</v>
      </c>
      <c r="G109" s="4">
        <v>0</v>
      </c>
      <c r="H109" s="4">
        <v>0</v>
      </c>
      <c r="I109" s="4">
        <v>0</v>
      </c>
      <c r="J109" s="184"/>
      <c r="K109" s="184"/>
    </row>
    <row r="110" spans="1:11" ht="32.25" customHeight="1" outlineLevel="1" x14ac:dyDescent="0.25">
      <c r="A110" s="184"/>
      <c r="B110" s="184"/>
      <c r="C110" s="184"/>
      <c r="D110" s="6">
        <v>2023</v>
      </c>
      <c r="E110" s="4">
        <f t="shared" si="9"/>
        <v>0</v>
      </c>
      <c r="F110" s="4">
        <v>0</v>
      </c>
      <c r="G110" s="4">
        <v>0</v>
      </c>
      <c r="H110" s="4">
        <v>0</v>
      </c>
      <c r="I110" s="4">
        <v>0</v>
      </c>
      <c r="J110" s="184"/>
      <c r="K110" s="184"/>
    </row>
    <row r="111" spans="1:11" ht="22.5" customHeight="1" outlineLevel="1" x14ac:dyDescent="0.25">
      <c r="A111" s="184"/>
      <c r="B111" s="184"/>
      <c r="C111" s="184"/>
      <c r="D111" s="6">
        <v>2024</v>
      </c>
      <c r="E111" s="4">
        <f t="shared" si="9"/>
        <v>0</v>
      </c>
      <c r="F111" s="4">
        <v>0</v>
      </c>
      <c r="G111" s="4">
        <v>0</v>
      </c>
      <c r="H111" s="4">
        <v>0</v>
      </c>
      <c r="I111" s="4">
        <v>0</v>
      </c>
      <c r="J111" s="184"/>
      <c r="K111" s="184"/>
    </row>
    <row r="112" spans="1:11" ht="21" customHeight="1" outlineLevel="1" x14ac:dyDescent="0.25">
      <c r="A112" s="184"/>
      <c r="B112" s="184"/>
      <c r="C112" s="184"/>
      <c r="D112" s="6">
        <v>2025</v>
      </c>
      <c r="E112" s="4">
        <f t="shared" si="9"/>
        <v>0</v>
      </c>
      <c r="F112" s="4">
        <v>0</v>
      </c>
      <c r="G112" s="4">
        <v>0</v>
      </c>
      <c r="H112" s="4">
        <v>0</v>
      </c>
      <c r="I112" s="4">
        <v>0</v>
      </c>
      <c r="J112" s="184"/>
      <c r="K112" s="184"/>
    </row>
    <row r="113" spans="1:11" ht="15.75" customHeight="1" outlineLevel="1" x14ac:dyDescent="0.25">
      <c r="A113" s="184" t="s">
        <v>1121</v>
      </c>
      <c r="B113" s="184" t="s">
        <v>1122</v>
      </c>
      <c r="C113" s="184">
        <v>2022</v>
      </c>
      <c r="D113" s="6" t="s">
        <v>8</v>
      </c>
      <c r="E113" s="4">
        <f>SUM(F113:I113)</f>
        <v>33359.250659999998</v>
      </c>
      <c r="F113" s="4">
        <f>SUM(F114:F118)</f>
        <v>33359.250659999998</v>
      </c>
      <c r="G113" s="4">
        <f>SUM(G114:G118)</f>
        <v>0</v>
      </c>
      <c r="H113" s="4">
        <f>SUM(H114:H118)</f>
        <v>0</v>
      </c>
      <c r="I113" s="4">
        <f>SUM(I114:I118)</f>
        <v>0</v>
      </c>
      <c r="J113" s="184" t="s">
        <v>1120</v>
      </c>
      <c r="K113" s="184" t="s">
        <v>515</v>
      </c>
    </row>
    <row r="114" spans="1:11" ht="15.75" customHeight="1" outlineLevel="1" x14ac:dyDescent="0.25">
      <c r="A114" s="184"/>
      <c r="B114" s="184"/>
      <c r="C114" s="184"/>
      <c r="D114" s="6">
        <v>2021</v>
      </c>
      <c r="E114" s="4">
        <f t="shared" si="9"/>
        <v>0</v>
      </c>
      <c r="F114" s="4">
        <v>0</v>
      </c>
      <c r="G114" s="4">
        <v>0</v>
      </c>
      <c r="H114" s="4">
        <v>0</v>
      </c>
      <c r="I114" s="4">
        <v>0</v>
      </c>
      <c r="J114" s="184"/>
      <c r="K114" s="184"/>
    </row>
    <row r="115" spans="1:11" ht="15.75" customHeight="1" outlineLevel="1" x14ac:dyDescent="0.25">
      <c r="A115" s="184"/>
      <c r="B115" s="184"/>
      <c r="C115" s="184"/>
      <c r="D115" s="6">
        <v>2022</v>
      </c>
      <c r="E115" s="4">
        <f t="shared" si="9"/>
        <v>33359.250659999998</v>
      </c>
      <c r="F115" s="4">
        <f>33194.388+164.86266</f>
        <v>33359.250659999998</v>
      </c>
      <c r="G115" s="4">
        <v>0</v>
      </c>
      <c r="H115" s="4">
        <v>0</v>
      </c>
      <c r="I115" s="4">
        <v>0</v>
      </c>
      <c r="J115" s="184"/>
      <c r="K115" s="184"/>
    </row>
    <row r="116" spans="1:11" ht="15.75" customHeight="1" outlineLevel="1" x14ac:dyDescent="0.25">
      <c r="A116" s="184"/>
      <c r="B116" s="184"/>
      <c r="C116" s="184"/>
      <c r="D116" s="6">
        <v>2023</v>
      </c>
      <c r="E116" s="4">
        <f t="shared" si="9"/>
        <v>0</v>
      </c>
      <c r="F116" s="4">
        <f t="shared" si="9"/>
        <v>0</v>
      </c>
      <c r="G116" s="4">
        <f t="shared" si="9"/>
        <v>0</v>
      </c>
      <c r="H116" s="4">
        <f t="shared" si="9"/>
        <v>0</v>
      </c>
      <c r="I116" s="4">
        <v>0</v>
      </c>
      <c r="J116" s="184"/>
      <c r="K116" s="184"/>
    </row>
    <row r="117" spans="1:11" ht="15.75" customHeight="1" outlineLevel="1" x14ac:dyDescent="0.25">
      <c r="A117" s="184"/>
      <c r="B117" s="184"/>
      <c r="C117" s="184"/>
      <c r="D117" s="6">
        <v>2024</v>
      </c>
      <c r="E117" s="4">
        <f t="shared" si="9"/>
        <v>0</v>
      </c>
      <c r="F117" s="4">
        <f t="shared" si="9"/>
        <v>0</v>
      </c>
      <c r="G117" s="4">
        <f t="shared" si="9"/>
        <v>0</v>
      </c>
      <c r="H117" s="4">
        <f t="shared" si="9"/>
        <v>0</v>
      </c>
      <c r="I117" s="4">
        <v>0</v>
      </c>
      <c r="J117" s="184"/>
      <c r="K117" s="184"/>
    </row>
    <row r="118" spans="1:11" ht="15.75" customHeight="1" outlineLevel="1" x14ac:dyDescent="0.25">
      <c r="A118" s="184"/>
      <c r="B118" s="184"/>
      <c r="C118" s="184"/>
      <c r="D118" s="6">
        <v>2025</v>
      </c>
      <c r="E118" s="4">
        <f t="shared" si="9"/>
        <v>0</v>
      </c>
      <c r="F118" s="4">
        <f t="shared" si="9"/>
        <v>0</v>
      </c>
      <c r="G118" s="4">
        <f t="shared" si="9"/>
        <v>0</v>
      </c>
      <c r="H118" s="4">
        <f t="shared" si="9"/>
        <v>0</v>
      </c>
      <c r="I118" s="4">
        <v>0</v>
      </c>
      <c r="J118" s="184"/>
      <c r="K118" s="184"/>
    </row>
    <row r="119" spans="1:11" ht="15.75" customHeight="1" outlineLevel="1" x14ac:dyDescent="0.25">
      <c r="A119" s="184" t="s">
        <v>1123</v>
      </c>
      <c r="B119" s="184" t="s">
        <v>1124</v>
      </c>
      <c r="C119" s="184" t="s">
        <v>1125</v>
      </c>
      <c r="D119" s="6" t="s">
        <v>8</v>
      </c>
      <c r="E119" s="4">
        <f t="shared" si="9"/>
        <v>32210.526320000001</v>
      </c>
      <c r="F119" s="4">
        <f>SUM(F120:F124)</f>
        <v>27000</v>
      </c>
      <c r="G119" s="4">
        <f>SUM(G120:G124)</f>
        <v>0</v>
      </c>
      <c r="H119" s="4">
        <f>SUM(H120:H124)</f>
        <v>5210.5263199999999</v>
      </c>
      <c r="I119" s="4">
        <f>SUM(I120:I124)</f>
        <v>0</v>
      </c>
      <c r="J119" s="184" t="s">
        <v>1120</v>
      </c>
      <c r="K119" s="184" t="s">
        <v>515</v>
      </c>
    </row>
    <row r="120" spans="1:11" ht="15.75" customHeight="1" outlineLevel="1" x14ac:dyDescent="0.25">
      <c r="A120" s="184"/>
      <c r="B120" s="184"/>
      <c r="C120" s="184"/>
      <c r="D120" s="6">
        <v>2021</v>
      </c>
      <c r="E120" s="4">
        <f t="shared" si="9"/>
        <v>0</v>
      </c>
      <c r="F120" s="4">
        <v>0</v>
      </c>
      <c r="G120" s="4">
        <v>0</v>
      </c>
      <c r="H120" s="4">
        <v>0</v>
      </c>
      <c r="I120" s="4">
        <v>0</v>
      </c>
      <c r="J120" s="184"/>
      <c r="K120" s="184"/>
    </row>
    <row r="121" spans="1:11" ht="15.75" customHeight="1" outlineLevel="1" x14ac:dyDescent="0.25">
      <c r="A121" s="184"/>
      <c r="B121" s="184"/>
      <c r="C121" s="184"/>
      <c r="D121" s="6">
        <v>2022</v>
      </c>
      <c r="E121" s="4">
        <f t="shared" ref="E121:E190" si="10">SUM(F121:I121)</f>
        <v>0</v>
      </c>
      <c r="F121" s="4">
        <v>0</v>
      </c>
      <c r="G121" s="4">
        <v>0</v>
      </c>
      <c r="H121" s="4">
        <v>0</v>
      </c>
      <c r="I121" s="4">
        <v>0</v>
      </c>
      <c r="J121" s="184"/>
      <c r="K121" s="184"/>
    </row>
    <row r="122" spans="1:11" ht="15.75" customHeight="1" outlineLevel="1" x14ac:dyDescent="0.25">
      <c r="A122" s="184"/>
      <c r="B122" s="184"/>
      <c r="C122" s="184"/>
      <c r="D122" s="6">
        <v>2023</v>
      </c>
      <c r="E122" s="4">
        <f t="shared" si="10"/>
        <v>14210.526320000001</v>
      </c>
      <c r="F122" s="4">
        <v>9000</v>
      </c>
      <c r="G122" s="4">
        <v>0</v>
      </c>
      <c r="H122" s="4">
        <v>5210.5263199999999</v>
      </c>
      <c r="I122" s="4">
        <v>0</v>
      </c>
      <c r="J122" s="184"/>
      <c r="K122" s="184"/>
    </row>
    <row r="123" spans="1:11" ht="15.75" customHeight="1" outlineLevel="1" x14ac:dyDescent="0.25">
      <c r="A123" s="184"/>
      <c r="B123" s="184"/>
      <c r="C123" s="184"/>
      <c r="D123" s="6">
        <v>2024</v>
      </c>
      <c r="E123" s="4">
        <f t="shared" si="10"/>
        <v>9000</v>
      </c>
      <c r="F123" s="4">
        <v>9000</v>
      </c>
      <c r="G123" s="4">
        <v>0</v>
      </c>
      <c r="H123" s="4">
        <v>0</v>
      </c>
      <c r="I123" s="4">
        <v>0</v>
      </c>
      <c r="J123" s="184"/>
      <c r="K123" s="184"/>
    </row>
    <row r="124" spans="1:11" ht="15.75" customHeight="1" outlineLevel="1" x14ac:dyDescent="0.25">
      <c r="A124" s="184"/>
      <c r="B124" s="184"/>
      <c r="C124" s="184"/>
      <c r="D124" s="6">
        <v>2025</v>
      </c>
      <c r="E124" s="4">
        <f t="shared" si="10"/>
        <v>9000</v>
      </c>
      <c r="F124" s="4">
        <v>9000</v>
      </c>
      <c r="G124" s="4">
        <v>0</v>
      </c>
      <c r="H124" s="4">
        <v>0</v>
      </c>
      <c r="I124" s="4">
        <v>0</v>
      </c>
      <c r="J124" s="184"/>
      <c r="K124" s="184"/>
    </row>
    <row r="125" spans="1:11" ht="15.75" customHeight="1" outlineLevel="1" x14ac:dyDescent="0.25">
      <c r="A125" s="184" t="s">
        <v>1126</v>
      </c>
      <c r="B125" s="184" t="s">
        <v>1127</v>
      </c>
      <c r="C125" s="184" t="s">
        <v>1125</v>
      </c>
      <c r="D125" s="6" t="s">
        <v>8</v>
      </c>
      <c r="E125" s="4">
        <f t="shared" si="10"/>
        <v>112275.26502000001</v>
      </c>
      <c r="F125" s="4">
        <f>SUM(F126:F130)</f>
        <v>105000</v>
      </c>
      <c r="G125" s="4">
        <f>SUM(G126:G130)</f>
        <v>0</v>
      </c>
      <c r="H125" s="4">
        <f>SUM(H126:H130)</f>
        <v>7275.2650199999998</v>
      </c>
      <c r="I125" s="4">
        <f>SUM(I126:I130)</f>
        <v>0</v>
      </c>
      <c r="J125" s="184" t="s">
        <v>1120</v>
      </c>
      <c r="K125" s="184" t="s">
        <v>515</v>
      </c>
    </row>
    <row r="126" spans="1:11" ht="15.75" customHeight="1" outlineLevel="1" x14ac:dyDescent="0.25">
      <c r="A126" s="184"/>
      <c r="B126" s="184"/>
      <c r="C126" s="184"/>
      <c r="D126" s="6">
        <v>2021</v>
      </c>
      <c r="E126" s="4">
        <f t="shared" si="10"/>
        <v>0</v>
      </c>
      <c r="F126" s="4">
        <v>0</v>
      </c>
      <c r="G126" s="4">
        <f t="shared" ref="G126:H130" si="11">SUM(H126:K126)</f>
        <v>0</v>
      </c>
      <c r="H126" s="4">
        <f t="shared" si="11"/>
        <v>0</v>
      </c>
      <c r="I126" s="4">
        <v>0</v>
      </c>
      <c r="J126" s="184"/>
      <c r="K126" s="184"/>
    </row>
    <row r="127" spans="1:11" ht="15.75" customHeight="1" outlineLevel="1" x14ac:dyDescent="0.25">
      <c r="A127" s="184"/>
      <c r="B127" s="184"/>
      <c r="C127" s="184"/>
      <c r="D127" s="6">
        <v>2022</v>
      </c>
      <c r="E127" s="4">
        <f t="shared" si="10"/>
        <v>0</v>
      </c>
      <c r="F127" s="4">
        <v>0</v>
      </c>
      <c r="G127" s="4">
        <f t="shared" si="11"/>
        <v>0</v>
      </c>
      <c r="H127" s="4">
        <f t="shared" si="11"/>
        <v>0</v>
      </c>
      <c r="I127" s="4">
        <v>0</v>
      </c>
      <c r="J127" s="184"/>
      <c r="K127" s="184"/>
    </row>
    <row r="128" spans="1:11" ht="15.75" customHeight="1" outlineLevel="1" x14ac:dyDescent="0.25">
      <c r="A128" s="184"/>
      <c r="B128" s="184"/>
      <c r="C128" s="184"/>
      <c r="D128" s="6">
        <v>2023</v>
      </c>
      <c r="E128" s="4">
        <f t="shared" si="10"/>
        <v>42275.265019999999</v>
      </c>
      <c r="F128" s="4">
        <v>35000</v>
      </c>
      <c r="G128" s="4"/>
      <c r="H128" s="4">
        <v>7275.2650199999998</v>
      </c>
      <c r="I128" s="4">
        <v>0</v>
      </c>
      <c r="J128" s="184"/>
      <c r="K128" s="184"/>
    </row>
    <row r="129" spans="1:11" ht="15.75" customHeight="1" outlineLevel="1" x14ac:dyDescent="0.25">
      <c r="A129" s="184"/>
      <c r="B129" s="184"/>
      <c r="C129" s="184"/>
      <c r="D129" s="6">
        <v>2024</v>
      </c>
      <c r="E129" s="4">
        <f t="shared" si="10"/>
        <v>35000</v>
      </c>
      <c r="F129" s="4">
        <v>35000</v>
      </c>
      <c r="G129" s="4">
        <f t="shared" si="11"/>
        <v>0</v>
      </c>
      <c r="H129" s="4">
        <f t="shared" si="11"/>
        <v>0</v>
      </c>
      <c r="I129" s="4">
        <v>0</v>
      </c>
      <c r="J129" s="184"/>
      <c r="K129" s="184"/>
    </row>
    <row r="130" spans="1:11" ht="15.75" customHeight="1" outlineLevel="1" x14ac:dyDescent="0.25">
      <c r="A130" s="184"/>
      <c r="B130" s="184"/>
      <c r="C130" s="184"/>
      <c r="D130" s="6">
        <v>2025</v>
      </c>
      <c r="E130" s="4">
        <f t="shared" si="10"/>
        <v>35000</v>
      </c>
      <c r="F130" s="4">
        <v>35000</v>
      </c>
      <c r="G130" s="4">
        <f t="shared" si="11"/>
        <v>0</v>
      </c>
      <c r="H130" s="4">
        <f t="shared" si="11"/>
        <v>0</v>
      </c>
      <c r="I130" s="4">
        <v>0</v>
      </c>
      <c r="J130" s="184"/>
      <c r="K130" s="184"/>
    </row>
    <row r="131" spans="1:11" ht="15.75" customHeight="1" outlineLevel="1" x14ac:dyDescent="0.25">
      <c r="A131" s="184" t="s">
        <v>1128</v>
      </c>
      <c r="B131" s="184" t="s">
        <v>1129</v>
      </c>
      <c r="C131" s="184" t="s">
        <v>1125</v>
      </c>
      <c r="D131" s="6" t="s">
        <v>8</v>
      </c>
      <c r="E131" s="4">
        <f t="shared" si="10"/>
        <v>28894.679</v>
      </c>
      <c r="F131" s="4">
        <f>SUM(F132:F136)</f>
        <v>28894.679</v>
      </c>
      <c r="G131" s="4">
        <f t="shared" ref="G131:H143" si="12">SUM(G132:G136)</f>
        <v>0</v>
      </c>
      <c r="H131" s="4">
        <f t="shared" si="12"/>
        <v>0</v>
      </c>
      <c r="I131" s="4">
        <f>SUM(I132:I136)</f>
        <v>0</v>
      </c>
      <c r="J131" s="184" t="s">
        <v>1130</v>
      </c>
      <c r="K131" s="184" t="s">
        <v>484</v>
      </c>
    </row>
    <row r="132" spans="1:11" ht="15.75" customHeight="1" outlineLevel="1" x14ac:dyDescent="0.25">
      <c r="A132" s="184"/>
      <c r="B132" s="184"/>
      <c r="C132" s="184"/>
      <c r="D132" s="6">
        <v>2021</v>
      </c>
      <c r="E132" s="4">
        <f t="shared" si="10"/>
        <v>0</v>
      </c>
      <c r="F132" s="4">
        <v>0</v>
      </c>
      <c r="G132" s="4">
        <v>0</v>
      </c>
      <c r="H132" s="4">
        <v>0</v>
      </c>
      <c r="I132" s="4">
        <v>0</v>
      </c>
      <c r="J132" s="184"/>
      <c r="K132" s="184"/>
    </row>
    <row r="133" spans="1:11" ht="15.75" customHeight="1" outlineLevel="1" x14ac:dyDescent="0.25">
      <c r="A133" s="184"/>
      <c r="B133" s="184"/>
      <c r="C133" s="184"/>
      <c r="D133" s="6">
        <v>2022</v>
      </c>
      <c r="E133" s="4">
        <f t="shared" si="10"/>
        <v>0</v>
      </c>
      <c r="F133" s="4">
        <v>0</v>
      </c>
      <c r="G133" s="4">
        <v>0</v>
      </c>
      <c r="H133" s="4">
        <v>0</v>
      </c>
      <c r="I133" s="4">
        <v>0</v>
      </c>
      <c r="J133" s="184"/>
      <c r="K133" s="184"/>
    </row>
    <row r="134" spans="1:11" ht="15.75" customHeight="1" outlineLevel="1" x14ac:dyDescent="0.25">
      <c r="A134" s="184"/>
      <c r="B134" s="184"/>
      <c r="C134" s="184"/>
      <c r="D134" s="6">
        <v>2023</v>
      </c>
      <c r="E134" s="4">
        <f t="shared" si="10"/>
        <v>894.67900000000009</v>
      </c>
      <c r="F134" s="4">
        <f>14000-5000-8105.321</f>
        <v>894.67900000000009</v>
      </c>
      <c r="G134" s="4">
        <v>0</v>
      </c>
      <c r="H134" s="4">
        <v>0</v>
      </c>
      <c r="I134" s="4">
        <v>0</v>
      </c>
      <c r="J134" s="184"/>
      <c r="K134" s="184"/>
    </row>
    <row r="135" spans="1:11" ht="15.75" customHeight="1" outlineLevel="1" x14ac:dyDescent="0.25">
      <c r="A135" s="184"/>
      <c r="B135" s="184"/>
      <c r="C135" s="184"/>
      <c r="D135" s="6">
        <v>2024</v>
      </c>
      <c r="E135" s="4">
        <f t="shared" si="10"/>
        <v>14000</v>
      </c>
      <c r="F135" s="4">
        <v>14000</v>
      </c>
      <c r="G135" s="4">
        <v>0</v>
      </c>
      <c r="H135" s="4">
        <v>0</v>
      </c>
      <c r="I135" s="4">
        <v>0</v>
      </c>
      <c r="J135" s="184"/>
      <c r="K135" s="184"/>
    </row>
    <row r="136" spans="1:11" ht="15.75" customHeight="1" outlineLevel="1" x14ac:dyDescent="0.25">
      <c r="A136" s="184"/>
      <c r="B136" s="184"/>
      <c r="C136" s="184"/>
      <c r="D136" s="6">
        <v>2025</v>
      </c>
      <c r="E136" s="4">
        <f t="shared" si="10"/>
        <v>14000</v>
      </c>
      <c r="F136" s="4">
        <v>14000</v>
      </c>
      <c r="G136" s="4">
        <v>0</v>
      </c>
      <c r="H136" s="4">
        <v>0</v>
      </c>
      <c r="I136" s="4">
        <v>0</v>
      </c>
      <c r="J136" s="184"/>
      <c r="K136" s="184"/>
    </row>
    <row r="137" spans="1:11" ht="15.75" customHeight="1" outlineLevel="1" x14ac:dyDescent="0.25">
      <c r="A137" s="184" t="s">
        <v>1738</v>
      </c>
      <c r="B137" s="184" t="s">
        <v>1744</v>
      </c>
      <c r="C137" s="184" t="s">
        <v>1125</v>
      </c>
      <c r="D137" s="6" t="s">
        <v>8</v>
      </c>
      <c r="E137" s="4">
        <f>SUM(E138:E142)</f>
        <v>5000</v>
      </c>
      <c r="F137" s="4">
        <v>0</v>
      </c>
      <c r="G137" s="4">
        <v>0</v>
      </c>
      <c r="H137" s="4">
        <v>0</v>
      </c>
      <c r="I137" s="4">
        <v>0</v>
      </c>
      <c r="J137" s="184" t="s">
        <v>1739</v>
      </c>
      <c r="K137" s="184" t="s">
        <v>484</v>
      </c>
    </row>
    <row r="138" spans="1:11" ht="15.75" customHeight="1" outlineLevel="1" x14ac:dyDescent="0.25">
      <c r="A138" s="184"/>
      <c r="B138" s="184"/>
      <c r="C138" s="184"/>
      <c r="D138" s="6">
        <v>2021</v>
      </c>
      <c r="E138" s="4">
        <f>SUM(F138:I138)</f>
        <v>0</v>
      </c>
      <c r="F138" s="4">
        <v>0</v>
      </c>
      <c r="G138" s="4">
        <v>0</v>
      </c>
      <c r="H138" s="4">
        <v>0</v>
      </c>
      <c r="I138" s="4">
        <v>0</v>
      </c>
      <c r="J138" s="184"/>
      <c r="K138" s="184"/>
    </row>
    <row r="139" spans="1:11" ht="15.75" customHeight="1" outlineLevel="1" x14ac:dyDescent="0.25">
      <c r="A139" s="184"/>
      <c r="B139" s="184"/>
      <c r="C139" s="184"/>
      <c r="D139" s="6">
        <v>2022</v>
      </c>
      <c r="E139" s="4">
        <f>SUM(F139:I139)</f>
        <v>0</v>
      </c>
      <c r="F139" s="4">
        <v>0</v>
      </c>
      <c r="G139" s="4">
        <v>0</v>
      </c>
      <c r="H139" s="4">
        <v>0</v>
      </c>
      <c r="I139" s="4">
        <v>0</v>
      </c>
      <c r="J139" s="184"/>
      <c r="K139" s="184"/>
    </row>
    <row r="140" spans="1:11" ht="15.75" customHeight="1" outlineLevel="1" x14ac:dyDescent="0.25">
      <c r="A140" s="184"/>
      <c r="B140" s="184"/>
      <c r="C140" s="184"/>
      <c r="D140" s="6">
        <v>2023</v>
      </c>
      <c r="E140" s="4">
        <f>SUM(F140:I140)</f>
        <v>5000</v>
      </c>
      <c r="F140" s="4">
        <v>5000</v>
      </c>
      <c r="G140" s="4">
        <v>0</v>
      </c>
      <c r="H140" s="4"/>
      <c r="I140" s="4">
        <v>0</v>
      </c>
      <c r="J140" s="184"/>
      <c r="K140" s="184"/>
    </row>
    <row r="141" spans="1:11" ht="15.75" customHeight="1" outlineLevel="1" x14ac:dyDescent="0.25">
      <c r="A141" s="184"/>
      <c r="B141" s="184"/>
      <c r="C141" s="184"/>
      <c r="D141" s="6">
        <v>2024</v>
      </c>
      <c r="E141" s="4">
        <f>SUM(F141:I141)</f>
        <v>0</v>
      </c>
      <c r="F141" s="4">
        <v>0</v>
      </c>
      <c r="G141" s="4">
        <v>0</v>
      </c>
      <c r="H141" s="4">
        <v>0</v>
      </c>
      <c r="I141" s="4">
        <v>0</v>
      </c>
      <c r="J141" s="184"/>
      <c r="K141" s="184"/>
    </row>
    <row r="142" spans="1:11" ht="15.75" customHeight="1" outlineLevel="1" x14ac:dyDescent="0.25">
      <c r="A142" s="184"/>
      <c r="B142" s="184"/>
      <c r="C142" s="184"/>
      <c r="D142" s="6">
        <v>2025</v>
      </c>
      <c r="E142" s="4">
        <f>SUM(F142:I142)</f>
        <v>0</v>
      </c>
      <c r="F142" s="4">
        <v>0</v>
      </c>
      <c r="G142" s="4">
        <v>0</v>
      </c>
      <c r="H142" s="4">
        <v>0</v>
      </c>
      <c r="I142" s="4">
        <v>0</v>
      </c>
      <c r="J142" s="184"/>
      <c r="K142" s="184"/>
    </row>
    <row r="143" spans="1:11" ht="15" customHeight="1" outlineLevel="1" x14ac:dyDescent="0.25">
      <c r="A143" s="184" t="s">
        <v>39</v>
      </c>
      <c r="B143" s="184" t="s">
        <v>40</v>
      </c>
      <c r="C143" s="184" t="s">
        <v>14</v>
      </c>
      <c r="D143" s="6" t="s">
        <v>8</v>
      </c>
      <c r="E143" s="4">
        <f t="shared" si="10"/>
        <v>59758.426749999991</v>
      </c>
      <c r="F143" s="4">
        <f>SUM(F144:F148)</f>
        <v>36075.119269999996</v>
      </c>
      <c r="G143" s="4">
        <f t="shared" si="12"/>
        <v>23683.307479999996</v>
      </c>
      <c r="H143" s="4">
        <f>SUM(H144:H148)</f>
        <v>0</v>
      </c>
      <c r="I143" s="4">
        <f>SUM(I144:I148)</f>
        <v>0</v>
      </c>
      <c r="J143" s="184" t="s">
        <v>509</v>
      </c>
      <c r="K143" s="184" t="s">
        <v>510</v>
      </c>
    </row>
    <row r="144" spans="1:11" outlineLevel="1" x14ac:dyDescent="0.25">
      <c r="A144" s="184"/>
      <c r="B144" s="184"/>
      <c r="C144" s="184"/>
      <c r="D144" s="6">
        <v>2021</v>
      </c>
      <c r="E144" s="4">
        <f t="shared" si="10"/>
        <v>27116.562749999997</v>
      </c>
      <c r="F144" s="4">
        <f t="shared" ref="F144:I148" si="13">F156+F168+F150+F162</f>
        <v>6916.3637500000004</v>
      </c>
      <c r="G144" s="4">
        <f t="shared" si="13"/>
        <v>20200.198999999997</v>
      </c>
      <c r="H144" s="4">
        <f t="shared" si="13"/>
        <v>0</v>
      </c>
      <c r="I144" s="4">
        <f t="shared" si="13"/>
        <v>0</v>
      </c>
      <c r="J144" s="184"/>
      <c r="K144" s="184"/>
    </row>
    <row r="145" spans="1:12" outlineLevel="1" x14ac:dyDescent="0.25">
      <c r="A145" s="184"/>
      <c r="B145" s="184"/>
      <c r="C145" s="184"/>
      <c r="D145" s="6">
        <v>2022</v>
      </c>
      <c r="E145" s="4">
        <f t="shared" si="10"/>
        <v>9977.7219999999998</v>
      </c>
      <c r="F145" s="4">
        <f t="shared" si="13"/>
        <v>7610.2449999999999</v>
      </c>
      <c r="G145" s="4">
        <f t="shared" si="13"/>
        <v>2367.4769999999999</v>
      </c>
      <c r="H145" s="4">
        <f t="shared" si="13"/>
        <v>0</v>
      </c>
      <c r="I145" s="4">
        <f t="shared" si="13"/>
        <v>0</v>
      </c>
      <c r="J145" s="184"/>
      <c r="K145" s="184"/>
    </row>
    <row r="146" spans="1:12" outlineLevel="1" x14ac:dyDescent="0.25">
      <c r="A146" s="184"/>
      <c r="B146" s="184"/>
      <c r="C146" s="184"/>
      <c r="D146" s="6">
        <v>2023</v>
      </c>
      <c r="E146" s="4">
        <f t="shared" si="10"/>
        <v>8345.9419999999991</v>
      </c>
      <c r="F146" s="4">
        <f t="shared" si="13"/>
        <v>7230.31052</v>
      </c>
      <c r="G146" s="4">
        <f t="shared" si="13"/>
        <v>1115.63148</v>
      </c>
      <c r="H146" s="4">
        <f t="shared" si="13"/>
        <v>0</v>
      </c>
      <c r="I146" s="4">
        <f t="shared" si="13"/>
        <v>0</v>
      </c>
      <c r="J146" s="184"/>
      <c r="K146" s="184"/>
    </row>
    <row r="147" spans="1:12" outlineLevel="1" x14ac:dyDescent="0.25">
      <c r="A147" s="184"/>
      <c r="B147" s="184"/>
      <c r="C147" s="184"/>
      <c r="D147" s="6">
        <v>2024</v>
      </c>
      <c r="E147" s="4">
        <f t="shared" si="10"/>
        <v>7159.1</v>
      </c>
      <c r="F147" s="4">
        <f t="shared" si="13"/>
        <v>7159.1</v>
      </c>
      <c r="G147" s="4">
        <f t="shared" si="13"/>
        <v>0</v>
      </c>
      <c r="H147" s="4">
        <f t="shared" si="13"/>
        <v>0</v>
      </c>
      <c r="I147" s="4">
        <f t="shared" si="13"/>
        <v>0</v>
      </c>
      <c r="J147" s="184"/>
      <c r="K147" s="184"/>
    </row>
    <row r="148" spans="1:12" outlineLevel="1" x14ac:dyDescent="0.25">
      <c r="A148" s="184"/>
      <c r="B148" s="184"/>
      <c r="C148" s="184"/>
      <c r="D148" s="6">
        <v>2025</v>
      </c>
      <c r="E148" s="4">
        <f t="shared" si="10"/>
        <v>7159.1</v>
      </c>
      <c r="F148" s="4">
        <f t="shared" si="13"/>
        <v>7159.1</v>
      </c>
      <c r="G148" s="4">
        <f t="shared" si="13"/>
        <v>0</v>
      </c>
      <c r="H148" s="4">
        <f t="shared" si="13"/>
        <v>0</v>
      </c>
      <c r="I148" s="4">
        <f t="shared" si="13"/>
        <v>0</v>
      </c>
      <c r="J148" s="184"/>
      <c r="K148" s="184"/>
    </row>
    <row r="149" spans="1:12" outlineLevel="1" x14ac:dyDescent="0.25">
      <c r="A149" s="184" t="s">
        <v>44</v>
      </c>
      <c r="B149" s="184" t="s">
        <v>45</v>
      </c>
      <c r="C149" s="184" t="s">
        <v>41</v>
      </c>
      <c r="D149" s="6" t="s">
        <v>8</v>
      </c>
      <c r="E149" s="4">
        <f t="shared" si="10"/>
        <v>5045.5297499999997</v>
      </c>
      <c r="F149" s="4">
        <f>SUM(F150:F154)</f>
        <v>302.73126999999999</v>
      </c>
      <c r="G149" s="4">
        <f>SUM(G150:G154)</f>
        <v>4742.7984799999995</v>
      </c>
      <c r="H149" s="4">
        <f>SUM(H150:H154)</f>
        <v>0</v>
      </c>
      <c r="I149" s="4">
        <f>SUM(I150:I154)</f>
        <v>0</v>
      </c>
      <c r="J149" s="184" t="s">
        <v>1740</v>
      </c>
      <c r="K149" s="184" t="s">
        <v>512</v>
      </c>
    </row>
    <row r="150" spans="1:12" outlineLevel="1" x14ac:dyDescent="0.25">
      <c r="A150" s="184"/>
      <c r="B150" s="184"/>
      <c r="C150" s="184"/>
      <c r="D150" s="6">
        <v>2021</v>
      </c>
      <c r="E150" s="4">
        <f t="shared" si="10"/>
        <v>1340.09575</v>
      </c>
      <c r="F150" s="4">
        <v>80.405749999999998</v>
      </c>
      <c r="G150" s="4">
        <v>1259.69</v>
      </c>
      <c r="H150" s="4">
        <v>0</v>
      </c>
      <c r="I150" s="4">
        <v>0</v>
      </c>
      <c r="J150" s="184"/>
      <c r="K150" s="184"/>
    </row>
    <row r="151" spans="1:12" outlineLevel="1" x14ac:dyDescent="0.25">
      <c r="A151" s="184"/>
      <c r="B151" s="184"/>
      <c r="C151" s="184"/>
      <c r="D151" s="6">
        <v>2022</v>
      </c>
      <c r="E151" s="4">
        <f t="shared" si="10"/>
        <v>2518.5919999999996</v>
      </c>
      <c r="F151" s="4">
        <v>151.11500000000001</v>
      </c>
      <c r="G151" s="4">
        <v>2367.4769999999999</v>
      </c>
      <c r="H151" s="4">
        <v>0</v>
      </c>
      <c r="I151" s="4">
        <v>0</v>
      </c>
      <c r="J151" s="184"/>
      <c r="K151" s="184"/>
    </row>
    <row r="152" spans="1:12" outlineLevel="1" x14ac:dyDescent="0.25">
      <c r="A152" s="184"/>
      <c r="B152" s="184"/>
      <c r="C152" s="184"/>
      <c r="D152" s="6">
        <v>2023</v>
      </c>
      <c r="E152" s="4">
        <f t="shared" si="10"/>
        <v>1186.8420000000001</v>
      </c>
      <c r="F152" s="4">
        <v>71.210520000000002</v>
      </c>
      <c r="G152" s="4">
        <v>1115.63148</v>
      </c>
      <c r="H152" s="4">
        <v>0</v>
      </c>
      <c r="I152" s="4">
        <v>0</v>
      </c>
      <c r="J152" s="184"/>
      <c r="K152" s="184"/>
    </row>
    <row r="153" spans="1:12" outlineLevel="1" x14ac:dyDescent="0.25">
      <c r="A153" s="184"/>
      <c r="B153" s="184"/>
      <c r="C153" s="184"/>
      <c r="D153" s="6">
        <v>2024</v>
      </c>
      <c r="E153" s="4">
        <f t="shared" si="10"/>
        <v>0</v>
      </c>
      <c r="F153" s="4">
        <v>0</v>
      </c>
      <c r="G153" s="4">
        <v>0</v>
      </c>
      <c r="H153" s="4">
        <v>0</v>
      </c>
      <c r="I153" s="4">
        <v>0</v>
      </c>
      <c r="J153" s="184"/>
      <c r="K153" s="184"/>
    </row>
    <row r="154" spans="1:12" outlineLevel="1" x14ac:dyDescent="0.25">
      <c r="A154" s="184"/>
      <c r="B154" s="184"/>
      <c r="C154" s="184"/>
      <c r="D154" s="6">
        <v>2025</v>
      </c>
      <c r="E154" s="4">
        <f t="shared" si="10"/>
        <v>0</v>
      </c>
      <c r="F154" s="4">
        <v>0</v>
      </c>
      <c r="G154" s="4">
        <v>0</v>
      </c>
      <c r="H154" s="4">
        <v>0</v>
      </c>
      <c r="I154" s="4">
        <v>0</v>
      </c>
      <c r="J154" s="184"/>
      <c r="K154" s="184"/>
    </row>
    <row r="155" spans="1:12" ht="15" customHeight="1" outlineLevel="1" x14ac:dyDescent="0.25">
      <c r="A155" s="184" t="s">
        <v>48</v>
      </c>
      <c r="B155" s="184" t="s">
        <v>1131</v>
      </c>
      <c r="C155" s="184" t="s">
        <v>14</v>
      </c>
      <c r="D155" s="6" t="s">
        <v>8</v>
      </c>
      <c r="E155" s="4">
        <f t="shared" si="10"/>
        <v>14567.95</v>
      </c>
      <c r="F155" s="4">
        <f>SUM(F156:F160)</f>
        <v>14567.95</v>
      </c>
      <c r="G155" s="4">
        <f>SUM(G156:G160)</f>
        <v>0</v>
      </c>
      <c r="H155" s="4">
        <f>SUM(H156:H160)</f>
        <v>0</v>
      </c>
      <c r="I155" s="4">
        <f>SUM(I156:I160)</f>
        <v>0</v>
      </c>
      <c r="J155" s="184" t="s">
        <v>50</v>
      </c>
      <c r="K155" s="184" t="s">
        <v>484</v>
      </c>
      <c r="L155" s="124"/>
    </row>
    <row r="156" spans="1:12" outlineLevel="1" x14ac:dyDescent="0.25">
      <c r="A156" s="184"/>
      <c r="B156" s="184"/>
      <c r="C156" s="184"/>
      <c r="D156" s="6">
        <v>2021</v>
      </c>
      <c r="E156" s="4">
        <f t="shared" si="10"/>
        <v>1631.52</v>
      </c>
      <c r="F156" s="4">
        <v>1631.52</v>
      </c>
      <c r="G156" s="4">
        <v>0</v>
      </c>
      <c r="H156" s="4">
        <v>0</v>
      </c>
      <c r="I156" s="4">
        <v>0</v>
      </c>
      <c r="J156" s="184"/>
      <c r="K156" s="184"/>
      <c r="L156" s="124"/>
    </row>
    <row r="157" spans="1:12" outlineLevel="1" x14ac:dyDescent="0.25">
      <c r="A157" s="184"/>
      <c r="B157" s="184"/>
      <c r="C157" s="184"/>
      <c r="D157" s="6">
        <v>2022</v>
      </c>
      <c r="E157" s="4">
        <f t="shared" si="10"/>
        <v>3459.13</v>
      </c>
      <c r="F157" s="4">
        <v>3459.13</v>
      </c>
      <c r="G157" s="4">
        <v>0</v>
      </c>
      <c r="H157" s="4">
        <v>0</v>
      </c>
      <c r="I157" s="4">
        <v>0</v>
      </c>
      <c r="J157" s="184"/>
      <c r="K157" s="184"/>
      <c r="L157" s="124"/>
    </row>
    <row r="158" spans="1:12" outlineLevel="1" x14ac:dyDescent="0.25">
      <c r="A158" s="184"/>
      <c r="B158" s="184"/>
      <c r="C158" s="184"/>
      <c r="D158" s="6">
        <v>2023</v>
      </c>
      <c r="E158" s="4">
        <f t="shared" si="10"/>
        <v>3159.1</v>
      </c>
      <c r="F158" s="4">
        <v>3159.1</v>
      </c>
      <c r="G158" s="4">
        <v>0</v>
      </c>
      <c r="H158" s="4">
        <v>0</v>
      </c>
      <c r="I158" s="4">
        <v>0</v>
      </c>
      <c r="J158" s="184"/>
      <c r="K158" s="184"/>
      <c r="L158" s="124"/>
    </row>
    <row r="159" spans="1:12" outlineLevel="1" x14ac:dyDescent="0.25">
      <c r="A159" s="184"/>
      <c r="B159" s="184"/>
      <c r="C159" s="184"/>
      <c r="D159" s="6">
        <v>2024</v>
      </c>
      <c r="E159" s="4">
        <f t="shared" si="10"/>
        <v>3159.1</v>
      </c>
      <c r="F159" s="4">
        <v>3159.1</v>
      </c>
      <c r="G159" s="4">
        <v>0</v>
      </c>
      <c r="H159" s="4">
        <v>0</v>
      </c>
      <c r="I159" s="4">
        <v>0</v>
      </c>
      <c r="J159" s="184"/>
      <c r="K159" s="184"/>
      <c r="L159" s="124"/>
    </row>
    <row r="160" spans="1:12" outlineLevel="1" x14ac:dyDescent="0.25">
      <c r="A160" s="184"/>
      <c r="B160" s="184"/>
      <c r="C160" s="184"/>
      <c r="D160" s="6">
        <v>2025</v>
      </c>
      <c r="E160" s="4">
        <f t="shared" si="10"/>
        <v>3159.1</v>
      </c>
      <c r="F160" s="4">
        <v>3159.1</v>
      </c>
      <c r="G160" s="4">
        <v>0</v>
      </c>
      <c r="H160" s="4">
        <v>0</v>
      </c>
      <c r="I160" s="4">
        <v>0</v>
      </c>
      <c r="J160" s="184"/>
      <c r="K160" s="184"/>
      <c r="L160" s="124"/>
    </row>
    <row r="161" spans="1:12" ht="18" customHeight="1" outlineLevel="1" x14ac:dyDescent="0.25">
      <c r="A161" s="184" t="s">
        <v>51</v>
      </c>
      <c r="B161" s="184" t="s">
        <v>52</v>
      </c>
      <c r="C161" s="184" t="s">
        <v>14</v>
      </c>
      <c r="D161" s="6" t="s">
        <v>8</v>
      </c>
      <c r="E161" s="4">
        <f t="shared" si="10"/>
        <v>19995.47</v>
      </c>
      <c r="F161" s="4">
        <f>SUM(F162:F166)</f>
        <v>19995.47</v>
      </c>
      <c r="G161" s="4">
        <f>SUM(G162:G166)</f>
        <v>0</v>
      </c>
      <c r="H161" s="4">
        <f>SUM(H162:H166)</f>
        <v>0</v>
      </c>
      <c r="I161" s="4">
        <f>SUM(I162:I166)</f>
        <v>0</v>
      </c>
      <c r="J161" s="184" t="s">
        <v>514</v>
      </c>
      <c r="K161" s="184" t="s">
        <v>515</v>
      </c>
    </row>
    <row r="162" spans="1:12" ht="18" customHeight="1" outlineLevel="1" x14ac:dyDescent="0.25">
      <c r="A162" s="184"/>
      <c r="B162" s="184"/>
      <c r="C162" s="184"/>
      <c r="D162" s="6">
        <v>2021</v>
      </c>
      <c r="E162" s="4">
        <f t="shared" si="10"/>
        <v>3995.47</v>
      </c>
      <c r="F162" s="4">
        <v>3995.47</v>
      </c>
      <c r="G162" s="4">
        <v>0</v>
      </c>
      <c r="H162" s="4">
        <v>0</v>
      </c>
      <c r="I162" s="4">
        <v>0</v>
      </c>
      <c r="J162" s="184"/>
      <c r="K162" s="184"/>
    </row>
    <row r="163" spans="1:12" ht="18" customHeight="1" outlineLevel="1" x14ac:dyDescent="0.25">
      <c r="A163" s="184"/>
      <c r="B163" s="184"/>
      <c r="C163" s="184"/>
      <c r="D163" s="6">
        <v>2022</v>
      </c>
      <c r="E163" s="4">
        <f t="shared" si="10"/>
        <v>4000</v>
      </c>
      <c r="F163" s="4">
        <v>4000</v>
      </c>
      <c r="G163" s="4">
        <v>0</v>
      </c>
      <c r="H163" s="4">
        <v>0</v>
      </c>
      <c r="I163" s="4">
        <v>0</v>
      </c>
      <c r="J163" s="184"/>
      <c r="K163" s="184"/>
    </row>
    <row r="164" spans="1:12" ht="18" customHeight="1" outlineLevel="1" x14ac:dyDescent="0.25">
      <c r="A164" s="184"/>
      <c r="B164" s="184"/>
      <c r="C164" s="184"/>
      <c r="D164" s="6">
        <v>2023</v>
      </c>
      <c r="E164" s="4">
        <f t="shared" si="10"/>
        <v>4000</v>
      </c>
      <c r="F164" s="4">
        <v>4000</v>
      </c>
      <c r="G164" s="4">
        <v>0</v>
      </c>
      <c r="H164" s="4">
        <v>0</v>
      </c>
      <c r="I164" s="4">
        <v>0</v>
      </c>
      <c r="J164" s="184"/>
      <c r="K164" s="184"/>
    </row>
    <row r="165" spans="1:12" ht="18" customHeight="1" outlineLevel="1" x14ac:dyDescent="0.25">
      <c r="A165" s="184"/>
      <c r="B165" s="184"/>
      <c r="C165" s="184"/>
      <c r="D165" s="6">
        <v>2024</v>
      </c>
      <c r="E165" s="4">
        <f t="shared" si="10"/>
        <v>4000</v>
      </c>
      <c r="F165" s="4">
        <v>4000</v>
      </c>
      <c r="G165" s="4">
        <v>0</v>
      </c>
      <c r="H165" s="4">
        <v>0</v>
      </c>
      <c r="I165" s="4">
        <v>0</v>
      </c>
      <c r="J165" s="184"/>
      <c r="K165" s="184"/>
    </row>
    <row r="166" spans="1:12" ht="18" customHeight="1" outlineLevel="1" x14ac:dyDescent="0.25">
      <c r="A166" s="184"/>
      <c r="B166" s="184"/>
      <c r="C166" s="184"/>
      <c r="D166" s="6">
        <v>2025</v>
      </c>
      <c r="E166" s="4">
        <f t="shared" si="10"/>
        <v>4000</v>
      </c>
      <c r="F166" s="4">
        <v>4000</v>
      </c>
      <c r="G166" s="4">
        <v>0</v>
      </c>
      <c r="H166" s="4">
        <v>0</v>
      </c>
      <c r="I166" s="4">
        <v>0</v>
      </c>
      <c r="J166" s="184"/>
      <c r="K166" s="184"/>
    </row>
    <row r="167" spans="1:12" ht="13.5" customHeight="1" outlineLevel="1" x14ac:dyDescent="0.25">
      <c r="A167" s="184" t="s">
        <v>516</v>
      </c>
      <c r="B167" s="184" t="s">
        <v>45</v>
      </c>
      <c r="C167" s="184" t="s">
        <v>41</v>
      </c>
      <c r="D167" s="6" t="s">
        <v>8</v>
      </c>
      <c r="E167" s="4">
        <f t="shared" si="10"/>
        <v>20149.476999999999</v>
      </c>
      <c r="F167" s="4">
        <f>SUM(F168:F172)</f>
        <v>1208.9680000000001</v>
      </c>
      <c r="G167" s="4">
        <f>SUM(G168:G172)</f>
        <v>18940.508999999998</v>
      </c>
      <c r="H167" s="4">
        <f>SUM(H168:H172)</f>
        <v>0</v>
      </c>
      <c r="I167" s="4">
        <f>SUM(I168:I172)</f>
        <v>0</v>
      </c>
      <c r="J167" s="184" t="s">
        <v>517</v>
      </c>
      <c r="K167" s="184" t="s">
        <v>515</v>
      </c>
    </row>
    <row r="168" spans="1:12" ht="13.5" customHeight="1" outlineLevel="1" x14ac:dyDescent="0.25">
      <c r="A168" s="184"/>
      <c r="B168" s="184"/>
      <c r="C168" s="184"/>
      <c r="D168" s="6">
        <v>2021</v>
      </c>
      <c r="E168" s="4">
        <f t="shared" si="10"/>
        <v>20149.476999999999</v>
      </c>
      <c r="F168" s="4">
        <v>1208.9680000000001</v>
      </c>
      <c r="G168" s="4">
        <v>18940.508999999998</v>
      </c>
      <c r="H168" s="4">
        <v>0</v>
      </c>
      <c r="I168" s="4">
        <v>0</v>
      </c>
      <c r="J168" s="184"/>
      <c r="K168" s="184"/>
    </row>
    <row r="169" spans="1:12" ht="13.5" customHeight="1" outlineLevel="1" x14ac:dyDescent="0.25">
      <c r="A169" s="184"/>
      <c r="B169" s="184"/>
      <c r="C169" s="184"/>
      <c r="D169" s="6">
        <v>2022</v>
      </c>
      <c r="E169" s="4">
        <f t="shared" si="10"/>
        <v>0</v>
      </c>
      <c r="F169" s="4">
        <v>0</v>
      </c>
      <c r="G169" s="4">
        <v>0</v>
      </c>
      <c r="H169" s="4">
        <v>0</v>
      </c>
      <c r="I169" s="4">
        <v>0</v>
      </c>
      <c r="J169" s="184"/>
      <c r="K169" s="184"/>
    </row>
    <row r="170" spans="1:12" ht="13.5" customHeight="1" outlineLevel="1" x14ac:dyDescent="0.25">
      <c r="A170" s="184"/>
      <c r="B170" s="184"/>
      <c r="C170" s="184"/>
      <c r="D170" s="6">
        <v>2023</v>
      </c>
      <c r="E170" s="4">
        <f t="shared" si="10"/>
        <v>0</v>
      </c>
      <c r="F170" s="4">
        <v>0</v>
      </c>
      <c r="G170" s="4">
        <v>0</v>
      </c>
      <c r="H170" s="4">
        <v>0</v>
      </c>
      <c r="I170" s="4">
        <v>0</v>
      </c>
      <c r="J170" s="184"/>
      <c r="K170" s="184"/>
    </row>
    <row r="171" spans="1:12" ht="13.5" customHeight="1" outlineLevel="1" x14ac:dyDescent="0.25">
      <c r="A171" s="184"/>
      <c r="B171" s="184"/>
      <c r="C171" s="184"/>
      <c r="D171" s="6">
        <v>2024</v>
      </c>
      <c r="E171" s="4">
        <f t="shared" si="10"/>
        <v>0</v>
      </c>
      <c r="F171" s="4">
        <v>0</v>
      </c>
      <c r="G171" s="4">
        <v>0</v>
      </c>
      <c r="H171" s="4">
        <v>0</v>
      </c>
      <c r="I171" s="4">
        <v>0</v>
      </c>
      <c r="J171" s="184"/>
      <c r="K171" s="184"/>
    </row>
    <row r="172" spans="1:12" ht="13.5" customHeight="1" outlineLevel="1" x14ac:dyDescent="0.25">
      <c r="A172" s="184"/>
      <c r="B172" s="184"/>
      <c r="C172" s="184"/>
      <c r="D172" s="6">
        <v>2025</v>
      </c>
      <c r="E172" s="4">
        <f t="shared" si="10"/>
        <v>0</v>
      </c>
      <c r="F172" s="4">
        <v>0</v>
      </c>
      <c r="G172" s="4">
        <v>0</v>
      </c>
      <c r="H172" s="4">
        <v>0</v>
      </c>
      <c r="I172" s="4">
        <v>0</v>
      </c>
      <c r="J172" s="184"/>
      <c r="K172" s="184"/>
    </row>
    <row r="173" spans="1:12" ht="15" customHeight="1" x14ac:dyDescent="0.25">
      <c r="A173" s="184" t="s">
        <v>54</v>
      </c>
      <c r="B173" s="184" t="s">
        <v>55</v>
      </c>
      <c r="C173" s="184" t="s">
        <v>14</v>
      </c>
      <c r="D173" s="6" t="s">
        <v>8</v>
      </c>
      <c r="E173" s="4">
        <f t="shared" si="10"/>
        <v>5232993.7397800004</v>
      </c>
      <c r="F173" s="4">
        <f>SUM(F174:F178)</f>
        <v>5076046.7862</v>
      </c>
      <c r="G173" s="4">
        <f>SUM(G174:G178)</f>
        <v>71412.78336999999</v>
      </c>
      <c r="H173" s="4">
        <f>SUM(H174:H178)</f>
        <v>85534.170209999997</v>
      </c>
      <c r="I173" s="4">
        <f>SUM(I174:I178)</f>
        <v>0</v>
      </c>
      <c r="J173" s="184"/>
      <c r="K173" s="184" t="s">
        <v>510</v>
      </c>
      <c r="L173" s="5" t="s">
        <v>1132</v>
      </c>
    </row>
    <row r="174" spans="1:12" x14ac:dyDescent="0.25">
      <c r="A174" s="184"/>
      <c r="B174" s="184"/>
      <c r="C174" s="184"/>
      <c r="D174" s="6">
        <v>2021</v>
      </c>
      <c r="E174" s="4">
        <f t="shared" si="10"/>
        <v>891879.98959000001</v>
      </c>
      <c r="F174" s="4">
        <f t="shared" ref="F174:I178" si="14">F180+F312+F330</f>
        <v>854371.18938</v>
      </c>
      <c r="G174" s="4">
        <f t="shared" si="14"/>
        <v>24191.1</v>
      </c>
      <c r="H174" s="4">
        <f t="shared" si="14"/>
        <v>13317.700210000001</v>
      </c>
      <c r="I174" s="4">
        <f t="shared" si="14"/>
        <v>0</v>
      </c>
      <c r="J174" s="184"/>
      <c r="K174" s="184"/>
    </row>
    <row r="175" spans="1:12" x14ac:dyDescent="0.25">
      <c r="A175" s="184"/>
      <c r="B175" s="184"/>
      <c r="C175" s="184"/>
      <c r="D175" s="6">
        <v>2022</v>
      </c>
      <c r="E175" s="4">
        <f t="shared" si="10"/>
        <v>1227311.4540000001</v>
      </c>
      <c r="F175" s="4">
        <f t="shared" si="14"/>
        <v>1191344.9740000002</v>
      </c>
      <c r="G175" s="4">
        <f t="shared" si="14"/>
        <v>16189.3</v>
      </c>
      <c r="H175" s="4">
        <f t="shared" si="14"/>
        <v>19777.18</v>
      </c>
      <c r="I175" s="4">
        <f t="shared" si="14"/>
        <v>0</v>
      </c>
      <c r="J175" s="184"/>
      <c r="K175" s="184"/>
    </row>
    <row r="176" spans="1:12" x14ac:dyDescent="0.25">
      <c r="A176" s="184"/>
      <c r="B176" s="184"/>
      <c r="C176" s="184"/>
      <c r="D176" s="6">
        <v>2023</v>
      </c>
      <c r="E176" s="4">
        <f t="shared" si="10"/>
        <v>1098272.7311899997</v>
      </c>
      <c r="F176" s="4">
        <f t="shared" si="14"/>
        <v>1067400.9178199999</v>
      </c>
      <c r="G176" s="4">
        <f t="shared" si="14"/>
        <v>11094.58337</v>
      </c>
      <c r="H176" s="4">
        <f t="shared" si="14"/>
        <v>19777.23</v>
      </c>
      <c r="I176" s="4">
        <f t="shared" si="14"/>
        <v>0</v>
      </c>
      <c r="J176" s="184"/>
      <c r="K176" s="184"/>
    </row>
    <row r="177" spans="1:13" x14ac:dyDescent="0.25">
      <c r="A177" s="184"/>
      <c r="B177" s="184"/>
      <c r="C177" s="184"/>
      <c r="D177" s="6">
        <v>2024</v>
      </c>
      <c r="E177" s="4">
        <f t="shared" si="10"/>
        <v>1018527.559</v>
      </c>
      <c r="F177" s="4">
        <f t="shared" si="14"/>
        <v>982258.72899999993</v>
      </c>
      <c r="G177" s="4">
        <f t="shared" si="14"/>
        <v>19937.8</v>
      </c>
      <c r="H177" s="4">
        <f t="shared" si="14"/>
        <v>16331.03</v>
      </c>
      <c r="I177" s="4">
        <f t="shared" si="14"/>
        <v>0</v>
      </c>
      <c r="J177" s="184"/>
      <c r="K177" s="184"/>
    </row>
    <row r="178" spans="1:13" x14ac:dyDescent="0.25">
      <c r="A178" s="184"/>
      <c r="B178" s="184"/>
      <c r="C178" s="184"/>
      <c r="D178" s="6">
        <v>2025</v>
      </c>
      <c r="E178" s="4">
        <f t="shared" si="10"/>
        <v>997002.00600000005</v>
      </c>
      <c r="F178" s="4">
        <f t="shared" si="14"/>
        <v>980670.97600000002</v>
      </c>
      <c r="G178" s="4">
        <f t="shared" si="14"/>
        <v>0</v>
      </c>
      <c r="H178" s="4">
        <f t="shared" si="14"/>
        <v>16331.03</v>
      </c>
      <c r="I178" s="4">
        <f t="shared" si="14"/>
        <v>0</v>
      </c>
      <c r="J178" s="184"/>
      <c r="K178" s="184"/>
    </row>
    <row r="179" spans="1:13" ht="13.5" customHeight="1" outlineLevel="1" x14ac:dyDescent="0.25">
      <c r="A179" s="184" t="s">
        <v>56</v>
      </c>
      <c r="B179" s="184" t="s">
        <v>518</v>
      </c>
      <c r="C179" s="184" t="s">
        <v>14</v>
      </c>
      <c r="D179" s="6" t="s">
        <v>8</v>
      </c>
      <c r="E179" s="4">
        <f t="shared" si="10"/>
        <v>4846849.8176299995</v>
      </c>
      <c r="F179" s="4">
        <f>SUM(F180:F184)</f>
        <v>4846849.8176299995</v>
      </c>
      <c r="G179" s="4">
        <f>SUM(G180:G184)</f>
        <v>0</v>
      </c>
      <c r="H179" s="4">
        <f>SUM(H180:H184)</f>
        <v>0</v>
      </c>
      <c r="I179" s="4">
        <f>SUM(I180:I184)</f>
        <v>0</v>
      </c>
      <c r="J179" s="184" t="s">
        <v>519</v>
      </c>
      <c r="K179" s="184" t="s">
        <v>486</v>
      </c>
      <c r="L179" s="124"/>
    </row>
    <row r="180" spans="1:13" ht="13.5" customHeight="1" outlineLevel="1" x14ac:dyDescent="0.25">
      <c r="A180" s="184"/>
      <c r="B180" s="184"/>
      <c r="C180" s="184"/>
      <c r="D180" s="6">
        <v>2021</v>
      </c>
      <c r="E180" s="4">
        <f t="shared" si="10"/>
        <v>809865.57669999998</v>
      </c>
      <c r="F180" s="4">
        <f>F186+F192+F198+F204+F210+F216++F222+F228+F234+F240+F246+F252+F258+F264+F270+F276+F282+F288+F300+F294</f>
        <v>809865.57669999998</v>
      </c>
      <c r="G180" s="4">
        <f t="shared" ref="G180:I184" si="15">G186+G192+G198+G204+G210+G216++G222+G228+G234+G240+G246+G252+G258+G264+G270+G276+G282+G288+G300</f>
        <v>0</v>
      </c>
      <c r="H180" s="4">
        <f t="shared" si="15"/>
        <v>0</v>
      </c>
      <c r="I180" s="4">
        <f t="shared" si="15"/>
        <v>0</v>
      </c>
      <c r="J180" s="184"/>
      <c r="K180" s="184"/>
      <c r="L180" s="124"/>
    </row>
    <row r="181" spans="1:13" ht="13.5" customHeight="1" outlineLevel="1" x14ac:dyDescent="0.25">
      <c r="A181" s="184"/>
      <c r="B181" s="184"/>
      <c r="C181" s="184"/>
      <c r="D181" s="6">
        <v>2022</v>
      </c>
      <c r="E181" s="4">
        <f t="shared" si="10"/>
        <v>1140833.8970000001</v>
      </c>
      <c r="F181" s="4">
        <f>F187+F193+F199+F205+F211+F217++F223+F229+F235+F241+F247+F253+F259+F265+F271+F277+F283+F289+F301</f>
        <v>1140833.8970000001</v>
      </c>
      <c r="G181" s="4">
        <f t="shared" si="15"/>
        <v>0</v>
      </c>
      <c r="H181" s="4">
        <f t="shared" si="15"/>
        <v>0</v>
      </c>
      <c r="I181" s="4">
        <f t="shared" si="15"/>
        <v>0</v>
      </c>
      <c r="J181" s="184"/>
      <c r="K181" s="184"/>
      <c r="L181" s="124"/>
    </row>
    <row r="182" spans="1:13" ht="13.5" customHeight="1" outlineLevel="1" x14ac:dyDescent="0.25">
      <c r="A182" s="184"/>
      <c r="B182" s="184"/>
      <c r="C182" s="184"/>
      <c r="D182" s="6">
        <v>2023</v>
      </c>
      <c r="E182" s="4">
        <f t="shared" si="10"/>
        <v>1018892.7529300001</v>
      </c>
      <c r="F182" s="4">
        <f>F188+F194+F200+F206+F212+F218++F224+F230+F236+F242+F248+F254+F260+F266+F272+F278+F284+F290+F302+F308</f>
        <v>1018892.7529300001</v>
      </c>
      <c r="G182" s="4">
        <f t="shared" si="15"/>
        <v>0</v>
      </c>
      <c r="H182" s="4">
        <f t="shared" si="15"/>
        <v>0</v>
      </c>
      <c r="I182" s="4">
        <f t="shared" si="15"/>
        <v>0</v>
      </c>
      <c r="J182" s="184"/>
      <c r="K182" s="184"/>
      <c r="L182" s="124"/>
    </row>
    <row r="183" spans="1:13" ht="13.5" customHeight="1" outlineLevel="1" x14ac:dyDescent="0.25">
      <c r="A183" s="184"/>
      <c r="B183" s="184"/>
      <c r="C183" s="184"/>
      <c r="D183" s="6">
        <v>2024</v>
      </c>
      <c r="E183" s="4">
        <f t="shared" si="10"/>
        <v>937986.61499999999</v>
      </c>
      <c r="F183" s="4">
        <f t="shared" ref="F183:F184" si="16">F189+F195+F201+F207+F213+F219++F225+F231+F237+F243+F249+F255+F261+F267+F273+F279+F285+F291+F303</f>
        <v>937986.61499999999</v>
      </c>
      <c r="G183" s="4">
        <f t="shared" si="15"/>
        <v>0</v>
      </c>
      <c r="H183" s="4">
        <f t="shared" si="15"/>
        <v>0</v>
      </c>
      <c r="I183" s="4">
        <f t="shared" si="15"/>
        <v>0</v>
      </c>
      <c r="J183" s="184"/>
      <c r="K183" s="184"/>
      <c r="L183" s="124"/>
    </row>
    <row r="184" spans="1:13" ht="13.5" customHeight="1" outlineLevel="1" x14ac:dyDescent="0.25">
      <c r="A184" s="184"/>
      <c r="B184" s="184"/>
      <c r="C184" s="184"/>
      <c r="D184" s="6">
        <v>2025</v>
      </c>
      <c r="E184" s="4">
        <f t="shared" si="10"/>
        <v>939270.97600000002</v>
      </c>
      <c r="F184" s="4">
        <f t="shared" si="16"/>
        <v>939270.97600000002</v>
      </c>
      <c r="G184" s="4">
        <f t="shared" si="15"/>
        <v>0</v>
      </c>
      <c r="H184" s="4">
        <f t="shared" si="15"/>
        <v>0</v>
      </c>
      <c r="I184" s="4">
        <f t="shared" si="15"/>
        <v>0</v>
      </c>
      <c r="J184" s="184"/>
      <c r="K184" s="184"/>
      <c r="L184" s="124"/>
    </row>
    <row r="185" spans="1:13" ht="13.5" customHeight="1" outlineLevel="1" x14ac:dyDescent="0.25">
      <c r="A185" s="184" t="s">
        <v>60</v>
      </c>
      <c r="B185" s="184" t="s">
        <v>835</v>
      </c>
      <c r="C185" s="184" t="s">
        <v>14</v>
      </c>
      <c r="D185" s="6" t="s">
        <v>8</v>
      </c>
      <c r="E185" s="4">
        <f t="shared" si="10"/>
        <v>13800.54667</v>
      </c>
      <c r="F185" s="4">
        <f>SUM(F186:F190)</f>
        <v>13800.54667</v>
      </c>
      <c r="G185" s="4">
        <f>SUM(G186:G190)</f>
        <v>0</v>
      </c>
      <c r="H185" s="4">
        <f>SUM(H186:H190)</f>
        <v>0</v>
      </c>
      <c r="I185" s="4">
        <f>SUM(I186:I190)</f>
        <v>0</v>
      </c>
      <c r="J185" s="184" t="s">
        <v>62</v>
      </c>
      <c r="K185" s="184" t="s">
        <v>484</v>
      </c>
      <c r="L185" s="124"/>
    </row>
    <row r="186" spans="1:13" ht="13.5" customHeight="1" outlineLevel="1" x14ac:dyDescent="0.25">
      <c r="A186" s="184"/>
      <c r="B186" s="184"/>
      <c r="C186" s="184"/>
      <c r="D186" s="6">
        <v>2021</v>
      </c>
      <c r="E186" s="4">
        <f t="shared" si="10"/>
        <v>2106.6577000000002</v>
      </c>
      <c r="F186" s="4">
        <f>2106.6577</f>
        <v>2106.6577000000002</v>
      </c>
      <c r="G186" s="4">
        <v>0</v>
      </c>
      <c r="H186" s="4">
        <v>0</v>
      </c>
      <c r="I186" s="4">
        <v>0</v>
      </c>
      <c r="J186" s="184"/>
      <c r="K186" s="184"/>
      <c r="L186" s="124"/>
    </row>
    <row r="187" spans="1:13" ht="13.5" customHeight="1" outlineLevel="1" x14ac:dyDescent="0.25">
      <c r="A187" s="184"/>
      <c r="B187" s="184"/>
      <c r="C187" s="184"/>
      <c r="D187" s="6">
        <v>2022</v>
      </c>
      <c r="E187" s="4">
        <f t="shared" si="10"/>
        <v>5343.0770000000002</v>
      </c>
      <c r="F187" s="4">
        <f>5912.957-569.88</f>
        <v>5343.0770000000002</v>
      </c>
      <c r="G187" s="4">
        <v>0</v>
      </c>
      <c r="H187" s="4">
        <v>0</v>
      </c>
      <c r="I187" s="4">
        <v>0</v>
      </c>
      <c r="J187" s="184"/>
      <c r="K187" s="184"/>
      <c r="L187" s="124"/>
    </row>
    <row r="188" spans="1:13" ht="13.5" customHeight="1" outlineLevel="1" x14ac:dyDescent="0.25">
      <c r="A188" s="184"/>
      <c r="B188" s="184"/>
      <c r="C188" s="184"/>
      <c r="D188" s="6">
        <v>2023</v>
      </c>
      <c r="E188" s="4">
        <f t="shared" si="10"/>
        <v>2137.58797</v>
      </c>
      <c r="F188" s="4">
        <f>2106.657+(30930.97/1000)</f>
        <v>2137.58797</v>
      </c>
      <c r="G188" s="4">
        <v>0</v>
      </c>
      <c r="H188" s="4">
        <v>0</v>
      </c>
      <c r="I188" s="4">
        <v>0</v>
      </c>
      <c r="J188" s="184"/>
      <c r="K188" s="184"/>
      <c r="L188" s="124"/>
      <c r="M188" s="5" t="s">
        <v>1741</v>
      </c>
    </row>
    <row r="189" spans="1:13" ht="13.5" customHeight="1" outlineLevel="1" x14ac:dyDescent="0.25">
      <c r="A189" s="184"/>
      <c r="B189" s="184"/>
      <c r="C189" s="184"/>
      <c r="D189" s="6">
        <v>2024</v>
      </c>
      <c r="E189" s="4">
        <f t="shared" si="10"/>
        <v>2106.6570000000002</v>
      </c>
      <c r="F189" s="4">
        <v>2106.6570000000002</v>
      </c>
      <c r="G189" s="4">
        <v>0</v>
      </c>
      <c r="H189" s="4">
        <v>0</v>
      </c>
      <c r="I189" s="4">
        <v>0</v>
      </c>
      <c r="J189" s="184"/>
      <c r="K189" s="184"/>
      <c r="L189" s="124"/>
    </row>
    <row r="190" spans="1:13" ht="13.5" customHeight="1" outlineLevel="1" x14ac:dyDescent="0.25">
      <c r="A190" s="184"/>
      <c r="B190" s="184"/>
      <c r="C190" s="184"/>
      <c r="D190" s="6">
        <v>2025</v>
      </c>
      <c r="E190" s="4">
        <f t="shared" si="10"/>
        <v>2106.567</v>
      </c>
      <c r="F190" s="4">
        <v>2106.567</v>
      </c>
      <c r="G190" s="4">
        <f>+G196+G202+G208+G232</f>
        <v>0</v>
      </c>
      <c r="H190" s="4">
        <v>0</v>
      </c>
      <c r="I190" s="4">
        <v>0</v>
      </c>
      <c r="J190" s="184"/>
      <c r="K190" s="184"/>
      <c r="L190" s="124"/>
    </row>
    <row r="191" spans="1:13" ht="26.25" customHeight="1" outlineLevel="1" x14ac:dyDescent="0.25">
      <c r="A191" s="184" t="s">
        <v>63</v>
      </c>
      <c r="B191" s="184" t="s">
        <v>1133</v>
      </c>
      <c r="C191" s="184" t="s">
        <v>14</v>
      </c>
      <c r="D191" s="6" t="s">
        <v>8</v>
      </c>
      <c r="E191" s="4">
        <f t="shared" ref="E191:E254" si="17">SUM(F191:I191)</f>
        <v>224763.99966</v>
      </c>
      <c r="F191" s="4">
        <f>SUM(F192:F196)</f>
        <v>224763.99966</v>
      </c>
      <c r="G191" s="4">
        <f>SUM(G192:G196)</f>
        <v>0</v>
      </c>
      <c r="H191" s="4">
        <f>SUM(H192:H196)</f>
        <v>0</v>
      </c>
      <c r="I191" s="4">
        <f>SUM(I192:I196)</f>
        <v>0</v>
      </c>
      <c r="J191" s="184" t="s">
        <v>521</v>
      </c>
      <c r="K191" s="184" t="s">
        <v>484</v>
      </c>
    </row>
    <row r="192" spans="1:13" ht="22.5" customHeight="1" outlineLevel="1" x14ac:dyDescent="0.25">
      <c r="A192" s="184"/>
      <c r="B192" s="184"/>
      <c r="C192" s="184"/>
      <c r="D192" s="6">
        <v>2021</v>
      </c>
      <c r="E192" s="4">
        <f t="shared" si="17"/>
        <v>456</v>
      </c>
      <c r="F192" s="4">
        <v>456</v>
      </c>
      <c r="G192" s="4">
        <v>0</v>
      </c>
      <c r="H192" s="4">
        <v>0</v>
      </c>
      <c r="I192" s="4">
        <v>0</v>
      </c>
      <c r="J192" s="184"/>
      <c r="K192" s="184"/>
    </row>
    <row r="193" spans="1:11" ht="21.75" customHeight="1" outlineLevel="1" x14ac:dyDescent="0.25">
      <c r="A193" s="184"/>
      <c r="B193" s="184"/>
      <c r="C193" s="184"/>
      <c r="D193" s="6">
        <v>2022</v>
      </c>
      <c r="E193" s="4">
        <f t="shared" si="17"/>
        <v>52700</v>
      </c>
      <c r="F193" s="4">
        <v>52700</v>
      </c>
      <c r="G193" s="4">
        <v>0</v>
      </c>
      <c r="H193" s="4">
        <v>0</v>
      </c>
      <c r="I193" s="4">
        <v>0</v>
      </c>
      <c r="J193" s="184"/>
      <c r="K193" s="184"/>
    </row>
    <row r="194" spans="1:11" ht="24" customHeight="1" outlineLevel="1" x14ac:dyDescent="0.25">
      <c r="A194" s="184"/>
      <c r="B194" s="184"/>
      <c r="C194" s="184"/>
      <c r="D194" s="6">
        <v>2023</v>
      </c>
      <c r="E194" s="4">
        <f t="shared" si="17"/>
        <v>67599.999660000001</v>
      </c>
      <c r="F194" s="4">
        <f>52004+7490.67866+8105.321</f>
        <v>67599.999660000001</v>
      </c>
      <c r="G194" s="4">
        <v>0</v>
      </c>
      <c r="H194" s="4">
        <v>0</v>
      </c>
      <c r="I194" s="4">
        <v>0</v>
      </c>
      <c r="J194" s="184"/>
      <c r="K194" s="184"/>
    </row>
    <row r="195" spans="1:11" ht="24.75" customHeight="1" outlineLevel="1" x14ac:dyDescent="0.25">
      <c r="A195" s="184"/>
      <c r="B195" s="184"/>
      <c r="C195" s="184"/>
      <c r="D195" s="6">
        <v>2024</v>
      </c>
      <c r="E195" s="4">
        <f t="shared" si="17"/>
        <v>52004</v>
      </c>
      <c r="F195" s="4">
        <v>52004</v>
      </c>
      <c r="G195" s="4">
        <v>0</v>
      </c>
      <c r="H195" s="4">
        <v>0</v>
      </c>
      <c r="I195" s="4">
        <v>0</v>
      </c>
      <c r="J195" s="184"/>
      <c r="K195" s="184"/>
    </row>
    <row r="196" spans="1:11" ht="24" customHeight="1" outlineLevel="1" x14ac:dyDescent="0.25">
      <c r="A196" s="184"/>
      <c r="B196" s="184"/>
      <c r="C196" s="184"/>
      <c r="D196" s="6">
        <v>2025</v>
      </c>
      <c r="E196" s="4">
        <f t="shared" si="17"/>
        <v>52004</v>
      </c>
      <c r="F196" s="4">
        <v>52004</v>
      </c>
      <c r="G196" s="4">
        <v>0</v>
      </c>
      <c r="H196" s="4">
        <v>0</v>
      </c>
      <c r="I196" s="4">
        <v>0</v>
      </c>
      <c r="J196" s="184"/>
      <c r="K196" s="184"/>
    </row>
    <row r="197" spans="1:11" ht="15.75" customHeight="1" outlineLevel="1" x14ac:dyDescent="0.25">
      <c r="A197" s="184" t="s">
        <v>66</v>
      </c>
      <c r="B197" s="184" t="s">
        <v>67</v>
      </c>
      <c r="C197" s="184" t="s">
        <v>14</v>
      </c>
      <c r="D197" s="6" t="s">
        <v>8</v>
      </c>
      <c r="E197" s="4">
        <f t="shared" si="17"/>
        <v>123.97999999999999</v>
      </c>
      <c r="F197" s="4">
        <f>SUM(F198:F202)</f>
        <v>123.97999999999999</v>
      </c>
      <c r="G197" s="4">
        <f>SUM(G198:G202)</f>
        <v>0</v>
      </c>
      <c r="H197" s="4">
        <f>SUM(H198:H202)</f>
        <v>0</v>
      </c>
      <c r="I197" s="4">
        <f>SUM(I198:I202)</f>
        <v>0</v>
      </c>
      <c r="J197" s="184" t="s">
        <v>522</v>
      </c>
      <c r="K197" s="184" t="s">
        <v>1134</v>
      </c>
    </row>
    <row r="198" spans="1:11" ht="15.75" customHeight="1" outlineLevel="1" x14ac:dyDescent="0.25">
      <c r="A198" s="184"/>
      <c r="B198" s="184"/>
      <c r="C198" s="184"/>
      <c r="D198" s="6">
        <v>2021</v>
      </c>
      <c r="E198" s="4">
        <f t="shared" si="17"/>
        <v>27.77</v>
      </c>
      <c r="F198" s="4">
        <f>27770/1000</f>
        <v>27.77</v>
      </c>
      <c r="G198" s="4">
        <v>0</v>
      </c>
      <c r="H198" s="4">
        <v>0</v>
      </c>
      <c r="I198" s="4">
        <v>0</v>
      </c>
      <c r="J198" s="184"/>
      <c r="K198" s="184"/>
    </row>
    <row r="199" spans="1:11" ht="15.75" customHeight="1" outlineLevel="1" x14ac:dyDescent="0.25">
      <c r="A199" s="184"/>
      <c r="B199" s="184"/>
      <c r="C199" s="184"/>
      <c r="D199" s="6">
        <v>2022</v>
      </c>
      <c r="E199" s="4">
        <f t="shared" si="17"/>
        <v>0</v>
      </c>
      <c r="F199" s="4">
        <v>0</v>
      </c>
      <c r="G199" s="4">
        <v>0</v>
      </c>
      <c r="H199" s="4">
        <v>0</v>
      </c>
      <c r="I199" s="4">
        <v>0</v>
      </c>
      <c r="J199" s="184"/>
      <c r="K199" s="184"/>
    </row>
    <row r="200" spans="1:11" ht="15.75" customHeight="1" outlineLevel="1" x14ac:dyDescent="0.25">
      <c r="A200" s="184"/>
      <c r="B200" s="184"/>
      <c r="C200" s="184"/>
      <c r="D200" s="6">
        <v>2023</v>
      </c>
      <c r="E200" s="4">
        <f t="shared" si="17"/>
        <v>32.07</v>
      </c>
      <c r="F200" s="4">
        <v>32.07</v>
      </c>
      <c r="G200" s="4">
        <v>0</v>
      </c>
      <c r="H200" s="4">
        <v>0</v>
      </c>
      <c r="I200" s="4">
        <v>0</v>
      </c>
      <c r="J200" s="184"/>
      <c r="K200" s="184"/>
    </row>
    <row r="201" spans="1:11" ht="15.75" customHeight="1" outlineLevel="1" x14ac:dyDescent="0.25">
      <c r="A201" s="184"/>
      <c r="B201" s="184"/>
      <c r="C201" s="184"/>
      <c r="D201" s="6">
        <v>2024</v>
      </c>
      <c r="E201" s="4">
        <f t="shared" si="17"/>
        <v>32.07</v>
      </c>
      <c r="F201" s="4">
        <v>32.07</v>
      </c>
      <c r="G201" s="4">
        <v>0</v>
      </c>
      <c r="H201" s="4">
        <v>0</v>
      </c>
      <c r="I201" s="4">
        <v>0</v>
      </c>
      <c r="J201" s="184"/>
      <c r="K201" s="184"/>
    </row>
    <row r="202" spans="1:11" ht="15.75" customHeight="1" outlineLevel="1" x14ac:dyDescent="0.25">
      <c r="A202" s="184"/>
      <c r="B202" s="184"/>
      <c r="C202" s="184"/>
      <c r="D202" s="6">
        <v>2025</v>
      </c>
      <c r="E202" s="4">
        <f t="shared" si="17"/>
        <v>32.07</v>
      </c>
      <c r="F202" s="4">
        <v>32.07</v>
      </c>
      <c r="G202" s="4">
        <v>0</v>
      </c>
      <c r="H202" s="4">
        <v>0</v>
      </c>
      <c r="I202" s="4">
        <v>0</v>
      </c>
      <c r="J202" s="184"/>
      <c r="K202" s="184"/>
    </row>
    <row r="203" spans="1:11" ht="13.5" customHeight="1" outlineLevel="1" x14ac:dyDescent="0.25">
      <c r="A203" s="184" t="s">
        <v>70</v>
      </c>
      <c r="B203" s="184" t="s">
        <v>71</v>
      </c>
      <c r="C203" s="184" t="s">
        <v>14</v>
      </c>
      <c r="D203" s="6" t="s">
        <v>8</v>
      </c>
      <c r="E203" s="4">
        <f t="shared" si="17"/>
        <v>4275207.6672999999</v>
      </c>
      <c r="F203" s="4">
        <f>SUM(F204:F208)</f>
        <v>4275207.6672999999</v>
      </c>
      <c r="G203" s="4">
        <f>SUM(G204:G208)</f>
        <v>0</v>
      </c>
      <c r="H203" s="4">
        <f>SUM(H204:H208)</f>
        <v>0</v>
      </c>
      <c r="I203" s="4">
        <f>SUM(I204:I208)</f>
        <v>0</v>
      </c>
      <c r="J203" s="184" t="s">
        <v>72</v>
      </c>
      <c r="K203" s="184" t="s">
        <v>836</v>
      </c>
    </row>
    <row r="204" spans="1:11" ht="13.5" customHeight="1" outlineLevel="1" x14ac:dyDescent="0.25">
      <c r="A204" s="184"/>
      <c r="B204" s="184"/>
      <c r="C204" s="184"/>
      <c r="D204" s="6">
        <v>2021</v>
      </c>
      <c r="E204" s="4">
        <f t="shared" si="17"/>
        <v>766375.9</v>
      </c>
      <c r="F204" s="4">
        <v>766375.9</v>
      </c>
      <c r="G204" s="4">
        <v>0</v>
      </c>
      <c r="H204" s="4">
        <v>0</v>
      </c>
      <c r="I204" s="4">
        <v>0</v>
      </c>
      <c r="J204" s="184"/>
      <c r="K204" s="184"/>
    </row>
    <row r="205" spans="1:11" ht="13.5" customHeight="1" outlineLevel="1" x14ac:dyDescent="0.25">
      <c r="A205" s="184"/>
      <c r="B205" s="184"/>
      <c r="C205" s="184"/>
      <c r="D205" s="6">
        <v>2022</v>
      </c>
      <c r="E205" s="4">
        <f t="shared" si="17"/>
        <v>914197.98699999996</v>
      </c>
      <c r="F205" s="4">
        <f>879682.2+21426+13089.787</f>
        <v>914197.98699999996</v>
      </c>
      <c r="G205" s="4">
        <v>0</v>
      </c>
      <c r="H205" s="4">
        <v>0</v>
      </c>
      <c r="I205" s="4">
        <v>0</v>
      </c>
      <c r="J205" s="184"/>
      <c r="K205" s="184"/>
    </row>
    <row r="206" spans="1:11" ht="13.5" customHeight="1" outlineLevel="1" x14ac:dyDescent="0.25">
      <c r="A206" s="184"/>
      <c r="B206" s="184"/>
      <c r="C206" s="184"/>
      <c r="D206" s="6">
        <v>2023</v>
      </c>
      <c r="E206" s="4">
        <f t="shared" si="17"/>
        <v>890410.49129999999</v>
      </c>
      <c r="F206" s="4">
        <f>850537.551+27982.345+11890.5953</f>
        <v>890410.49129999999</v>
      </c>
      <c r="G206" s="4">
        <v>0</v>
      </c>
      <c r="H206" s="4">
        <v>0</v>
      </c>
      <c r="I206" s="4">
        <v>0</v>
      </c>
      <c r="J206" s="184"/>
      <c r="K206" s="184"/>
    </row>
    <row r="207" spans="1:11" ht="13.5" customHeight="1" outlineLevel="1" x14ac:dyDescent="0.25">
      <c r="A207" s="184"/>
      <c r="B207" s="184"/>
      <c r="C207" s="184"/>
      <c r="D207" s="6">
        <v>2024</v>
      </c>
      <c r="E207" s="4">
        <f t="shared" si="17"/>
        <v>851469.41899999999</v>
      </c>
      <c r="F207" s="4">
        <v>851469.41899999999</v>
      </c>
      <c r="G207" s="4">
        <v>0</v>
      </c>
      <c r="H207" s="4">
        <v>0</v>
      </c>
      <c r="I207" s="4">
        <v>0</v>
      </c>
      <c r="J207" s="184"/>
      <c r="K207" s="184"/>
    </row>
    <row r="208" spans="1:11" ht="13.5" customHeight="1" outlineLevel="1" x14ac:dyDescent="0.25">
      <c r="A208" s="184"/>
      <c r="B208" s="184"/>
      <c r="C208" s="184"/>
      <c r="D208" s="6">
        <v>2025</v>
      </c>
      <c r="E208" s="4">
        <f t="shared" si="17"/>
        <v>852753.87</v>
      </c>
      <c r="F208" s="4">
        <v>852753.87</v>
      </c>
      <c r="G208" s="4">
        <v>0</v>
      </c>
      <c r="H208" s="4">
        <v>0</v>
      </c>
      <c r="I208" s="4">
        <v>0</v>
      </c>
      <c r="J208" s="184"/>
      <c r="K208" s="184"/>
    </row>
    <row r="209" spans="1:11" ht="18.75" customHeight="1" outlineLevel="1" x14ac:dyDescent="0.25">
      <c r="A209" s="184" t="s">
        <v>74</v>
      </c>
      <c r="B209" s="184" t="s">
        <v>75</v>
      </c>
      <c r="C209" s="184" t="s">
        <v>14</v>
      </c>
      <c r="D209" s="6" t="s">
        <v>8</v>
      </c>
      <c r="E209" s="4">
        <f t="shared" si="17"/>
        <v>18083.404999999999</v>
      </c>
      <c r="F209" s="4">
        <f>SUM(F210:F214)</f>
        <v>18083.404999999999</v>
      </c>
      <c r="G209" s="4">
        <f>SUM(G210:G214)</f>
        <v>0</v>
      </c>
      <c r="H209" s="4">
        <f>SUM(H210:H214)</f>
        <v>0</v>
      </c>
      <c r="I209" s="4">
        <f>SUM(I210:I214)</f>
        <v>0</v>
      </c>
      <c r="J209" s="184" t="s">
        <v>1135</v>
      </c>
      <c r="K209" s="184" t="s">
        <v>836</v>
      </c>
    </row>
    <row r="210" spans="1:11" ht="18.75" customHeight="1" outlineLevel="1" x14ac:dyDescent="0.25">
      <c r="A210" s="184"/>
      <c r="B210" s="184"/>
      <c r="C210" s="184"/>
      <c r="D210" s="6">
        <v>2021</v>
      </c>
      <c r="E210" s="4">
        <f t="shared" si="17"/>
        <v>3811.2820000000002</v>
      </c>
      <c r="F210" s="4">
        <v>3811.2820000000002</v>
      </c>
      <c r="G210" s="4">
        <v>0</v>
      </c>
      <c r="H210" s="4">
        <v>0</v>
      </c>
      <c r="I210" s="4">
        <v>0</v>
      </c>
      <c r="J210" s="184"/>
      <c r="K210" s="184"/>
    </row>
    <row r="211" spans="1:11" ht="18.75" customHeight="1" outlineLevel="1" x14ac:dyDescent="0.25">
      <c r="A211" s="184"/>
      <c r="B211" s="184"/>
      <c r="C211" s="184"/>
      <c r="D211" s="6">
        <v>2022</v>
      </c>
      <c r="E211" s="4">
        <f t="shared" si="17"/>
        <v>3588.2230000000004</v>
      </c>
      <c r="F211" s="4">
        <f>3561.3+109.88-82.957</f>
        <v>3588.2230000000004</v>
      </c>
      <c r="G211" s="4">
        <v>0</v>
      </c>
      <c r="H211" s="4">
        <v>0</v>
      </c>
      <c r="I211" s="4">
        <v>0</v>
      </c>
      <c r="J211" s="184"/>
      <c r="K211" s="184"/>
    </row>
    <row r="212" spans="1:11" ht="18.75" customHeight="1" outlineLevel="1" x14ac:dyDescent="0.25">
      <c r="A212" s="184"/>
      <c r="B212" s="184"/>
      <c r="C212" s="184"/>
      <c r="D212" s="6">
        <v>2023</v>
      </c>
      <c r="E212" s="4">
        <f t="shared" si="17"/>
        <v>3561.3</v>
      </c>
      <c r="F212" s="4">
        <f>3561.3</f>
        <v>3561.3</v>
      </c>
      <c r="G212" s="4">
        <v>0</v>
      </c>
      <c r="H212" s="4">
        <v>0</v>
      </c>
      <c r="I212" s="4">
        <v>0</v>
      </c>
      <c r="J212" s="184"/>
      <c r="K212" s="184"/>
    </row>
    <row r="213" spans="1:11" ht="18.75" customHeight="1" outlineLevel="1" x14ac:dyDescent="0.25">
      <c r="A213" s="184"/>
      <c r="B213" s="184"/>
      <c r="C213" s="184"/>
      <c r="D213" s="6">
        <v>2024</v>
      </c>
      <c r="E213" s="4">
        <f t="shared" si="17"/>
        <v>3561.3</v>
      </c>
      <c r="F213" s="4">
        <v>3561.3</v>
      </c>
      <c r="G213" s="4">
        <v>0</v>
      </c>
      <c r="H213" s="4">
        <v>0</v>
      </c>
      <c r="I213" s="4">
        <v>0</v>
      </c>
      <c r="J213" s="184"/>
      <c r="K213" s="184"/>
    </row>
    <row r="214" spans="1:11" ht="18.75" customHeight="1" outlineLevel="1" x14ac:dyDescent="0.25">
      <c r="A214" s="184"/>
      <c r="B214" s="184"/>
      <c r="C214" s="184"/>
      <c r="D214" s="6">
        <v>2025</v>
      </c>
      <c r="E214" s="4">
        <f t="shared" si="17"/>
        <v>3561.3</v>
      </c>
      <c r="F214" s="4">
        <v>3561.3</v>
      </c>
      <c r="G214" s="4">
        <v>0</v>
      </c>
      <c r="H214" s="4">
        <v>0</v>
      </c>
      <c r="I214" s="4">
        <v>0</v>
      </c>
      <c r="J214" s="184"/>
      <c r="K214" s="184"/>
    </row>
    <row r="215" spans="1:11" ht="14.25" customHeight="1" outlineLevel="1" x14ac:dyDescent="0.25">
      <c r="A215" s="184" t="s">
        <v>524</v>
      </c>
      <c r="B215" s="184" t="s">
        <v>525</v>
      </c>
      <c r="C215" s="184" t="s">
        <v>14</v>
      </c>
      <c r="D215" s="6" t="s">
        <v>8</v>
      </c>
      <c r="E215" s="4">
        <f t="shared" si="17"/>
        <v>26988.080000000002</v>
      </c>
      <c r="F215" s="4">
        <f>SUM(F216:F220)</f>
        <v>26988.080000000002</v>
      </c>
      <c r="G215" s="4">
        <f>SUM(G216:G220)</f>
        <v>0</v>
      </c>
      <c r="H215" s="4">
        <f>SUM(H216:H220)</f>
        <v>0</v>
      </c>
      <c r="I215" s="4">
        <f>SUM(I216:I220)</f>
        <v>0</v>
      </c>
      <c r="J215" s="184" t="s">
        <v>526</v>
      </c>
      <c r="K215" s="184" t="s">
        <v>837</v>
      </c>
    </row>
    <row r="216" spans="1:11" ht="13.5" customHeight="1" outlineLevel="1" x14ac:dyDescent="0.25">
      <c r="A216" s="184"/>
      <c r="B216" s="184"/>
      <c r="C216" s="184"/>
      <c r="D216" s="6">
        <v>2021</v>
      </c>
      <c r="E216" s="4">
        <f t="shared" si="17"/>
        <v>26988.080000000002</v>
      </c>
      <c r="F216" s="4">
        <v>26988.080000000002</v>
      </c>
      <c r="G216" s="4">
        <v>0</v>
      </c>
      <c r="H216" s="4">
        <v>0</v>
      </c>
      <c r="I216" s="4">
        <v>0</v>
      </c>
      <c r="J216" s="184"/>
      <c r="K216" s="184"/>
    </row>
    <row r="217" spans="1:11" ht="13.5" customHeight="1" outlineLevel="1" x14ac:dyDescent="0.25">
      <c r="A217" s="184"/>
      <c r="B217" s="184"/>
      <c r="C217" s="184"/>
      <c r="D217" s="6">
        <v>2022</v>
      </c>
      <c r="E217" s="4">
        <f t="shared" si="17"/>
        <v>0</v>
      </c>
      <c r="F217" s="4">
        <v>0</v>
      </c>
      <c r="G217" s="4">
        <v>0</v>
      </c>
      <c r="H217" s="4">
        <v>0</v>
      </c>
      <c r="I217" s="4">
        <v>0</v>
      </c>
      <c r="J217" s="184"/>
      <c r="K217" s="184"/>
    </row>
    <row r="218" spans="1:11" ht="13.5" customHeight="1" outlineLevel="1" x14ac:dyDescent="0.25">
      <c r="A218" s="184"/>
      <c r="B218" s="184"/>
      <c r="C218" s="184"/>
      <c r="D218" s="6">
        <v>2023</v>
      </c>
      <c r="E218" s="4">
        <f t="shared" si="17"/>
        <v>0</v>
      </c>
      <c r="F218" s="4">
        <v>0</v>
      </c>
      <c r="G218" s="4">
        <v>0</v>
      </c>
      <c r="H218" s="4">
        <v>0</v>
      </c>
      <c r="I218" s="4">
        <v>0</v>
      </c>
      <c r="J218" s="184"/>
      <c r="K218" s="184"/>
    </row>
    <row r="219" spans="1:11" ht="13.5" customHeight="1" outlineLevel="1" x14ac:dyDescent="0.25">
      <c r="A219" s="184"/>
      <c r="B219" s="184"/>
      <c r="C219" s="184"/>
      <c r="D219" s="6">
        <v>2024</v>
      </c>
      <c r="E219" s="4">
        <f t="shared" si="17"/>
        <v>0</v>
      </c>
      <c r="F219" s="4">
        <v>0</v>
      </c>
      <c r="G219" s="4">
        <v>0</v>
      </c>
      <c r="H219" s="4">
        <v>0</v>
      </c>
      <c r="I219" s="4">
        <v>0</v>
      </c>
      <c r="J219" s="184"/>
      <c r="K219" s="184"/>
    </row>
    <row r="220" spans="1:11" ht="19.5" customHeight="1" outlineLevel="1" x14ac:dyDescent="0.25">
      <c r="A220" s="184"/>
      <c r="B220" s="184"/>
      <c r="C220" s="184"/>
      <c r="D220" s="6">
        <v>2025</v>
      </c>
      <c r="E220" s="4">
        <f t="shared" si="17"/>
        <v>0</v>
      </c>
      <c r="F220" s="4">
        <v>0</v>
      </c>
      <c r="G220" s="4">
        <v>0</v>
      </c>
      <c r="H220" s="4">
        <v>0</v>
      </c>
      <c r="I220" s="4">
        <v>0</v>
      </c>
      <c r="J220" s="184"/>
      <c r="K220" s="184"/>
    </row>
    <row r="221" spans="1:11" ht="14.25" customHeight="1" outlineLevel="1" x14ac:dyDescent="0.25">
      <c r="A221" s="184" t="s">
        <v>528</v>
      </c>
      <c r="B221" s="184" t="s">
        <v>1136</v>
      </c>
      <c r="C221" s="184" t="s">
        <v>14</v>
      </c>
      <c r="D221" s="6" t="s">
        <v>8</v>
      </c>
      <c r="E221" s="4">
        <f t="shared" si="17"/>
        <v>0</v>
      </c>
      <c r="F221" s="4">
        <f>SUM(F222:F226)</f>
        <v>0</v>
      </c>
      <c r="G221" s="4">
        <f>SUM(G222:G226)</f>
        <v>0</v>
      </c>
      <c r="H221" s="4">
        <f>SUM(H222:H226)</f>
        <v>0</v>
      </c>
      <c r="I221" s="4">
        <f>SUM(I222:I226)</f>
        <v>0</v>
      </c>
      <c r="J221" s="184" t="s">
        <v>530</v>
      </c>
      <c r="K221" s="184" t="s">
        <v>531</v>
      </c>
    </row>
    <row r="222" spans="1:11" ht="13.5" customHeight="1" outlineLevel="1" x14ac:dyDescent="0.25">
      <c r="A222" s="184"/>
      <c r="B222" s="184"/>
      <c r="C222" s="184"/>
      <c r="D222" s="6">
        <v>2021</v>
      </c>
      <c r="E222" s="4">
        <f t="shared" si="17"/>
        <v>0</v>
      </c>
      <c r="F222" s="4">
        <v>0</v>
      </c>
      <c r="G222" s="4">
        <v>0</v>
      </c>
      <c r="H222" s="4">
        <v>0</v>
      </c>
      <c r="I222" s="4">
        <v>0</v>
      </c>
      <c r="J222" s="184"/>
      <c r="K222" s="184"/>
    </row>
    <row r="223" spans="1:11" ht="13.5" customHeight="1" outlineLevel="1" x14ac:dyDescent="0.25">
      <c r="A223" s="184"/>
      <c r="B223" s="184"/>
      <c r="C223" s="184"/>
      <c r="D223" s="6">
        <v>2022</v>
      </c>
      <c r="E223" s="4">
        <f t="shared" si="17"/>
        <v>0</v>
      </c>
      <c r="F223" s="4">
        <v>0</v>
      </c>
      <c r="G223" s="4">
        <v>0</v>
      </c>
      <c r="H223" s="4">
        <v>0</v>
      </c>
      <c r="I223" s="4">
        <v>0</v>
      </c>
      <c r="J223" s="184"/>
      <c r="K223" s="184"/>
    </row>
    <row r="224" spans="1:11" ht="13.5" customHeight="1" outlineLevel="1" x14ac:dyDescent="0.25">
      <c r="A224" s="184"/>
      <c r="B224" s="184"/>
      <c r="C224" s="184"/>
      <c r="D224" s="6">
        <v>2023</v>
      </c>
      <c r="E224" s="4">
        <f t="shared" si="17"/>
        <v>0</v>
      </c>
      <c r="F224" s="4">
        <v>0</v>
      </c>
      <c r="G224" s="4">
        <v>0</v>
      </c>
      <c r="H224" s="4">
        <v>0</v>
      </c>
      <c r="I224" s="4">
        <v>0</v>
      </c>
      <c r="J224" s="184"/>
      <c r="K224" s="184"/>
    </row>
    <row r="225" spans="1:13" ht="13.5" customHeight="1" outlineLevel="1" x14ac:dyDescent="0.25">
      <c r="A225" s="184"/>
      <c r="B225" s="184"/>
      <c r="C225" s="184"/>
      <c r="D225" s="6">
        <v>2024</v>
      </c>
      <c r="E225" s="4">
        <f t="shared" si="17"/>
        <v>0</v>
      </c>
      <c r="F225" s="4">
        <v>0</v>
      </c>
      <c r="G225" s="4">
        <v>0</v>
      </c>
      <c r="H225" s="4">
        <v>0</v>
      </c>
      <c r="I225" s="4">
        <v>0</v>
      </c>
      <c r="J225" s="184"/>
      <c r="K225" s="184"/>
    </row>
    <row r="226" spans="1:13" ht="19.5" customHeight="1" outlineLevel="1" x14ac:dyDescent="0.25">
      <c r="A226" s="184"/>
      <c r="B226" s="184"/>
      <c r="C226" s="184"/>
      <c r="D226" s="6">
        <v>2025</v>
      </c>
      <c r="E226" s="4">
        <f t="shared" si="17"/>
        <v>0</v>
      </c>
      <c r="F226" s="4">
        <v>0</v>
      </c>
      <c r="G226" s="4">
        <v>0</v>
      </c>
      <c r="H226" s="4">
        <v>0</v>
      </c>
      <c r="I226" s="4">
        <v>0</v>
      </c>
      <c r="J226" s="184"/>
      <c r="K226" s="184"/>
    </row>
    <row r="227" spans="1:13" ht="14.25" customHeight="1" outlineLevel="1" x14ac:dyDescent="0.25">
      <c r="A227" s="184" t="s">
        <v>532</v>
      </c>
      <c r="B227" s="184" t="s">
        <v>533</v>
      </c>
      <c r="C227" s="184" t="s">
        <v>14</v>
      </c>
      <c r="D227" s="6" t="s">
        <v>8</v>
      </c>
      <c r="E227" s="4">
        <f t="shared" si="17"/>
        <v>368.27599999999995</v>
      </c>
      <c r="F227" s="4">
        <f>SUM(F228:F232)</f>
        <v>368.27599999999995</v>
      </c>
      <c r="G227" s="4">
        <f>SUM(G228:G232)</f>
        <v>0</v>
      </c>
      <c r="H227" s="4">
        <f>SUM(H228:H232)</f>
        <v>0</v>
      </c>
      <c r="I227" s="4">
        <f>SUM(I228:I232)</f>
        <v>0</v>
      </c>
      <c r="J227" s="184" t="s">
        <v>534</v>
      </c>
      <c r="K227" s="184" t="s">
        <v>92</v>
      </c>
    </row>
    <row r="228" spans="1:13" ht="13.5" customHeight="1" outlineLevel="1" x14ac:dyDescent="0.25">
      <c r="A228" s="184"/>
      <c r="B228" s="184"/>
      <c r="C228" s="184"/>
      <c r="D228" s="6">
        <v>2021</v>
      </c>
      <c r="E228" s="4">
        <f t="shared" si="17"/>
        <v>150.887</v>
      </c>
      <c r="F228" s="4">
        <v>150.887</v>
      </c>
      <c r="G228" s="4">
        <v>0</v>
      </c>
      <c r="H228" s="4">
        <v>0</v>
      </c>
      <c r="I228" s="4">
        <v>0</v>
      </c>
      <c r="J228" s="184"/>
      <c r="K228" s="184"/>
    </row>
    <row r="229" spans="1:13" ht="13.5" customHeight="1" outlineLevel="1" x14ac:dyDescent="0.25">
      <c r="A229" s="184"/>
      <c r="B229" s="184"/>
      <c r="C229" s="184"/>
      <c r="D229" s="6">
        <v>2022</v>
      </c>
      <c r="E229" s="4">
        <f t="shared" si="17"/>
        <v>82.956999999999994</v>
      </c>
      <c r="F229" s="4">
        <v>82.956999999999994</v>
      </c>
      <c r="G229" s="4">
        <v>0</v>
      </c>
      <c r="H229" s="4">
        <v>0</v>
      </c>
      <c r="I229" s="4">
        <v>0</v>
      </c>
      <c r="J229" s="184"/>
      <c r="K229" s="184"/>
    </row>
    <row r="230" spans="1:13" ht="13.5" customHeight="1" outlineLevel="1" x14ac:dyDescent="0.25">
      <c r="A230" s="184"/>
      <c r="B230" s="184"/>
      <c r="C230" s="184"/>
      <c r="D230" s="6">
        <v>2023</v>
      </c>
      <c r="E230" s="4">
        <f t="shared" si="17"/>
        <v>134.43199999999999</v>
      </c>
      <c r="F230" s="4">
        <v>134.43199999999999</v>
      </c>
      <c r="G230" s="4">
        <v>0</v>
      </c>
      <c r="H230" s="4">
        <v>0</v>
      </c>
      <c r="I230" s="4">
        <v>0</v>
      </c>
      <c r="J230" s="184"/>
      <c r="K230" s="184"/>
      <c r="M230" s="5" t="s">
        <v>1742</v>
      </c>
    </row>
    <row r="231" spans="1:13" ht="13.5" customHeight="1" outlineLevel="1" x14ac:dyDescent="0.25">
      <c r="A231" s="184"/>
      <c r="B231" s="184"/>
      <c r="C231" s="184"/>
      <c r="D231" s="6">
        <v>2024</v>
      </c>
      <c r="E231" s="4">
        <f t="shared" si="17"/>
        <v>0</v>
      </c>
      <c r="F231" s="4">
        <v>0</v>
      </c>
      <c r="G231" s="4">
        <v>0</v>
      </c>
      <c r="H231" s="4">
        <v>0</v>
      </c>
      <c r="I231" s="4">
        <v>0</v>
      </c>
      <c r="J231" s="184"/>
      <c r="K231" s="184"/>
    </row>
    <row r="232" spans="1:13" ht="19.5" customHeight="1" outlineLevel="1" x14ac:dyDescent="0.25">
      <c r="A232" s="184"/>
      <c r="B232" s="184"/>
      <c r="C232" s="184"/>
      <c r="D232" s="6">
        <v>2025</v>
      </c>
      <c r="E232" s="4">
        <f t="shared" si="17"/>
        <v>0</v>
      </c>
      <c r="F232" s="4">
        <v>0</v>
      </c>
      <c r="G232" s="4">
        <v>0</v>
      </c>
      <c r="H232" s="4">
        <v>0</v>
      </c>
      <c r="I232" s="4">
        <v>0</v>
      </c>
      <c r="J232" s="184"/>
      <c r="K232" s="184"/>
    </row>
    <row r="233" spans="1:13" ht="16.5" customHeight="1" outlineLevel="1" x14ac:dyDescent="0.25">
      <c r="A233" s="184" t="s">
        <v>535</v>
      </c>
      <c r="B233" s="184" t="s">
        <v>536</v>
      </c>
      <c r="C233" s="184" t="s">
        <v>14</v>
      </c>
      <c r="D233" s="6" t="s">
        <v>8</v>
      </c>
      <c r="E233" s="4">
        <f t="shared" si="17"/>
        <v>595</v>
      </c>
      <c r="F233" s="4">
        <f>SUM(F234:F238)</f>
        <v>595</v>
      </c>
      <c r="G233" s="4">
        <f>SUM(G234:G238)</f>
        <v>0</v>
      </c>
      <c r="H233" s="4">
        <f>SUM(H234:H238)</f>
        <v>0</v>
      </c>
      <c r="I233" s="4">
        <f>SUM(I234:I238)</f>
        <v>0</v>
      </c>
      <c r="J233" s="184" t="s">
        <v>838</v>
      </c>
      <c r="K233" s="184" t="s">
        <v>531</v>
      </c>
    </row>
    <row r="234" spans="1:13" ht="16.5" customHeight="1" outlineLevel="1" x14ac:dyDescent="0.25">
      <c r="A234" s="184"/>
      <c r="B234" s="184"/>
      <c r="C234" s="184"/>
      <c r="D234" s="6">
        <v>2021</v>
      </c>
      <c r="E234" s="4">
        <f t="shared" si="17"/>
        <v>595</v>
      </c>
      <c r="F234" s="4">
        <v>595</v>
      </c>
      <c r="G234" s="4">
        <v>0</v>
      </c>
      <c r="H234" s="4">
        <v>0</v>
      </c>
      <c r="I234" s="4">
        <v>0</v>
      </c>
      <c r="J234" s="184"/>
      <c r="K234" s="184"/>
    </row>
    <row r="235" spans="1:13" ht="16.5" customHeight="1" outlineLevel="1" x14ac:dyDescent="0.25">
      <c r="A235" s="184"/>
      <c r="B235" s="184"/>
      <c r="C235" s="184"/>
      <c r="D235" s="6">
        <v>2022</v>
      </c>
      <c r="E235" s="4">
        <f t="shared" si="17"/>
        <v>0</v>
      </c>
      <c r="F235" s="4">
        <v>0</v>
      </c>
      <c r="G235" s="4">
        <v>0</v>
      </c>
      <c r="H235" s="4">
        <v>0</v>
      </c>
      <c r="I235" s="4">
        <v>0</v>
      </c>
      <c r="J235" s="184"/>
      <c r="K235" s="184"/>
    </row>
    <row r="236" spans="1:13" ht="16.5" customHeight="1" outlineLevel="1" x14ac:dyDescent="0.25">
      <c r="A236" s="184"/>
      <c r="B236" s="184"/>
      <c r="C236" s="184"/>
      <c r="D236" s="6">
        <v>2023</v>
      </c>
      <c r="E236" s="4">
        <f t="shared" si="17"/>
        <v>0</v>
      </c>
      <c r="F236" s="4">
        <v>0</v>
      </c>
      <c r="G236" s="4">
        <v>0</v>
      </c>
      <c r="H236" s="4">
        <v>0</v>
      </c>
      <c r="I236" s="4">
        <v>0</v>
      </c>
      <c r="J236" s="184"/>
      <c r="K236" s="184"/>
    </row>
    <row r="237" spans="1:13" ht="16.5" customHeight="1" outlineLevel="1" x14ac:dyDescent="0.25">
      <c r="A237" s="184"/>
      <c r="B237" s="184"/>
      <c r="C237" s="184"/>
      <c r="D237" s="6">
        <v>2024</v>
      </c>
      <c r="E237" s="4">
        <f t="shared" si="17"/>
        <v>0</v>
      </c>
      <c r="F237" s="4">
        <v>0</v>
      </c>
      <c r="G237" s="4">
        <v>0</v>
      </c>
      <c r="H237" s="4">
        <v>0</v>
      </c>
      <c r="I237" s="4">
        <v>0</v>
      </c>
      <c r="J237" s="184"/>
      <c r="K237" s="184"/>
    </row>
    <row r="238" spans="1:13" ht="16.5" customHeight="1" outlineLevel="1" x14ac:dyDescent="0.25">
      <c r="A238" s="184"/>
      <c r="B238" s="184"/>
      <c r="C238" s="184"/>
      <c r="D238" s="6">
        <v>2025</v>
      </c>
      <c r="E238" s="4">
        <f t="shared" si="17"/>
        <v>0</v>
      </c>
      <c r="F238" s="4">
        <v>0</v>
      </c>
      <c r="G238" s="4">
        <v>0</v>
      </c>
      <c r="H238" s="4">
        <v>0</v>
      </c>
      <c r="I238" s="4">
        <v>0</v>
      </c>
      <c r="J238" s="184"/>
      <c r="K238" s="184"/>
    </row>
    <row r="239" spans="1:13" ht="16.5" customHeight="1" outlineLevel="1" x14ac:dyDescent="0.25">
      <c r="A239" s="184" t="s">
        <v>609</v>
      </c>
      <c r="B239" s="184" t="s">
        <v>610</v>
      </c>
      <c r="C239" s="184" t="s">
        <v>14</v>
      </c>
      <c r="D239" s="6" t="s">
        <v>8</v>
      </c>
      <c r="E239" s="4">
        <f t="shared" si="17"/>
        <v>8626</v>
      </c>
      <c r="F239" s="4">
        <f>SUM(F240:F244)</f>
        <v>8626</v>
      </c>
      <c r="G239" s="4">
        <f>SUM(G240:G244)</f>
        <v>0</v>
      </c>
      <c r="H239" s="4">
        <f>SUM(H240:H244)</f>
        <v>0</v>
      </c>
      <c r="I239" s="4">
        <f>SUM(I240:I244)</f>
        <v>0</v>
      </c>
      <c r="J239" s="184" t="s">
        <v>611</v>
      </c>
      <c r="K239" s="184" t="s">
        <v>563</v>
      </c>
    </row>
    <row r="240" spans="1:13" ht="16.5" customHeight="1" outlineLevel="1" x14ac:dyDescent="0.25">
      <c r="A240" s="184"/>
      <c r="B240" s="184"/>
      <c r="C240" s="184"/>
      <c r="D240" s="6">
        <v>2021</v>
      </c>
      <c r="E240" s="4">
        <f t="shared" si="17"/>
        <v>8626</v>
      </c>
      <c r="F240" s="4">
        <v>8626</v>
      </c>
      <c r="G240" s="4">
        <v>0</v>
      </c>
      <c r="H240" s="4">
        <v>0</v>
      </c>
      <c r="I240" s="4">
        <v>0</v>
      </c>
      <c r="J240" s="184"/>
      <c r="K240" s="184"/>
    </row>
    <row r="241" spans="1:11" ht="16.5" customHeight="1" outlineLevel="1" x14ac:dyDescent="0.25">
      <c r="A241" s="184"/>
      <c r="B241" s="184"/>
      <c r="C241" s="184"/>
      <c r="D241" s="6">
        <v>2022</v>
      </c>
      <c r="E241" s="4">
        <f t="shared" si="17"/>
        <v>0</v>
      </c>
      <c r="F241" s="4">
        <v>0</v>
      </c>
      <c r="G241" s="4">
        <v>0</v>
      </c>
      <c r="H241" s="4">
        <v>0</v>
      </c>
      <c r="I241" s="4">
        <v>0</v>
      </c>
      <c r="J241" s="184"/>
      <c r="K241" s="184"/>
    </row>
    <row r="242" spans="1:11" ht="16.5" customHeight="1" outlineLevel="1" x14ac:dyDescent="0.25">
      <c r="A242" s="184"/>
      <c r="B242" s="184"/>
      <c r="C242" s="184"/>
      <c r="D242" s="6">
        <v>2023</v>
      </c>
      <c r="E242" s="4">
        <f t="shared" si="17"/>
        <v>0</v>
      </c>
      <c r="F242" s="4">
        <v>0</v>
      </c>
      <c r="G242" s="4">
        <v>0</v>
      </c>
      <c r="H242" s="4">
        <v>0</v>
      </c>
      <c r="I242" s="4">
        <v>0</v>
      </c>
      <c r="J242" s="184"/>
      <c r="K242" s="184"/>
    </row>
    <row r="243" spans="1:11" ht="16.5" customHeight="1" outlineLevel="1" x14ac:dyDescent="0.25">
      <c r="A243" s="184"/>
      <c r="B243" s="184"/>
      <c r="C243" s="184"/>
      <c r="D243" s="6">
        <v>2024</v>
      </c>
      <c r="E243" s="4">
        <f t="shared" si="17"/>
        <v>0</v>
      </c>
      <c r="F243" s="4">
        <v>0</v>
      </c>
      <c r="G243" s="4">
        <v>0</v>
      </c>
      <c r="H243" s="4">
        <v>0</v>
      </c>
      <c r="I243" s="4">
        <v>0</v>
      </c>
      <c r="J243" s="184"/>
      <c r="K243" s="184"/>
    </row>
    <row r="244" spans="1:11" ht="16.5" customHeight="1" outlineLevel="1" x14ac:dyDescent="0.25">
      <c r="A244" s="184"/>
      <c r="B244" s="184"/>
      <c r="C244" s="184"/>
      <c r="D244" s="6">
        <v>2025</v>
      </c>
      <c r="E244" s="4">
        <f t="shared" si="17"/>
        <v>0</v>
      </c>
      <c r="F244" s="4">
        <v>0</v>
      </c>
      <c r="G244" s="4">
        <v>0</v>
      </c>
      <c r="H244" s="4">
        <v>0</v>
      </c>
      <c r="I244" s="4">
        <v>0</v>
      </c>
      <c r="J244" s="184"/>
      <c r="K244" s="184"/>
    </row>
    <row r="245" spans="1:11" ht="16.5" customHeight="1" outlineLevel="1" x14ac:dyDescent="0.25">
      <c r="A245" s="184" t="s">
        <v>839</v>
      </c>
      <c r="B245" s="184" t="s">
        <v>1137</v>
      </c>
      <c r="C245" s="184" t="s">
        <v>14</v>
      </c>
      <c r="D245" s="6" t="s">
        <v>8</v>
      </c>
      <c r="E245" s="4">
        <f t="shared" si="17"/>
        <v>35474.273000000001</v>
      </c>
      <c r="F245" s="4">
        <f>SUM(F246:F250)</f>
        <v>35474.273000000001</v>
      </c>
      <c r="G245" s="4">
        <f>SUM(G246:G250)</f>
        <v>0</v>
      </c>
      <c r="H245" s="4">
        <f>SUM(H246:H250)</f>
        <v>0</v>
      </c>
      <c r="I245" s="4">
        <f>SUM(I246:I250)</f>
        <v>0</v>
      </c>
      <c r="J245" s="184" t="s">
        <v>1138</v>
      </c>
      <c r="K245" s="184" t="s">
        <v>1139</v>
      </c>
    </row>
    <row r="246" spans="1:11" ht="16.5" customHeight="1" outlineLevel="1" x14ac:dyDescent="0.25">
      <c r="A246" s="184"/>
      <c r="B246" s="184"/>
      <c r="C246" s="184"/>
      <c r="D246" s="6">
        <v>2021</v>
      </c>
      <c r="E246" s="4">
        <f t="shared" si="17"/>
        <v>0</v>
      </c>
      <c r="F246" s="4">
        <v>0</v>
      </c>
      <c r="G246" s="4">
        <v>0</v>
      </c>
      <c r="H246" s="4">
        <v>0</v>
      </c>
      <c r="I246" s="4">
        <v>0</v>
      </c>
      <c r="J246" s="184"/>
      <c r="K246" s="184"/>
    </row>
    <row r="247" spans="1:11" ht="16.5" customHeight="1" outlineLevel="1" x14ac:dyDescent="0.25">
      <c r="A247" s="184"/>
      <c r="B247" s="184"/>
      <c r="C247" s="184"/>
      <c r="D247" s="6">
        <v>2022</v>
      </c>
      <c r="E247" s="4">
        <f t="shared" si="17"/>
        <v>35337.442999999999</v>
      </c>
      <c r="F247" s="4">
        <f>22000+1017.443+12000+13089.787+320-13089.787</f>
        <v>35337.442999999999</v>
      </c>
      <c r="G247" s="4">
        <v>0</v>
      </c>
      <c r="H247" s="4">
        <v>0</v>
      </c>
      <c r="I247" s="4">
        <v>0</v>
      </c>
      <c r="J247" s="184"/>
      <c r="K247" s="184"/>
    </row>
    <row r="248" spans="1:11" ht="16.5" customHeight="1" outlineLevel="1" x14ac:dyDescent="0.25">
      <c r="A248" s="184"/>
      <c r="B248" s="184"/>
      <c r="C248" s="184"/>
      <c r="D248" s="6">
        <v>2023</v>
      </c>
      <c r="E248" s="4">
        <f t="shared" si="17"/>
        <v>136.82999999999993</v>
      </c>
      <c r="F248" s="4">
        <f>5000-4863.17</f>
        <v>136.82999999999993</v>
      </c>
      <c r="G248" s="4">
        <v>0</v>
      </c>
      <c r="H248" s="4">
        <v>0</v>
      </c>
      <c r="I248" s="4">
        <v>0</v>
      </c>
      <c r="J248" s="184"/>
      <c r="K248" s="184"/>
    </row>
    <row r="249" spans="1:11" ht="16.5" customHeight="1" outlineLevel="1" x14ac:dyDescent="0.25">
      <c r="A249" s="184"/>
      <c r="B249" s="184"/>
      <c r="C249" s="184"/>
      <c r="D249" s="6">
        <v>2024</v>
      </c>
      <c r="E249" s="4">
        <f t="shared" si="17"/>
        <v>0</v>
      </c>
      <c r="F249" s="4">
        <v>0</v>
      </c>
      <c r="G249" s="4">
        <v>0</v>
      </c>
      <c r="H249" s="4">
        <v>0</v>
      </c>
      <c r="I249" s="4">
        <v>0</v>
      </c>
      <c r="J249" s="184"/>
      <c r="K249" s="184"/>
    </row>
    <row r="250" spans="1:11" ht="16.5" customHeight="1" outlineLevel="1" x14ac:dyDescent="0.25">
      <c r="A250" s="184"/>
      <c r="B250" s="184"/>
      <c r="C250" s="184"/>
      <c r="D250" s="6">
        <v>2025</v>
      </c>
      <c r="E250" s="4">
        <f t="shared" si="17"/>
        <v>0</v>
      </c>
      <c r="F250" s="4">
        <v>0</v>
      </c>
      <c r="G250" s="4">
        <v>0</v>
      </c>
      <c r="H250" s="4">
        <v>0</v>
      </c>
      <c r="I250" s="4">
        <v>0</v>
      </c>
      <c r="J250" s="184"/>
      <c r="K250" s="184"/>
    </row>
    <row r="251" spans="1:11" ht="16.5" customHeight="1" outlineLevel="1" x14ac:dyDescent="0.25">
      <c r="A251" s="184" t="s">
        <v>843</v>
      </c>
      <c r="B251" s="184" t="s">
        <v>844</v>
      </c>
      <c r="C251" s="184" t="s">
        <v>14</v>
      </c>
      <c r="D251" s="6" t="s">
        <v>8</v>
      </c>
      <c r="E251" s="4">
        <f t="shared" si="17"/>
        <v>534</v>
      </c>
      <c r="F251" s="4">
        <f>SUM(F252:F256)</f>
        <v>534</v>
      </c>
      <c r="G251" s="4">
        <f>SUM(G252:G256)</f>
        <v>0</v>
      </c>
      <c r="H251" s="4">
        <f>SUM(H252:H256)</f>
        <v>0</v>
      </c>
      <c r="I251" s="4">
        <f>SUM(I252:I256)</f>
        <v>0</v>
      </c>
      <c r="J251" s="184" t="s">
        <v>845</v>
      </c>
      <c r="K251" s="184" t="s">
        <v>1140</v>
      </c>
    </row>
    <row r="252" spans="1:11" ht="16.5" customHeight="1" outlineLevel="1" x14ac:dyDescent="0.25">
      <c r="A252" s="184"/>
      <c r="B252" s="184"/>
      <c r="C252" s="184"/>
      <c r="D252" s="6">
        <v>2021</v>
      </c>
      <c r="E252" s="4">
        <f t="shared" si="17"/>
        <v>534</v>
      </c>
      <c r="F252" s="4">
        <v>534</v>
      </c>
      <c r="G252" s="4">
        <v>0</v>
      </c>
      <c r="H252" s="4">
        <v>0</v>
      </c>
      <c r="I252" s="4">
        <v>0</v>
      </c>
      <c r="J252" s="184"/>
      <c r="K252" s="184"/>
    </row>
    <row r="253" spans="1:11" ht="16.5" customHeight="1" outlineLevel="1" x14ac:dyDescent="0.25">
      <c r="A253" s="184"/>
      <c r="B253" s="184"/>
      <c r="C253" s="184"/>
      <c r="D253" s="6">
        <v>2022</v>
      </c>
      <c r="E253" s="4">
        <f t="shared" si="17"/>
        <v>0</v>
      </c>
      <c r="F253" s="4">
        <v>0</v>
      </c>
      <c r="G253" s="4">
        <v>0</v>
      </c>
      <c r="H253" s="4">
        <v>0</v>
      </c>
      <c r="I253" s="4">
        <v>0</v>
      </c>
      <c r="J253" s="184"/>
      <c r="K253" s="184"/>
    </row>
    <row r="254" spans="1:11" ht="16.5" customHeight="1" outlineLevel="1" x14ac:dyDescent="0.25">
      <c r="A254" s="184"/>
      <c r="B254" s="184"/>
      <c r="C254" s="184"/>
      <c r="D254" s="6">
        <v>2023</v>
      </c>
      <c r="E254" s="4">
        <f t="shared" si="17"/>
        <v>0</v>
      </c>
      <c r="F254" s="4">
        <v>0</v>
      </c>
      <c r="G254" s="4">
        <v>0</v>
      </c>
      <c r="H254" s="4">
        <v>0</v>
      </c>
      <c r="I254" s="4">
        <v>0</v>
      </c>
      <c r="J254" s="184"/>
      <c r="K254" s="184"/>
    </row>
    <row r="255" spans="1:11" ht="16.5" customHeight="1" outlineLevel="1" x14ac:dyDescent="0.25">
      <c r="A255" s="184"/>
      <c r="B255" s="184"/>
      <c r="C255" s="184"/>
      <c r="D255" s="6">
        <v>2024</v>
      </c>
      <c r="E255" s="4">
        <f t="shared" ref="E255:E316" si="18">SUM(F255:I255)</f>
        <v>0</v>
      </c>
      <c r="F255" s="4">
        <v>0</v>
      </c>
      <c r="G255" s="4">
        <v>0</v>
      </c>
      <c r="H255" s="4">
        <v>0</v>
      </c>
      <c r="I255" s="4">
        <v>0</v>
      </c>
      <c r="J255" s="184"/>
      <c r="K255" s="184"/>
    </row>
    <row r="256" spans="1:11" ht="16.5" customHeight="1" outlineLevel="1" x14ac:dyDescent="0.25">
      <c r="A256" s="184"/>
      <c r="B256" s="184"/>
      <c r="C256" s="184"/>
      <c r="D256" s="6">
        <v>2025</v>
      </c>
      <c r="E256" s="4">
        <f t="shared" si="18"/>
        <v>0</v>
      </c>
      <c r="F256" s="4">
        <v>0</v>
      </c>
      <c r="G256" s="4">
        <v>0</v>
      </c>
      <c r="H256" s="4">
        <v>0</v>
      </c>
      <c r="I256" s="4">
        <v>0</v>
      </c>
      <c r="J256" s="184"/>
      <c r="K256" s="184"/>
    </row>
    <row r="257" spans="1:11" ht="16.5" customHeight="1" outlineLevel="1" x14ac:dyDescent="0.25">
      <c r="A257" s="184" t="s">
        <v>846</v>
      </c>
      <c r="B257" s="184" t="s">
        <v>847</v>
      </c>
      <c r="C257" s="184" t="s">
        <v>14</v>
      </c>
      <c r="D257" s="6" t="s">
        <v>8</v>
      </c>
      <c r="E257" s="4">
        <f t="shared" si="18"/>
        <v>194</v>
      </c>
      <c r="F257" s="4">
        <f>SUM(F258:F262)</f>
        <v>194</v>
      </c>
      <c r="G257" s="4">
        <f>SUM(G258:G262)</f>
        <v>0</v>
      </c>
      <c r="H257" s="4">
        <f>SUM(H258:H262)</f>
        <v>0</v>
      </c>
      <c r="I257" s="4">
        <f>SUM(I258:I262)</f>
        <v>0</v>
      </c>
      <c r="J257" s="184" t="s">
        <v>848</v>
      </c>
      <c r="K257" s="184" t="s">
        <v>484</v>
      </c>
    </row>
    <row r="258" spans="1:11" ht="16.5" customHeight="1" outlineLevel="1" x14ac:dyDescent="0.25">
      <c r="A258" s="184"/>
      <c r="B258" s="184"/>
      <c r="C258" s="184"/>
      <c r="D258" s="6">
        <v>2021</v>
      </c>
      <c r="E258" s="4">
        <f t="shared" si="18"/>
        <v>194</v>
      </c>
      <c r="F258" s="4">
        <v>194</v>
      </c>
      <c r="G258" s="4">
        <v>0</v>
      </c>
      <c r="H258" s="4">
        <v>0</v>
      </c>
      <c r="I258" s="4">
        <v>0</v>
      </c>
      <c r="J258" s="184"/>
      <c r="K258" s="184"/>
    </row>
    <row r="259" spans="1:11" ht="16.5" customHeight="1" outlineLevel="1" x14ac:dyDescent="0.25">
      <c r="A259" s="184"/>
      <c r="B259" s="184"/>
      <c r="C259" s="184"/>
      <c r="D259" s="6">
        <v>2022</v>
      </c>
      <c r="E259" s="4">
        <f t="shared" si="18"/>
        <v>0</v>
      </c>
      <c r="F259" s="4">
        <v>0</v>
      </c>
      <c r="G259" s="4">
        <v>0</v>
      </c>
      <c r="H259" s="4">
        <v>0</v>
      </c>
      <c r="I259" s="4">
        <v>0</v>
      </c>
      <c r="J259" s="184"/>
      <c r="K259" s="184"/>
    </row>
    <row r="260" spans="1:11" ht="16.5" customHeight="1" outlineLevel="1" x14ac:dyDescent="0.25">
      <c r="A260" s="184"/>
      <c r="B260" s="184"/>
      <c r="C260" s="184"/>
      <c r="D260" s="6">
        <v>2023</v>
      </c>
      <c r="E260" s="4">
        <f t="shared" si="18"/>
        <v>0</v>
      </c>
      <c r="F260" s="4">
        <v>0</v>
      </c>
      <c r="G260" s="4">
        <v>0</v>
      </c>
      <c r="H260" s="4">
        <v>0</v>
      </c>
      <c r="I260" s="4">
        <v>0</v>
      </c>
      <c r="J260" s="184"/>
      <c r="K260" s="184"/>
    </row>
    <row r="261" spans="1:11" ht="16.5" customHeight="1" outlineLevel="1" x14ac:dyDescent="0.25">
      <c r="A261" s="184"/>
      <c r="B261" s="184"/>
      <c r="C261" s="184"/>
      <c r="D261" s="6">
        <v>2024</v>
      </c>
      <c r="E261" s="4">
        <f t="shared" si="18"/>
        <v>0</v>
      </c>
      <c r="F261" s="4">
        <v>0</v>
      </c>
      <c r="G261" s="4">
        <v>0</v>
      </c>
      <c r="H261" s="4">
        <v>0</v>
      </c>
      <c r="I261" s="4">
        <v>0</v>
      </c>
      <c r="J261" s="184"/>
      <c r="K261" s="184"/>
    </row>
    <row r="262" spans="1:11" ht="16.5" customHeight="1" outlineLevel="1" x14ac:dyDescent="0.25">
      <c r="A262" s="184"/>
      <c r="B262" s="184"/>
      <c r="C262" s="184"/>
      <c r="D262" s="6">
        <v>2025</v>
      </c>
      <c r="E262" s="4">
        <f t="shared" si="18"/>
        <v>0</v>
      </c>
      <c r="F262" s="4">
        <v>0</v>
      </c>
      <c r="G262" s="4">
        <v>0</v>
      </c>
      <c r="H262" s="4">
        <v>0</v>
      </c>
      <c r="I262" s="4">
        <v>0</v>
      </c>
      <c r="J262" s="184"/>
      <c r="K262" s="184"/>
    </row>
    <row r="263" spans="1:11" ht="16.5" customHeight="1" outlineLevel="1" x14ac:dyDescent="0.25">
      <c r="A263" s="184" t="s">
        <v>849</v>
      </c>
      <c r="B263" s="184" t="s">
        <v>850</v>
      </c>
      <c r="C263" s="184" t="s">
        <v>1113</v>
      </c>
      <c r="D263" s="6" t="s">
        <v>8</v>
      </c>
      <c r="E263" s="4">
        <f t="shared" si="18"/>
        <v>900</v>
      </c>
      <c r="F263" s="4">
        <f>SUM(F264:F268)</f>
        <v>900</v>
      </c>
      <c r="G263" s="4">
        <f>SUM(G264:G268)</f>
        <v>0</v>
      </c>
      <c r="H263" s="4">
        <f>SUM(H264:H268)</f>
        <v>0</v>
      </c>
      <c r="I263" s="4">
        <f>SUM(I264:I268)</f>
        <v>0</v>
      </c>
      <c r="J263" s="184" t="s">
        <v>1141</v>
      </c>
      <c r="K263" s="184" t="s">
        <v>484</v>
      </c>
    </row>
    <row r="264" spans="1:11" ht="16.5" customHeight="1" outlineLevel="1" x14ac:dyDescent="0.25">
      <c r="A264" s="184"/>
      <c r="B264" s="184"/>
      <c r="C264" s="184"/>
      <c r="D264" s="6">
        <v>2021</v>
      </c>
      <c r="E264" s="4">
        <f t="shared" si="18"/>
        <v>0</v>
      </c>
      <c r="F264" s="4">
        <v>0</v>
      </c>
      <c r="G264" s="4">
        <v>0</v>
      </c>
      <c r="H264" s="4">
        <v>0</v>
      </c>
      <c r="I264" s="4">
        <v>0</v>
      </c>
      <c r="J264" s="184"/>
      <c r="K264" s="184"/>
    </row>
    <row r="265" spans="1:11" ht="16.5" customHeight="1" outlineLevel="1" x14ac:dyDescent="0.25">
      <c r="A265" s="184"/>
      <c r="B265" s="184"/>
      <c r="C265" s="184"/>
      <c r="D265" s="6">
        <v>2022</v>
      </c>
      <c r="E265" s="4">
        <v>900</v>
      </c>
      <c r="F265" s="4">
        <v>900</v>
      </c>
      <c r="G265" s="4">
        <v>0</v>
      </c>
      <c r="H265" s="4">
        <v>0</v>
      </c>
      <c r="I265" s="4">
        <v>0</v>
      </c>
      <c r="J265" s="184"/>
      <c r="K265" s="184"/>
    </row>
    <row r="266" spans="1:11" ht="16.5" customHeight="1" outlineLevel="1" x14ac:dyDescent="0.25">
      <c r="A266" s="184"/>
      <c r="B266" s="184"/>
      <c r="C266" s="184"/>
      <c r="D266" s="6">
        <v>2023</v>
      </c>
      <c r="E266" s="4">
        <f t="shared" si="18"/>
        <v>0</v>
      </c>
      <c r="F266" s="4">
        <v>0</v>
      </c>
      <c r="G266" s="4">
        <v>0</v>
      </c>
      <c r="H266" s="4">
        <v>0</v>
      </c>
      <c r="I266" s="4">
        <v>0</v>
      </c>
      <c r="J266" s="184"/>
      <c r="K266" s="184"/>
    </row>
    <row r="267" spans="1:11" ht="16.5" customHeight="1" outlineLevel="1" x14ac:dyDescent="0.25">
      <c r="A267" s="184"/>
      <c r="B267" s="184"/>
      <c r="C267" s="184"/>
      <c r="D267" s="6">
        <v>2024</v>
      </c>
      <c r="E267" s="4">
        <f t="shared" si="18"/>
        <v>0</v>
      </c>
      <c r="F267" s="4">
        <v>0</v>
      </c>
      <c r="G267" s="4">
        <v>0</v>
      </c>
      <c r="H267" s="4">
        <v>0</v>
      </c>
      <c r="I267" s="4">
        <v>0</v>
      </c>
      <c r="J267" s="184"/>
      <c r="K267" s="184"/>
    </row>
    <row r="268" spans="1:11" ht="16.5" customHeight="1" outlineLevel="1" x14ac:dyDescent="0.25">
      <c r="A268" s="184"/>
      <c r="B268" s="184"/>
      <c r="C268" s="184"/>
      <c r="D268" s="6">
        <v>2025</v>
      </c>
      <c r="E268" s="4">
        <f t="shared" si="18"/>
        <v>0</v>
      </c>
      <c r="F268" s="4">
        <v>0</v>
      </c>
      <c r="G268" s="4">
        <v>0</v>
      </c>
      <c r="H268" s="4">
        <v>0</v>
      </c>
      <c r="I268" s="4">
        <v>0</v>
      </c>
      <c r="J268" s="184"/>
      <c r="K268" s="184"/>
    </row>
    <row r="269" spans="1:11" ht="16.5" customHeight="1" outlineLevel="1" x14ac:dyDescent="0.25">
      <c r="A269" s="184" t="s">
        <v>852</v>
      </c>
      <c r="B269" s="184" t="s">
        <v>1142</v>
      </c>
      <c r="C269" s="184" t="s">
        <v>1113</v>
      </c>
      <c r="D269" s="6" t="s">
        <v>8</v>
      </c>
      <c r="E269" s="4">
        <f t="shared" si="18"/>
        <v>117456.592</v>
      </c>
      <c r="F269" s="4">
        <f>SUM(F270:F274)</f>
        <v>117456.592</v>
      </c>
      <c r="G269" s="4">
        <f>SUM(G270:G274)</f>
        <v>0</v>
      </c>
      <c r="H269" s="4">
        <f>SUM(H270:H274)</f>
        <v>0</v>
      </c>
      <c r="I269" s="4">
        <f>SUM(I270:I274)</f>
        <v>0</v>
      </c>
      <c r="J269" s="184" t="s">
        <v>1142</v>
      </c>
      <c r="K269" s="184" t="s">
        <v>597</v>
      </c>
    </row>
    <row r="270" spans="1:11" ht="16.5" customHeight="1" outlineLevel="1" x14ac:dyDescent="0.25">
      <c r="A270" s="184"/>
      <c r="B270" s="184"/>
      <c r="C270" s="184"/>
      <c r="D270" s="6">
        <v>2021</v>
      </c>
      <c r="E270" s="4">
        <f t="shared" si="18"/>
        <v>0</v>
      </c>
      <c r="F270" s="4">
        <v>0</v>
      </c>
      <c r="G270" s="4">
        <v>0</v>
      </c>
      <c r="H270" s="4">
        <v>0</v>
      </c>
      <c r="I270" s="4">
        <v>0</v>
      </c>
      <c r="J270" s="184"/>
      <c r="K270" s="184"/>
    </row>
    <row r="271" spans="1:11" ht="16.5" customHeight="1" outlineLevel="1" x14ac:dyDescent="0.25">
      <c r="A271" s="184"/>
      <c r="B271" s="184"/>
      <c r="C271" s="184"/>
      <c r="D271" s="6">
        <v>2022</v>
      </c>
      <c r="E271" s="4">
        <f t="shared" si="18"/>
        <v>24779.228999999999</v>
      </c>
      <c r="F271" s="4">
        <v>24779.228999999999</v>
      </c>
      <c r="G271" s="4">
        <v>0</v>
      </c>
      <c r="H271" s="4">
        <v>0</v>
      </c>
      <c r="I271" s="4">
        <v>0</v>
      </c>
      <c r="J271" s="184"/>
      <c r="K271" s="184"/>
    </row>
    <row r="272" spans="1:11" ht="16.5" customHeight="1" outlineLevel="1" x14ac:dyDescent="0.25">
      <c r="A272" s="184"/>
      <c r="B272" s="184"/>
      <c r="C272" s="184"/>
      <c r="D272" s="6">
        <v>2023</v>
      </c>
      <c r="E272" s="4">
        <f t="shared" si="18"/>
        <v>35051.025000000001</v>
      </c>
      <c r="F272" s="4">
        <f>25184.8+5003.055+4863.17</f>
        <v>35051.025000000001</v>
      </c>
      <c r="G272" s="4">
        <v>0</v>
      </c>
      <c r="H272" s="4">
        <v>0</v>
      </c>
      <c r="I272" s="4">
        <v>0</v>
      </c>
      <c r="J272" s="184"/>
      <c r="K272" s="184"/>
    </row>
    <row r="273" spans="1:11" ht="16.5" customHeight="1" outlineLevel="1" x14ac:dyDescent="0.25">
      <c r="A273" s="184"/>
      <c r="B273" s="184"/>
      <c r="C273" s="184"/>
      <c r="D273" s="6">
        <v>2024</v>
      </c>
      <c r="E273" s="4">
        <f t="shared" si="18"/>
        <v>28813.169000000002</v>
      </c>
      <c r="F273" s="4">
        <v>28813.169000000002</v>
      </c>
      <c r="G273" s="4">
        <v>0</v>
      </c>
      <c r="H273" s="4">
        <v>0</v>
      </c>
      <c r="I273" s="4">
        <v>0</v>
      </c>
      <c r="J273" s="184"/>
      <c r="K273" s="184"/>
    </row>
    <row r="274" spans="1:11" ht="16.5" customHeight="1" outlineLevel="1" x14ac:dyDescent="0.25">
      <c r="A274" s="184"/>
      <c r="B274" s="184"/>
      <c r="C274" s="184"/>
      <c r="D274" s="6">
        <v>2025</v>
      </c>
      <c r="E274" s="4">
        <f t="shared" si="18"/>
        <v>28813.169000000002</v>
      </c>
      <c r="F274" s="4">
        <v>28813.169000000002</v>
      </c>
      <c r="G274" s="4">
        <v>0</v>
      </c>
      <c r="H274" s="4">
        <v>0</v>
      </c>
      <c r="I274" s="4">
        <v>0</v>
      </c>
      <c r="J274" s="184"/>
      <c r="K274" s="184"/>
    </row>
    <row r="275" spans="1:11" ht="16.5" customHeight="1" outlineLevel="1" x14ac:dyDescent="0.25">
      <c r="A275" s="184" t="s">
        <v>1143</v>
      </c>
      <c r="B275" s="184" t="s">
        <v>1144</v>
      </c>
      <c r="C275" s="184">
        <v>2022</v>
      </c>
      <c r="D275" s="6" t="s">
        <v>8</v>
      </c>
      <c r="E275" s="4">
        <f t="shared" si="18"/>
        <v>0</v>
      </c>
      <c r="F275" s="4">
        <f>SUM(F276:F280)</f>
        <v>0</v>
      </c>
      <c r="G275" s="4">
        <f>SUM(G276:G280)</f>
        <v>0</v>
      </c>
      <c r="H275" s="4">
        <f>SUM(H276:H280)</f>
        <v>0</v>
      </c>
      <c r="I275" s="4">
        <f>SUM(I276:I280)</f>
        <v>0</v>
      </c>
      <c r="J275" s="184" t="s">
        <v>1145</v>
      </c>
      <c r="K275" s="184" t="s">
        <v>1146</v>
      </c>
    </row>
    <row r="276" spans="1:11" ht="16.5" customHeight="1" outlineLevel="1" x14ac:dyDescent="0.25">
      <c r="A276" s="184"/>
      <c r="B276" s="184"/>
      <c r="C276" s="184"/>
      <c r="D276" s="6">
        <v>2021</v>
      </c>
      <c r="E276" s="4">
        <f t="shared" si="18"/>
        <v>0</v>
      </c>
      <c r="F276" s="4">
        <v>0</v>
      </c>
      <c r="G276" s="4">
        <v>0</v>
      </c>
      <c r="H276" s="4">
        <v>0</v>
      </c>
      <c r="I276" s="4">
        <v>0</v>
      </c>
      <c r="J276" s="184"/>
      <c r="K276" s="184"/>
    </row>
    <row r="277" spans="1:11" ht="16.5" customHeight="1" outlineLevel="1" x14ac:dyDescent="0.25">
      <c r="A277" s="184"/>
      <c r="B277" s="184"/>
      <c r="C277" s="184"/>
      <c r="D277" s="6">
        <v>2022</v>
      </c>
      <c r="E277" s="4">
        <f t="shared" si="18"/>
        <v>0</v>
      </c>
      <c r="F277" s="4">
        <v>0</v>
      </c>
      <c r="G277" s="4">
        <v>0</v>
      </c>
      <c r="H277" s="4">
        <v>0</v>
      </c>
      <c r="I277" s="4">
        <v>0</v>
      </c>
      <c r="J277" s="184"/>
      <c r="K277" s="184"/>
    </row>
    <row r="278" spans="1:11" ht="16.5" customHeight="1" outlineLevel="1" x14ac:dyDescent="0.25">
      <c r="A278" s="184"/>
      <c r="B278" s="184"/>
      <c r="C278" s="184"/>
      <c r="D278" s="6">
        <v>2023</v>
      </c>
      <c r="E278" s="4">
        <f t="shared" si="18"/>
        <v>0</v>
      </c>
      <c r="F278" s="4">
        <v>0</v>
      </c>
      <c r="G278" s="4">
        <v>0</v>
      </c>
      <c r="H278" s="4">
        <v>0</v>
      </c>
      <c r="I278" s="4">
        <v>0</v>
      </c>
      <c r="J278" s="184"/>
      <c r="K278" s="184"/>
    </row>
    <row r="279" spans="1:11" ht="16.5" customHeight="1" outlineLevel="1" x14ac:dyDescent="0.25">
      <c r="A279" s="184"/>
      <c r="B279" s="184"/>
      <c r="C279" s="184"/>
      <c r="D279" s="6">
        <v>2024</v>
      </c>
      <c r="E279" s="4">
        <f t="shared" si="18"/>
        <v>0</v>
      </c>
      <c r="F279" s="4">
        <v>0</v>
      </c>
      <c r="G279" s="4">
        <v>0</v>
      </c>
      <c r="H279" s="4">
        <v>0</v>
      </c>
      <c r="I279" s="4">
        <v>0</v>
      </c>
      <c r="J279" s="184"/>
      <c r="K279" s="184"/>
    </row>
    <row r="280" spans="1:11" ht="16.5" customHeight="1" outlineLevel="1" x14ac:dyDescent="0.25">
      <c r="A280" s="184"/>
      <c r="B280" s="184"/>
      <c r="C280" s="184"/>
      <c r="D280" s="6">
        <v>2025</v>
      </c>
      <c r="E280" s="4">
        <f t="shared" si="18"/>
        <v>0</v>
      </c>
      <c r="F280" s="4">
        <v>0</v>
      </c>
      <c r="G280" s="4">
        <v>0</v>
      </c>
      <c r="H280" s="4">
        <v>0</v>
      </c>
      <c r="I280" s="4">
        <v>0</v>
      </c>
      <c r="J280" s="184"/>
      <c r="K280" s="184"/>
    </row>
    <row r="281" spans="1:11" ht="15.75" customHeight="1" outlineLevel="1" x14ac:dyDescent="0.25">
      <c r="A281" s="184" t="s">
        <v>1147</v>
      </c>
      <c r="B281" s="184" t="s">
        <v>1148</v>
      </c>
      <c r="C281" s="184">
        <v>2022</v>
      </c>
      <c r="D281" s="6" t="s">
        <v>8</v>
      </c>
      <c r="E281" s="4">
        <f t="shared" si="18"/>
        <v>17927.877</v>
      </c>
      <c r="F281" s="4">
        <f>SUM(F282:F286)</f>
        <v>17927.877</v>
      </c>
      <c r="G281" s="4">
        <f>SUM(G282:G286)</f>
        <v>0</v>
      </c>
      <c r="H281" s="4">
        <f>SUM(H282:H286)</f>
        <v>0</v>
      </c>
      <c r="I281" s="4">
        <f>SUM(I282:I286)</f>
        <v>0</v>
      </c>
      <c r="J281" s="184" t="s">
        <v>1149</v>
      </c>
      <c r="K281" s="184" t="s">
        <v>1150</v>
      </c>
    </row>
    <row r="282" spans="1:11" outlineLevel="1" x14ac:dyDescent="0.25">
      <c r="A282" s="184"/>
      <c r="B282" s="184"/>
      <c r="C282" s="184"/>
      <c r="D282" s="6">
        <v>2021</v>
      </c>
      <c r="E282" s="4">
        <f t="shared" si="18"/>
        <v>0</v>
      </c>
      <c r="F282" s="4">
        <v>0</v>
      </c>
      <c r="G282" s="4">
        <v>0</v>
      </c>
      <c r="H282" s="4">
        <v>0</v>
      </c>
      <c r="I282" s="4">
        <v>0</v>
      </c>
      <c r="J282" s="184"/>
      <c r="K282" s="184"/>
    </row>
    <row r="283" spans="1:11" outlineLevel="1" x14ac:dyDescent="0.25">
      <c r="A283" s="184"/>
      <c r="B283" s="184"/>
      <c r="C283" s="184"/>
      <c r="D283" s="6">
        <v>2022</v>
      </c>
      <c r="E283" s="4">
        <f t="shared" si="18"/>
        <v>17927.877</v>
      </c>
      <c r="F283" s="4">
        <v>17927.877</v>
      </c>
      <c r="G283" s="4">
        <v>0</v>
      </c>
      <c r="H283" s="4">
        <v>0</v>
      </c>
      <c r="I283" s="4">
        <v>0</v>
      </c>
      <c r="J283" s="184"/>
      <c r="K283" s="184"/>
    </row>
    <row r="284" spans="1:11" outlineLevel="1" x14ac:dyDescent="0.25">
      <c r="A284" s="184"/>
      <c r="B284" s="184"/>
      <c r="C284" s="184"/>
      <c r="D284" s="6">
        <v>2023</v>
      </c>
      <c r="E284" s="4">
        <f t="shared" si="18"/>
        <v>0</v>
      </c>
      <c r="F284" s="4">
        <v>0</v>
      </c>
      <c r="G284" s="4">
        <v>0</v>
      </c>
      <c r="H284" s="4">
        <v>0</v>
      </c>
      <c r="I284" s="4">
        <v>0</v>
      </c>
      <c r="J284" s="184"/>
      <c r="K284" s="184"/>
    </row>
    <row r="285" spans="1:11" outlineLevel="1" x14ac:dyDescent="0.25">
      <c r="A285" s="184"/>
      <c r="B285" s="184"/>
      <c r="C285" s="184"/>
      <c r="D285" s="6">
        <v>2024</v>
      </c>
      <c r="E285" s="4">
        <f t="shared" si="18"/>
        <v>0</v>
      </c>
      <c r="F285" s="4">
        <v>0</v>
      </c>
      <c r="G285" s="4">
        <v>0</v>
      </c>
      <c r="H285" s="4">
        <v>0</v>
      </c>
      <c r="I285" s="4">
        <v>0</v>
      </c>
      <c r="J285" s="184"/>
      <c r="K285" s="184"/>
    </row>
    <row r="286" spans="1:11" outlineLevel="1" x14ac:dyDescent="0.25">
      <c r="A286" s="184"/>
      <c r="B286" s="184"/>
      <c r="C286" s="184"/>
      <c r="D286" s="6">
        <v>2025</v>
      </c>
      <c r="E286" s="4">
        <f t="shared" si="18"/>
        <v>0</v>
      </c>
      <c r="F286" s="4">
        <v>0</v>
      </c>
      <c r="G286" s="4">
        <v>0</v>
      </c>
      <c r="H286" s="4">
        <v>0</v>
      </c>
      <c r="I286" s="4">
        <v>0</v>
      </c>
      <c r="J286" s="184"/>
      <c r="K286" s="184"/>
    </row>
    <row r="287" spans="1:11" ht="15.75" customHeight="1" outlineLevel="1" x14ac:dyDescent="0.25">
      <c r="A287" s="184" t="s">
        <v>1151</v>
      </c>
      <c r="B287" s="184" t="s">
        <v>1152</v>
      </c>
      <c r="C287" s="184">
        <v>2022</v>
      </c>
      <c r="D287" s="6" t="s">
        <v>8</v>
      </c>
      <c r="E287" s="4">
        <f t="shared" si="18"/>
        <v>82491</v>
      </c>
      <c r="F287" s="4">
        <f>SUM(F288:F292)</f>
        <v>82491</v>
      </c>
      <c r="G287" s="4">
        <f>SUM(G288:G292)</f>
        <v>0</v>
      </c>
      <c r="H287" s="4">
        <f>SUM(H288:H292)</f>
        <v>0</v>
      </c>
      <c r="I287" s="4">
        <f>SUM(I288:I292)</f>
        <v>0</v>
      </c>
      <c r="J287" s="184" t="s">
        <v>1153</v>
      </c>
      <c r="K287" s="184" t="s">
        <v>597</v>
      </c>
    </row>
    <row r="288" spans="1:11" ht="15" customHeight="1" outlineLevel="1" x14ac:dyDescent="0.25">
      <c r="A288" s="184"/>
      <c r="B288" s="184"/>
      <c r="C288" s="184"/>
      <c r="D288" s="6">
        <v>2021</v>
      </c>
      <c r="E288" s="4">
        <f t="shared" si="18"/>
        <v>0</v>
      </c>
      <c r="F288" s="4">
        <v>0</v>
      </c>
      <c r="G288" s="4">
        <v>0</v>
      </c>
      <c r="H288" s="4">
        <v>0</v>
      </c>
      <c r="I288" s="4">
        <v>0</v>
      </c>
      <c r="J288" s="184"/>
      <c r="K288" s="184"/>
    </row>
    <row r="289" spans="1:11" ht="15" customHeight="1" outlineLevel="1" x14ac:dyDescent="0.25">
      <c r="A289" s="184"/>
      <c r="B289" s="184"/>
      <c r="C289" s="184"/>
      <c r="D289" s="6">
        <v>2022</v>
      </c>
      <c r="E289" s="4">
        <f t="shared" si="18"/>
        <v>82491</v>
      </c>
      <c r="F289" s="4">
        <f>56859.756+25631.244</f>
        <v>82491</v>
      </c>
      <c r="G289" s="4">
        <v>0</v>
      </c>
      <c r="H289" s="4">
        <v>0</v>
      </c>
      <c r="I289" s="4">
        <v>0</v>
      </c>
      <c r="J289" s="184"/>
      <c r="K289" s="184"/>
    </row>
    <row r="290" spans="1:11" ht="15" customHeight="1" outlineLevel="1" x14ac:dyDescent="0.25">
      <c r="A290" s="184"/>
      <c r="B290" s="184"/>
      <c r="C290" s="184"/>
      <c r="D290" s="6">
        <v>2023</v>
      </c>
      <c r="E290" s="4">
        <f t="shared" si="18"/>
        <v>0</v>
      </c>
      <c r="F290" s="4">
        <v>0</v>
      </c>
      <c r="G290" s="4">
        <v>0</v>
      </c>
      <c r="H290" s="4">
        <v>0</v>
      </c>
      <c r="I290" s="4">
        <v>0</v>
      </c>
      <c r="J290" s="184"/>
      <c r="K290" s="184"/>
    </row>
    <row r="291" spans="1:11" ht="15" customHeight="1" outlineLevel="1" x14ac:dyDescent="0.25">
      <c r="A291" s="184"/>
      <c r="B291" s="184"/>
      <c r="C291" s="184"/>
      <c r="D291" s="6">
        <v>2024</v>
      </c>
      <c r="E291" s="4">
        <f t="shared" si="18"/>
        <v>0</v>
      </c>
      <c r="F291" s="4">
        <v>0</v>
      </c>
      <c r="G291" s="4">
        <v>0</v>
      </c>
      <c r="H291" s="4">
        <v>0</v>
      </c>
      <c r="I291" s="4">
        <v>0</v>
      </c>
      <c r="J291" s="184"/>
      <c r="K291" s="184"/>
    </row>
    <row r="292" spans="1:11" ht="15" customHeight="1" outlineLevel="1" x14ac:dyDescent="0.25">
      <c r="A292" s="184"/>
      <c r="B292" s="184"/>
      <c r="C292" s="184"/>
      <c r="D292" s="6">
        <v>2025</v>
      </c>
      <c r="E292" s="4">
        <f t="shared" si="18"/>
        <v>0</v>
      </c>
      <c r="F292" s="4">
        <v>0</v>
      </c>
      <c r="G292" s="4">
        <v>0</v>
      </c>
      <c r="H292" s="4">
        <v>0</v>
      </c>
      <c r="I292" s="4">
        <v>0</v>
      </c>
      <c r="J292" s="184"/>
      <c r="K292" s="184"/>
    </row>
    <row r="293" spans="1:11" outlineLevel="1" x14ac:dyDescent="0.25">
      <c r="A293" s="184" t="s">
        <v>1154</v>
      </c>
      <c r="B293" s="184" t="s">
        <v>1155</v>
      </c>
      <c r="C293" s="184">
        <v>2022</v>
      </c>
      <c r="D293" s="6" t="s">
        <v>8</v>
      </c>
      <c r="E293" s="4">
        <f t="shared" si="18"/>
        <v>0</v>
      </c>
      <c r="F293" s="4">
        <f>SUM(F294:F298)</f>
        <v>0</v>
      </c>
      <c r="G293" s="4">
        <f>SUM(G294:G298)</f>
        <v>0</v>
      </c>
      <c r="H293" s="4">
        <f>SUM(H294:H298)</f>
        <v>0</v>
      </c>
      <c r="I293" s="4">
        <f>SUM(I294:I298)</f>
        <v>0</v>
      </c>
      <c r="J293" s="184" t="s">
        <v>1156</v>
      </c>
      <c r="K293" s="184" t="s">
        <v>597</v>
      </c>
    </row>
    <row r="294" spans="1:11" outlineLevel="1" x14ac:dyDescent="0.25">
      <c r="A294" s="184"/>
      <c r="B294" s="184"/>
      <c r="C294" s="184"/>
      <c r="D294" s="6">
        <v>2021</v>
      </c>
      <c r="E294" s="4">
        <f t="shared" si="18"/>
        <v>0</v>
      </c>
      <c r="F294" s="4">
        <v>0</v>
      </c>
      <c r="G294" s="4">
        <v>0</v>
      </c>
      <c r="H294" s="4">
        <v>0</v>
      </c>
      <c r="I294" s="4">
        <v>0</v>
      </c>
      <c r="J294" s="184"/>
      <c r="K294" s="184"/>
    </row>
    <row r="295" spans="1:11" outlineLevel="1" x14ac:dyDescent="0.25">
      <c r="A295" s="184"/>
      <c r="B295" s="184"/>
      <c r="C295" s="184"/>
      <c r="D295" s="6">
        <v>2022</v>
      </c>
      <c r="E295" s="4">
        <f t="shared" si="18"/>
        <v>0</v>
      </c>
      <c r="F295" s="4">
        <v>0</v>
      </c>
      <c r="G295" s="4">
        <v>0</v>
      </c>
      <c r="H295" s="4">
        <v>0</v>
      </c>
      <c r="I295" s="4">
        <v>0</v>
      </c>
      <c r="J295" s="184"/>
      <c r="K295" s="184"/>
    </row>
    <row r="296" spans="1:11" outlineLevel="1" x14ac:dyDescent="0.25">
      <c r="A296" s="184"/>
      <c r="B296" s="184"/>
      <c r="C296" s="184"/>
      <c r="D296" s="6">
        <v>2023</v>
      </c>
      <c r="E296" s="4">
        <f t="shared" si="18"/>
        <v>0</v>
      </c>
      <c r="F296" s="4">
        <v>0</v>
      </c>
      <c r="G296" s="4">
        <v>0</v>
      </c>
      <c r="H296" s="4">
        <v>0</v>
      </c>
      <c r="I296" s="4">
        <v>0</v>
      </c>
      <c r="J296" s="184"/>
      <c r="K296" s="184"/>
    </row>
    <row r="297" spans="1:11" outlineLevel="1" x14ac:dyDescent="0.25">
      <c r="A297" s="184"/>
      <c r="B297" s="184"/>
      <c r="C297" s="184"/>
      <c r="D297" s="6">
        <v>2024</v>
      </c>
      <c r="E297" s="4">
        <f t="shared" si="18"/>
        <v>0</v>
      </c>
      <c r="F297" s="4">
        <v>0</v>
      </c>
      <c r="G297" s="4">
        <v>0</v>
      </c>
      <c r="H297" s="4">
        <v>0</v>
      </c>
      <c r="I297" s="4">
        <v>0</v>
      </c>
      <c r="J297" s="184"/>
      <c r="K297" s="184"/>
    </row>
    <row r="298" spans="1:11" outlineLevel="1" x14ac:dyDescent="0.25">
      <c r="A298" s="184"/>
      <c r="B298" s="184"/>
      <c r="C298" s="184"/>
      <c r="D298" s="6">
        <v>2025</v>
      </c>
      <c r="E298" s="4">
        <f t="shared" si="18"/>
        <v>0</v>
      </c>
      <c r="F298" s="4">
        <v>0</v>
      </c>
      <c r="G298" s="4">
        <v>0</v>
      </c>
      <c r="H298" s="4">
        <v>0</v>
      </c>
      <c r="I298" s="4">
        <v>0</v>
      </c>
      <c r="J298" s="184"/>
      <c r="K298" s="184"/>
    </row>
    <row r="299" spans="1:11" outlineLevel="1" x14ac:dyDescent="0.25">
      <c r="A299" s="184" t="s">
        <v>1157</v>
      </c>
      <c r="B299" s="184" t="s">
        <v>1158</v>
      </c>
      <c r="C299" s="184">
        <v>2022</v>
      </c>
      <c r="D299" s="6" t="s">
        <v>8</v>
      </c>
      <c r="E299" s="4">
        <f t="shared" si="18"/>
        <v>7114.4989999999998</v>
      </c>
      <c r="F299" s="4">
        <f>SUM(F300:F304)</f>
        <v>7114.4989999999998</v>
      </c>
      <c r="G299" s="4">
        <f>SUM(G300:G304)</f>
        <v>0</v>
      </c>
      <c r="H299" s="4">
        <f>SUM(H300:H304)</f>
        <v>0</v>
      </c>
      <c r="I299" s="4">
        <f>SUM(I300:I304)</f>
        <v>0</v>
      </c>
      <c r="J299" s="184" t="s">
        <v>1159</v>
      </c>
      <c r="K299" s="184" t="s">
        <v>597</v>
      </c>
    </row>
    <row r="300" spans="1:11" outlineLevel="1" x14ac:dyDescent="0.25">
      <c r="A300" s="184"/>
      <c r="B300" s="184"/>
      <c r="C300" s="184"/>
      <c r="D300" s="6">
        <v>2021</v>
      </c>
      <c r="E300" s="4">
        <f t="shared" si="18"/>
        <v>0</v>
      </c>
      <c r="F300" s="4">
        <v>0</v>
      </c>
      <c r="G300" s="4">
        <v>0</v>
      </c>
      <c r="H300" s="4">
        <v>0</v>
      </c>
      <c r="I300" s="4">
        <v>0</v>
      </c>
      <c r="J300" s="184"/>
      <c r="K300" s="184"/>
    </row>
    <row r="301" spans="1:11" outlineLevel="1" x14ac:dyDescent="0.25">
      <c r="A301" s="184"/>
      <c r="B301" s="184"/>
      <c r="C301" s="184"/>
      <c r="D301" s="6">
        <v>2022</v>
      </c>
      <c r="E301" s="4">
        <f t="shared" si="18"/>
        <v>3486.1039999999998</v>
      </c>
      <c r="F301" s="4">
        <f>1682.37+32.07+1771.664</f>
        <v>3486.1039999999998</v>
      </c>
      <c r="G301" s="4">
        <v>0</v>
      </c>
      <c r="H301" s="4">
        <v>0</v>
      </c>
      <c r="I301" s="4">
        <v>0</v>
      </c>
      <c r="J301" s="184"/>
      <c r="K301" s="184"/>
    </row>
    <row r="302" spans="1:11" outlineLevel="1" x14ac:dyDescent="0.25">
      <c r="A302" s="184"/>
      <c r="B302" s="184"/>
      <c r="C302" s="184"/>
      <c r="D302" s="6">
        <v>2023</v>
      </c>
      <c r="E302" s="4">
        <f t="shared" si="18"/>
        <v>3628.395</v>
      </c>
      <c r="F302" s="4">
        <v>3628.395</v>
      </c>
      <c r="G302" s="4">
        <v>0</v>
      </c>
      <c r="H302" s="4">
        <v>0</v>
      </c>
      <c r="I302" s="4">
        <v>0</v>
      </c>
      <c r="J302" s="184"/>
      <c r="K302" s="184"/>
    </row>
    <row r="303" spans="1:11" outlineLevel="1" x14ac:dyDescent="0.25">
      <c r="A303" s="184"/>
      <c r="B303" s="184"/>
      <c r="C303" s="184"/>
      <c r="D303" s="6">
        <v>2024</v>
      </c>
      <c r="E303" s="4">
        <f t="shared" si="18"/>
        <v>0</v>
      </c>
      <c r="F303" s="4">
        <v>0</v>
      </c>
      <c r="G303" s="4">
        <v>0</v>
      </c>
      <c r="H303" s="4">
        <v>0</v>
      </c>
      <c r="I303" s="4">
        <v>0</v>
      </c>
      <c r="J303" s="184"/>
      <c r="K303" s="184"/>
    </row>
    <row r="304" spans="1:11" outlineLevel="1" x14ac:dyDescent="0.25">
      <c r="A304" s="184"/>
      <c r="B304" s="184"/>
      <c r="C304" s="184"/>
      <c r="D304" s="6">
        <v>2025</v>
      </c>
      <c r="E304" s="4">
        <f t="shared" si="18"/>
        <v>0</v>
      </c>
      <c r="F304" s="4">
        <v>0</v>
      </c>
      <c r="G304" s="4">
        <v>0</v>
      </c>
      <c r="H304" s="4">
        <v>0</v>
      </c>
      <c r="I304" s="4">
        <v>0</v>
      </c>
      <c r="J304" s="184"/>
      <c r="K304" s="184"/>
    </row>
    <row r="305" spans="1:11" ht="20.100000000000001" customHeight="1" outlineLevel="1" x14ac:dyDescent="0.25">
      <c r="A305" s="184" t="s">
        <v>1160</v>
      </c>
      <c r="B305" s="184" t="s">
        <v>1737</v>
      </c>
      <c r="C305" s="184" t="s">
        <v>14</v>
      </c>
      <c r="D305" s="6" t="s">
        <v>8</v>
      </c>
      <c r="E305" s="4">
        <f>SUM(E306:E310)</f>
        <v>16200.621999999999</v>
      </c>
      <c r="F305" s="4">
        <f>SUM(F306:F310)</f>
        <v>16200.621999999999</v>
      </c>
      <c r="G305" s="4">
        <f>SUM(G306:G310)</f>
        <v>0</v>
      </c>
      <c r="H305" s="4">
        <f>SUM(H306:H310)</f>
        <v>0</v>
      </c>
      <c r="I305" s="4">
        <f>SUM(I306:I310)</f>
        <v>0</v>
      </c>
      <c r="J305" s="184" t="s">
        <v>1161</v>
      </c>
      <c r="K305" s="184" t="s">
        <v>1162</v>
      </c>
    </row>
    <row r="306" spans="1:11" ht="20.100000000000001" customHeight="1" outlineLevel="1" x14ac:dyDescent="0.25">
      <c r="A306" s="184"/>
      <c r="B306" s="184"/>
      <c r="C306" s="184"/>
      <c r="D306" s="6">
        <v>2021</v>
      </c>
      <c r="E306" s="4">
        <f t="shared" ref="E306:E310" si="19">SUM(F306:I306)</f>
        <v>0</v>
      </c>
      <c r="F306" s="4">
        <v>0</v>
      </c>
      <c r="G306" s="4">
        <v>0</v>
      </c>
      <c r="H306" s="4">
        <v>0</v>
      </c>
      <c r="I306" s="4">
        <v>0</v>
      </c>
      <c r="J306" s="184"/>
      <c r="K306" s="184"/>
    </row>
    <row r="307" spans="1:11" ht="20.100000000000001" customHeight="1" outlineLevel="1" x14ac:dyDescent="0.25">
      <c r="A307" s="184"/>
      <c r="B307" s="184"/>
      <c r="C307" s="184"/>
      <c r="D307" s="6">
        <v>2022</v>
      </c>
      <c r="E307" s="4">
        <f t="shared" si="19"/>
        <v>0</v>
      </c>
      <c r="F307" s="4">
        <v>0</v>
      </c>
      <c r="G307" s="4">
        <v>0</v>
      </c>
      <c r="H307" s="4">
        <v>0</v>
      </c>
      <c r="I307" s="4">
        <v>0</v>
      </c>
      <c r="J307" s="184"/>
      <c r="K307" s="184"/>
    </row>
    <row r="308" spans="1:11" ht="20.100000000000001" customHeight="1" outlineLevel="1" x14ac:dyDescent="0.25">
      <c r="A308" s="184"/>
      <c r="B308" s="184"/>
      <c r="C308" s="184"/>
      <c r="D308" s="6">
        <v>2023</v>
      </c>
      <c r="E308" s="4">
        <f t="shared" si="19"/>
        <v>16200.621999999999</v>
      </c>
      <c r="F308" s="4">
        <v>16200.621999999999</v>
      </c>
      <c r="G308" s="4">
        <v>0</v>
      </c>
      <c r="H308" s="4">
        <v>0</v>
      </c>
      <c r="I308" s="4">
        <v>0</v>
      </c>
      <c r="J308" s="184"/>
      <c r="K308" s="184"/>
    </row>
    <row r="309" spans="1:11" ht="20.100000000000001" customHeight="1" outlineLevel="1" x14ac:dyDescent="0.25">
      <c r="A309" s="184"/>
      <c r="B309" s="184"/>
      <c r="C309" s="184"/>
      <c r="D309" s="6">
        <v>2024</v>
      </c>
      <c r="E309" s="4">
        <f t="shared" si="19"/>
        <v>0</v>
      </c>
      <c r="F309" s="4">
        <v>0</v>
      </c>
      <c r="G309" s="4">
        <v>0</v>
      </c>
      <c r="H309" s="4">
        <v>0</v>
      </c>
      <c r="I309" s="4">
        <v>0</v>
      </c>
      <c r="J309" s="184"/>
      <c r="K309" s="184"/>
    </row>
    <row r="310" spans="1:11" ht="20.100000000000001" customHeight="1" outlineLevel="1" x14ac:dyDescent="0.25">
      <c r="A310" s="184"/>
      <c r="B310" s="184"/>
      <c r="C310" s="184"/>
      <c r="D310" s="6">
        <v>2025</v>
      </c>
      <c r="E310" s="4">
        <f t="shared" si="19"/>
        <v>0</v>
      </c>
      <c r="F310" s="4">
        <v>0</v>
      </c>
      <c r="G310" s="4">
        <v>0</v>
      </c>
      <c r="H310" s="4">
        <v>0</v>
      </c>
      <c r="I310" s="4">
        <v>0</v>
      </c>
      <c r="J310" s="184"/>
      <c r="K310" s="184"/>
    </row>
    <row r="311" spans="1:11" ht="36.75" customHeight="1" outlineLevel="1" x14ac:dyDescent="0.25">
      <c r="A311" s="184" t="s">
        <v>78</v>
      </c>
      <c r="B311" s="184" t="s">
        <v>538</v>
      </c>
      <c r="C311" s="184" t="s">
        <v>14</v>
      </c>
      <c r="D311" s="6" t="s">
        <v>8</v>
      </c>
      <c r="E311" s="4">
        <f t="shared" si="18"/>
        <v>305334.17021000001</v>
      </c>
      <c r="F311" s="4">
        <f>SUM(F312:F316)</f>
        <v>219800</v>
      </c>
      <c r="G311" s="4">
        <f>SUM(G312:G316)</f>
        <v>0</v>
      </c>
      <c r="H311" s="4">
        <f>SUM(H312:H316)</f>
        <v>85534.170209999997</v>
      </c>
      <c r="I311" s="4">
        <f>SUM(I312:I316)</f>
        <v>0</v>
      </c>
      <c r="J311" s="184" t="s">
        <v>539</v>
      </c>
      <c r="K311" s="184" t="s">
        <v>515</v>
      </c>
    </row>
    <row r="312" spans="1:11" ht="30.75" customHeight="1" outlineLevel="1" x14ac:dyDescent="0.25">
      <c r="A312" s="184"/>
      <c r="B312" s="184"/>
      <c r="C312" s="184"/>
      <c r="D312" s="6">
        <v>2021</v>
      </c>
      <c r="E312" s="4">
        <f t="shared" si="18"/>
        <v>54717.700210000003</v>
      </c>
      <c r="F312" s="4">
        <f t="shared" ref="F312:I316" si="20">F324+F318</f>
        <v>41400</v>
      </c>
      <c r="G312" s="4">
        <f t="shared" si="20"/>
        <v>0</v>
      </c>
      <c r="H312" s="4">
        <f t="shared" si="20"/>
        <v>13317.700210000001</v>
      </c>
      <c r="I312" s="4">
        <f t="shared" si="20"/>
        <v>0</v>
      </c>
      <c r="J312" s="184"/>
      <c r="K312" s="184"/>
    </row>
    <row r="313" spans="1:11" ht="40.5" customHeight="1" outlineLevel="1" x14ac:dyDescent="0.25">
      <c r="A313" s="184"/>
      <c r="B313" s="184"/>
      <c r="C313" s="184"/>
      <c r="D313" s="6">
        <v>2022</v>
      </c>
      <c r="E313" s="4">
        <f t="shared" si="18"/>
        <v>67577.179999999993</v>
      </c>
      <c r="F313" s="4">
        <f t="shared" si="20"/>
        <v>47800</v>
      </c>
      <c r="G313" s="4">
        <f t="shared" si="20"/>
        <v>0</v>
      </c>
      <c r="H313" s="4">
        <f t="shared" si="20"/>
        <v>19777.18</v>
      </c>
      <c r="I313" s="4">
        <f t="shared" si="20"/>
        <v>0</v>
      </c>
      <c r="J313" s="184"/>
      <c r="K313" s="184"/>
    </row>
    <row r="314" spans="1:11" ht="35.25" customHeight="1" outlineLevel="1" x14ac:dyDescent="0.25">
      <c r="A314" s="184"/>
      <c r="B314" s="184"/>
      <c r="C314" s="184"/>
      <c r="D314" s="6">
        <v>2023</v>
      </c>
      <c r="E314" s="4">
        <f t="shared" si="18"/>
        <v>67577.23</v>
      </c>
      <c r="F314" s="4">
        <f t="shared" si="20"/>
        <v>47800</v>
      </c>
      <c r="G314" s="4">
        <f t="shared" si="20"/>
        <v>0</v>
      </c>
      <c r="H314" s="4">
        <f t="shared" si="20"/>
        <v>19777.23</v>
      </c>
      <c r="I314" s="4">
        <f t="shared" si="20"/>
        <v>0</v>
      </c>
      <c r="J314" s="184"/>
      <c r="K314" s="184"/>
    </row>
    <row r="315" spans="1:11" ht="30" customHeight="1" outlineLevel="1" x14ac:dyDescent="0.25">
      <c r="A315" s="184"/>
      <c r="B315" s="184"/>
      <c r="C315" s="184"/>
      <c r="D315" s="6">
        <v>2024</v>
      </c>
      <c r="E315" s="4">
        <f t="shared" si="18"/>
        <v>57731.03</v>
      </c>
      <c r="F315" s="4">
        <f t="shared" si="20"/>
        <v>41400</v>
      </c>
      <c r="G315" s="4">
        <f t="shared" si="20"/>
        <v>0</v>
      </c>
      <c r="H315" s="4">
        <f t="shared" si="20"/>
        <v>16331.03</v>
      </c>
      <c r="I315" s="4">
        <f t="shared" si="20"/>
        <v>0</v>
      </c>
      <c r="J315" s="184"/>
      <c r="K315" s="184"/>
    </row>
    <row r="316" spans="1:11" ht="33.75" customHeight="1" outlineLevel="1" x14ac:dyDescent="0.25">
      <c r="A316" s="184"/>
      <c r="B316" s="184"/>
      <c r="C316" s="184"/>
      <c r="D316" s="6">
        <v>2025</v>
      </c>
      <c r="E316" s="4">
        <f t="shared" si="18"/>
        <v>57731.03</v>
      </c>
      <c r="F316" s="4">
        <f t="shared" si="20"/>
        <v>41400</v>
      </c>
      <c r="G316" s="4">
        <f t="shared" si="20"/>
        <v>0</v>
      </c>
      <c r="H316" s="4">
        <f t="shared" si="20"/>
        <v>16331.03</v>
      </c>
      <c r="I316" s="4">
        <f t="shared" si="20"/>
        <v>0</v>
      </c>
      <c r="J316" s="184"/>
      <c r="K316" s="184"/>
    </row>
    <row r="317" spans="1:11" ht="17.100000000000001" customHeight="1" outlineLevel="1" x14ac:dyDescent="0.25">
      <c r="A317" s="184" t="s">
        <v>81</v>
      </c>
      <c r="B317" s="184" t="s">
        <v>82</v>
      </c>
      <c r="C317" s="184">
        <v>2021</v>
      </c>
      <c r="D317" s="6" t="s">
        <v>8</v>
      </c>
      <c r="E317" s="4">
        <f>SUM(E318:E322)</f>
        <v>29493.268840000001</v>
      </c>
      <c r="F317" s="4">
        <f>SUM(F318:F322)</f>
        <v>19200</v>
      </c>
      <c r="G317" s="4">
        <f>SUM(G318:G322)</f>
        <v>0</v>
      </c>
      <c r="H317" s="4">
        <f>SUM(H318:H322)</f>
        <v>10293.268840000001</v>
      </c>
      <c r="I317" s="4">
        <f>SUM(I318:I322)</f>
        <v>0</v>
      </c>
      <c r="J317" s="184" t="s">
        <v>83</v>
      </c>
      <c r="K317" s="184" t="s">
        <v>515</v>
      </c>
    </row>
    <row r="318" spans="1:11" ht="27" customHeight="1" outlineLevel="1" x14ac:dyDescent="0.25">
      <c r="A318" s="184"/>
      <c r="B318" s="184"/>
      <c r="C318" s="184"/>
      <c r="D318" s="6">
        <v>2021</v>
      </c>
      <c r="E318" s="4">
        <f t="shared" ref="E318:E322" si="21">SUM(F318:I318)</f>
        <v>9800.9188400000003</v>
      </c>
      <c r="F318" s="4">
        <v>6400</v>
      </c>
      <c r="G318" s="4">
        <v>0</v>
      </c>
      <c r="H318" s="4">
        <v>3400.9188399999998</v>
      </c>
      <c r="I318" s="4">
        <v>0</v>
      </c>
      <c r="J318" s="184"/>
      <c r="K318" s="184"/>
    </row>
    <row r="319" spans="1:11" ht="23.25" customHeight="1" outlineLevel="1" x14ac:dyDescent="0.25">
      <c r="A319" s="184"/>
      <c r="B319" s="184"/>
      <c r="C319" s="184"/>
      <c r="D319" s="6">
        <v>2022</v>
      </c>
      <c r="E319" s="4">
        <f t="shared" si="21"/>
        <v>9846.15</v>
      </c>
      <c r="F319" s="4">
        <v>6400</v>
      </c>
      <c r="G319" s="4">
        <v>0</v>
      </c>
      <c r="H319" s="4">
        <v>3446.15</v>
      </c>
      <c r="I319" s="4">
        <v>0</v>
      </c>
      <c r="J319" s="184"/>
      <c r="K319" s="184"/>
    </row>
    <row r="320" spans="1:11" ht="25.5" customHeight="1" outlineLevel="1" x14ac:dyDescent="0.25">
      <c r="A320" s="184"/>
      <c r="B320" s="184"/>
      <c r="C320" s="184"/>
      <c r="D320" s="6">
        <v>2023</v>
      </c>
      <c r="E320" s="4">
        <f t="shared" si="21"/>
        <v>9846.2000000000007</v>
      </c>
      <c r="F320" s="4">
        <v>6400</v>
      </c>
      <c r="G320" s="4">
        <v>0</v>
      </c>
      <c r="H320" s="4">
        <v>3446.2</v>
      </c>
      <c r="I320" s="4">
        <v>0</v>
      </c>
      <c r="J320" s="184"/>
      <c r="K320" s="184"/>
    </row>
    <row r="321" spans="1:11" ht="25.5" customHeight="1" outlineLevel="1" x14ac:dyDescent="0.25">
      <c r="A321" s="184"/>
      <c r="B321" s="184"/>
      <c r="C321" s="184"/>
      <c r="D321" s="6">
        <v>2024</v>
      </c>
      <c r="E321" s="4">
        <f t="shared" si="21"/>
        <v>0</v>
      </c>
      <c r="F321" s="4">
        <v>0</v>
      </c>
      <c r="G321" s="4">
        <v>0</v>
      </c>
      <c r="H321" s="4">
        <v>0</v>
      </c>
      <c r="I321" s="4">
        <v>0</v>
      </c>
      <c r="J321" s="184"/>
      <c r="K321" s="184"/>
    </row>
    <row r="322" spans="1:11" ht="21.75" customHeight="1" outlineLevel="1" x14ac:dyDescent="0.25">
      <c r="A322" s="184"/>
      <c r="B322" s="184"/>
      <c r="C322" s="184"/>
      <c r="D322" s="6">
        <v>2025</v>
      </c>
      <c r="E322" s="4">
        <f t="shared" si="21"/>
        <v>0</v>
      </c>
      <c r="F322" s="4">
        <v>0</v>
      </c>
      <c r="G322" s="4">
        <v>0</v>
      </c>
      <c r="H322" s="4">
        <v>0</v>
      </c>
      <c r="I322" s="4">
        <v>0</v>
      </c>
      <c r="J322" s="184"/>
      <c r="K322" s="184"/>
    </row>
    <row r="323" spans="1:11" ht="20.100000000000001" customHeight="1" outlineLevel="1" x14ac:dyDescent="0.25">
      <c r="A323" s="184" t="s">
        <v>540</v>
      </c>
      <c r="B323" s="184" t="s">
        <v>541</v>
      </c>
      <c r="C323" s="184" t="s">
        <v>14</v>
      </c>
      <c r="D323" s="6" t="s">
        <v>8</v>
      </c>
      <c r="E323" s="4">
        <f>SUM(E324:E328)</f>
        <v>275840.90136999998</v>
      </c>
      <c r="F323" s="4">
        <f>SUM(F324:F328)</f>
        <v>200600</v>
      </c>
      <c r="G323" s="4">
        <f>SUM(G324:G328)</f>
        <v>0</v>
      </c>
      <c r="H323" s="4">
        <f>SUM(H324:H328)</f>
        <v>75240.901370000007</v>
      </c>
      <c r="I323" s="4">
        <f>SUM(I324:I328)</f>
        <v>0</v>
      </c>
      <c r="J323" s="184" t="s">
        <v>542</v>
      </c>
      <c r="K323" s="184" t="s">
        <v>515</v>
      </c>
    </row>
    <row r="324" spans="1:11" ht="20.100000000000001" customHeight="1" outlineLevel="1" x14ac:dyDescent="0.25">
      <c r="A324" s="184"/>
      <c r="B324" s="184"/>
      <c r="C324" s="184"/>
      <c r="D324" s="6">
        <v>2021</v>
      </c>
      <c r="E324" s="4">
        <f t="shared" ref="E324:E358" si="22">SUM(F324:I324)</f>
        <v>44916.781369999997</v>
      </c>
      <c r="F324" s="4">
        <v>35000</v>
      </c>
      <c r="G324" s="4">
        <v>0</v>
      </c>
      <c r="H324" s="4">
        <v>9916.7813700000006</v>
      </c>
      <c r="I324" s="4">
        <v>0</v>
      </c>
      <c r="J324" s="184"/>
      <c r="K324" s="184"/>
    </row>
    <row r="325" spans="1:11" ht="20.100000000000001" customHeight="1" outlineLevel="1" x14ac:dyDescent="0.25">
      <c r="A325" s="184"/>
      <c r="B325" s="184"/>
      <c r="C325" s="184"/>
      <c r="D325" s="6">
        <v>2022</v>
      </c>
      <c r="E325" s="4">
        <f t="shared" si="22"/>
        <v>57731.03</v>
      </c>
      <c r="F325" s="4">
        <v>41400</v>
      </c>
      <c r="G325" s="4">
        <v>0</v>
      </c>
      <c r="H325" s="4">
        <v>16331.03</v>
      </c>
      <c r="I325" s="4">
        <v>0</v>
      </c>
      <c r="J325" s="184"/>
      <c r="K325" s="184"/>
    </row>
    <row r="326" spans="1:11" ht="20.100000000000001" customHeight="1" outlineLevel="1" x14ac:dyDescent="0.25">
      <c r="A326" s="184"/>
      <c r="B326" s="184"/>
      <c r="C326" s="184"/>
      <c r="D326" s="6">
        <v>2023</v>
      </c>
      <c r="E326" s="4">
        <f t="shared" si="22"/>
        <v>57731.03</v>
      </c>
      <c r="F326" s="4">
        <v>41400</v>
      </c>
      <c r="G326" s="4">
        <v>0</v>
      </c>
      <c r="H326" s="4">
        <v>16331.03</v>
      </c>
      <c r="I326" s="4">
        <v>0</v>
      </c>
      <c r="J326" s="184"/>
      <c r="K326" s="184"/>
    </row>
    <row r="327" spans="1:11" ht="20.100000000000001" customHeight="1" outlineLevel="1" x14ac:dyDescent="0.25">
      <c r="A327" s="184"/>
      <c r="B327" s="184"/>
      <c r="C327" s="184"/>
      <c r="D327" s="6">
        <v>2024</v>
      </c>
      <c r="E327" s="4">
        <f t="shared" si="22"/>
        <v>57731.03</v>
      </c>
      <c r="F327" s="4">
        <v>41400</v>
      </c>
      <c r="G327" s="4">
        <v>0</v>
      </c>
      <c r="H327" s="4">
        <v>16331.03</v>
      </c>
      <c r="I327" s="4">
        <v>0</v>
      </c>
      <c r="J327" s="184"/>
      <c r="K327" s="184"/>
    </row>
    <row r="328" spans="1:11" ht="20.100000000000001" customHeight="1" outlineLevel="1" x14ac:dyDescent="0.25">
      <c r="A328" s="184"/>
      <c r="B328" s="184"/>
      <c r="C328" s="184"/>
      <c r="D328" s="6">
        <v>2025</v>
      </c>
      <c r="E328" s="4">
        <f t="shared" si="22"/>
        <v>57731.03</v>
      </c>
      <c r="F328" s="4">
        <v>41400</v>
      </c>
      <c r="G328" s="4">
        <v>0</v>
      </c>
      <c r="H328" s="4">
        <v>16331.03</v>
      </c>
      <c r="I328" s="4">
        <v>0</v>
      </c>
      <c r="J328" s="184"/>
      <c r="K328" s="184"/>
    </row>
    <row r="329" spans="1:11" ht="15.75" customHeight="1" outlineLevel="1" x14ac:dyDescent="0.25">
      <c r="A329" s="184" t="s">
        <v>84</v>
      </c>
      <c r="B329" s="184" t="s">
        <v>40</v>
      </c>
      <c r="C329" s="184" t="s">
        <v>41</v>
      </c>
      <c r="D329" s="6" t="s">
        <v>8</v>
      </c>
      <c r="E329" s="4">
        <f t="shared" si="22"/>
        <v>80809.751939999987</v>
      </c>
      <c r="F329" s="4">
        <f>SUM(F330:F334)</f>
        <v>9396.9685700000009</v>
      </c>
      <c r="G329" s="4">
        <f>SUM(G330:G334)</f>
        <v>71412.78336999999</v>
      </c>
      <c r="H329" s="4">
        <f>SUM(H330:H334)</f>
        <v>0</v>
      </c>
      <c r="I329" s="4">
        <f>SUM(I330:I334)</f>
        <v>0</v>
      </c>
      <c r="J329" s="184" t="s">
        <v>85</v>
      </c>
      <c r="K329" s="184" t="s">
        <v>486</v>
      </c>
    </row>
    <row r="330" spans="1:11" outlineLevel="1" x14ac:dyDescent="0.25">
      <c r="A330" s="184"/>
      <c r="B330" s="184"/>
      <c r="C330" s="184"/>
      <c r="D330" s="6">
        <v>2021</v>
      </c>
      <c r="E330" s="4">
        <f t="shared" si="22"/>
        <v>27296.712679999997</v>
      </c>
      <c r="F330" s="4">
        <f t="shared" ref="F330:I334" si="23">F336+F342</f>
        <v>3105.6126800000002</v>
      </c>
      <c r="G330" s="4">
        <f t="shared" si="23"/>
        <v>24191.1</v>
      </c>
      <c r="H330" s="4">
        <f t="shared" si="23"/>
        <v>0</v>
      </c>
      <c r="I330" s="4">
        <f t="shared" si="23"/>
        <v>0</v>
      </c>
      <c r="J330" s="184"/>
      <c r="K330" s="184"/>
    </row>
    <row r="331" spans="1:11" outlineLevel="1" x14ac:dyDescent="0.25">
      <c r="A331" s="184"/>
      <c r="B331" s="184"/>
      <c r="C331" s="184"/>
      <c r="D331" s="6">
        <v>2022</v>
      </c>
      <c r="E331" s="4">
        <f t="shared" si="22"/>
        <v>18900.377</v>
      </c>
      <c r="F331" s="4">
        <f t="shared" si="23"/>
        <v>2711.0770000000002</v>
      </c>
      <c r="G331" s="4">
        <f t="shared" si="23"/>
        <v>16189.3</v>
      </c>
      <c r="H331" s="4">
        <f t="shared" si="23"/>
        <v>0</v>
      </c>
      <c r="I331" s="4">
        <f t="shared" si="23"/>
        <v>0</v>
      </c>
      <c r="J331" s="184"/>
      <c r="K331" s="184"/>
    </row>
    <row r="332" spans="1:11" outlineLevel="1" x14ac:dyDescent="0.25">
      <c r="A332" s="184"/>
      <c r="B332" s="184"/>
      <c r="C332" s="184"/>
      <c r="D332" s="6">
        <v>2023</v>
      </c>
      <c r="E332" s="4">
        <f t="shared" si="22"/>
        <v>11802.74826</v>
      </c>
      <c r="F332" s="4">
        <f t="shared" si="23"/>
        <v>708.16489000000001</v>
      </c>
      <c r="G332" s="4">
        <f t="shared" si="23"/>
        <v>11094.58337</v>
      </c>
      <c r="H332" s="4">
        <f t="shared" si="23"/>
        <v>0</v>
      </c>
      <c r="I332" s="4">
        <f t="shared" si="23"/>
        <v>0</v>
      </c>
      <c r="J332" s="184"/>
      <c r="K332" s="184"/>
    </row>
    <row r="333" spans="1:11" outlineLevel="1" x14ac:dyDescent="0.25">
      <c r="A333" s="184"/>
      <c r="B333" s="184"/>
      <c r="C333" s="184"/>
      <c r="D333" s="6">
        <v>2024</v>
      </c>
      <c r="E333" s="4">
        <f t="shared" si="22"/>
        <v>22809.914000000001</v>
      </c>
      <c r="F333" s="4">
        <f t="shared" si="23"/>
        <v>2872.114</v>
      </c>
      <c r="G333" s="4">
        <f t="shared" si="23"/>
        <v>19937.8</v>
      </c>
      <c r="H333" s="4">
        <f t="shared" si="23"/>
        <v>0</v>
      </c>
      <c r="I333" s="4">
        <f t="shared" si="23"/>
        <v>0</v>
      </c>
      <c r="J333" s="184"/>
      <c r="K333" s="184"/>
    </row>
    <row r="334" spans="1:11" outlineLevel="1" x14ac:dyDescent="0.25">
      <c r="A334" s="184"/>
      <c r="B334" s="184"/>
      <c r="C334" s="184"/>
      <c r="D334" s="6">
        <v>2025</v>
      </c>
      <c r="E334" s="4">
        <f t="shared" si="22"/>
        <v>0</v>
      </c>
      <c r="F334" s="4">
        <f t="shared" si="23"/>
        <v>0</v>
      </c>
      <c r="G334" s="4">
        <f t="shared" si="23"/>
        <v>0</v>
      </c>
      <c r="H334" s="4">
        <f t="shared" si="23"/>
        <v>0</v>
      </c>
      <c r="I334" s="4">
        <f t="shared" si="23"/>
        <v>0</v>
      </c>
      <c r="J334" s="184"/>
      <c r="K334" s="184"/>
    </row>
    <row r="335" spans="1:11" ht="19.5" customHeight="1" outlineLevel="1" x14ac:dyDescent="0.25">
      <c r="A335" s="184" t="s">
        <v>86</v>
      </c>
      <c r="B335" s="184" t="s">
        <v>87</v>
      </c>
      <c r="C335" s="184" t="s">
        <v>41</v>
      </c>
      <c r="D335" s="6" t="s">
        <v>8</v>
      </c>
      <c r="E335" s="4">
        <f t="shared" si="22"/>
        <v>56905.539389999998</v>
      </c>
      <c r="F335" s="4">
        <f>SUM(F336:F340)</f>
        <v>3414.2560199999998</v>
      </c>
      <c r="G335" s="4">
        <f>SUM(G336:G340)</f>
        <v>53491.283369999997</v>
      </c>
      <c r="H335" s="4">
        <f>SUM(H336:H340)</f>
        <v>0</v>
      </c>
      <c r="I335" s="4">
        <f>SUM(I336:I340)</f>
        <v>0</v>
      </c>
      <c r="J335" s="184" t="s">
        <v>1746</v>
      </c>
      <c r="K335" s="184" t="s">
        <v>515</v>
      </c>
    </row>
    <row r="336" spans="1:11" ht="15" customHeight="1" outlineLevel="1" x14ac:dyDescent="0.25">
      <c r="A336" s="184"/>
      <c r="B336" s="184"/>
      <c r="C336" s="184"/>
      <c r="D336" s="6">
        <v>2021</v>
      </c>
      <c r="E336" s="4">
        <f t="shared" si="22"/>
        <v>20914.599999999999</v>
      </c>
      <c r="F336" s="4">
        <v>1254.8</v>
      </c>
      <c r="G336" s="4">
        <v>19659.8</v>
      </c>
      <c r="H336" s="4">
        <v>0</v>
      </c>
      <c r="I336" s="4">
        <v>0</v>
      </c>
      <c r="J336" s="184"/>
      <c r="K336" s="184"/>
    </row>
    <row r="337" spans="1:11" ht="16.5" customHeight="1" outlineLevel="1" x14ac:dyDescent="0.25">
      <c r="A337" s="184"/>
      <c r="B337" s="184"/>
      <c r="C337" s="184"/>
      <c r="D337" s="6">
        <v>2022</v>
      </c>
      <c r="E337" s="4">
        <f t="shared" si="22"/>
        <v>12043.617</v>
      </c>
      <c r="F337" s="4">
        <v>722.61699999999996</v>
      </c>
      <c r="G337" s="4">
        <v>11321</v>
      </c>
      <c r="H337" s="4">
        <v>0</v>
      </c>
      <c r="I337" s="4">
        <v>0</v>
      </c>
      <c r="J337" s="184"/>
      <c r="K337" s="184"/>
    </row>
    <row r="338" spans="1:11" ht="14.25" customHeight="1" outlineLevel="1" x14ac:dyDescent="0.25">
      <c r="A338" s="184"/>
      <c r="B338" s="184"/>
      <c r="C338" s="184"/>
      <c r="D338" s="6">
        <v>2023</v>
      </c>
      <c r="E338" s="4">
        <f t="shared" si="22"/>
        <v>7674.45039</v>
      </c>
      <c r="F338" s="4">
        <v>460.46701999999999</v>
      </c>
      <c r="G338" s="4">
        <v>7213.9833699999999</v>
      </c>
      <c r="H338" s="4">
        <v>0</v>
      </c>
      <c r="I338" s="4">
        <v>0</v>
      </c>
      <c r="J338" s="184"/>
      <c r="K338" s="184"/>
    </row>
    <row r="339" spans="1:11" ht="12.75" customHeight="1" outlineLevel="1" x14ac:dyDescent="0.25">
      <c r="A339" s="184"/>
      <c r="B339" s="184"/>
      <c r="C339" s="184"/>
      <c r="D339" s="6">
        <v>2024</v>
      </c>
      <c r="E339" s="4">
        <f t="shared" si="22"/>
        <v>16272.871999999999</v>
      </c>
      <c r="F339" s="4">
        <v>976.37199999999996</v>
      </c>
      <c r="G339" s="4">
        <v>15296.5</v>
      </c>
      <c r="H339" s="4">
        <v>0</v>
      </c>
      <c r="I339" s="4">
        <v>0</v>
      </c>
      <c r="J339" s="184"/>
      <c r="K339" s="184"/>
    </row>
    <row r="340" spans="1:11" ht="14.25" customHeight="1" outlineLevel="1" x14ac:dyDescent="0.25">
      <c r="A340" s="184"/>
      <c r="B340" s="184"/>
      <c r="C340" s="184"/>
      <c r="D340" s="6">
        <v>2025</v>
      </c>
      <c r="E340" s="4">
        <f t="shared" si="22"/>
        <v>0</v>
      </c>
      <c r="F340" s="4">
        <v>0</v>
      </c>
      <c r="G340" s="4">
        <v>0</v>
      </c>
      <c r="H340" s="4">
        <v>0</v>
      </c>
      <c r="I340" s="4">
        <v>0</v>
      </c>
      <c r="J340" s="184"/>
      <c r="K340" s="184"/>
    </row>
    <row r="341" spans="1:11" ht="15.95" customHeight="1" x14ac:dyDescent="0.25">
      <c r="A341" s="184" t="s">
        <v>855</v>
      </c>
      <c r="B341" s="184" t="s">
        <v>90</v>
      </c>
      <c r="C341" s="184" t="s">
        <v>41</v>
      </c>
      <c r="D341" s="6" t="s">
        <v>8</v>
      </c>
      <c r="E341" s="4">
        <f t="shared" si="22"/>
        <v>23904.21255</v>
      </c>
      <c r="F341" s="4">
        <f>SUM(F342:F346)</f>
        <v>5982.7125500000002</v>
      </c>
      <c r="G341" s="4">
        <f>SUM(G342:G346)</f>
        <v>17921.5</v>
      </c>
      <c r="H341" s="4">
        <f>SUM(H342:H346)</f>
        <v>0</v>
      </c>
      <c r="I341" s="4">
        <f>SUM(I342:I346)</f>
        <v>0</v>
      </c>
      <c r="J341" s="184" t="s">
        <v>544</v>
      </c>
      <c r="K341" s="184" t="s">
        <v>486</v>
      </c>
    </row>
    <row r="342" spans="1:11" ht="15.95" customHeight="1" x14ac:dyDescent="0.25">
      <c r="A342" s="184"/>
      <c r="B342" s="184"/>
      <c r="C342" s="184"/>
      <c r="D342" s="6">
        <v>2021</v>
      </c>
      <c r="E342" s="4">
        <f t="shared" si="22"/>
        <v>6382.1126800000002</v>
      </c>
      <c r="F342" s="4">
        <v>1850.81268</v>
      </c>
      <c r="G342" s="4">
        <v>4531.3</v>
      </c>
      <c r="H342" s="4">
        <v>0</v>
      </c>
      <c r="I342" s="4">
        <v>0</v>
      </c>
      <c r="J342" s="184"/>
      <c r="K342" s="184"/>
    </row>
    <row r="343" spans="1:11" ht="15.95" customHeight="1" x14ac:dyDescent="0.25">
      <c r="A343" s="184"/>
      <c r="B343" s="184"/>
      <c r="C343" s="184"/>
      <c r="D343" s="6">
        <v>2022</v>
      </c>
      <c r="E343" s="4">
        <f t="shared" si="22"/>
        <v>6856.76</v>
      </c>
      <c r="F343" s="4">
        <v>1988.46</v>
      </c>
      <c r="G343" s="4">
        <v>4868.3</v>
      </c>
      <c r="H343" s="4">
        <v>0</v>
      </c>
      <c r="I343" s="4">
        <v>0</v>
      </c>
      <c r="J343" s="184"/>
      <c r="K343" s="184"/>
    </row>
    <row r="344" spans="1:11" ht="15.95" customHeight="1" x14ac:dyDescent="0.25">
      <c r="A344" s="184"/>
      <c r="B344" s="184"/>
      <c r="C344" s="184"/>
      <c r="D344" s="6">
        <v>2023</v>
      </c>
      <c r="E344" s="4">
        <f t="shared" si="22"/>
        <v>4128.2978700000003</v>
      </c>
      <c r="F344" s="4">
        <f>1812.41254-1564.71467</f>
        <v>247.69786999999997</v>
      </c>
      <c r="G344" s="4">
        <v>3880.6</v>
      </c>
      <c r="H344" s="4">
        <v>0</v>
      </c>
      <c r="I344" s="4">
        <v>0</v>
      </c>
      <c r="J344" s="184"/>
      <c r="K344" s="184"/>
    </row>
    <row r="345" spans="1:11" ht="15.95" customHeight="1" x14ac:dyDescent="0.25">
      <c r="A345" s="184"/>
      <c r="B345" s="184"/>
      <c r="C345" s="184"/>
      <c r="D345" s="6">
        <v>2024</v>
      </c>
      <c r="E345" s="4">
        <f t="shared" si="22"/>
        <v>6537.0420000000004</v>
      </c>
      <c r="F345" s="4">
        <v>1895.742</v>
      </c>
      <c r="G345" s="4">
        <v>4641.3</v>
      </c>
      <c r="H345" s="4">
        <v>0</v>
      </c>
      <c r="I345" s="4">
        <v>0</v>
      </c>
      <c r="J345" s="184"/>
      <c r="K345" s="184"/>
    </row>
    <row r="346" spans="1:11" ht="15.95" customHeight="1" x14ac:dyDescent="0.25">
      <c r="A346" s="184"/>
      <c r="B346" s="184"/>
      <c r="C346" s="184"/>
      <c r="D346" s="6">
        <v>2025</v>
      </c>
      <c r="E346" s="4">
        <f t="shared" si="22"/>
        <v>0</v>
      </c>
      <c r="F346" s="4">
        <v>0</v>
      </c>
      <c r="G346" s="4">
        <v>0</v>
      </c>
      <c r="H346" s="4">
        <v>0</v>
      </c>
      <c r="I346" s="4">
        <v>0</v>
      </c>
      <c r="J346" s="184"/>
      <c r="K346" s="184"/>
    </row>
    <row r="347" spans="1:11" ht="15" customHeight="1" outlineLevel="1" x14ac:dyDescent="0.25">
      <c r="A347" s="184" t="s">
        <v>93</v>
      </c>
      <c r="B347" s="184" t="s">
        <v>94</v>
      </c>
      <c r="C347" s="184" t="s">
        <v>14</v>
      </c>
      <c r="D347" s="6" t="s">
        <v>8</v>
      </c>
      <c r="E347" s="4">
        <f>SUM(F347:I347)</f>
        <v>4795867.2091147518</v>
      </c>
      <c r="F347" s="4">
        <f>SUM(F348:F352)</f>
        <v>3593997.72749</v>
      </c>
      <c r="G347" s="4">
        <f>SUM(G348:G352)</f>
        <v>1089688.432</v>
      </c>
      <c r="H347" s="4">
        <f>SUM(H348:H352)</f>
        <v>112181.04962475087</v>
      </c>
      <c r="I347" s="4">
        <v>0</v>
      </c>
      <c r="J347" s="184"/>
      <c r="K347" s="184" t="s">
        <v>1735</v>
      </c>
    </row>
    <row r="348" spans="1:11" outlineLevel="1" x14ac:dyDescent="0.25">
      <c r="A348" s="184"/>
      <c r="B348" s="184"/>
      <c r="C348" s="184"/>
      <c r="D348" s="6">
        <v>2021</v>
      </c>
      <c r="E348" s="4">
        <f t="shared" si="22"/>
        <v>542284.02945165033</v>
      </c>
      <c r="F348" s="4">
        <f>F354+F474+F732+F678+F690+F714</f>
        <v>254674.71701999998</v>
      </c>
      <c r="G348" s="4">
        <f t="shared" ref="G348:H348" si="24">G354+G474+G732+G678+G690+G714</f>
        <v>257488.69899999999</v>
      </c>
      <c r="H348" s="4">
        <f t="shared" si="24"/>
        <v>30120.613431650385</v>
      </c>
      <c r="I348" s="4">
        <f t="shared" ref="I348:I352" si="25">I354+I474+I732+I678+I690</f>
        <v>0</v>
      </c>
      <c r="J348" s="184"/>
      <c r="K348" s="184"/>
    </row>
    <row r="349" spans="1:11" outlineLevel="1" x14ac:dyDescent="0.25">
      <c r="A349" s="184"/>
      <c r="B349" s="184"/>
      <c r="C349" s="184"/>
      <c r="D349" s="6">
        <v>2022</v>
      </c>
      <c r="E349" s="4">
        <f t="shared" si="22"/>
        <v>1321007.9192131003</v>
      </c>
      <c r="F349" s="4">
        <f t="shared" ref="F349:H352" si="26">F355+F475+F733+F679+F691+F715</f>
        <v>1034922.16776</v>
      </c>
      <c r="G349" s="4">
        <f t="shared" si="26"/>
        <v>225488.99299999999</v>
      </c>
      <c r="H349" s="4">
        <f t="shared" si="26"/>
        <v>60596.75845310052</v>
      </c>
      <c r="I349" s="4">
        <f t="shared" si="25"/>
        <v>0</v>
      </c>
      <c r="J349" s="184"/>
      <c r="K349" s="184"/>
    </row>
    <row r="350" spans="1:11" outlineLevel="1" x14ac:dyDescent="0.25">
      <c r="A350" s="184"/>
      <c r="B350" s="184"/>
      <c r="C350" s="184"/>
      <c r="D350" s="6">
        <v>2023</v>
      </c>
      <c r="E350" s="4">
        <f t="shared" si="22"/>
        <v>681485.69619999989</v>
      </c>
      <c r="F350" s="4">
        <f t="shared" si="26"/>
        <v>247612.67846</v>
      </c>
      <c r="G350" s="4">
        <f t="shared" si="26"/>
        <v>424710.74</v>
      </c>
      <c r="H350" s="4">
        <f t="shared" si="26"/>
        <v>9162.2777399999759</v>
      </c>
      <c r="I350" s="4">
        <f t="shared" si="25"/>
        <v>0</v>
      </c>
      <c r="J350" s="184"/>
      <c r="K350" s="184"/>
    </row>
    <row r="351" spans="1:11" outlineLevel="1" x14ac:dyDescent="0.25">
      <c r="A351" s="184"/>
      <c r="B351" s="184"/>
      <c r="C351" s="184"/>
      <c r="D351" s="6">
        <v>2024</v>
      </c>
      <c r="E351" s="4">
        <f t="shared" si="22"/>
        <v>1522297.1272499999</v>
      </c>
      <c r="F351" s="4">
        <f t="shared" si="26"/>
        <v>1432784.72725</v>
      </c>
      <c r="G351" s="4">
        <f t="shared" si="26"/>
        <v>78000</v>
      </c>
      <c r="H351" s="4">
        <f t="shared" si="26"/>
        <v>11512.4</v>
      </c>
      <c r="I351" s="4">
        <f t="shared" si="25"/>
        <v>0</v>
      </c>
      <c r="J351" s="184"/>
      <c r="K351" s="184"/>
    </row>
    <row r="352" spans="1:11" outlineLevel="1" x14ac:dyDescent="0.25">
      <c r="A352" s="184"/>
      <c r="B352" s="184"/>
      <c r="C352" s="184"/>
      <c r="D352" s="6">
        <v>2025</v>
      </c>
      <c r="E352" s="4">
        <f t="shared" si="22"/>
        <v>728792.43700000003</v>
      </c>
      <c r="F352" s="4">
        <f>F358+F478+F736+F682+F694+F718</f>
        <v>624003.43700000003</v>
      </c>
      <c r="G352" s="4">
        <f t="shared" si="26"/>
        <v>104000</v>
      </c>
      <c r="H352" s="4">
        <f t="shared" si="26"/>
        <v>789</v>
      </c>
      <c r="I352" s="4">
        <f t="shared" si="25"/>
        <v>0</v>
      </c>
      <c r="J352" s="184"/>
      <c r="K352" s="184"/>
    </row>
    <row r="353" spans="1:12" ht="14.25" customHeight="1" outlineLevel="1" x14ac:dyDescent="0.25">
      <c r="A353" s="184" t="s">
        <v>96</v>
      </c>
      <c r="B353" s="184" t="s">
        <v>97</v>
      </c>
      <c r="C353" s="184" t="s">
        <v>14</v>
      </c>
      <c r="D353" s="6" t="s">
        <v>8</v>
      </c>
      <c r="E353" s="4">
        <f t="shared" si="22"/>
        <v>281420.94170292461</v>
      </c>
      <c r="F353" s="4">
        <f>SUM(F354:F358)</f>
        <v>236674.3248</v>
      </c>
      <c r="G353" s="4">
        <f>SUM(G354:G358)</f>
        <v>0</v>
      </c>
      <c r="H353" s="4">
        <f>SUM(H354:H358)</f>
        <v>44746.61690292463</v>
      </c>
      <c r="I353" s="4">
        <v>0</v>
      </c>
      <c r="J353" s="184" t="s">
        <v>98</v>
      </c>
      <c r="K353" s="184" t="s">
        <v>546</v>
      </c>
    </row>
    <row r="354" spans="1:12" ht="14.25" customHeight="1" outlineLevel="1" x14ac:dyDescent="0.25">
      <c r="A354" s="184"/>
      <c r="B354" s="184"/>
      <c r="C354" s="184"/>
      <c r="D354" s="6">
        <v>2021</v>
      </c>
      <c r="E354" s="4">
        <f t="shared" si="22"/>
        <v>69576.494685752899</v>
      </c>
      <c r="F354" s="4">
        <f>F360+F366+F372+F378+F384+F390+F396+F402+F408+F414+F420+F426+F432+F438+F444+F450+F456</f>
        <v>55989.257299999997</v>
      </c>
      <c r="G354" s="4">
        <f t="shared" ref="F354:H358" si="27">G360+G366+G372+G378+G384+G390+G396+G402+G408+G414+G420+G426+G432+G438+G444+G450+G456</f>
        <v>0</v>
      </c>
      <c r="H354" s="4">
        <f t="shared" si="27"/>
        <v>13587.237385752907</v>
      </c>
      <c r="I354" s="4">
        <v>0</v>
      </c>
      <c r="J354" s="184"/>
      <c r="K354" s="184"/>
    </row>
    <row r="355" spans="1:12" ht="14.25" customHeight="1" outlineLevel="1" x14ac:dyDescent="0.25">
      <c r="A355" s="184"/>
      <c r="B355" s="184"/>
      <c r="C355" s="184"/>
      <c r="D355" s="6">
        <v>2022</v>
      </c>
      <c r="E355" s="4">
        <f t="shared" si="22"/>
        <v>199844.44701717171</v>
      </c>
      <c r="F355" s="4">
        <f>F361+F367+F373+F379+F385+F391+F397+F403+F409+F415+F421+F427+F433+F439+F445+F451+F457+F463</f>
        <v>171685.0675</v>
      </c>
      <c r="G355" s="4">
        <f t="shared" si="27"/>
        <v>0</v>
      </c>
      <c r="H355" s="4">
        <f>H361+H367+H373+H379+H385+H391+H397+H403+H409+H415+H421+H427+H433+H439+H445+H451+H457+H463</f>
        <v>28159.379517171721</v>
      </c>
      <c r="I355" s="4">
        <v>0</v>
      </c>
      <c r="J355" s="184"/>
      <c r="K355" s="184"/>
      <c r="L355" s="5" t="s">
        <v>858</v>
      </c>
    </row>
    <row r="356" spans="1:12" ht="14.25" customHeight="1" outlineLevel="1" x14ac:dyDescent="0.25">
      <c r="A356" s="184"/>
      <c r="B356" s="184"/>
      <c r="C356" s="184"/>
      <c r="D356" s="6">
        <v>2023</v>
      </c>
      <c r="E356" s="4">
        <f t="shared" si="22"/>
        <v>12000</v>
      </c>
      <c r="F356" s="4">
        <f t="shared" si="27"/>
        <v>9000</v>
      </c>
      <c r="G356" s="4">
        <f>G362+G368+G374+G380+G386+G392+G398+G404+G410+G416+G422+G428+G434+G440+G446+G452+G458+G470</f>
        <v>0</v>
      </c>
      <c r="H356" s="4">
        <f t="shared" si="27"/>
        <v>3000</v>
      </c>
      <c r="I356" s="4">
        <v>0</v>
      </c>
      <c r="J356" s="184"/>
      <c r="K356" s="184"/>
    </row>
    <row r="357" spans="1:12" ht="14.25" customHeight="1" outlineLevel="1" x14ac:dyDescent="0.25">
      <c r="A357" s="184"/>
      <c r="B357" s="184"/>
      <c r="C357" s="184"/>
      <c r="D357" s="6">
        <v>2024</v>
      </c>
      <c r="E357" s="4">
        <f t="shared" si="22"/>
        <v>0</v>
      </c>
      <c r="F357" s="4">
        <f t="shared" si="27"/>
        <v>0</v>
      </c>
      <c r="G357" s="4">
        <f t="shared" si="27"/>
        <v>0</v>
      </c>
      <c r="H357" s="4">
        <f t="shared" si="27"/>
        <v>0</v>
      </c>
      <c r="I357" s="4">
        <v>0</v>
      </c>
      <c r="J357" s="184"/>
      <c r="K357" s="184"/>
    </row>
    <row r="358" spans="1:12" ht="14.25" customHeight="1" outlineLevel="1" x14ac:dyDescent="0.25">
      <c r="A358" s="184"/>
      <c r="B358" s="184"/>
      <c r="C358" s="184"/>
      <c r="D358" s="6">
        <v>2025</v>
      </c>
      <c r="E358" s="4">
        <f t="shared" si="22"/>
        <v>0</v>
      </c>
      <c r="F358" s="4">
        <f t="shared" si="27"/>
        <v>0</v>
      </c>
      <c r="G358" s="4">
        <f t="shared" si="27"/>
        <v>0</v>
      </c>
      <c r="H358" s="4">
        <f t="shared" si="27"/>
        <v>0</v>
      </c>
      <c r="I358" s="4">
        <v>0</v>
      </c>
      <c r="J358" s="184"/>
      <c r="K358" s="184"/>
    </row>
    <row r="359" spans="1:12" ht="12" customHeight="1" outlineLevel="1" x14ac:dyDescent="0.25">
      <c r="A359" s="184" t="s">
        <v>100</v>
      </c>
      <c r="B359" s="184" t="s">
        <v>101</v>
      </c>
      <c r="C359" s="184" t="s">
        <v>19</v>
      </c>
      <c r="D359" s="6" t="s">
        <v>8</v>
      </c>
      <c r="E359" s="4">
        <f>SUM(E360:E364)</f>
        <v>6584.2777657004835</v>
      </c>
      <c r="F359" s="4">
        <f>SUM(F360:F364)</f>
        <v>5451.7819900000004</v>
      </c>
      <c r="G359" s="4">
        <f>SUM(G360:G364)</f>
        <v>0</v>
      </c>
      <c r="H359" s="4">
        <f>SUM(H360:H364)</f>
        <v>1132.4957757004834</v>
      </c>
      <c r="I359" s="4">
        <f>SUM(I360:I364)</f>
        <v>0</v>
      </c>
      <c r="J359" s="184" t="s">
        <v>102</v>
      </c>
      <c r="K359" s="184" t="s">
        <v>547</v>
      </c>
    </row>
    <row r="360" spans="1:12" ht="12" customHeight="1" outlineLevel="1" x14ac:dyDescent="0.25">
      <c r="A360" s="184"/>
      <c r="B360" s="184"/>
      <c r="C360" s="184"/>
      <c r="D360" s="6">
        <v>2021</v>
      </c>
      <c r="E360" s="4">
        <f t="shared" ref="E360:E364" si="28">SUM(F360:I360)</f>
        <v>6584.2777657004835</v>
      </c>
      <c r="F360" s="4">
        <v>5451.7819900000004</v>
      </c>
      <c r="G360" s="4">
        <v>0</v>
      </c>
      <c r="H360" s="4">
        <f>F360/82.8*17.2</f>
        <v>1132.4957757004834</v>
      </c>
      <c r="I360" s="4">
        <v>0</v>
      </c>
      <c r="J360" s="184"/>
      <c r="K360" s="184"/>
    </row>
    <row r="361" spans="1:12" ht="12" customHeight="1" outlineLevel="1" x14ac:dyDescent="0.25">
      <c r="A361" s="184"/>
      <c r="B361" s="184"/>
      <c r="C361" s="184"/>
      <c r="D361" s="6">
        <v>2022</v>
      </c>
      <c r="E361" s="4">
        <f t="shared" si="28"/>
        <v>0</v>
      </c>
      <c r="F361" s="4">
        <v>0</v>
      </c>
      <c r="G361" s="4">
        <v>0</v>
      </c>
      <c r="H361" s="4">
        <v>0</v>
      </c>
      <c r="I361" s="4">
        <v>0</v>
      </c>
      <c r="J361" s="184"/>
      <c r="K361" s="184"/>
      <c r="L361" s="5" t="s">
        <v>858</v>
      </c>
    </row>
    <row r="362" spans="1:12" ht="12" customHeight="1" outlineLevel="1" x14ac:dyDescent="0.25">
      <c r="A362" s="184"/>
      <c r="B362" s="184"/>
      <c r="C362" s="184"/>
      <c r="D362" s="6">
        <v>2023</v>
      </c>
      <c r="E362" s="4">
        <f t="shared" si="28"/>
        <v>0</v>
      </c>
      <c r="F362" s="4">
        <v>0</v>
      </c>
      <c r="G362" s="4">
        <v>0</v>
      </c>
      <c r="H362" s="4">
        <v>0</v>
      </c>
      <c r="I362" s="4">
        <v>0</v>
      </c>
      <c r="J362" s="184"/>
      <c r="K362" s="184"/>
    </row>
    <row r="363" spans="1:12" ht="12" customHeight="1" outlineLevel="1" x14ac:dyDescent="0.25">
      <c r="A363" s="184"/>
      <c r="B363" s="184"/>
      <c r="C363" s="184"/>
      <c r="D363" s="6">
        <v>2024</v>
      </c>
      <c r="E363" s="4">
        <f t="shared" si="28"/>
        <v>0</v>
      </c>
      <c r="F363" s="4">
        <v>0</v>
      </c>
      <c r="G363" s="4">
        <v>0</v>
      </c>
      <c r="H363" s="4">
        <v>0</v>
      </c>
      <c r="I363" s="4">
        <v>0</v>
      </c>
      <c r="J363" s="184"/>
      <c r="K363" s="184"/>
    </row>
    <row r="364" spans="1:12" ht="12" customHeight="1" outlineLevel="1" x14ac:dyDescent="0.25">
      <c r="A364" s="184"/>
      <c r="B364" s="184"/>
      <c r="C364" s="184"/>
      <c r="D364" s="6">
        <v>2025</v>
      </c>
      <c r="E364" s="4">
        <f t="shared" si="28"/>
        <v>0</v>
      </c>
      <c r="F364" s="4">
        <v>0</v>
      </c>
      <c r="G364" s="4">
        <v>0</v>
      </c>
      <c r="H364" s="4">
        <v>0</v>
      </c>
      <c r="I364" s="4">
        <v>0</v>
      </c>
      <c r="J364" s="184"/>
      <c r="K364" s="184"/>
    </row>
    <row r="365" spans="1:12" ht="15" customHeight="1" outlineLevel="1" x14ac:dyDescent="0.25">
      <c r="A365" s="184" t="s">
        <v>548</v>
      </c>
      <c r="B365" s="184" t="s">
        <v>442</v>
      </c>
      <c r="C365" s="184">
        <v>2021</v>
      </c>
      <c r="D365" s="6" t="s">
        <v>8</v>
      </c>
      <c r="E365" s="4">
        <f>SUM(E366:E370)</f>
        <v>42104.816920052421</v>
      </c>
      <c r="F365" s="4">
        <f>SUM(F366:F370)</f>
        <v>32125.975309999998</v>
      </c>
      <c r="G365" s="4">
        <f>SUM(G366:G370)</f>
        <v>0</v>
      </c>
      <c r="H365" s="4">
        <f>SUM(H366:H370)</f>
        <v>9978.8416100524246</v>
      </c>
      <c r="I365" s="4">
        <f>SUM(I366:I370)</f>
        <v>0</v>
      </c>
      <c r="J365" s="184" t="s">
        <v>549</v>
      </c>
      <c r="K365" s="184" t="s">
        <v>547</v>
      </c>
    </row>
    <row r="366" spans="1:12" ht="15" customHeight="1" outlineLevel="1" x14ac:dyDescent="0.25">
      <c r="A366" s="184"/>
      <c r="B366" s="184"/>
      <c r="C366" s="184"/>
      <c r="D366" s="6">
        <v>2021</v>
      </c>
      <c r="E366" s="4">
        <f t="shared" ref="E366:E429" si="29">SUM(F366:I366)</f>
        <v>42104.816920052421</v>
      </c>
      <c r="F366" s="4">
        <f>32125975.31/1000</f>
        <v>32125.975309999998</v>
      </c>
      <c r="G366" s="4">
        <v>0</v>
      </c>
      <c r="H366" s="4">
        <f>F366/76.3*23.7</f>
        <v>9978.8416100524246</v>
      </c>
      <c r="I366" s="4">
        <v>0</v>
      </c>
      <c r="J366" s="184"/>
      <c r="K366" s="184"/>
    </row>
    <row r="367" spans="1:12" outlineLevel="1" x14ac:dyDescent="0.25">
      <c r="A367" s="184"/>
      <c r="B367" s="184"/>
      <c r="C367" s="184"/>
      <c r="D367" s="6">
        <v>2022</v>
      </c>
      <c r="E367" s="4">
        <f t="shared" si="29"/>
        <v>0</v>
      </c>
      <c r="F367" s="4">
        <v>0</v>
      </c>
      <c r="G367" s="4">
        <v>0</v>
      </c>
      <c r="H367" s="4">
        <v>0</v>
      </c>
      <c r="I367" s="4">
        <v>0</v>
      </c>
      <c r="J367" s="184"/>
      <c r="K367" s="184"/>
    </row>
    <row r="368" spans="1:12" outlineLevel="1" x14ac:dyDescent="0.25">
      <c r="A368" s="184"/>
      <c r="B368" s="184"/>
      <c r="C368" s="184"/>
      <c r="D368" s="6">
        <v>2023</v>
      </c>
      <c r="E368" s="4">
        <f t="shared" si="29"/>
        <v>0</v>
      </c>
      <c r="F368" s="4">
        <v>0</v>
      </c>
      <c r="G368" s="4">
        <v>0</v>
      </c>
      <c r="H368" s="4">
        <v>0</v>
      </c>
      <c r="I368" s="4">
        <v>0</v>
      </c>
      <c r="J368" s="184"/>
      <c r="K368" s="184"/>
    </row>
    <row r="369" spans="1:12" outlineLevel="1" x14ac:dyDescent="0.25">
      <c r="A369" s="184"/>
      <c r="B369" s="184"/>
      <c r="C369" s="184"/>
      <c r="D369" s="6">
        <v>2024</v>
      </c>
      <c r="E369" s="4">
        <f t="shared" si="29"/>
        <v>0</v>
      </c>
      <c r="F369" s="4">
        <v>0</v>
      </c>
      <c r="G369" s="4">
        <v>0</v>
      </c>
      <c r="H369" s="4">
        <v>0</v>
      </c>
      <c r="I369" s="4">
        <v>0</v>
      </c>
      <c r="J369" s="184"/>
      <c r="K369" s="184"/>
    </row>
    <row r="370" spans="1:12" ht="14.25" customHeight="1" outlineLevel="1" x14ac:dyDescent="0.25">
      <c r="A370" s="184"/>
      <c r="B370" s="184"/>
      <c r="C370" s="184"/>
      <c r="D370" s="6">
        <v>2025</v>
      </c>
      <c r="E370" s="4">
        <f t="shared" si="29"/>
        <v>0</v>
      </c>
      <c r="F370" s="4">
        <v>0</v>
      </c>
      <c r="G370" s="4">
        <v>0</v>
      </c>
      <c r="H370" s="4">
        <v>0</v>
      </c>
      <c r="I370" s="4">
        <v>0</v>
      </c>
      <c r="J370" s="184"/>
      <c r="K370" s="184"/>
    </row>
    <row r="371" spans="1:12" ht="18" customHeight="1" outlineLevel="1" x14ac:dyDescent="0.25">
      <c r="A371" s="184" t="s">
        <v>550</v>
      </c>
      <c r="B371" s="184" t="s">
        <v>766</v>
      </c>
      <c r="C371" s="184">
        <v>2021</v>
      </c>
      <c r="D371" s="6" t="s">
        <v>8</v>
      </c>
      <c r="E371" s="4">
        <f t="shared" si="29"/>
        <v>1505.5</v>
      </c>
      <c r="F371" s="4">
        <f>SUM(F372:F376)</f>
        <v>1505.5</v>
      </c>
      <c r="G371" s="4">
        <f>SUM(G372:G376)</f>
        <v>0</v>
      </c>
      <c r="H371" s="4">
        <f>SUM(H372:H376)</f>
        <v>0</v>
      </c>
      <c r="I371" s="4">
        <f>SUM(I372:I376)</f>
        <v>0</v>
      </c>
      <c r="J371" s="184" t="s">
        <v>552</v>
      </c>
      <c r="K371" s="184" t="s">
        <v>553</v>
      </c>
    </row>
    <row r="372" spans="1:12" ht="16.5" customHeight="1" outlineLevel="1" x14ac:dyDescent="0.25">
      <c r="A372" s="184"/>
      <c r="B372" s="184"/>
      <c r="C372" s="184"/>
      <c r="D372" s="6">
        <v>2021</v>
      </c>
      <c r="E372" s="4">
        <f t="shared" si="29"/>
        <v>1505.5</v>
      </c>
      <c r="F372" s="4">
        <v>1505.5</v>
      </c>
      <c r="G372" s="4">
        <v>0</v>
      </c>
      <c r="H372" s="4">
        <v>0</v>
      </c>
      <c r="I372" s="4">
        <v>0</v>
      </c>
      <c r="J372" s="184"/>
      <c r="K372" s="184"/>
    </row>
    <row r="373" spans="1:12" ht="15.75" customHeight="1" outlineLevel="1" x14ac:dyDescent="0.25">
      <c r="A373" s="184"/>
      <c r="B373" s="184"/>
      <c r="C373" s="184"/>
      <c r="D373" s="6">
        <v>2022</v>
      </c>
      <c r="E373" s="4">
        <f t="shared" si="29"/>
        <v>0</v>
      </c>
      <c r="F373" s="4">
        <v>0</v>
      </c>
      <c r="G373" s="4">
        <v>0</v>
      </c>
      <c r="H373" s="4">
        <v>0</v>
      </c>
      <c r="I373" s="4">
        <v>0</v>
      </c>
      <c r="J373" s="184"/>
      <c r="K373" s="184"/>
    </row>
    <row r="374" spans="1:12" ht="14.25" customHeight="1" outlineLevel="1" x14ac:dyDescent="0.25">
      <c r="A374" s="184"/>
      <c r="B374" s="184"/>
      <c r="C374" s="184"/>
      <c r="D374" s="6">
        <v>2023</v>
      </c>
      <c r="E374" s="4">
        <f t="shared" si="29"/>
        <v>0</v>
      </c>
      <c r="F374" s="4">
        <v>0</v>
      </c>
      <c r="G374" s="4">
        <v>0</v>
      </c>
      <c r="H374" s="4">
        <v>0</v>
      </c>
      <c r="I374" s="4">
        <v>0</v>
      </c>
      <c r="J374" s="184"/>
      <c r="K374" s="184"/>
    </row>
    <row r="375" spans="1:12" ht="15" customHeight="1" outlineLevel="1" x14ac:dyDescent="0.25">
      <c r="A375" s="184"/>
      <c r="B375" s="184"/>
      <c r="C375" s="184"/>
      <c r="D375" s="6">
        <v>2024</v>
      </c>
      <c r="E375" s="4">
        <f t="shared" si="29"/>
        <v>0</v>
      </c>
      <c r="F375" s="4">
        <v>0</v>
      </c>
      <c r="G375" s="4">
        <v>0</v>
      </c>
      <c r="H375" s="4">
        <v>0</v>
      </c>
      <c r="I375" s="4">
        <v>0</v>
      </c>
      <c r="J375" s="184"/>
      <c r="K375" s="184"/>
    </row>
    <row r="376" spans="1:12" ht="15.75" customHeight="1" outlineLevel="1" x14ac:dyDescent="0.25">
      <c r="A376" s="184"/>
      <c r="B376" s="184"/>
      <c r="C376" s="184"/>
      <c r="D376" s="6">
        <v>2025</v>
      </c>
      <c r="E376" s="4">
        <f t="shared" si="29"/>
        <v>0</v>
      </c>
      <c r="F376" s="4">
        <v>0</v>
      </c>
      <c r="G376" s="4">
        <v>0</v>
      </c>
      <c r="H376" s="4">
        <v>0</v>
      </c>
      <c r="I376" s="4">
        <v>0</v>
      </c>
      <c r="J376" s="184"/>
      <c r="K376" s="184"/>
    </row>
    <row r="377" spans="1:12" ht="15" customHeight="1" outlineLevel="1" x14ac:dyDescent="0.25">
      <c r="A377" s="184" t="s">
        <v>554</v>
      </c>
      <c r="B377" s="184" t="s">
        <v>555</v>
      </c>
      <c r="C377" s="184">
        <v>2021</v>
      </c>
      <c r="D377" s="6" t="s">
        <v>8</v>
      </c>
      <c r="E377" s="4">
        <f t="shared" si="29"/>
        <v>0</v>
      </c>
      <c r="F377" s="4">
        <f>SUM(F378:F382)</f>
        <v>0</v>
      </c>
      <c r="G377" s="4">
        <f>SUM(G378:G382)</f>
        <v>0</v>
      </c>
      <c r="H377" s="4">
        <f>SUM(H378:H382)</f>
        <v>0</v>
      </c>
      <c r="I377" s="4">
        <f>SUM(I378:I382)</f>
        <v>0</v>
      </c>
      <c r="J377" s="184" t="s">
        <v>556</v>
      </c>
      <c r="K377" s="184" t="s">
        <v>515</v>
      </c>
      <c r="L377" s="5" t="s">
        <v>860</v>
      </c>
    </row>
    <row r="378" spans="1:12" ht="15" customHeight="1" outlineLevel="1" x14ac:dyDescent="0.25">
      <c r="A378" s="184"/>
      <c r="B378" s="184"/>
      <c r="C378" s="184"/>
      <c r="D378" s="6">
        <v>2021</v>
      </c>
      <c r="E378" s="4">
        <f t="shared" si="29"/>
        <v>0</v>
      </c>
      <c r="F378" s="4">
        <v>0</v>
      </c>
      <c r="G378" s="4">
        <v>0</v>
      </c>
      <c r="H378" s="4">
        <v>0</v>
      </c>
      <c r="I378" s="4">
        <v>0</v>
      </c>
      <c r="J378" s="184"/>
      <c r="K378" s="184"/>
    </row>
    <row r="379" spans="1:12" ht="15" customHeight="1" outlineLevel="1" x14ac:dyDescent="0.25">
      <c r="A379" s="184"/>
      <c r="B379" s="184"/>
      <c r="C379" s="184"/>
      <c r="D379" s="6">
        <v>2022</v>
      </c>
      <c r="E379" s="4">
        <f t="shared" si="29"/>
        <v>0</v>
      </c>
      <c r="F379" s="4">
        <v>0</v>
      </c>
      <c r="G379" s="4">
        <v>0</v>
      </c>
      <c r="H379" s="4">
        <v>0</v>
      </c>
      <c r="I379" s="4">
        <v>0</v>
      </c>
      <c r="J379" s="184"/>
      <c r="K379" s="184"/>
    </row>
    <row r="380" spans="1:12" ht="15" customHeight="1" outlineLevel="1" x14ac:dyDescent="0.25">
      <c r="A380" s="184"/>
      <c r="B380" s="184"/>
      <c r="C380" s="184"/>
      <c r="D380" s="6">
        <v>2023</v>
      </c>
      <c r="E380" s="4">
        <f t="shared" si="29"/>
        <v>0</v>
      </c>
      <c r="F380" s="4">
        <v>0</v>
      </c>
      <c r="G380" s="4">
        <v>0</v>
      </c>
      <c r="H380" s="4">
        <v>0</v>
      </c>
      <c r="I380" s="4">
        <v>0</v>
      </c>
      <c r="J380" s="184"/>
      <c r="K380" s="184"/>
    </row>
    <row r="381" spans="1:12" ht="15" customHeight="1" outlineLevel="1" x14ac:dyDescent="0.25">
      <c r="A381" s="184"/>
      <c r="B381" s="184"/>
      <c r="C381" s="184"/>
      <c r="D381" s="6">
        <v>2024</v>
      </c>
      <c r="E381" s="4">
        <f t="shared" si="29"/>
        <v>0</v>
      </c>
      <c r="F381" s="4">
        <v>0</v>
      </c>
      <c r="G381" s="4">
        <v>0</v>
      </c>
      <c r="H381" s="4">
        <v>0</v>
      </c>
      <c r="I381" s="4">
        <v>0</v>
      </c>
      <c r="J381" s="184"/>
      <c r="K381" s="184"/>
    </row>
    <row r="382" spans="1:12" ht="15" customHeight="1" outlineLevel="1" x14ac:dyDescent="0.25">
      <c r="A382" s="184"/>
      <c r="B382" s="184"/>
      <c r="C382" s="184"/>
      <c r="D382" s="6">
        <v>2025</v>
      </c>
      <c r="E382" s="4">
        <f t="shared" si="29"/>
        <v>0</v>
      </c>
      <c r="F382" s="4">
        <v>0</v>
      </c>
      <c r="G382" s="4">
        <v>0</v>
      </c>
      <c r="H382" s="4">
        <v>0</v>
      </c>
      <c r="I382" s="4">
        <v>0</v>
      </c>
      <c r="J382" s="184"/>
      <c r="K382" s="184"/>
    </row>
    <row r="383" spans="1:12" ht="15" customHeight="1" outlineLevel="1" x14ac:dyDescent="0.25">
      <c r="A383" s="184" t="s">
        <v>557</v>
      </c>
      <c r="B383" s="184" t="s">
        <v>558</v>
      </c>
      <c r="C383" s="184" t="s">
        <v>19</v>
      </c>
      <c r="D383" s="6" t="s">
        <v>8</v>
      </c>
      <c r="E383" s="4">
        <f t="shared" si="29"/>
        <v>131225.81</v>
      </c>
      <c r="F383" s="4">
        <f>SUM(F384:F388)</f>
        <v>98555.157500000001</v>
      </c>
      <c r="G383" s="4">
        <f>SUM(G384:G388)</f>
        <v>0</v>
      </c>
      <c r="H383" s="4">
        <f>SUM(H384:H388)</f>
        <v>32670.652500000004</v>
      </c>
      <c r="I383" s="4">
        <f>SUM(I384:I388)</f>
        <v>0</v>
      </c>
      <c r="J383" s="184" t="s">
        <v>1762</v>
      </c>
      <c r="K383" s="184" t="s">
        <v>547</v>
      </c>
    </row>
    <row r="384" spans="1:12" ht="15" customHeight="1" outlineLevel="1" x14ac:dyDescent="0.25">
      <c r="A384" s="184"/>
      <c r="B384" s="184"/>
      <c r="C384" s="184"/>
      <c r="D384" s="6">
        <v>2021</v>
      </c>
      <c r="E384" s="4">
        <f t="shared" si="29"/>
        <v>10446.799999999999</v>
      </c>
      <c r="F384" s="4">
        <v>7970.9</v>
      </c>
      <c r="G384" s="4">
        <v>0</v>
      </c>
      <c r="H384" s="4">
        <v>2475.9</v>
      </c>
      <c r="I384" s="4">
        <v>0</v>
      </c>
      <c r="J384" s="184"/>
      <c r="K384" s="184"/>
    </row>
    <row r="385" spans="1:12" ht="15" customHeight="1" outlineLevel="1" x14ac:dyDescent="0.25">
      <c r="A385" s="184"/>
      <c r="B385" s="184"/>
      <c r="C385" s="184"/>
      <c r="D385" s="6">
        <v>2022</v>
      </c>
      <c r="E385" s="4">
        <f t="shared" si="29"/>
        <v>108779.01000000001</v>
      </c>
      <c r="F385" s="4">
        <v>81584.257500000007</v>
      </c>
      <c r="G385" s="4">
        <v>0</v>
      </c>
      <c r="H385" s="4">
        <f>F385/75*25</f>
        <v>27194.752500000002</v>
      </c>
      <c r="I385" s="4">
        <v>0</v>
      </c>
      <c r="J385" s="184"/>
      <c r="K385" s="184"/>
    </row>
    <row r="386" spans="1:12" ht="15" customHeight="1" outlineLevel="1" x14ac:dyDescent="0.25">
      <c r="A386" s="184"/>
      <c r="B386" s="184"/>
      <c r="C386" s="184"/>
      <c r="D386" s="6">
        <v>2023</v>
      </c>
      <c r="E386" s="4">
        <f t="shared" si="29"/>
        <v>12000</v>
      </c>
      <c r="F386" s="4">
        <v>9000</v>
      </c>
      <c r="G386" s="4">
        <v>0</v>
      </c>
      <c r="H386" s="4">
        <v>3000</v>
      </c>
      <c r="I386" s="4">
        <v>0</v>
      </c>
      <c r="J386" s="184"/>
      <c r="K386" s="184"/>
    </row>
    <row r="387" spans="1:12" ht="15" customHeight="1" outlineLevel="1" x14ac:dyDescent="0.25">
      <c r="A387" s="184"/>
      <c r="B387" s="184"/>
      <c r="C387" s="184"/>
      <c r="D387" s="6">
        <v>2024</v>
      </c>
      <c r="E387" s="4">
        <f t="shared" si="29"/>
        <v>0</v>
      </c>
      <c r="F387" s="4">
        <v>0</v>
      </c>
      <c r="G387" s="4">
        <v>0</v>
      </c>
      <c r="H387" s="4">
        <v>0</v>
      </c>
      <c r="I387" s="4">
        <v>0</v>
      </c>
      <c r="J387" s="184"/>
      <c r="K387" s="184"/>
    </row>
    <row r="388" spans="1:12" ht="15" customHeight="1" outlineLevel="1" x14ac:dyDescent="0.25">
      <c r="A388" s="184"/>
      <c r="B388" s="184"/>
      <c r="C388" s="184"/>
      <c r="D388" s="6">
        <v>2025</v>
      </c>
      <c r="E388" s="4">
        <f t="shared" si="29"/>
        <v>0</v>
      </c>
      <c r="F388" s="4">
        <v>0</v>
      </c>
      <c r="G388" s="4">
        <v>0</v>
      </c>
      <c r="H388" s="4">
        <v>0</v>
      </c>
      <c r="I388" s="4">
        <v>0</v>
      </c>
      <c r="J388" s="184"/>
      <c r="K388" s="184"/>
    </row>
    <row r="389" spans="1:12" ht="15" customHeight="1" outlineLevel="1" x14ac:dyDescent="0.25">
      <c r="A389" s="184" t="s">
        <v>560</v>
      </c>
      <c r="B389" s="184" t="s">
        <v>561</v>
      </c>
      <c r="C389" s="184">
        <v>2021</v>
      </c>
      <c r="D389" s="6" t="s">
        <v>8</v>
      </c>
      <c r="E389" s="4">
        <f t="shared" si="29"/>
        <v>8935.1</v>
      </c>
      <c r="F389" s="4">
        <f>SUM(F390:F394)</f>
        <v>8935.1</v>
      </c>
      <c r="G389" s="4">
        <f>SUM(G390:G394)</f>
        <v>0</v>
      </c>
      <c r="H389" s="4">
        <f>SUM(H390:H394)</f>
        <v>0</v>
      </c>
      <c r="I389" s="4">
        <f>SUM(I390:I394)</f>
        <v>0</v>
      </c>
      <c r="J389" s="184" t="s">
        <v>562</v>
      </c>
      <c r="K389" s="184" t="s">
        <v>563</v>
      </c>
      <c r="L389" s="124" t="s">
        <v>865</v>
      </c>
    </row>
    <row r="390" spans="1:12" ht="15" customHeight="1" outlineLevel="1" x14ac:dyDescent="0.25">
      <c r="A390" s="184"/>
      <c r="B390" s="184"/>
      <c r="C390" s="184"/>
      <c r="D390" s="6">
        <v>2021</v>
      </c>
      <c r="E390" s="4">
        <f t="shared" si="29"/>
        <v>8935.1</v>
      </c>
      <c r="F390" s="4">
        <v>8935.1</v>
      </c>
      <c r="G390" s="4">
        <v>0</v>
      </c>
      <c r="H390" s="4">
        <v>0</v>
      </c>
      <c r="I390" s="4">
        <v>0</v>
      </c>
      <c r="J390" s="184"/>
      <c r="K390" s="184"/>
      <c r="L390" s="124"/>
    </row>
    <row r="391" spans="1:12" ht="15" customHeight="1" outlineLevel="1" x14ac:dyDescent="0.25">
      <c r="A391" s="184"/>
      <c r="B391" s="184"/>
      <c r="C391" s="184"/>
      <c r="D391" s="6">
        <v>2022</v>
      </c>
      <c r="E391" s="4">
        <f t="shared" si="29"/>
        <v>0</v>
      </c>
      <c r="F391" s="4">
        <v>0</v>
      </c>
      <c r="G391" s="4">
        <v>0</v>
      </c>
      <c r="H391" s="4">
        <v>0</v>
      </c>
      <c r="I391" s="4">
        <v>0</v>
      </c>
      <c r="J391" s="184"/>
      <c r="K391" s="184"/>
      <c r="L391" s="124"/>
    </row>
    <row r="392" spans="1:12" ht="15" customHeight="1" outlineLevel="1" x14ac:dyDescent="0.25">
      <c r="A392" s="184"/>
      <c r="B392" s="184"/>
      <c r="C392" s="184"/>
      <c r="D392" s="6">
        <v>2023</v>
      </c>
      <c r="E392" s="4">
        <f t="shared" si="29"/>
        <v>0</v>
      </c>
      <c r="F392" s="4">
        <v>0</v>
      </c>
      <c r="G392" s="4">
        <v>0</v>
      </c>
      <c r="H392" s="4">
        <v>0</v>
      </c>
      <c r="I392" s="4">
        <v>0</v>
      </c>
      <c r="J392" s="184"/>
      <c r="K392" s="184"/>
      <c r="L392" s="124"/>
    </row>
    <row r="393" spans="1:12" ht="15" customHeight="1" outlineLevel="1" x14ac:dyDescent="0.25">
      <c r="A393" s="184"/>
      <c r="B393" s="184"/>
      <c r="C393" s="184"/>
      <c r="D393" s="6">
        <v>2024</v>
      </c>
      <c r="E393" s="4">
        <f t="shared" si="29"/>
        <v>0</v>
      </c>
      <c r="F393" s="4">
        <v>0</v>
      </c>
      <c r="G393" s="4">
        <v>0</v>
      </c>
      <c r="H393" s="4">
        <v>0</v>
      </c>
      <c r="I393" s="4">
        <v>0</v>
      </c>
      <c r="J393" s="184"/>
      <c r="K393" s="184"/>
      <c r="L393" s="124"/>
    </row>
    <row r="394" spans="1:12" ht="15" customHeight="1" outlineLevel="1" x14ac:dyDescent="0.25">
      <c r="A394" s="184"/>
      <c r="B394" s="184"/>
      <c r="C394" s="184"/>
      <c r="D394" s="6">
        <v>2025</v>
      </c>
      <c r="E394" s="4">
        <f t="shared" si="29"/>
        <v>0</v>
      </c>
      <c r="F394" s="4">
        <v>0</v>
      </c>
      <c r="G394" s="4">
        <v>0</v>
      </c>
      <c r="H394" s="4">
        <v>0</v>
      </c>
      <c r="I394" s="4">
        <v>0</v>
      </c>
      <c r="J394" s="184"/>
      <c r="K394" s="184"/>
      <c r="L394" s="124"/>
    </row>
    <row r="395" spans="1:12" ht="15" customHeight="1" outlineLevel="1" x14ac:dyDescent="0.25">
      <c r="A395" s="184" t="s">
        <v>861</v>
      </c>
      <c r="B395" s="184" t="s">
        <v>862</v>
      </c>
      <c r="C395" s="184">
        <v>2022</v>
      </c>
      <c r="D395" s="6" t="s">
        <v>8</v>
      </c>
      <c r="E395" s="4">
        <f t="shared" si="29"/>
        <v>0</v>
      </c>
      <c r="F395" s="4">
        <f>SUM(F396:F400)</f>
        <v>0</v>
      </c>
      <c r="G395" s="4">
        <f>SUM(G396:G400)</f>
        <v>0</v>
      </c>
      <c r="H395" s="4">
        <f>SUM(H396:H400)</f>
        <v>0</v>
      </c>
      <c r="I395" s="4">
        <f>SUM(I396:I400)</f>
        <v>0</v>
      </c>
      <c r="J395" s="184" t="s">
        <v>863</v>
      </c>
      <c r="K395" s="184" t="s">
        <v>547</v>
      </c>
      <c r="L395" s="124" t="s">
        <v>871</v>
      </c>
    </row>
    <row r="396" spans="1:12" ht="15" customHeight="1" outlineLevel="1" x14ac:dyDescent="0.25">
      <c r="A396" s="184"/>
      <c r="B396" s="184"/>
      <c r="C396" s="184"/>
      <c r="D396" s="6">
        <v>2021</v>
      </c>
      <c r="E396" s="4">
        <f t="shared" si="29"/>
        <v>0</v>
      </c>
      <c r="F396" s="4">
        <v>0</v>
      </c>
      <c r="G396" s="4">
        <v>0</v>
      </c>
      <c r="H396" s="4">
        <v>0</v>
      </c>
      <c r="I396" s="4">
        <v>0</v>
      </c>
      <c r="J396" s="184"/>
      <c r="K396" s="184"/>
      <c r="L396" s="124"/>
    </row>
    <row r="397" spans="1:12" ht="15" customHeight="1" outlineLevel="1" x14ac:dyDescent="0.25">
      <c r="A397" s="184"/>
      <c r="B397" s="184"/>
      <c r="C397" s="184"/>
      <c r="D397" s="6">
        <v>2022</v>
      </c>
      <c r="E397" s="4">
        <f t="shared" si="29"/>
        <v>0</v>
      </c>
      <c r="F397" s="4">
        <v>0</v>
      </c>
      <c r="G397" s="4">
        <v>0</v>
      </c>
      <c r="H397" s="4">
        <v>0</v>
      </c>
      <c r="I397" s="4">
        <v>0</v>
      </c>
      <c r="J397" s="184"/>
      <c r="K397" s="184"/>
      <c r="L397" s="124"/>
    </row>
    <row r="398" spans="1:12" ht="15" customHeight="1" outlineLevel="1" x14ac:dyDescent="0.25">
      <c r="A398" s="184"/>
      <c r="B398" s="184"/>
      <c r="C398" s="184"/>
      <c r="D398" s="6">
        <v>2023</v>
      </c>
      <c r="E398" s="4">
        <f t="shared" si="29"/>
        <v>0</v>
      </c>
      <c r="F398" s="4">
        <v>0</v>
      </c>
      <c r="G398" s="4">
        <v>0</v>
      </c>
      <c r="H398" s="4">
        <v>0</v>
      </c>
      <c r="I398" s="4">
        <v>0</v>
      </c>
      <c r="J398" s="184"/>
      <c r="K398" s="184"/>
      <c r="L398" s="124"/>
    </row>
    <row r="399" spans="1:12" ht="15" customHeight="1" outlineLevel="1" x14ac:dyDescent="0.25">
      <c r="A399" s="184"/>
      <c r="B399" s="184"/>
      <c r="C399" s="184"/>
      <c r="D399" s="6">
        <v>2024</v>
      </c>
      <c r="E399" s="4">
        <f t="shared" si="29"/>
        <v>0</v>
      </c>
      <c r="F399" s="4">
        <v>0</v>
      </c>
      <c r="G399" s="4">
        <v>0</v>
      </c>
      <c r="H399" s="4">
        <v>0</v>
      </c>
      <c r="I399" s="4">
        <v>0</v>
      </c>
      <c r="J399" s="184"/>
      <c r="K399" s="184"/>
      <c r="L399" s="124"/>
    </row>
    <row r="400" spans="1:12" ht="15" customHeight="1" outlineLevel="1" x14ac:dyDescent="0.25">
      <c r="A400" s="184"/>
      <c r="B400" s="184"/>
      <c r="C400" s="184"/>
      <c r="D400" s="6">
        <v>2025</v>
      </c>
      <c r="E400" s="4">
        <f t="shared" si="29"/>
        <v>0</v>
      </c>
      <c r="F400" s="4">
        <v>0</v>
      </c>
      <c r="G400" s="4">
        <v>0</v>
      </c>
      <c r="H400" s="4">
        <v>0</v>
      </c>
      <c r="I400" s="4">
        <v>0</v>
      </c>
      <c r="J400" s="184"/>
      <c r="K400" s="184"/>
      <c r="L400" s="124"/>
    </row>
    <row r="401" spans="1:12" ht="15" customHeight="1" outlineLevel="1" x14ac:dyDescent="0.25">
      <c r="A401" s="184" t="s">
        <v>868</v>
      </c>
      <c r="B401" s="184" t="s">
        <v>1163</v>
      </c>
      <c r="C401" s="184">
        <v>2023</v>
      </c>
      <c r="D401" s="6" t="s">
        <v>8</v>
      </c>
      <c r="E401" s="4">
        <f t="shared" si="29"/>
        <v>0</v>
      </c>
      <c r="F401" s="4">
        <f>SUM(F402:F406)</f>
        <v>0</v>
      </c>
      <c r="G401" s="4">
        <f>SUM(G402:G406)</f>
        <v>0</v>
      </c>
      <c r="H401" s="4">
        <f>SUM(H402:H406)</f>
        <v>0</v>
      </c>
      <c r="I401" s="4">
        <f>SUM(I402:I406)</f>
        <v>0</v>
      </c>
      <c r="J401" s="184" t="s">
        <v>1164</v>
      </c>
      <c r="K401" s="184" t="s">
        <v>907</v>
      </c>
      <c r="L401" s="124" t="s">
        <v>871</v>
      </c>
    </row>
    <row r="402" spans="1:12" ht="15" customHeight="1" outlineLevel="1" x14ac:dyDescent="0.25">
      <c r="A402" s="184"/>
      <c r="B402" s="184"/>
      <c r="C402" s="184"/>
      <c r="D402" s="6">
        <v>2021</v>
      </c>
      <c r="E402" s="4">
        <f t="shared" si="29"/>
        <v>0</v>
      </c>
      <c r="F402" s="4">
        <v>0</v>
      </c>
      <c r="G402" s="4">
        <v>0</v>
      </c>
      <c r="H402" s="4">
        <v>0</v>
      </c>
      <c r="I402" s="4">
        <v>0</v>
      </c>
      <c r="J402" s="184"/>
      <c r="K402" s="184"/>
      <c r="L402" s="124"/>
    </row>
    <row r="403" spans="1:12" ht="15" customHeight="1" outlineLevel="1" x14ac:dyDescent="0.25">
      <c r="A403" s="184"/>
      <c r="B403" s="184"/>
      <c r="C403" s="184"/>
      <c r="D403" s="6">
        <v>2022</v>
      </c>
      <c r="E403" s="4">
        <f t="shared" si="29"/>
        <v>0</v>
      </c>
      <c r="F403" s="4">
        <v>0</v>
      </c>
      <c r="G403" s="4">
        <v>0</v>
      </c>
      <c r="H403" s="4">
        <v>0</v>
      </c>
      <c r="I403" s="4">
        <v>0</v>
      </c>
      <c r="J403" s="184"/>
      <c r="K403" s="184"/>
      <c r="L403" s="124"/>
    </row>
    <row r="404" spans="1:12" ht="15" customHeight="1" outlineLevel="1" x14ac:dyDescent="0.25">
      <c r="A404" s="184"/>
      <c r="B404" s="184"/>
      <c r="C404" s="184"/>
      <c r="D404" s="6">
        <v>2023</v>
      </c>
      <c r="E404" s="4">
        <f t="shared" si="29"/>
        <v>0</v>
      </c>
      <c r="F404" s="4">
        <v>0</v>
      </c>
      <c r="G404" s="4">
        <v>0</v>
      </c>
      <c r="H404" s="4">
        <v>0</v>
      </c>
      <c r="I404" s="4">
        <v>0</v>
      </c>
      <c r="J404" s="184"/>
      <c r="K404" s="184"/>
      <c r="L404" s="124"/>
    </row>
    <row r="405" spans="1:12" ht="15" customHeight="1" outlineLevel="1" x14ac:dyDescent="0.25">
      <c r="A405" s="184"/>
      <c r="B405" s="184"/>
      <c r="C405" s="184"/>
      <c r="D405" s="6">
        <v>2024</v>
      </c>
      <c r="E405" s="4">
        <f t="shared" si="29"/>
        <v>0</v>
      </c>
      <c r="F405" s="4">
        <v>0</v>
      </c>
      <c r="G405" s="4">
        <v>0</v>
      </c>
      <c r="H405" s="4">
        <v>0</v>
      </c>
      <c r="I405" s="4">
        <v>0</v>
      </c>
      <c r="J405" s="184"/>
      <c r="K405" s="184"/>
      <c r="L405" s="124"/>
    </row>
    <row r="406" spans="1:12" ht="15" customHeight="1" outlineLevel="1" x14ac:dyDescent="0.25">
      <c r="A406" s="184"/>
      <c r="B406" s="184"/>
      <c r="C406" s="184"/>
      <c r="D406" s="6">
        <v>2025</v>
      </c>
      <c r="E406" s="4">
        <f t="shared" si="29"/>
        <v>0</v>
      </c>
      <c r="F406" s="4">
        <v>0</v>
      </c>
      <c r="G406" s="4">
        <v>0</v>
      </c>
      <c r="H406" s="4">
        <v>0</v>
      </c>
      <c r="I406" s="4">
        <v>0</v>
      </c>
      <c r="J406" s="184"/>
      <c r="K406" s="184"/>
      <c r="L406" s="124"/>
    </row>
    <row r="407" spans="1:12" ht="15" customHeight="1" outlineLevel="1" x14ac:dyDescent="0.25">
      <c r="A407" s="184" t="s">
        <v>873</v>
      </c>
      <c r="B407" s="184" t="s">
        <v>874</v>
      </c>
      <c r="C407" s="184">
        <v>2022</v>
      </c>
      <c r="D407" s="6" t="s">
        <v>8</v>
      </c>
      <c r="E407" s="4">
        <f t="shared" si="29"/>
        <v>0</v>
      </c>
      <c r="F407" s="4">
        <f>SUM(F408:F412)</f>
        <v>0</v>
      </c>
      <c r="G407" s="4">
        <f>SUM(G408:G412)</f>
        <v>0</v>
      </c>
      <c r="H407" s="4">
        <f>SUM(H408:H412)</f>
        <v>0</v>
      </c>
      <c r="I407" s="4">
        <f>SUM(I408:I412)</f>
        <v>0</v>
      </c>
      <c r="J407" s="184" t="s">
        <v>875</v>
      </c>
      <c r="K407" s="184" t="s">
        <v>955</v>
      </c>
    </row>
    <row r="408" spans="1:12" ht="15" customHeight="1" outlineLevel="1" x14ac:dyDescent="0.25">
      <c r="A408" s="184"/>
      <c r="B408" s="184"/>
      <c r="C408" s="184"/>
      <c r="D408" s="6">
        <v>2021</v>
      </c>
      <c r="E408" s="4">
        <f t="shared" si="29"/>
        <v>0</v>
      </c>
      <c r="F408" s="4">
        <v>0</v>
      </c>
      <c r="G408" s="4">
        <v>0</v>
      </c>
      <c r="H408" s="4">
        <v>0</v>
      </c>
      <c r="I408" s="4">
        <v>0</v>
      </c>
      <c r="J408" s="184"/>
      <c r="K408" s="184"/>
    </row>
    <row r="409" spans="1:12" ht="15" customHeight="1" outlineLevel="1" x14ac:dyDescent="0.25">
      <c r="A409" s="184"/>
      <c r="B409" s="184"/>
      <c r="C409" s="184"/>
      <c r="D409" s="6">
        <v>2022</v>
      </c>
      <c r="E409" s="4">
        <f t="shared" si="29"/>
        <v>0</v>
      </c>
      <c r="F409" s="4">
        <f>6000-6000</f>
        <v>0</v>
      </c>
      <c r="G409" s="4">
        <v>0</v>
      </c>
      <c r="H409" s="4">
        <v>0</v>
      </c>
      <c r="I409" s="4">
        <v>0</v>
      </c>
      <c r="J409" s="184"/>
      <c r="K409" s="184"/>
    </row>
    <row r="410" spans="1:12" ht="15" customHeight="1" outlineLevel="1" x14ac:dyDescent="0.25">
      <c r="A410" s="184"/>
      <c r="B410" s="184"/>
      <c r="C410" s="184"/>
      <c r="D410" s="6">
        <v>2023</v>
      </c>
      <c r="E410" s="4">
        <f t="shared" si="29"/>
        <v>0</v>
      </c>
      <c r="F410" s="4">
        <v>0</v>
      </c>
      <c r="G410" s="4">
        <v>0</v>
      </c>
      <c r="H410" s="4">
        <v>0</v>
      </c>
      <c r="I410" s="4">
        <v>0</v>
      </c>
      <c r="J410" s="184"/>
      <c r="K410" s="184"/>
    </row>
    <row r="411" spans="1:12" ht="15" customHeight="1" outlineLevel="1" x14ac:dyDescent="0.25">
      <c r="A411" s="184"/>
      <c r="B411" s="184"/>
      <c r="C411" s="184"/>
      <c r="D411" s="6">
        <v>2024</v>
      </c>
      <c r="E411" s="4">
        <f t="shared" si="29"/>
        <v>0</v>
      </c>
      <c r="F411" s="4">
        <v>0</v>
      </c>
      <c r="G411" s="4">
        <v>0</v>
      </c>
      <c r="H411" s="4">
        <v>0</v>
      </c>
      <c r="I411" s="4">
        <v>0</v>
      </c>
      <c r="J411" s="184"/>
      <c r="K411" s="184"/>
    </row>
    <row r="412" spans="1:12" ht="15" customHeight="1" outlineLevel="1" x14ac:dyDescent="0.25">
      <c r="A412" s="184"/>
      <c r="B412" s="184"/>
      <c r="C412" s="184"/>
      <c r="D412" s="6">
        <v>2025</v>
      </c>
      <c r="E412" s="4">
        <f t="shared" si="29"/>
        <v>0</v>
      </c>
      <c r="F412" s="4">
        <v>0</v>
      </c>
      <c r="G412" s="4">
        <v>0</v>
      </c>
      <c r="H412" s="4">
        <v>0</v>
      </c>
      <c r="I412" s="4">
        <v>0</v>
      </c>
      <c r="J412" s="184"/>
      <c r="K412" s="184"/>
    </row>
    <row r="413" spans="1:12" ht="15" customHeight="1" outlineLevel="1" x14ac:dyDescent="0.25">
      <c r="A413" s="184" t="s">
        <v>879</v>
      </c>
      <c r="B413" s="184" t="s">
        <v>880</v>
      </c>
      <c r="C413" s="184">
        <v>2022</v>
      </c>
      <c r="D413" s="6" t="s">
        <v>8</v>
      </c>
      <c r="E413" s="4">
        <f t="shared" si="29"/>
        <v>5000</v>
      </c>
      <c r="F413" s="4">
        <f>SUM(F414:F418)</f>
        <v>4750</v>
      </c>
      <c r="G413" s="4">
        <f>SUM(G414:G418)</f>
        <v>0</v>
      </c>
      <c r="H413" s="4">
        <f>SUM(H414:H418)</f>
        <v>250</v>
      </c>
      <c r="I413" s="4">
        <f>SUM(I414:I418)</f>
        <v>0</v>
      </c>
      <c r="J413" s="184" t="s">
        <v>881</v>
      </c>
      <c r="K413" s="184" t="s">
        <v>547</v>
      </c>
    </row>
    <row r="414" spans="1:12" ht="15" customHeight="1" outlineLevel="1" x14ac:dyDescent="0.25">
      <c r="A414" s="184"/>
      <c r="B414" s="184"/>
      <c r="C414" s="184"/>
      <c r="D414" s="6">
        <v>2021</v>
      </c>
      <c r="E414" s="4">
        <f t="shared" si="29"/>
        <v>0</v>
      </c>
      <c r="F414" s="4">
        <v>0</v>
      </c>
      <c r="G414" s="4">
        <v>0</v>
      </c>
      <c r="H414" s="4">
        <v>0</v>
      </c>
      <c r="I414" s="4">
        <v>0</v>
      </c>
      <c r="J414" s="184"/>
      <c r="K414" s="184"/>
    </row>
    <row r="415" spans="1:12" ht="15" customHeight="1" outlineLevel="1" x14ac:dyDescent="0.25">
      <c r="A415" s="184"/>
      <c r="B415" s="184"/>
      <c r="C415" s="184"/>
      <c r="D415" s="6">
        <v>2022</v>
      </c>
      <c r="E415" s="4">
        <f t="shared" si="29"/>
        <v>5000</v>
      </c>
      <c r="F415" s="4">
        <f>4750000/1000</f>
        <v>4750</v>
      </c>
      <c r="G415" s="4">
        <v>0</v>
      </c>
      <c r="H415" s="4">
        <f>F415*5%/95%</f>
        <v>250</v>
      </c>
      <c r="I415" s="4">
        <v>0</v>
      </c>
      <c r="J415" s="184"/>
      <c r="K415" s="184"/>
    </row>
    <row r="416" spans="1:12" ht="15" customHeight="1" outlineLevel="1" x14ac:dyDescent="0.25">
      <c r="A416" s="184"/>
      <c r="B416" s="184"/>
      <c r="C416" s="184"/>
      <c r="D416" s="6">
        <v>2023</v>
      </c>
      <c r="E416" s="4">
        <f t="shared" si="29"/>
        <v>0</v>
      </c>
      <c r="F416" s="4">
        <v>0</v>
      </c>
      <c r="G416" s="4">
        <v>0</v>
      </c>
      <c r="H416" s="4">
        <v>0</v>
      </c>
      <c r="I416" s="4">
        <v>0</v>
      </c>
      <c r="J416" s="184"/>
      <c r="K416" s="184"/>
    </row>
    <row r="417" spans="1:12" ht="15" customHeight="1" outlineLevel="1" x14ac:dyDescent="0.25">
      <c r="A417" s="184"/>
      <c r="B417" s="184"/>
      <c r="C417" s="184"/>
      <c r="D417" s="6">
        <v>2024</v>
      </c>
      <c r="E417" s="4">
        <f t="shared" si="29"/>
        <v>0</v>
      </c>
      <c r="F417" s="4">
        <v>0</v>
      </c>
      <c r="G417" s="4">
        <v>0</v>
      </c>
      <c r="H417" s="4">
        <v>0</v>
      </c>
      <c r="I417" s="4">
        <v>0</v>
      </c>
      <c r="J417" s="184"/>
      <c r="K417" s="184"/>
    </row>
    <row r="418" spans="1:12" ht="15" customHeight="1" outlineLevel="1" x14ac:dyDescent="0.25">
      <c r="A418" s="184"/>
      <c r="B418" s="184"/>
      <c r="C418" s="184"/>
      <c r="D418" s="6">
        <v>2025</v>
      </c>
      <c r="E418" s="4">
        <f t="shared" si="29"/>
        <v>0</v>
      </c>
      <c r="F418" s="4">
        <v>0</v>
      </c>
      <c r="G418" s="4">
        <v>0</v>
      </c>
      <c r="H418" s="4">
        <v>0</v>
      </c>
      <c r="I418" s="4">
        <v>0</v>
      </c>
      <c r="J418" s="184"/>
      <c r="K418" s="184"/>
    </row>
    <row r="419" spans="1:12" ht="15" customHeight="1" outlineLevel="1" x14ac:dyDescent="0.25">
      <c r="A419" s="184" t="s">
        <v>882</v>
      </c>
      <c r="B419" s="184" t="s">
        <v>1165</v>
      </c>
      <c r="C419" s="184">
        <v>2022</v>
      </c>
      <c r="D419" s="6" t="s">
        <v>8</v>
      </c>
      <c r="E419" s="4">
        <f t="shared" si="29"/>
        <v>0</v>
      </c>
      <c r="F419" s="4">
        <f>SUM(F420:F424)</f>
        <v>0</v>
      </c>
      <c r="G419" s="4">
        <f t="shared" ref="G419:G449" si="30">SUM(G420:G424)</f>
        <v>0</v>
      </c>
      <c r="H419" s="4">
        <f>SUM(H420:H424)</f>
        <v>0</v>
      </c>
      <c r="I419" s="4">
        <f t="shared" ref="I419:I467" si="31">SUM(I420:I424)</f>
        <v>0</v>
      </c>
      <c r="J419" s="184" t="s">
        <v>884</v>
      </c>
      <c r="K419" s="184" t="s">
        <v>547</v>
      </c>
    </row>
    <row r="420" spans="1:12" ht="15" customHeight="1" outlineLevel="1" x14ac:dyDescent="0.25">
      <c r="A420" s="184"/>
      <c r="B420" s="184"/>
      <c r="C420" s="184"/>
      <c r="D420" s="6">
        <v>2021</v>
      </c>
      <c r="E420" s="4">
        <f t="shared" si="29"/>
        <v>0</v>
      </c>
      <c r="F420" s="4">
        <v>0</v>
      </c>
      <c r="G420" s="4">
        <f t="shared" si="30"/>
        <v>0</v>
      </c>
      <c r="H420" s="4">
        <v>0</v>
      </c>
      <c r="I420" s="4">
        <f t="shared" si="31"/>
        <v>0</v>
      </c>
      <c r="J420" s="184"/>
      <c r="K420" s="184"/>
    </row>
    <row r="421" spans="1:12" ht="15" customHeight="1" outlineLevel="1" x14ac:dyDescent="0.25">
      <c r="A421" s="184"/>
      <c r="B421" s="184"/>
      <c r="C421" s="184"/>
      <c r="D421" s="6">
        <v>2022</v>
      </c>
      <c r="E421" s="4">
        <f t="shared" si="29"/>
        <v>0</v>
      </c>
      <c r="F421" s="4">
        <v>0</v>
      </c>
      <c r="G421" s="4">
        <f t="shared" si="30"/>
        <v>0</v>
      </c>
      <c r="H421" s="4">
        <v>0</v>
      </c>
      <c r="I421" s="4">
        <f t="shared" si="31"/>
        <v>0</v>
      </c>
      <c r="J421" s="184"/>
      <c r="K421" s="184"/>
    </row>
    <row r="422" spans="1:12" ht="15" customHeight="1" outlineLevel="1" x14ac:dyDescent="0.25">
      <c r="A422" s="184"/>
      <c r="B422" s="184"/>
      <c r="C422" s="184"/>
      <c r="D422" s="6">
        <v>2023</v>
      </c>
      <c r="E422" s="4">
        <f t="shared" si="29"/>
        <v>0</v>
      </c>
      <c r="F422" s="4">
        <v>0</v>
      </c>
      <c r="G422" s="4">
        <f t="shared" si="30"/>
        <v>0</v>
      </c>
      <c r="H422" s="4">
        <v>0</v>
      </c>
      <c r="I422" s="4">
        <f t="shared" si="31"/>
        <v>0</v>
      </c>
      <c r="J422" s="184"/>
      <c r="K422" s="184"/>
    </row>
    <row r="423" spans="1:12" ht="15" customHeight="1" outlineLevel="1" x14ac:dyDescent="0.25">
      <c r="A423" s="184"/>
      <c r="B423" s="184"/>
      <c r="C423" s="184"/>
      <c r="D423" s="6">
        <v>2024</v>
      </c>
      <c r="E423" s="4">
        <f t="shared" si="29"/>
        <v>0</v>
      </c>
      <c r="F423" s="4">
        <v>0</v>
      </c>
      <c r="G423" s="4">
        <f t="shared" si="30"/>
        <v>0</v>
      </c>
      <c r="H423" s="4">
        <v>0</v>
      </c>
      <c r="I423" s="4">
        <f t="shared" si="31"/>
        <v>0</v>
      </c>
      <c r="J423" s="184"/>
      <c r="K423" s="184"/>
    </row>
    <row r="424" spans="1:12" ht="15" customHeight="1" outlineLevel="1" x14ac:dyDescent="0.25">
      <c r="A424" s="184"/>
      <c r="B424" s="184"/>
      <c r="C424" s="184"/>
      <c r="D424" s="6">
        <v>2025</v>
      </c>
      <c r="E424" s="4">
        <f t="shared" si="29"/>
        <v>0</v>
      </c>
      <c r="F424" s="4">
        <v>0</v>
      </c>
      <c r="G424" s="4">
        <f t="shared" si="30"/>
        <v>0</v>
      </c>
      <c r="H424" s="4">
        <v>0</v>
      </c>
      <c r="I424" s="4">
        <f t="shared" si="31"/>
        <v>0</v>
      </c>
      <c r="J424" s="184"/>
      <c r="K424" s="184"/>
    </row>
    <row r="425" spans="1:12" ht="15" customHeight="1" outlineLevel="1" x14ac:dyDescent="0.25">
      <c r="A425" s="184" t="s">
        <v>885</v>
      </c>
      <c r="B425" s="184" t="s">
        <v>1166</v>
      </c>
      <c r="C425" s="184">
        <v>2022</v>
      </c>
      <c r="D425" s="6" t="s">
        <v>8</v>
      </c>
      <c r="E425" s="4">
        <f t="shared" si="29"/>
        <v>6815.7889999999998</v>
      </c>
      <c r="F425" s="4">
        <f>SUM(F426:F430)</f>
        <v>6475</v>
      </c>
      <c r="G425" s="4">
        <f t="shared" si="30"/>
        <v>0</v>
      </c>
      <c r="H425" s="4">
        <f>SUM(H426:H430)</f>
        <v>340.78899999999999</v>
      </c>
      <c r="I425" s="4">
        <f t="shared" si="31"/>
        <v>0</v>
      </c>
      <c r="J425" s="184" t="s">
        <v>1167</v>
      </c>
      <c r="K425" s="184" t="s">
        <v>547</v>
      </c>
    </row>
    <row r="426" spans="1:12" ht="15" customHeight="1" outlineLevel="1" x14ac:dyDescent="0.25">
      <c r="A426" s="184"/>
      <c r="B426" s="184"/>
      <c r="C426" s="184"/>
      <c r="D426" s="6">
        <v>2021</v>
      </c>
      <c r="E426" s="4">
        <f t="shared" si="29"/>
        <v>0</v>
      </c>
      <c r="F426" s="4">
        <v>0</v>
      </c>
      <c r="G426" s="4">
        <v>0</v>
      </c>
      <c r="H426" s="4">
        <v>0</v>
      </c>
      <c r="I426" s="4">
        <f t="shared" si="31"/>
        <v>0</v>
      </c>
      <c r="J426" s="184"/>
      <c r="K426" s="184"/>
    </row>
    <row r="427" spans="1:12" ht="15" customHeight="1" outlineLevel="1" x14ac:dyDescent="0.25">
      <c r="A427" s="184"/>
      <c r="B427" s="184"/>
      <c r="C427" s="184"/>
      <c r="D427" s="6">
        <v>2022</v>
      </c>
      <c r="E427" s="4">
        <f t="shared" si="29"/>
        <v>6815.7889999999998</v>
      </c>
      <c r="F427" s="4">
        <v>6475</v>
      </c>
      <c r="G427" s="4">
        <v>0</v>
      </c>
      <c r="H427" s="4">
        <v>340.78899999999999</v>
      </c>
      <c r="I427" s="4">
        <f t="shared" si="31"/>
        <v>0</v>
      </c>
      <c r="J427" s="184"/>
      <c r="K427" s="184"/>
    </row>
    <row r="428" spans="1:12" ht="15" customHeight="1" outlineLevel="1" x14ac:dyDescent="0.25">
      <c r="A428" s="184"/>
      <c r="B428" s="184"/>
      <c r="C428" s="184"/>
      <c r="D428" s="6">
        <v>2023</v>
      </c>
      <c r="E428" s="4">
        <f t="shared" si="29"/>
        <v>0</v>
      </c>
      <c r="F428" s="4">
        <v>0</v>
      </c>
      <c r="G428" s="4">
        <v>0</v>
      </c>
      <c r="H428" s="4">
        <v>0</v>
      </c>
      <c r="I428" s="4">
        <f t="shared" si="31"/>
        <v>0</v>
      </c>
      <c r="J428" s="184"/>
      <c r="K428" s="184"/>
    </row>
    <row r="429" spans="1:12" ht="15" customHeight="1" outlineLevel="1" x14ac:dyDescent="0.25">
      <c r="A429" s="184"/>
      <c r="B429" s="184"/>
      <c r="C429" s="184"/>
      <c r="D429" s="6">
        <v>2024</v>
      </c>
      <c r="E429" s="4">
        <f t="shared" si="29"/>
        <v>0</v>
      </c>
      <c r="F429" s="4">
        <v>0</v>
      </c>
      <c r="G429" s="4">
        <v>0</v>
      </c>
      <c r="H429" s="4">
        <v>0</v>
      </c>
      <c r="I429" s="4">
        <f t="shared" si="31"/>
        <v>0</v>
      </c>
      <c r="J429" s="184"/>
      <c r="K429" s="184"/>
    </row>
    <row r="430" spans="1:12" ht="15" customHeight="1" outlineLevel="1" x14ac:dyDescent="0.25">
      <c r="A430" s="184"/>
      <c r="B430" s="184"/>
      <c r="C430" s="184"/>
      <c r="D430" s="6">
        <v>2025</v>
      </c>
      <c r="E430" s="4">
        <f t="shared" ref="E430:E493" si="32">SUM(F430:I430)</f>
        <v>0</v>
      </c>
      <c r="F430" s="4">
        <v>0</v>
      </c>
      <c r="G430" s="4">
        <v>0</v>
      </c>
      <c r="H430" s="4">
        <v>0</v>
      </c>
      <c r="I430" s="4">
        <f t="shared" si="31"/>
        <v>0</v>
      </c>
      <c r="J430" s="184"/>
      <c r="K430" s="184"/>
    </row>
    <row r="431" spans="1:12" ht="15" customHeight="1" outlineLevel="1" x14ac:dyDescent="0.25">
      <c r="A431" s="184" t="s">
        <v>888</v>
      </c>
      <c r="B431" s="184" t="s">
        <v>889</v>
      </c>
      <c r="C431" s="184">
        <v>2022</v>
      </c>
      <c r="D431" s="6" t="s">
        <v>8</v>
      </c>
      <c r="E431" s="4">
        <f t="shared" si="32"/>
        <v>6717.1717171717173</v>
      </c>
      <c r="F431" s="4">
        <f>SUM(F432:F436)</f>
        <v>6650</v>
      </c>
      <c r="G431" s="4">
        <v>0</v>
      </c>
      <c r="H431" s="4">
        <f>SUM(H432:H436)</f>
        <v>67.171717171717177</v>
      </c>
      <c r="I431" s="4">
        <f t="shared" si="31"/>
        <v>0</v>
      </c>
      <c r="J431" s="184" t="s">
        <v>890</v>
      </c>
      <c r="K431" s="184" t="s">
        <v>547</v>
      </c>
      <c r="L431" s="124" t="s">
        <v>871</v>
      </c>
    </row>
    <row r="432" spans="1:12" ht="15" customHeight="1" outlineLevel="1" x14ac:dyDescent="0.25">
      <c r="A432" s="184"/>
      <c r="B432" s="184"/>
      <c r="C432" s="184"/>
      <c r="D432" s="6">
        <v>2021</v>
      </c>
      <c r="E432" s="4">
        <f t="shared" si="32"/>
        <v>0</v>
      </c>
      <c r="F432" s="4">
        <v>0</v>
      </c>
      <c r="G432" s="4">
        <v>0</v>
      </c>
      <c r="H432" s="4">
        <v>0</v>
      </c>
      <c r="I432" s="4">
        <f t="shared" si="31"/>
        <v>0</v>
      </c>
      <c r="J432" s="184"/>
      <c r="K432" s="184"/>
      <c r="L432" s="124"/>
    </row>
    <row r="433" spans="1:12" ht="15" customHeight="1" outlineLevel="1" x14ac:dyDescent="0.25">
      <c r="A433" s="184"/>
      <c r="B433" s="184"/>
      <c r="C433" s="184"/>
      <c r="D433" s="6">
        <v>2022</v>
      </c>
      <c r="E433" s="4">
        <f t="shared" si="32"/>
        <v>6717.1717171717173</v>
      </c>
      <c r="F433" s="4">
        <v>6650</v>
      </c>
      <c r="G433" s="4">
        <v>0</v>
      </c>
      <c r="H433" s="4">
        <f>F433/99*1</f>
        <v>67.171717171717177</v>
      </c>
      <c r="I433" s="4">
        <f t="shared" si="31"/>
        <v>0</v>
      </c>
      <c r="J433" s="184"/>
      <c r="K433" s="184"/>
      <c r="L433" s="124"/>
    </row>
    <row r="434" spans="1:12" ht="15" customHeight="1" outlineLevel="1" x14ac:dyDescent="0.25">
      <c r="A434" s="184"/>
      <c r="B434" s="184"/>
      <c r="C434" s="184"/>
      <c r="D434" s="6">
        <v>2023</v>
      </c>
      <c r="E434" s="4">
        <f t="shared" si="32"/>
        <v>0</v>
      </c>
      <c r="F434" s="4">
        <v>0</v>
      </c>
      <c r="G434" s="4">
        <v>0</v>
      </c>
      <c r="H434" s="4">
        <v>0</v>
      </c>
      <c r="I434" s="4">
        <f t="shared" si="31"/>
        <v>0</v>
      </c>
      <c r="J434" s="184"/>
      <c r="K434" s="184"/>
      <c r="L434" s="124"/>
    </row>
    <row r="435" spans="1:12" ht="15" customHeight="1" outlineLevel="1" x14ac:dyDescent="0.25">
      <c r="A435" s="184"/>
      <c r="B435" s="184"/>
      <c r="C435" s="184"/>
      <c r="D435" s="6">
        <v>2024</v>
      </c>
      <c r="E435" s="4">
        <f t="shared" si="32"/>
        <v>0</v>
      </c>
      <c r="F435" s="4">
        <v>0</v>
      </c>
      <c r="G435" s="4">
        <v>0</v>
      </c>
      <c r="H435" s="4">
        <v>0</v>
      </c>
      <c r="I435" s="4">
        <f t="shared" si="31"/>
        <v>0</v>
      </c>
      <c r="J435" s="184"/>
      <c r="K435" s="184"/>
      <c r="L435" s="124"/>
    </row>
    <row r="436" spans="1:12" ht="15" customHeight="1" outlineLevel="1" x14ac:dyDescent="0.25">
      <c r="A436" s="184"/>
      <c r="B436" s="184"/>
      <c r="C436" s="184"/>
      <c r="D436" s="6">
        <v>2025</v>
      </c>
      <c r="E436" s="4">
        <f t="shared" si="32"/>
        <v>0</v>
      </c>
      <c r="F436" s="4">
        <v>0</v>
      </c>
      <c r="G436" s="4">
        <v>0</v>
      </c>
      <c r="H436" s="4">
        <v>0</v>
      </c>
      <c r="I436" s="4">
        <f t="shared" si="31"/>
        <v>0</v>
      </c>
      <c r="J436" s="184"/>
      <c r="K436" s="184"/>
      <c r="L436" s="124"/>
    </row>
    <row r="437" spans="1:12" ht="17.25" customHeight="1" outlineLevel="1" x14ac:dyDescent="0.25">
      <c r="A437" s="184" t="s">
        <v>891</v>
      </c>
      <c r="B437" s="184" t="s">
        <v>892</v>
      </c>
      <c r="C437" s="184">
        <v>2023</v>
      </c>
      <c r="D437" s="6" t="s">
        <v>8</v>
      </c>
      <c r="E437" s="4">
        <f t="shared" si="32"/>
        <v>0</v>
      </c>
      <c r="F437" s="4">
        <f>SUM(F438:F442)</f>
        <v>0</v>
      </c>
      <c r="G437" s="4">
        <v>0</v>
      </c>
      <c r="H437" s="4">
        <f>SUM(H438:H442)</f>
        <v>0</v>
      </c>
      <c r="I437" s="4">
        <f t="shared" si="31"/>
        <v>0</v>
      </c>
      <c r="J437" s="184" t="s">
        <v>1168</v>
      </c>
      <c r="K437" s="184" t="s">
        <v>907</v>
      </c>
    </row>
    <row r="438" spans="1:12" ht="17.25" customHeight="1" outlineLevel="1" x14ac:dyDescent="0.25">
      <c r="A438" s="184"/>
      <c r="B438" s="184"/>
      <c r="C438" s="184"/>
      <c r="D438" s="6">
        <v>2021</v>
      </c>
      <c r="E438" s="4">
        <f t="shared" si="32"/>
        <v>0</v>
      </c>
      <c r="F438" s="4">
        <v>0</v>
      </c>
      <c r="G438" s="4">
        <v>0</v>
      </c>
      <c r="H438" s="4">
        <v>0</v>
      </c>
      <c r="I438" s="4">
        <v>0</v>
      </c>
      <c r="J438" s="184"/>
      <c r="K438" s="184"/>
    </row>
    <row r="439" spans="1:12" ht="17.25" customHeight="1" outlineLevel="1" x14ac:dyDescent="0.25">
      <c r="A439" s="184"/>
      <c r="B439" s="184"/>
      <c r="C439" s="184"/>
      <c r="D439" s="6">
        <v>2022</v>
      </c>
      <c r="E439" s="4">
        <f t="shared" si="32"/>
        <v>0</v>
      </c>
      <c r="F439" s="4">
        <v>0</v>
      </c>
      <c r="G439" s="4">
        <v>0</v>
      </c>
      <c r="H439" s="4">
        <v>0</v>
      </c>
      <c r="I439" s="4">
        <v>0</v>
      </c>
      <c r="J439" s="184"/>
      <c r="K439" s="184"/>
    </row>
    <row r="440" spans="1:12" ht="17.25" customHeight="1" outlineLevel="1" x14ac:dyDescent="0.25">
      <c r="A440" s="184"/>
      <c r="B440" s="184"/>
      <c r="C440" s="184"/>
      <c r="D440" s="6">
        <v>2023</v>
      </c>
      <c r="E440" s="4">
        <f t="shared" si="32"/>
        <v>0</v>
      </c>
      <c r="F440" s="4">
        <v>0</v>
      </c>
      <c r="G440" s="4">
        <v>0</v>
      </c>
      <c r="H440" s="4">
        <v>0</v>
      </c>
      <c r="I440" s="4">
        <v>0</v>
      </c>
      <c r="J440" s="184"/>
      <c r="K440" s="184"/>
    </row>
    <row r="441" spans="1:12" ht="17.25" customHeight="1" outlineLevel="1" x14ac:dyDescent="0.25">
      <c r="A441" s="184"/>
      <c r="B441" s="184"/>
      <c r="C441" s="184"/>
      <c r="D441" s="6">
        <v>2024</v>
      </c>
      <c r="E441" s="4">
        <f t="shared" si="32"/>
        <v>0</v>
      </c>
      <c r="F441" s="4">
        <v>0</v>
      </c>
      <c r="G441" s="4">
        <v>0</v>
      </c>
      <c r="H441" s="4">
        <v>0</v>
      </c>
      <c r="I441" s="4">
        <v>0</v>
      </c>
      <c r="J441" s="184"/>
      <c r="K441" s="184"/>
    </row>
    <row r="442" spans="1:12" ht="17.25" customHeight="1" outlineLevel="1" x14ac:dyDescent="0.25">
      <c r="A442" s="184"/>
      <c r="B442" s="184"/>
      <c r="C442" s="184"/>
      <c r="D442" s="6">
        <v>2025</v>
      </c>
      <c r="E442" s="4">
        <f t="shared" si="32"/>
        <v>0</v>
      </c>
      <c r="F442" s="4">
        <v>0</v>
      </c>
      <c r="G442" s="4">
        <v>0</v>
      </c>
      <c r="H442" s="4">
        <v>0</v>
      </c>
      <c r="I442" s="4">
        <v>0</v>
      </c>
      <c r="J442" s="184"/>
      <c r="K442" s="184"/>
    </row>
    <row r="443" spans="1:12" ht="15" customHeight="1" outlineLevel="1" x14ac:dyDescent="0.25">
      <c r="A443" s="184" t="s">
        <v>894</v>
      </c>
      <c r="B443" s="184" t="s">
        <v>793</v>
      </c>
      <c r="C443" s="184">
        <v>2022</v>
      </c>
      <c r="D443" s="6" t="s">
        <v>8</v>
      </c>
      <c r="E443" s="4">
        <f t="shared" si="32"/>
        <v>0</v>
      </c>
      <c r="F443" s="4">
        <f>SUM(F444:F448)</f>
        <v>0</v>
      </c>
      <c r="G443" s="4">
        <f t="shared" si="30"/>
        <v>0</v>
      </c>
      <c r="H443" s="4">
        <f>SUM(H444:H448)</f>
        <v>0</v>
      </c>
      <c r="I443" s="4">
        <f t="shared" si="31"/>
        <v>0</v>
      </c>
      <c r="J443" s="184" t="s">
        <v>895</v>
      </c>
      <c r="K443" s="184" t="s">
        <v>547</v>
      </c>
      <c r="L443" s="124"/>
    </row>
    <row r="444" spans="1:12" ht="15" customHeight="1" outlineLevel="1" x14ac:dyDescent="0.25">
      <c r="A444" s="184"/>
      <c r="B444" s="184"/>
      <c r="C444" s="184"/>
      <c r="D444" s="6">
        <v>2021</v>
      </c>
      <c r="E444" s="4">
        <f t="shared" si="32"/>
        <v>0</v>
      </c>
      <c r="F444" s="4">
        <v>0</v>
      </c>
      <c r="G444" s="4">
        <v>0</v>
      </c>
      <c r="H444" s="4">
        <v>0</v>
      </c>
      <c r="I444" s="4">
        <v>0</v>
      </c>
      <c r="J444" s="184"/>
      <c r="K444" s="184"/>
      <c r="L444" s="124"/>
    </row>
    <row r="445" spans="1:12" ht="15" customHeight="1" outlineLevel="1" x14ac:dyDescent="0.25">
      <c r="A445" s="184"/>
      <c r="B445" s="184"/>
      <c r="C445" s="184"/>
      <c r="D445" s="6">
        <v>2022</v>
      </c>
      <c r="E445" s="4">
        <f t="shared" si="32"/>
        <v>0</v>
      </c>
      <c r="F445" s="4">
        <v>0</v>
      </c>
      <c r="G445" s="4">
        <v>0</v>
      </c>
      <c r="H445" s="4">
        <v>0</v>
      </c>
      <c r="I445" s="4">
        <v>0</v>
      </c>
      <c r="J445" s="184"/>
      <c r="K445" s="184"/>
      <c r="L445" s="124"/>
    </row>
    <row r="446" spans="1:12" ht="15" customHeight="1" outlineLevel="1" x14ac:dyDescent="0.25">
      <c r="A446" s="184"/>
      <c r="B446" s="184"/>
      <c r="C446" s="184"/>
      <c r="D446" s="6">
        <v>2023</v>
      </c>
      <c r="E446" s="4">
        <f t="shared" si="32"/>
        <v>0</v>
      </c>
      <c r="F446" s="4">
        <v>0</v>
      </c>
      <c r="G446" s="4">
        <v>0</v>
      </c>
      <c r="H446" s="4">
        <v>0</v>
      </c>
      <c r="I446" s="4">
        <v>0</v>
      </c>
      <c r="J446" s="184"/>
      <c r="K446" s="184"/>
      <c r="L446" s="124"/>
    </row>
    <row r="447" spans="1:12" ht="15" customHeight="1" outlineLevel="1" x14ac:dyDescent="0.25">
      <c r="A447" s="184"/>
      <c r="B447" s="184"/>
      <c r="C447" s="184"/>
      <c r="D447" s="6">
        <v>2024</v>
      </c>
      <c r="E447" s="4">
        <f t="shared" si="32"/>
        <v>0</v>
      </c>
      <c r="F447" s="4">
        <v>0</v>
      </c>
      <c r="G447" s="4">
        <v>0</v>
      </c>
      <c r="H447" s="4">
        <v>0</v>
      </c>
      <c r="I447" s="4">
        <v>0</v>
      </c>
      <c r="J447" s="184"/>
      <c r="K447" s="184"/>
      <c r="L447" s="124"/>
    </row>
    <row r="448" spans="1:12" ht="15" customHeight="1" outlineLevel="1" x14ac:dyDescent="0.25">
      <c r="A448" s="184"/>
      <c r="B448" s="184"/>
      <c r="C448" s="184"/>
      <c r="D448" s="6">
        <v>2025</v>
      </c>
      <c r="E448" s="4">
        <f t="shared" si="32"/>
        <v>0</v>
      </c>
      <c r="F448" s="4">
        <v>0</v>
      </c>
      <c r="G448" s="4">
        <v>0</v>
      </c>
      <c r="H448" s="4">
        <v>0</v>
      </c>
      <c r="I448" s="4">
        <v>0</v>
      </c>
      <c r="J448" s="184"/>
      <c r="K448" s="184"/>
      <c r="L448" s="124"/>
    </row>
    <row r="449" spans="1:12" ht="15" customHeight="1" outlineLevel="1" x14ac:dyDescent="0.25">
      <c r="A449" s="184" t="s">
        <v>904</v>
      </c>
      <c r="B449" s="184" t="s">
        <v>905</v>
      </c>
      <c r="C449" s="184" t="s">
        <v>1169</v>
      </c>
      <c r="D449" s="6" t="s">
        <v>8</v>
      </c>
      <c r="E449" s="4">
        <f t="shared" si="32"/>
        <v>66399.149999999994</v>
      </c>
      <c r="F449" s="4">
        <f>SUM(F450:F454)</f>
        <v>66399.149999999994</v>
      </c>
      <c r="G449" s="4">
        <f t="shared" si="30"/>
        <v>0</v>
      </c>
      <c r="H449" s="4">
        <f>SUM(H450:H454)</f>
        <v>0</v>
      </c>
      <c r="I449" s="4">
        <f t="shared" si="31"/>
        <v>0</v>
      </c>
      <c r="J449" s="184" t="s">
        <v>906</v>
      </c>
      <c r="K449" s="184" t="s">
        <v>907</v>
      </c>
    </row>
    <row r="450" spans="1:12" ht="15" customHeight="1" outlineLevel="1" x14ac:dyDescent="0.25">
      <c r="A450" s="184"/>
      <c r="B450" s="184"/>
      <c r="C450" s="184"/>
      <c r="D450" s="6">
        <v>2021</v>
      </c>
      <c r="E450" s="4">
        <f t="shared" si="32"/>
        <v>0</v>
      </c>
      <c r="F450" s="4">
        <v>0</v>
      </c>
      <c r="G450" s="4">
        <v>0</v>
      </c>
      <c r="H450" s="4">
        <v>0</v>
      </c>
      <c r="I450" s="4">
        <v>0</v>
      </c>
      <c r="J450" s="184"/>
      <c r="K450" s="184"/>
    </row>
    <row r="451" spans="1:12" ht="15" customHeight="1" outlineLevel="1" x14ac:dyDescent="0.25">
      <c r="A451" s="184"/>
      <c r="B451" s="184"/>
      <c r="C451" s="184"/>
      <c r="D451" s="6">
        <v>2022</v>
      </c>
      <c r="E451" s="4">
        <f t="shared" si="32"/>
        <v>66399.149999999994</v>
      </c>
      <c r="F451" s="4">
        <f>200000-21582.6-112018.25</f>
        <v>66399.149999999994</v>
      </c>
      <c r="G451" s="4">
        <v>0</v>
      </c>
      <c r="H451" s="4">
        <v>0</v>
      </c>
      <c r="I451" s="4">
        <v>0</v>
      </c>
      <c r="J451" s="184"/>
      <c r="K451" s="184"/>
    </row>
    <row r="452" spans="1:12" ht="15" customHeight="1" outlineLevel="1" x14ac:dyDescent="0.25">
      <c r="A452" s="184"/>
      <c r="B452" s="184"/>
      <c r="C452" s="184"/>
      <c r="D452" s="6">
        <v>2023</v>
      </c>
      <c r="E452" s="4">
        <f t="shared" si="32"/>
        <v>0</v>
      </c>
      <c r="F452" s="4">
        <v>0</v>
      </c>
      <c r="G452" s="4">
        <v>0</v>
      </c>
      <c r="H452" s="4">
        <v>0</v>
      </c>
      <c r="I452" s="4">
        <v>0</v>
      </c>
      <c r="J452" s="184"/>
      <c r="K452" s="184"/>
    </row>
    <row r="453" spans="1:12" ht="15" customHeight="1" outlineLevel="1" x14ac:dyDescent="0.25">
      <c r="A453" s="184"/>
      <c r="B453" s="184"/>
      <c r="C453" s="184"/>
      <c r="D453" s="6">
        <v>2024</v>
      </c>
      <c r="E453" s="4">
        <f t="shared" si="32"/>
        <v>0</v>
      </c>
      <c r="F453" s="4">
        <v>0</v>
      </c>
      <c r="G453" s="4">
        <v>0</v>
      </c>
      <c r="H453" s="4">
        <v>0</v>
      </c>
      <c r="I453" s="4">
        <v>0</v>
      </c>
      <c r="J453" s="184"/>
      <c r="K453" s="184"/>
    </row>
    <row r="454" spans="1:12" ht="15" customHeight="1" outlineLevel="1" x14ac:dyDescent="0.25">
      <c r="A454" s="184"/>
      <c r="B454" s="184"/>
      <c r="C454" s="184"/>
      <c r="D454" s="6">
        <v>2025</v>
      </c>
      <c r="E454" s="4">
        <f t="shared" si="32"/>
        <v>0</v>
      </c>
      <c r="F454" s="4">
        <v>0</v>
      </c>
      <c r="G454" s="4">
        <v>0</v>
      </c>
      <c r="H454" s="4">
        <v>0</v>
      </c>
      <c r="I454" s="4">
        <v>0</v>
      </c>
      <c r="J454" s="184"/>
      <c r="K454" s="184"/>
    </row>
    <row r="455" spans="1:12" ht="15" customHeight="1" outlineLevel="1" x14ac:dyDescent="0.25">
      <c r="A455" s="184" t="s">
        <v>909</v>
      </c>
      <c r="B455" s="184" t="s">
        <v>910</v>
      </c>
      <c r="C455" s="184">
        <v>2022</v>
      </c>
      <c r="D455" s="6" t="s">
        <v>8</v>
      </c>
      <c r="E455" s="4">
        <f t="shared" si="32"/>
        <v>0</v>
      </c>
      <c r="F455" s="4">
        <f t="shared" ref="F455:H467" si="33">SUM(F456:F460)</f>
        <v>0</v>
      </c>
      <c r="G455" s="4">
        <f t="shared" si="33"/>
        <v>0</v>
      </c>
      <c r="H455" s="4">
        <f t="shared" si="33"/>
        <v>0</v>
      </c>
      <c r="I455" s="4">
        <f t="shared" si="31"/>
        <v>0</v>
      </c>
      <c r="J455" s="184" t="s">
        <v>911</v>
      </c>
      <c r="K455" s="184" t="s">
        <v>547</v>
      </c>
    </row>
    <row r="456" spans="1:12" ht="15" customHeight="1" outlineLevel="1" x14ac:dyDescent="0.25">
      <c r="A456" s="184"/>
      <c r="B456" s="184"/>
      <c r="C456" s="184"/>
      <c r="D456" s="6">
        <v>2021</v>
      </c>
      <c r="E456" s="4">
        <f t="shared" si="32"/>
        <v>0</v>
      </c>
      <c r="F456" s="4">
        <v>0</v>
      </c>
      <c r="G456" s="4">
        <v>0</v>
      </c>
      <c r="H456" s="4">
        <v>0</v>
      </c>
      <c r="I456" s="4">
        <v>0</v>
      </c>
      <c r="J456" s="184"/>
      <c r="K456" s="184"/>
    </row>
    <row r="457" spans="1:12" ht="15" customHeight="1" outlineLevel="1" x14ac:dyDescent="0.25">
      <c r="A457" s="184"/>
      <c r="B457" s="184"/>
      <c r="C457" s="184"/>
      <c r="D457" s="6">
        <v>2022</v>
      </c>
      <c r="E457" s="4">
        <f t="shared" si="32"/>
        <v>0</v>
      </c>
      <c r="F457" s="4">
        <v>0</v>
      </c>
      <c r="G457" s="4">
        <v>0</v>
      </c>
      <c r="H457" s="4">
        <v>0</v>
      </c>
      <c r="I457" s="4">
        <v>0</v>
      </c>
      <c r="J457" s="184"/>
      <c r="K457" s="184"/>
    </row>
    <row r="458" spans="1:12" ht="15" customHeight="1" outlineLevel="1" x14ac:dyDescent="0.25">
      <c r="A458" s="184"/>
      <c r="B458" s="184"/>
      <c r="C458" s="184"/>
      <c r="D458" s="6">
        <v>2023</v>
      </c>
      <c r="E458" s="4">
        <f t="shared" si="32"/>
        <v>0</v>
      </c>
      <c r="F458" s="4">
        <v>0</v>
      </c>
      <c r="G458" s="4">
        <v>0</v>
      </c>
      <c r="H458" s="4">
        <v>0</v>
      </c>
      <c r="I458" s="4">
        <v>0</v>
      </c>
      <c r="J458" s="184"/>
      <c r="K458" s="184"/>
    </row>
    <row r="459" spans="1:12" ht="15" customHeight="1" outlineLevel="1" x14ac:dyDescent="0.25">
      <c r="A459" s="184"/>
      <c r="B459" s="184"/>
      <c r="C459" s="184"/>
      <c r="D459" s="6">
        <v>2024</v>
      </c>
      <c r="E459" s="4">
        <f t="shared" si="32"/>
        <v>0</v>
      </c>
      <c r="F459" s="4">
        <v>0</v>
      </c>
      <c r="G459" s="4">
        <v>0</v>
      </c>
      <c r="H459" s="4">
        <v>0</v>
      </c>
      <c r="I459" s="4">
        <v>0</v>
      </c>
      <c r="J459" s="184"/>
      <c r="K459" s="184"/>
    </row>
    <row r="460" spans="1:12" ht="15" customHeight="1" outlineLevel="1" x14ac:dyDescent="0.25">
      <c r="A460" s="184"/>
      <c r="B460" s="184"/>
      <c r="C460" s="184"/>
      <c r="D460" s="6">
        <v>2025</v>
      </c>
      <c r="E460" s="4">
        <f t="shared" si="32"/>
        <v>0</v>
      </c>
      <c r="F460" s="4">
        <v>0</v>
      </c>
      <c r="G460" s="4">
        <v>0</v>
      </c>
      <c r="H460" s="4">
        <v>0</v>
      </c>
      <c r="I460" s="4">
        <v>0</v>
      </c>
      <c r="J460" s="184"/>
      <c r="K460" s="184"/>
    </row>
    <row r="461" spans="1:12" ht="15" customHeight="1" outlineLevel="1" x14ac:dyDescent="0.25">
      <c r="A461" s="184" t="s">
        <v>1170</v>
      </c>
      <c r="B461" s="184" t="s">
        <v>1171</v>
      </c>
      <c r="C461" s="184">
        <v>2022</v>
      </c>
      <c r="D461" s="6" t="s">
        <v>8</v>
      </c>
      <c r="E461" s="4">
        <f t="shared" si="32"/>
        <v>6133.3262999999997</v>
      </c>
      <c r="F461" s="4">
        <f t="shared" si="33"/>
        <v>5826.66</v>
      </c>
      <c r="G461" s="4">
        <v>0</v>
      </c>
      <c r="H461" s="4">
        <f t="shared" si="33"/>
        <v>306.66629999999998</v>
      </c>
      <c r="I461" s="4">
        <f t="shared" si="31"/>
        <v>0</v>
      </c>
      <c r="J461" s="184" t="s">
        <v>1172</v>
      </c>
      <c r="K461" s="184" t="s">
        <v>547</v>
      </c>
      <c r="L461" s="124"/>
    </row>
    <row r="462" spans="1:12" outlineLevel="1" x14ac:dyDescent="0.25">
      <c r="A462" s="184"/>
      <c r="B462" s="184"/>
      <c r="C462" s="184"/>
      <c r="D462" s="6">
        <v>2021</v>
      </c>
      <c r="E462" s="4">
        <f t="shared" si="32"/>
        <v>0</v>
      </c>
      <c r="F462" s="4">
        <v>0</v>
      </c>
      <c r="G462" s="4">
        <v>0</v>
      </c>
      <c r="H462" s="4">
        <v>0</v>
      </c>
      <c r="I462" s="4">
        <v>0</v>
      </c>
      <c r="J462" s="184"/>
      <c r="K462" s="184"/>
      <c r="L462" s="124"/>
    </row>
    <row r="463" spans="1:12" outlineLevel="1" x14ac:dyDescent="0.25">
      <c r="A463" s="184"/>
      <c r="B463" s="184"/>
      <c r="C463" s="184"/>
      <c r="D463" s="6">
        <v>2022</v>
      </c>
      <c r="E463" s="4">
        <f t="shared" si="32"/>
        <v>6133.3262999999997</v>
      </c>
      <c r="F463" s="4">
        <v>5826.66</v>
      </c>
      <c r="G463" s="4">
        <v>0</v>
      </c>
      <c r="H463" s="4">
        <v>306.66629999999998</v>
      </c>
      <c r="I463" s="4">
        <v>0</v>
      </c>
      <c r="J463" s="184"/>
      <c r="K463" s="184"/>
      <c r="L463" s="124"/>
    </row>
    <row r="464" spans="1:12" outlineLevel="1" x14ac:dyDescent="0.25">
      <c r="A464" s="184"/>
      <c r="B464" s="184"/>
      <c r="C464" s="184"/>
      <c r="D464" s="6">
        <v>2023</v>
      </c>
      <c r="E464" s="4">
        <f t="shared" si="32"/>
        <v>0</v>
      </c>
      <c r="F464" s="4">
        <v>0</v>
      </c>
      <c r="G464" s="4">
        <v>0</v>
      </c>
      <c r="H464" s="4">
        <v>0</v>
      </c>
      <c r="I464" s="4">
        <v>0</v>
      </c>
      <c r="J464" s="184"/>
      <c r="K464" s="184"/>
    </row>
    <row r="465" spans="1:11" outlineLevel="1" x14ac:dyDescent="0.25">
      <c r="A465" s="184"/>
      <c r="B465" s="184"/>
      <c r="C465" s="184"/>
      <c r="D465" s="6">
        <v>2024</v>
      </c>
      <c r="E465" s="4">
        <f t="shared" si="32"/>
        <v>0</v>
      </c>
      <c r="F465" s="4">
        <v>0</v>
      </c>
      <c r="G465" s="4">
        <v>0</v>
      </c>
      <c r="H465" s="4">
        <v>0</v>
      </c>
      <c r="I465" s="4">
        <v>0</v>
      </c>
      <c r="J465" s="184"/>
      <c r="K465" s="184"/>
    </row>
    <row r="466" spans="1:11" outlineLevel="1" x14ac:dyDescent="0.25">
      <c r="A466" s="184"/>
      <c r="B466" s="184"/>
      <c r="C466" s="184"/>
      <c r="D466" s="6">
        <v>2025</v>
      </c>
      <c r="E466" s="4">
        <f t="shared" si="32"/>
        <v>0</v>
      </c>
      <c r="F466" s="4">
        <v>0</v>
      </c>
      <c r="G466" s="4">
        <v>0</v>
      </c>
      <c r="H466" s="4">
        <v>0</v>
      </c>
      <c r="I466" s="4">
        <v>0</v>
      </c>
      <c r="J466" s="184"/>
      <c r="K466" s="184"/>
    </row>
    <row r="467" spans="1:11" outlineLevel="1" x14ac:dyDescent="0.25">
      <c r="A467" s="184" t="s">
        <v>1173</v>
      </c>
      <c r="B467" s="184" t="s">
        <v>1174</v>
      </c>
      <c r="C467" s="184">
        <v>2023</v>
      </c>
      <c r="D467" s="6" t="s">
        <v>8</v>
      </c>
      <c r="E467" s="4">
        <f t="shared" si="32"/>
        <v>0</v>
      </c>
      <c r="F467" s="4">
        <f t="shared" si="33"/>
        <v>0</v>
      </c>
      <c r="G467" s="4">
        <f t="shared" si="33"/>
        <v>0</v>
      </c>
      <c r="H467" s="4">
        <f t="shared" si="33"/>
        <v>0</v>
      </c>
      <c r="I467" s="4">
        <f t="shared" si="31"/>
        <v>0</v>
      </c>
      <c r="J467" s="184" t="s">
        <v>1175</v>
      </c>
      <c r="K467" s="184" t="s">
        <v>484</v>
      </c>
    </row>
    <row r="468" spans="1:11" outlineLevel="1" x14ac:dyDescent="0.25">
      <c r="A468" s="184"/>
      <c r="B468" s="184"/>
      <c r="C468" s="184"/>
      <c r="D468" s="6">
        <v>2021</v>
      </c>
      <c r="E468" s="4">
        <f t="shared" si="32"/>
        <v>0</v>
      </c>
      <c r="F468" s="4">
        <v>0</v>
      </c>
      <c r="G468" s="4">
        <v>0</v>
      </c>
      <c r="H468" s="4">
        <v>0</v>
      </c>
      <c r="I468" s="4">
        <v>0</v>
      </c>
      <c r="J468" s="184"/>
      <c r="K468" s="184"/>
    </row>
    <row r="469" spans="1:11" outlineLevel="1" x14ac:dyDescent="0.25">
      <c r="A469" s="184"/>
      <c r="B469" s="184"/>
      <c r="C469" s="184"/>
      <c r="D469" s="6">
        <v>2022</v>
      </c>
      <c r="E469" s="4">
        <f t="shared" si="32"/>
        <v>0</v>
      </c>
      <c r="F469" s="4">
        <v>0</v>
      </c>
      <c r="G469" s="4">
        <v>0</v>
      </c>
      <c r="H469" s="4">
        <v>0</v>
      </c>
      <c r="I469" s="4">
        <v>0</v>
      </c>
      <c r="J469" s="184"/>
      <c r="K469" s="184"/>
    </row>
    <row r="470" spans="1:11" outlineLevel="1" x14ac:dyDescent="0.25">
      <c r="A470" s="184"/>
      <c r="B470" s="184"/>
      <c r="C470" s="184"/>
      <c r="D470" s="6">
        <v>2023</v>
      </c>
      <c r="E470" s="4">
        <f t="shared" si="32"/>
        <v>0</v>
      </c>
      <c r="F470" s="4">
        <v>0</v>
      </c>
      <c r="G470" s="4">
        <v>0</v>
      </c>
      <c r="H470" s="4">
        <v>0</v>
      </c>
      <c r="I470" s="4">
        <v>0</v>
      </c>
      <c r="J470" s="184"/>
      <c r="K470" s="184"/>
    </row>
    <row r="471" spans="1:11" outlineLevel="1" x14ac:dyDescent="0.25">
      <c r="A471" s="184"/>
      <c r="B471" s="184"/>
      <c r="C471" s="184"/>
      <c r="D471" s="6">
        <v>2024</v>
      </c>
      <c r="E471" s="4">
        <f t="shared" si="32"/>
        <v>0</v>
      </c>
      <c r="F471" s="4">
        <v>0</v>
      </c>
      <c r="G471" s="4">
        <v>0</v>
      </c>
      <c r="H471" s="4">
        <v>0</v>
      </c>
      <c r="I471" s="4">
        <v>0</v>
      </c>
      <c r="J471" s="184"/>
      <c r="K471" s="184"/>
    </row>
    <row r="472" spans="1:11" outlineLevel="1" x14ac:dyDescent="0.25">
      <c r="A472" s="184"/>
      <c r="B472" s="184"/>
      <c r="C472" s="184"/>
      <c r="D472" s="6">
        <v>2025</v>
      </c>
      <c r="E472" s="4">
        <f t="shared" si="32"/>
        <v>0</v>
      </c>
      <c r="F472" s="4">
        <v>0</v>
      </c>
      <c r="G472" s="4">
        <v>0</v>
      </c>
      <c r="H472" s="4">
        <v>0</v>
      </c>
      <c r="I472" s="4">
        <v>0</v>
      </c>
      <c r="J472" s="184"/>
      <c r="K472" s="184"/>
    </row>
    <row r="473" spans="1:11" ht="17.100000000000001" customHeight="1" outlineLevel="1" x14ac:dyDescent="0.25">
      <c r="A473" s="184" t="s">
        <v>104</v>
      </c>
      <c r="B473" s="184" t="s">
        <v>105</v>
      </c>
      <c r="C473" s="184" t="s">
        <v>14</v>
      </c>
      <c r="D473" s="6" t="s">
        <v>8</v>
      </c>
      <c r="E473" s="4">
        <f t="shared" si="32"/>
        <v>705120.82076182624</v>
      </c>
      <c r="F473" s="4">
        <f t="shared" ref="F473" si="34">SUM(F474:F478)</f>
        <v>670136.02604999999</v>
      </c>
      <c r="G473" s="4">
        <f>SUM(G474:G478)</f>
        <v>0</v>
      </c>
      <c r="H473" s="4">
        <f>SUM(H474:H478)</f>
        <v>34984.794711826275</v>
      </c>
      <c r="I473" s="4">
        <f t="shared" ref="I473:I475" si="35">SUM(I480:I484)</f>
        <v>0</v>
      </c>
      <c r="J473" s="184" t="s">
        <v>106</v>
      </c>
      <c r="K473" s="184" t="s">
        <v>1176</v>
      </c>
    </row>
    <row r="474" spans="1:11" ht="17.100000000000001" customHeight="1" outlineLevel="1" x14ac:dyDescent="0.25">
      <c r="A474" s="184"/>
      <c r="B474" s="184"/>
      <c r="C474" s="184"/>
      <c r="D474" s="6">
        <v>2021</v>
      </c>
      <c r="E474" s="4">
        <f t="shared" si="32"/>
        <v>195224.35576589749</v>
      </c>
      <c r="F474" s="4">
        <f>SUM(F480+F486+F492+F498+F504+F510+F516+F522+F528+F534+F540+F546+F552+F558+F564+F570+F576+F582+F588+F594+F600+F606+F612+F618+F624+F630+F636+F642+F648)</f>
        <v>179524.59972</v>
      </c>
      <c r="G474" s="4">
        <f t="shared" ref="G474:I478" si="36">SUM(G480+G486+G492+G498+G504+G510+G516+G522+G528+G534+G540+G546+G552+G558+G564+G570+G576+G582+G588+G594+G600+G606+G612+G618+G624+G630+G636+G642+G648)</f>
        <v>0</v>
      </c>
      <c r="H474" s="4">
        <f>SUM(H480+H486+H492+H498+H504+H510+H516+H522+H528+H534+H540+H546+H552+H558+H564+H570+H576+H582+H588+H594+H600+H606+H612+H618+H624+H630+H636+H642+H648)</f>
        <v>15699.756045897479</v>
      </c>
      <c r="I474" s="4">
        <f t="shared" si="35"/>
        <v>0</v>
      </c>
      <c r="J474" s="184"/>
      <c r="K474" s="184"/>
    </row>
    <row r="475" spans="1:11" ht="17.100000000000001" customHeight="1" outlineLevel="1" x14ac:dyDescent="0.25">
      <c r="A475" s="184"/>
      <c r="B475" s="184"/>
      <c r="C475" s="184"/>
      <c r="D475" s="6">
        <v>2022</v>
      </c>
      <c r="E475" s="4">
        <f t="shared" si="32"/>
        <v>369218.75899592874</v>
      </c>
      <c r="F475" s="4">
        <f>SUM(F481+F487+F493+F499+F505+F511+F517+F523+F529+F535+F541+F547+F553+F559+F565+F571+F577+F583+F589+F595+F601+F607+F613+F619+F625+F631+F637+F643+F649+F655+F661+F667+F673)</f>
        <v>355399.40232999995</v>
      </c>
      <c r="G475" s="4">
        <f t="shared" si="36"/>
        <v>0</v>
      </c>
      <c r="H475" s="4">
        <f>SUM(H481+H487+H493+H499+H505+H511+H517+H523+H529+H535+H541+H547+H553+H559+H565+H571+H577+H583+H589+H595+H601+H607+H613+H619+H625+H631+H637+H643+H649+H655+H661+H667+H673)</f>
        <v>13819.356665928797</v>
      </c>
      <c r="I475" s="4">
        <f t="shared" si="35"/>
        <v>0</v>
      </c>
      <c r="J475" s="184"/>
      <c r="K475" s="184"/>
    </row>
    <row r="476" spans="1:11" ht="17.100000000000001" customHeight="1" outlineLevel="1" x14ac:dyDescent="0.25">
      <c r="A476" s="184"/>
      <c r="B476" s="184"/>
      <c r="C476" s="184"/>
      <c r="D476" s="6">
        <v>2023</v>
      </c>
      <c r="E476" s="4">
        <f t="shared" si="32"/>
        <v>119877.70600000001</v>
      </c>
      <c r="F476" s="4">
        <f t="shared" ref="F476:F478" si="37">SUM(F482+F488+F494+F500+F506+F512+F518+F524+F530+F536+F542+F548+F554+F560+F566+F572+F578+F584+F590+F596+F602+F608+F614+F620+F626+F632+F638+F644+F650)</f>
        <v>114412.024</v>
      </c>
      <c r="G476" s="4">
        <f t="shared" si="36"/>
        <v>0</v>
      </c>
      <c r="H476" s="4">
        <f t="shared" si="36"/>
        <v>5465.6819999999998</v>
      </c>
      <c r="I476" s="4">
        <f t="shared" si="36"/>
        <v>0</v>
      </c>
      <c r="J476" s="184"/>
      <c r="K476" s="184"/>
    </row>
    <row r="477" spans="1:11" outlineLevel="1" x14ac:dyDescent="0.25">
      <c r="A477" s="184"/>
      <c r="B477" s="184"/>
      <c r="C477" s="184"/>
      <c r="D477" s="6">
        <v>2024</v>
      </c>
      <c r="E477" s="4">
        <f t="shared" si="32"/>
        <v>10400</v>
      </c>
      <c r="F477" s="4">
        <f t="shared" si="37"/>
        <v>10400</v>
      </c>
      <c r="G477" s="4">
        <f t="shared" si="36"/>
        <v>0</v>
      </c>
      <c r="H477" s="4">
        <f t="shared" si="36"/>
        <v>0</v>
      </c>
      <c r="I477" s="4">
        <f t="shared" si="36"/>
        <v>0</v>
      </c>
      <c r="J477" s="184"/>
      <c r="K477" s="184"/>
    </row>
    <row r="478" spans="1:11" outlineLevel="1" x14ac:dyDescent="0.25">
      <c r="A478" s="184"/>
      <c r="B478" s="184"/>
      <c r="C478" s="184"/>
      <c r="D478" s="6">
        <v>2025</v>
      </c>
      <c r="E478" s="4">
        <f t="shared" si="32"/>
        <v>10400</v>
      </c>
      <c r="F478" s="4">
        <f t="shared" si="37"/>
        <v>10400</v>
      </c>
      <c r="G478" s="4">
        <f t="shared" si="36"/>
        <v>0</v>
      </c>
      <c r="H478" s="4">
        <f t="shared" si="36"/>
        <v>0</v>
      </c>
      <c r="I478" s="4">
        <f t="shared" si="36"/>
        <v>0</v>
      </c>
      <c r="J478" s="184"/>
      <c r="K478" s="184"/>
    </row>
    <row r="479" spans="1:11" ht="17.100000000000001" customHeight="1" outlineLevel="1" x14ac:dyDescent="0.25">
      <c r="A479" s="184" t="s">
        <v>108</v>
      </c>
      <c r="B479" s="184" t="s">
        <v>109</v>
      </c>
      <c r="C479" s="184" t="s">
        <v>19</v>
      </c>
      <c r="D479" s="6" t="s">
        <v>8</v>
      </c>
      <c r="E479" s="4">
        <f t="shared" si="32"/>
        <v>54408.455999999998</v>
      </c>
      <c r="F479" s="4">
        <f>SUM(F480:F484)</f>
        <v>50810.661</v>
      </c>
      <c r="G479" s="4">
        <f>SUM(G480:G484)</f>
        <v>0</v>
      </c>
      <c r="H479" s="4">
        <f>SUM(H480:H484)</f>
        <v>3597.7950000000001</v>
      </c>
      <c r="I479" s="4">
        <f>SUM(I480:I484)</f>
        <v>0</v>
      </c>
      <c r="J479" s="184" t="s">
        <v>1177</v>
      </c>
      <c r="K479" s="184" t="s">
        <v>566</v>
      </c>
    </row>
    <row r="480" spans="1:11" ht="17.100000000000001" customHeight="1" outlineLevel="1" x14ac:dyDescent="0.25">
      <c r="A480" s="184"/>
      <c r="B480" s="184"/>
      <c r="C480" s="184"/>
      <c r="D480" s="6">
        <v>2021</v>
      </c>
      <c r="E480" s="4">
        <f t="shared" si="32"/>
        <v>27027.03</v>
      </c>
      <c r="F480" s="4">
        <v>25000</v>
      </c>
      <c r="G480" s="4">
        <v>0</v>
      </c>
      <c r="H480" s="4">
        <v>2027.03</v>
      </c>
      <c r="I480" s="4">
        <v>0</v>
      </c>
      <c r="J480" s="184"/>
      <c r="K480" s="184"/>
    </row>
    <row r="481" spans="1:11" ht="17.100000000000001" customHeight="1" outlineLevel="1" x14ac:dyDescent="0.25">
      <c r="A481" s="184"/>
      <c r="B481" s="184"/>
      <c r="C481" s="184"/>
      <c r="D481" s="6">
        <v>2022</v>
      </c>
      <c r="E481" s="4">
        <f t="shared" si="32"/>
        <v>8067.7860000000001</v>
      </c>
      <c r="F481" s="4">
        <v>7462.7030000000004</v>
      </c>
      <c r="G481" s="4">
        <v>0</v>
      </c>
      <c r="H481" s="4">
        <v>605.08299999999997</v>
      </c>
      <c r="I481" s="4">
        <v>0</v>
      </c>
      <c r="J481" s="184"/>
      <c r="K481" s="184"/>
    </row>
    <row r="482" spans="1:11" ht="17.100000000000001" customHeight="1" outlineLevel="1" x14ac:dyDescent="0.25">
      <c r="A482" s="184"/>
      <c r="B482" s="184"/>
      <c r="C482" s="184"/>
      <c r="D482" s="6">
        <v>2023</v>
      </c>
      <c r="E482" s="4">
        <f t="shared" si="32"/>
        <v>19313.64</v>
      </c>
      <c r="F482" s="4">
        <f>24463.944-6115.986</f>
        <v>18347.957999999999</v>
      </c>
      <c r="G482" s="4">
        <v>0</v>
      </c>
      <c r="H482" s="4">
        <v>965.68200000000002</v>
      </c>
      <c r="I482" s="4">
        <v>0</v>
      </c>
      <c r="J482" s="184"/>
      <c r="K482" s="184"/>
    </row>
    <row r="483" spans="1:11" outlineLevel="1" x14ac:dyDescent="0.25">
      <c r="A483" s="184"/>
      <c r="B483" s="184"/>
      <c r="C483" s="184"/>
      <c r="D483" s="6">
        <v>2024</v>
      </c>
      <c r="E483" s="4">
        <f t="shared" si="32"/>
        <v>0</v>
      </c>
      <c r="F483" s="4">
        <v>0</v>
      </c>
      <c r="G483" s="4">
        <v>0</v>
      </c>
      <c r="H483" s="4">
        <v>0</v>
      </c>
      <c r="I483" s="4">
        <f>СТАРЫЙ!Q90</f>
        <v>0</v>
      </c>
      <c r="J483" s="184"/>
      <c r="K483" s="184"/>
    </row>
    <row r="484" spans="1:11" outlineLevel="1" x14ac:dyDescent="0.25">
      <c r="A484" s="184"/>
      <c r="B484" s="184"/>
      <c r="C484" s="184"/>
      <c r="D484" s="6">
        <v>2025</v>
      </c>
      <c r="E484" s="4">
        <f t="shared" si="32"/>
        <v>0</v>
      </c>
      <c r="F484" s="4">
        <v>0</v>
      </c>
      <c r="G484" s="4">
        <v>0</v>
      </c>
      <c r="H484" s="4">
        <v>0</v>
      </c>
      <c r="I484" s="4">
        <v>0</v>
      </c>
      <c r="J484" s="184"/>
      <c r="K484" s="184"/>
    </row>
    <row r="485" spans="1:11" ht="17.100000000000001" customHeight="1" outlineLevel="1" x14ac:dyDescent="0.25">
      <c r="A485" s="184" t="s">
        <v>112</v>
      </c>
      <c r="B485" s="184" t="s">
        <v>113</v>
      </c>
      <c r="C485" s="184" t="s">
        <v>14</v>
      </c>
      <c r="D485" s="6" t="s">
        <v>8</v>
      </c>
      <c r="E485" s="4">
        <f t="shared" si="32"/>
        <v>66479.56</v>
      </c>
      <c r="F485" s="4">
        <f>SUM(F486:F490)</f>
        <v>66479.56</v>
      </c>
      <c r="G485" s="4">
        <f>SUM(G486:G490)</f>
        <v>0</v>
      </c>
      <c r="H485" s="4">
        <f>SUM(H486:H490)</f>
        <v>0</v>
      </c>
      <c r="I485" s="4">
        <f>SUM(I486:I490)</f>
        <v>0</v>
      </c>
      <c r="J485" s="184" t="s">
        <v>567</v>
      </c>
      <c r="K485" s="184" t="s">
        <v>563</v>
      </c>
    </row>
    <row r="486" spans="1:11" ht="17.100000000000001" customHeight="1" outlineLevel="1" x14ac:dyDescent="0.25">
      <c r="A486" s="184"/>
      <c r="B486" s="184"/>
      <c r="C486" s="184"/>
      <c r="D486" s="6">
        <v>2021</v>
      </c>
      <c r="E486" s="4">
        <f t="shared" si="32"/>
        <v>6000</v>
      </c>
      <c r="F486" s="4">
        <v>6000</v>
      </c>
      <c r="G486" s="4">
        <v>0</v>
      </c>
      <c r="H486" s="4">
        <v>0</v>
      </c>
      <c r="I486" s="4">
        <v>0</v>
      </c>
      <c r="J486" s="184"/>
      <c r="K486" s="184"/>
    </row>
    <row r="487" spans="1:11" ht="17.100000000000001" customHeight="1" outlineLevel="1" x14ac:dyDescent="0.25">
      <c r="A487" s="184"/>
      <c r="B487" s="184"/>
      <c r="C487" s="184"/>
      <c r="D487" s="6">
        <v>2022</v>
      </c>
      <c r="E487" s="4">
        <f t="shared" si="32"/>
        <v>42479.56</v>
      </c>
      <c r="F487" s="4">
        <v>42479.56</v>
      </c>
      <c r="G487" s="4">
        <v>0</v>
      </c>
      <c r="H487" s="4">
        <v>0</v>
      </c>
      <c r="I487" s="4">
        <v>0</v>
      </c>
      <c r="J487" s="184"/>
      <c r="K487" s="184"/>
    </row>
    <row r="488" spans="1:11" ht="17.100000000000001" customHeight="1" outlineLevel="1" x14ac:dyDescent="0.25">
      <c r="A488" s="184"/>
      <c r="B488" s="184"/>
      <c r="C488" s="184"/>
      <c r="D488" s="6">
        <v>2023</v>
      </c>
      <c r="E488" s="4">
        <f t="shared" si="32"/>
        <v>6000</v>
      </c>
      <c r="F488" s="4">
        <v>6000</v>
      </c>
      <c r="G488" s="4">
        <v>0</v>
      </c>
      <c r="H488" s="4">
        <v>0</v>
      </c>
      <c r="I488" s="4">
        <v>0</v>
      </c>
      <c r="J488" s="184"/>
      <c r="K488" s="184"/>
    </row>
    <row r="489" spans="1:11" outlineLevel="1" x14ac:dyDescent="0.25">
      <c r="A489" s="184"/>
      <c r="B489" s="184"/>
      <c r="C489" s="184"/>
      <c r="D489" s="6">
        <v>2024</v>
      </c>
      <c r="E489" s="4">
        <f t="shared" si="32"/>
        <v>6000</v>
      </c>
      <c r="F489" s="4">
        <v>6000</v>
      </c>
      <c r="G489" s="4">
        <v>0</v>
      </c>
      <c r="H489" s="4">
        <v>0</v>
      </c>
      <c r="I489" s="4">
        <v>0</v>
      </c>
      <c r="J489" s="184"/>
      <c r="K489" s="184"/>
    </row>
    <row r="490" spans="1:11" outlineLevel="1" x14ac:dyDescent="0.25">
      <c r="A490" s="184"/>
      <c r="B490" s="184"/>
      <c r="C490" s="184"/>
      <c r="D490" s="6">
        <v>2025</v>
      </c>
      <c r="E490" s="4">
        <f t="shared" si="32"/>
        <v>6000</v>
      </c>
      <c r="F490" s="4">
        <v>6000</v>
      </c>
      <c r="G490" s="4">
        <v>0</v>
      </c>
      <c r="H490" s="4">
        <v>0</v>
      </c>
      <c r="I490" s="4">
        <v>0</v>
      </c>
      <c r="J490" s="184"/>
      <c r="K490" s="184"/>
    </row>
    <row r="491" spans="1:11" ht="17.100000000000001" customHeight="1" outlineLevel="1" x14ac:dyDescent="0.25">
      <c r="A491" s="184" t="s">
        <v>568</v>
      </c>
      <c r="B491" s="184" t="s">
        <v>569</v>
      </c>
      <c r="C491" s="184" t="s">
        <v>124</v>
      </c>
      <c r="D491" s="6" t="s">
        <v>8</v>
      </c>
      <c r="E491" s="4">
        <f t="shared" si="32"/>
        <v>29876.245869999999</v>
      </c>
      <c r="F491" s="4">
        <f>SUM(F492:F496)</f>
        <v>29876.245869999999</v>
      </c>
      <c r="G491" s="4">
        <f>SUM(G492:G496)</f>
        <v>0</v>
      </c>
      <c r="H491" s="4">
        <f>SUM(H492:H496)</f>
        <v>0</v>
      </c>
      <c r="I491" s="4">
        <f>SUM(I492:I496)</f>
        <v>0</v>
      </c>
      <c r="J491" s="184" t="s">
        <v>570</v>
      </c>
      <c r="K491" s="184" t="s">
        <v>486</v>
      </c>
    </row>
    <row r="492" spans="1:11" ht="17.100000000000001" customHeight="1" outlineLevel="1" x14ac:dyDescent="0.25">
      <c r="A492" s="184"/>
      <c r="B492" s="184"/>
      <c r="C492" s="184"/>
      <c r="D492" s="6">
        <v>2021</v>
      </c>
      <c r="E492" s="4">
        <f t="shared" si="32"/>
        <v>3963.1770000000001</v>
      </c>
      <c r="F492" s="4">
        <f>3963177/1000</f>
        <v>3963.1770000000001</v>
      </c>
      <c r="G492" s="4">
        <v>0</v>
      </c>
      <c r="H492" s="4">
        <v>0</v>
      </c>
      <c r="I492" s="4">
        <v>0</v>
      </c>
      <c r="J492" s="184"/>
      <c r="K492" s="184"/>
    </row>
    <row r="493" spans="1:11" ht="17.100000000000001" customHeight="1" outlineLevel="1" x14ac:dyDescent="0.25">
      <c r="A493" s="184"/>
      <c r="B493" s="184"/>
      <c r="C493" s="184"/>
      <c r="D493" s="6">
        <v>2022</v>
      </c>
      <c r="E493" s="4">
        <f t="shared" si="32"/>
        <v>25913.068869999999</v>
      </c>
      <c r="F493" s="4">
        <f>32144.3+6312.158-13089.787+546.39787</f>
        <v>25913.068869999999</v>
      </c>
      <c r="G493" s="4">
        <v>0</v>
      </c>
      <c r="H493" s="4">
        <v>0</v>
      </c>
      <c r="I493" s="4">
        <v>0</v>
      </c>
      <c r="J493" s="184"/>
      <c r="K493" s="184"/>
    </row>
    <row r="494" spans="1:11" ht="17.100000000000001" customHeight="1" outlineLevel="1" x14ac:dyDescent="0.25">
      <c r="A494" s="184"/>
      <c r="B494" s="184"/>
      <c r="C494" s="184"/>
      <c r="D494" s="6">
        <v>2023</v>
      </c>
      <c r="E494" s="4">
        <f t="shared" ref="E494:E557" si="38">SUM(F494:I494)</f>
        <v>0</v>
      </c>
      <c r="F494" s="4">
        <v>0</v>
      </c>
      <c r="G494" s="4">
        <v>0</v>
      </c>
      <c r="H494" s="4">
        <v>0</v>
      </c>
      <c r="I494" s="4">
        <v>0</v>
      </c>
      <c r="J494" s="184"/>
      <c r="K494" s="184"/>
    </row>
    <row r="495" spans="1:11" outlineLevel="1" x14ac:dyDescent="0.25">
      <c r="A495" s="184"/>
      <c r="B495" s="184"/>
      <c r="C495" s="184"/>
      <c r="D495" s="6">
        <v>2024</v>
      </c>
      <c r="E495" s="4">
        <f t="shared" si="38"/>
        <v>0</v>
      </c>
      <c r="F495" s="4">
        <v>0</v>
      </c>
      <c r="G495" s="4">
        <v>0</v>
      </c>
      <c r="H495" s="4">
        <v>0</v>
      </c>
      <c r="I495" s="4">
        <v>0</v>
      </c>
      <c r="J495" s="184"/>
      <c r="K495" s="184"/>
    </row>
    <row r="496" spans="1:11" outlineLevel="1" x14ac:dyDescent="0.25">
      <c r="A496" s="184"/>
      <c r="B496" s="184"/>
      <c r="C496" s="184"/>
      <c r="D496" s="6">
        <v>2025</v>
      </c>
      <c r="E496" s="4">
        <f t="shared" si="38"/>
        <v>0</v>
      </c>
      <c r="F496" s="4">
        <v>0</v>
      </c>
      <c r="G496" s="4">
        <v>0</v>
      </c>
      <c r="H496" s="4">
        <v>0</v>
      </c>
      <c r="I496" s="4">
        <v>0</v>
      </c>
      <c r="J496" s="184"/>
      <c r="K496" s="184"/>
    </row>
    <row r="497" spans="1:11" ht="17.100000000000001" customHeight="1" outlineLevel="1" x14ac:dyDescent="0.25">
      <c r="A497" s="184" t="s">
        <v>571</v>
      </c>
      <c r="B497" s="184" t="s">
        <v>572</v>
      </c>
      <c r="C497" s="184">
        <v>2021</v>
      </c>
      <c r="D497" s="6" t="s">
        <v>8</v>
      </c>
      <c r="E497" s="4">
        <f t="shared" si="38"/>
        <v>22778.260870000002</v>
      </c>
      <c r="F497" s="4">
        <f>SUM(F498:F502)</f>
        <v>18860.400000000001</v>
      </c>
      <c r="G497" s="4">
        <f>SUM(G498:G502)</f>
        <v>0</v>
      </c>
      <c r="H497" s="4">
        <f>SUM(H498:H502)</f>
        <v>3917.86087</v>
      </c>
      <c r="I497" s="4">
        <f>SUM(I498:I502)</f>
        <v>0</v>
      </c>
      <c r="J497" s="184" t="s">
        <v>573</v>
      </c>
      <c r="K497" s="184" t="s">
        <v>566</v>
      </c>
    </row>
    <row r="498" spans="1:11" ht="17.100000000000001" customHeight="1" outlineLevel="1" x14ac:dyDescent="0.25">
      <c r="A498" s="184"/>
      <c r="B498" s="184"/>
      <c r="C498" s="184"/>
      <c r="D498" s="6">
        <v>2021</v>
      </c>
      <c r="E498" s="4">
        <f t="shared" si="38"/>
        <v>22778.260870000002</v>
      </c>
      <c r="F498" s="4">
        <v>18860.400000000001</v>
      </c>
      <c r="G498" s="4">
        <v>0</v>
      </c>
      <c r="H498" s="4">
        <v>3917.86087</v>
      </c>
      <c r="I498" s="4">
        <v>0</v>
      </c>
      <c r="J498" s="184"/>
      <c r="K498" s="184"/>
    </row>
    <row r="499" spans="1:11" ht="17.100000000000001" customHeight="1" outlineLevel="1" x14ac:dyDescent="0.25">
      <c r="A499" s="184"/>
      <c r="B499" s="184"/>
      <c r="C499" s="184"/>
      <c r="D499" s="6">
        <v>2022</v>
      </c>
      <c r="E499" s="4">
        <v>0</v>
      </c>
      <c r="F499" s="4">
        <v>0</v>
      </c>
      <c r="G499" s="4">
        <v>0</v>
      </c>
      <c r="H499" s="4">
        <v>0</v>
      </c>
      <c r="I499" s="4">
        <v>0</v>
      </c>
      <c r="J499" s="184"/>
      <c r="K499" s="184"/>
    </row>
    <row r="500" spans="1:11" ht="17.100000000000001" customHeight="1" outlineLevel="1" x14ac:dyDescent="0.25">
      <c r="A500" s="184"/>
      <c r="B500" s="184"/>
      <c r="C500" s="184"/>
      <c r="D500" s="6">
        <v>2023</v>
      </c>
      <c r="E500" s="4">
        <v>0</v>
      </c>
      <c r="F500" s="4">
        <v>0</v>
      </c>
      <c r="G500" s="4">
        <v>0</v>
      </c>
      <c r="H500" s="4">
        <v>0</v>
      </c>
      <c r="I500" s="4">
        <v>0</v>
      </c>
      <c r="J500" s="184"/>
      <c r="K500" s="184"/>
    </row>
    <row r="501" spans="1:11" outlineLevel="1" x14ac:dyDescent="0.25">
      <c r="A501" s="184"/>
      <c r="B501" s="184"/>
      <c r="C501" s="184"/>
      <c r="D501" s="6">
        <v>2024</v>
      </c>
      <c r="E501" s="4">
        <v>0</v>
      </c>
      <c r="F501" s="4">
        <v>0</v>
      </c>
      <c r="G501" s="4">
        <v>0</v>
      </c>
      <c r="H501" s="4">
        <v>0</v>
      </c>
      <c r="I501" s="4">
        <v>0</v>
      </c>
      <c r="J501" s="184"/>
      <c r="K501" s="184"/>
    </row>
    <row r="502" spans="1:11" outlineLevel="1" x14ac:dyDescent="0.25">
      <c r="A502" s="184"/>
      <c r="B502" s="184"/>
      <c r="C502" s="184"/>
      <c r="D502" s="6">
        <v>2025</v>
      </c>
      <c r="E502" s="4">
        <v>0</v>
      </c>
      <c r="F502" s="4">
        <v>0</v>
      </c>
      <c r="G502" s="4">
        <v>0</v>
      </c>
      <c r="H502" s="4">
        <v>0</v>
      </c>
      <c r="I502" s="4">
        <v>0</v>
      </c>
      <c r="J502" s="184"/>
      <c r="K502" s="184"/>
    </row>
    <row r="503" spans="1:11" ht="17.100000000000001" customHeight="1" outlineLevel="1" x14ac:dyDescent="0.25">
      <c r="A503" s="184" t="s">
        <v>574</v>
      </c>
      <c r="B503" s="184" t="s">
        <v>575</v>
      </c>
      <c r="C503" s="184">
        <v>2021</v>
      </c>
      <c r="D503" s="6" t="s">
        <v>8</v>
      </c>
      <c r="E503" s="4">
        <f t="shared" si="38"/>
        <v>13210.697336842104</v>
      </c>
      <c r="F503" s="4">
        <f>SUM(F504:F508)</f>
        <v>12550.162469999999</v>
      </c>
      <c r="G503" s="4">
        <f>SUM(G504:G508)</f>
        <v>0</v>
      </c>
      <c r="H503" s="4">
        <f>SUM(H504:H508)</f>
        <v>660.5348668421052</v>
      </c>
      <c r="I503" s="4">
        <f>SUM(I504:I508)</f>
        <v>0</v>
      </c>
      <c r="J503" s="184" t="s">
        <v>576</v>
      </c>
      <c r="K503" s="184" t="s">
        <v>547</v>
      </c>
    </row>
    <row r="504" spans="1:11" ht="17.100000000000001" customHeight="1" outlineLevel="1" x14ac:dyDescent="0.25">
      <c r="A504" s="184"/>
      <c r="B504" s="184"/>
      <c r="C504" s="184"/>
      <c r="D504" s="6">
        <v>2021</v>
      </c>
      <c r="E504" s="4">
        <f t="shared" si="38"/>
        <v>13210.697336842104</v>
      </c>
      <c r="F504" s="4">
        <v>12550.162469999999</v>
      </c>
      <c r="G504" s="4">
        <v>0</v>
      </c>
      <c r="H504" s="4">
        <f>F504/95*5</f>
        <v>660.5348668421052</v>
      </c>
      <c r="I504" s="4">
        <v>0</v>
      </c>
      <c r="J504" s="184"/>
      <c r="K504" s="184"/>
    </row>
    <row r="505" spans="1:11" ht="17.100000000000001" customHeight="1" outlineLevel="1" x14ac:dyDescent="0.25">
      <c r="A505" s="184"/>
      <c r="B505" s="184"/>
      <c r="C505" s="184"/>
      <c r="D505" s="6">
        <v>2022</v>
      </c>
      <c r="E505" s="4">
        <v>0</v>
      </c>
      <c r="F505" s="4">
        <v>0</v>
      </c>
      <c r="G505" s="4">
        <v>0</v>
      </c>
      <c r="H505" s="4">
        <v>0</v>
      </c>
      <c r="I505" s="4">
        <v>0</v>
      </c>
      <c r="J505" s="184"/>
      <c r="K505" s="184"/>
    </row>
    <row r="506" spans="1:11" ht="17.100000000000001" customHeight="1" outlineLevel="1" x14ac:dyDescent="0.25">
      <c r="A506" s="184"/>
      <c r="B506" s="184"/>
      <c r="C506" s="184"/>
      <c r="D506" s="6">
        <v>2023</v>
      </c>
      <c r="E506" s="4">
        <v>0</v>
      </c>
      <c r="F506" s="4">
        <v>0</v>
      </c>
      <c r="G506" s="4">
        <v>0</v>
      </c>
      <c r="H506" s="4">
        <v>0</v>
      </c>
      <c r="I506" s="4">
        <v>0</v>
      </c>
      <c r="J506" s="184"/>
      <c r="K506" s="184"/>
    </row>
    <row r="507" spans="1:11" outlineLevel="1" x14ac:dyDescent="0.25">
      <c r="A507" s="184"/>
      <c r="B507" s="184"/>
      <c r="C507" s="184"/>
      <c r="D507" s="6">
        <v>2024</v>
      </c>
      <c r="E507" s="4">
        <v>0</v>
      </c>
      <c r="F507" s="4">
        <v>0</v>
      </c>
      <c r="G507" s="4">
        <v>0</v>
      </c>
      <c r="H507" s="4">
        <v>0</v>
      </c>
      <c r="I507" s="4">
        <v>0</v>
      </c>
      <c r="J507" s="184"/>
      <c r="K507" s="184"/>
    </row>
    <row r="508" spans="1:11" outlineLevel="1" x14ac:dyDescent="0.25">
      <c r="A508" s="184"/>
      <c r="B508" s="184"/>
      <c r="C508" s="184"/>
      <c r="D508" s="6">
        <v>2025</v>
      </c>
      <c r="E508" s="4">
        <v>0</v>
      </c>
      <c r="F508" s="4">
        <v>0</v>
      </c>
      <c r="G508" s="4">
        <v>0</v>
      </c>
      <c r="H508" s="4">
        <v>0</v>
      </c>
      <c r="I508" s="4">
        <v>0</v>
      </c>
      <c r="J508" s="184"/>
      <c r="K508" s="184"/>
    </row>
    <row r="509" spans="1:11" ht="17.100000000000001" customHeight="1" outlineLevel="1" x14ac:dyDescent="0.25">
      <c r="A509" s="184" t="s">
        <v>577</v>
      </c>
      <c r="B509" s="184" t="s">
        <v>578</v>
      </c>
      <c r="C509" s="184">
        <v>2021</v>
      </c>
      <c r="D509" s="6" t="s">
        <v>8</v>
      </c>
      <c r="E509" s="4">
        <f t="shared" si="38"/>
        <v>7451.59</v>
      </c>
      <c r="F509" s="4">
        <f>SUM(F510:F514)</f>
        <v>7079.0105000000003</v>
      </c>
      <c r="G509" s="4">
        <f>SUM(G510:G514)</f>
        <v>0</v>
      </c>
      <c r="H509" s="4">
        <f>SUM(H510:H514)</f>
        <v>372.5795</v>
      </c>
      <c r="I509" s="4">
        <f>SUM(I510:I514)</f>
        <v>0</v>
      </c>
      <c r="J509" s="184" t="s">
        <v>579</v>
      </c>
      <c r="K509" s="184" t="s">
        <v>547</v>
      </c>
    </row>
    <row r="510" spans="1:11" ht="17.100000000000001" customHeight="1" outlineLevel="1" x14ac:dyDescent="0.25">
      <c r="A510" s="184"/>
      <c r="B510" s="184"/>
      <c r="C510" s="184"/>
      <c r="D510" s="6">
        <v>2021</v>
      </c>
      <c r="E510" s="4">
        <f t="shared" si="38"/>
        <v>7451.59</v>
      </c>
      <c r="F510" s="4">
        <v>7079.0105000000003</v>
      </c>
      <c r="G510" s="4">
        <v>0</v>
      </c>
      <c r="H510" s="4">
        <f>F510/95*5</f>
        <v>372.5795</v>
      </c>
      <c r="I510" s="4">
        <v>0</v>
      </c>
      <c r="J510" s="184"/>
      <c r="K510" s="184"/>
    </row>
    <row r="511" spans="1:11" ht="17.100000000000001" customHeight="1" outlineLevel="1" x14ac:dyDescent="0.25">
      <c r="A511" s="184"/>
      <c r="B511" s="184"/>
      <c r="C511" s="184"/>
      <c r="D511" s="6">
        <v>2022</v>
      </c>
      <c r="E511" s="4">
        <v>0</v>
      </c>
      <c r="F511" s="4">
        <v>0</v>
      </c>
      <c r="G511" s="4">
        <v>0</v>
      </c>
      <c r="H511" s="4">
        <v>0</v>
      </c>
      <c r="I511" s="4">
        <v>0</v>
      </c>
      <c r="J511" s="184"/>
      <c r="K511" s="184"/>
    </row>
    <row r="512" spans="1:11" ht="17.100000000000001" customHeight="1" outlineLevel="1" x14ac:dyDescent="0.25">
      <c r="A512" s="184"/>
      <c r="B512" s="184"/>
      <c r="C512" s="184"/>
      <c r="D512" s="6">
        <v>2023</v>
      </c>
      <c r="E512" s="4">
        <v>0</v>
      </c>
      <c r="F512" s="4">
        <v>0</v>
      </c>
      <c r="G512" s="4">
        <v>0</v>
      </c>
      <c r="H512" s="4">
        <v>0</v>
      </c>
      <c r="I512" s="4">
        <v>0</v>
      </c>
      <c r="J512" s="184"/>
      <c r="K512" s="184"/>
    </row>
    <row r="513" spans="1:11" outlineLevel="1" x14ac:dyDescent="0.25">
      <c r="A513" s="184"/>
      <c r="B513" s="184"/>
      <c r="C513" s="184"/>
      <c r="D513" s="6">
        <v>2024</v>
      </c>
      <c r="E513" s="4">
        <v>0</v>
      </c>
      <c r="F513" s="4">
        <v>0</v>
      </c>
      <c r="G513" s="4">
        <v>0</v>
      </c>
      <c r="H513" s="4">
        <v>0</v>
      </c>
      <c r="I513" s="4">
        <v>0</v>
      </c>
      <c r="J513" s="184"/>
      <c r="K513" s="184"/>
    </row>
    <row r="514" spans="1:11" outlineLevel="1" x14ac:dyDescent="0.25">
      <c r="A514" s="184"/>
      <c r="B514" s="184"/>
      <c r="C514" s="184"/>
      <c r="D514" s="6">
        <v>2025</v>
      </c>
      <c r="E514" s="4">
        <v>0</v>
      </c>
      <c r="F514" s="4">
        <v>0</v>
      </c>
      <c r="G514" s="4">
        <v>0</v>
      </c>
      <c r="H514" s="4">
        <v>0</v>
      </c>
      <c r="I514" s="4">
        <v>0</v>
      </c>
      <c r="J514" s="184"/>
      <c r="K514" s="184"/>
    </row>
    <row r="515" spans="1:11" ht="17.100000000000001" customHeight="1" outlineLevel="1" x14ac:dyDescent="0.25">
      <c r="A515" s="184" t="s">
        <v>580</v>
      </c>
      <c r="B515" s="184" t="s">
        <v>416</v>
      </c>
      <c r="C515" s="184">
        <v>2021</v>
      </c>
      <c r="D515" s="6" t="s">
        <v>8</v>
      </c>
      <c r="E515" s="4">
        <f t="shared" si="38"/>
        <v>50013.516600000003</v>
      </c>
      <c r="F515" s="4">
        <f>SUM(F516:F520)</f>
        <v>47512.840770000003</v>
      </c>
      <c r="G515" s="4">
        <f>SUM(G516:G520)</f>
        <v>0</v>
      </c>
      <c r="H515" s="4">
        <f>SUM(H516:H520)</f>
        <v>2500.6758300000001</v>
      </c>
      <c r="I515" s="4">
        <f>SUM(I516:I520)</f>
        <v>0</v>
      </c>
      <c r="J515" s="184" t="s">
        <v>581</v>
      </c>
      <c r="K515" s="184" t="s">
        <v>547</v>
      </c>
    </row>
    <row r="516" spans="1:11" ht="17.100000000000001" customHeight="1" outlineLevel="1" x14ac:dyDescent="0.25">
      <c r="A516" s="184"/>
      <c r="B516" s="184"/>
      <c r="C516" s="184"/>
      <c r="D516" s="6">
        <v>2021</v>
      </c>
      <c r="E516" s="4">
        <f t="shared" si="38"/>
        <v>50013.516600000003</v>
      </c>
      <c r="F516" s="4">
        <v>47512.840770000003</v>
      </c>
      <c r="G516" s="4">
        <v>0</v>
      </c>
      <c r="H516" s="4">
        <f>F516/95*5</f>
        <v>2500.6758300000001</v>
      </c>
      <c r="I516" s="4">
        <v>0</v>
      </c>
      <c r="J516" s="184"/>
      <c r="K516" s="184"/>
    </row>
    <row r="517" spans="1:11" ht="17.100000000000001" customHeight="1" outlineLevel="1" x14ac:dyDescent="0.25">
      <c r="A517" s="184"/>
      <c r="B517" s="184"/>
      <c r="C517" s="184"/>
      <c r="D517" s="6">
        <v>2022</v>
      </c>
      <c r="E517" s="4">
        <v>0</v>
      </c>
      <c r="F517" s="4">
        <v>0</v>
      </c>
      <c r="G517" s="4">
        <v>0</v>
      </c>
      <c r="H517" s="4">
        <v>0</v>
      </c>
      <c r="I517" s="4">
        <v>0</v>
      </c>
      <c r="J517" s="184"/>
      <c r="K517" s="184"/>
    </row>
    <row r="518" spans="1:11" ht="17.100000000000001" customHeight="1" outlineLevel="1" x14ac:dyDescent="0.25">
      <c r="A518" s="184"/>
      <c r="B518" s="184"/>
      <c r="C518" s="184"/>
      <c r="D518" s="6">
        <v>2023</v>
      </c>
      <c r="E518" s="4">
        <v>0</v>
      </c>
      <c r="F518" s="4">
        <v>0</v>
      </c>
      <c r="G518" s="4">
        <v>0</v>
      </c>
      <c r="H518" s="4">
        <v>0</v>
      </c>
      <c r="I518" s="4">
        <v>0</v>
      </c>
      <c r="J518" s="184"/>
      <c r="K518" s="184"/>
    </row>
    <row r="519" spans="1:11" outlineLevel="1" x14ac:dyDescent="0.25">
      <c r="A519" s="184"/>
      <c r="B519" s="184"/>
      <c r="C519" s="184"/>
      <c r="D519" s="6">
        <v>2024</v>
      </c>
      <c r="E519" s="4">
        <v>0</v>
      </c>
      <c r="F519" s="4">
        <v>0</v>
      </c>
      <c r="G519" s="4">
        <v>0</v>
      </c>
      <c r="H519" s="4">
        <v>0</v>
      </c>
      <c r="I519" s="4">
        <v>0</v>
      </c>
      <c r="J519" s="184"/>
      <c r="K519" s="184"/>
    </row>
    <row r="520" spans="1:11" ht="20.25" customHeight="1" outlineLevel="1" x14ac:dyDescent="0.25">
      <c r="A520" s="184"/>
      <c r="B520" s="184"/>
      <c r="C520" s="184"/>
      <c r="D520" s="6">
        <v>2025</v>
      </c>
      <c r="E520" s="4">
        <v>0</v>
      </c>
      <c r="F520" s="4">
        <v>0</v>
      </c>
      <c r="G520" s="4">
        <v>0</v>
      </c>
      <c r="H520" s="4">
        <v>0</v>
      </c>
      <c r="I520" s="4">
        <v>0</v>
      </c>
      <c r="J520" s="184"/>
      <c r="K520" s="184"/>
    </row>
    <row r="521" spans="1:11" ht="16.5" customHeight="1" outlineLevel="1" x14ac:dyDescent="0.25">
      <c r="A521" s="184" t="s">
        <v>582</v>
      </c>
      <c r="B521" s="184" t="s">
        <v>419</v>
      </c>
      <c r="C521" s="184">
        <v>2021</v>
      </c>
      <c r="D521" s="6" t="s">
        <v>8</v>
      </c>
      <c r="E521" s="4">
        <f t="shared" si="38"/>
        <v>9928.3460643185299</v>
      </c>
      <c r="F521" s="4">
        <f>SUM(F522:F526)</f>
        <v>6483.2099799999996</v>
      </c>
      <c r="G521" s="4">
        <f>SUM(G522:G526)</f>
        <v>0</v>
      </c>
      <c r="H521" s="4">
        <f>SUM(H522:H526)</f>
        <v>3445.1360843185298</v>
      </c>
      <c r="I521" s="4">
        <f>SUM(I522:I526)</f>
        <v>0</v>
      </c>
      <c r="J521" s="184" t="s">
        <v>583</v>
      </c>
      <c r="K521" s="184" t="s">
        <v>547</v>
      </c>
    </row>
    <row r="522" spans="1:11" ht="21.75" customHeight="1" outlineLevel="1" x14ac:dyDescent="0.25">
      <c r="A522" s="184"/>
      <c r="B522" s="184"/>
      <c r="C522" s="184"/>
      <c r="D522" s="6">
        <v>2021</v>
      </c>
      <c r="E522" s="4">
        <f t="shared" si="38"/>
        <v>9928.3460643185299</v>
      </c>
      <c r="F522" s="4">
        <v>6483.2099799999996</v>
      </c>
      <c r="G522" s="4">
        <v>0</v>
      </c>
      <c r="H522" s="4">
        <f>F522/65.3*34.7</f>
        <v>3445.1360843185298</v>
      </c>
      <c r="I522" s="4">
        <v>0</v>
      </c>
      <c r="J522" s="184"/>
      <c r="K522" s="184"/>
    </row>
    <row r="523" spans="1:11" ht="26.25" customHeight="1" outlineLevel="1" x14ac:dyDescent="0.25">
      <c r="A523" s="184"/>
      <c r="B523" s="184"/>
      <c r="C523" s="184"/>
      <c r="D523" s="6">
        <v>2022</v>
      </c>
      <c r="E523" s="4">
        <v>0</v>
      </c>
      <c r="F523" s="4">
        <v>0</v>
      </c>
      <c r="G523" s="4">
        <v>0</v>
      </c>
      <c r="H523" s="4">
        <v>0</v>
      </c>
      <c r="I523" s="4">
        <v>0</v>
      </c>
      <c r="J523" s="184"/>
      <c r="K523" s="184"/>
    </row>
    <row r="524" spans="1:11" ht="20.25" customHeight="1" outlineLevel="1" x14ac:dyDescent="0.25">
      <c r="A524" s="184"/>
      <c r="B524" s="184"/>
      <c r="C524" s="184"/>
      <c r="D524" s="6">
        <v>2023</v>
      </c>
      <c r="E524" s="4">
        <v>0</v>
      </c>
      <c r="F524" s="4">
        <v>0</v>
      </c>
      <c r="G524" s="4">
        <v>0</v>
      </c>
      <c r="H524" s="4">
        <v>0</v>
      </c>
      <c r="I524" s="4">
        <v>0</v>
      </c>
      <c r="J524" s="184"/>
      <c r="K524" s="184"/>
    </row>
    <row r="525" spans="1:11" ht="20.25" customHeight="1" outlineLevel="1" x14ac:dyDescent="0.25">
      <c r="A525" s="184"/>
      <c r="B525" s="184"/>
      <c r="C525" s="184"/>
      <c r="D525" s="6">
        <v>2024</v>
      </c>
      <c r="E525" s="4">
        <v>0</v>
      </c>
      <c r="F525" s="4">
        <v>0</v>
      </c>
      <c r="G525" s="4">
        <v>0</v>
      </c>
      <c r="H525" s="4">
        <v>0</v>
      </c>
      <c r="I525" s="4">
        <v>0</v>
      </c>
      <c r="J525" s="184"/>
      <c r="K525" s="184"/>
    </row>
    <row r="526" spans="1:11" ht="18.75" customHeight="1" outlineLevel="1" x14ac:dyDescent="0.25">
      <c r="A526" s="184"/>
      <c r="B526" s="184"/>
      <c r="C526" s="184"/>
      <c r="D526" s="6">
        <v>2025</v>
      </c>
      <c r="E526" s="4">
        <v>0</v>
      </c>
      <c r="F526" s="4">
        <v>0</v>
      </c>
      <c r="G526" s="4">
        <v>0</v>
      </c>
      <c r="H526" s="4">
        <v>0</v>
      </c>
      <c r="I526" s="4">
        <v>0</v>
      </c>
      <c r="J526" s="184"/>
      <c r="K526" s="184"/>
    </row>
    <row r="527" spans="1:11" ht="15" customHeight="1" outlineLevel="1" x14ac:dyDescent="0.25">
      <c r="A527" s="184" t="s">
        <v>584</v>
      </c>
      <c r="B527" s="184" t="s">
        <v>424</v>
      </c>
      <c r="C527" s="184">
        <v>2021</v>
      </c>
      <c r="D527" s="6" t="s">
        <v>8</v>
      </c>
      <c r="E527" s="4">
        <f t="shared" si="38"/>
        <v>0</v>
      </c>
      <c r="F527" s="4">
        <f>SUM(F528:F532)</f>
        <v>0</v>
      </c>
      <c r="G527" s="4">
        <f>SUM(G528:G532)</f>
        <v>0</v>
      </c>
      <c r="H527" s="4">
        <f>SUM(H528:H532)</f>
        <v>0</v>
      </c>
      <c r="I527" s="4">
        <f>SUM(I528:I532)</f>
        <v>0</v>
      </c>
      <c r="J527" s="184" t="s">
        <v>585</v>
      </c>
      <c r="K527" s="184" t="s">
        <v>547</v>
      </c>
    </row>
    <row r="528" spans="1:11" ht="15" customHeight="1" outlineLevel="1" x14ac:dyDescent="0.25">
      <c r="A528" s="184"/>
      <c r="B528" s="184"/>
      <c r="C528" s="184"/>
      <c r="D528" s="6">
        <v>2021</v>
      </c>
      <c r="E528" s="4">
        <f t="shared" si="38"/>
        <v>0</v>
      </c>
      <c r="F528" s="4">
        <v>0</v>
      </c>
      <c r="G528" s="4">
        <v>0</v>
      </c>
      <c r="H528" s="4">
        <f>F528/95*5</f>
        <v>0</v>
      </c>
      <c r="I528" s="4">
        <v>0</v>
      </c>
      <c r="J528" s="184"/>
      <c r="K528" s="184"/>
    </row>
    <row r="529" spans="1:11" ht="15" customHeight="1" outlineLevel="1" x14ac:dyDescent="0.25">
      <c r="A529" s="184"/>
      <c r="B529" s="184"/>
      <c r="C529" s="184"/>
      <c r="D529" s="6">
        <v>2022</v>
      </c>
      <c r="E529" s="4">
        <v>0</v>
      </c>
      <c r="F529" s="4">
        <v>0</v>
      </c>
      <c r="G529" s="4">
        <v>0</v>
      </c>
      <c r="H529" s="4">
        <v>0</v>
      </c>
      <c r="I529" s="4">
        <v>0</v>
      </c>
      <c r="J529" s="184"/>
      <c r="K529" s="184"/>
    </row>
    <row r="530" spans="1:11" ht="15" customHeight="1" outlineLevel="1" x14ac:dyDescent="0.25">
      <c r="A530" s="184"/>
      <c r="B530" s="184"/>
      <c r="C530" s="184"/>
      <c r="D530" s="6">
        <v>2023</v>
      </c>
      <c r="E530" s="4">
        <v>0</v>
      </c>
      <c r="F530" s="4">
        <v>0</v>
      </c>
      <c r="G530" s="4">
        <v>0</v>
      </c>
      <c r="H530" s="4">
        <v>0</v>
      </c>
      <c r="I530" s="4">
        <v>0</v>
      </c>
      <c r="J530" s="184"/>
      <c r="K530" s="184"/>
    </row>
    <row r="531" spans="1:11" ht="15" customHeight="1" outlineLevel="1" x14ac:dyDescent="0.25">
      <c r="A531" s="184"/>
      <c r="B531" s="184"/>
      <c r="C531" s="184"/>
      <c r="D531" s="6">
        <v>2024</v>
      </c>
      <c r="E531" s="4">
        <v>0</v>
      </c>
      <c r="F531" s="4">
        <v>0</v>
      </c>
      <c r="G531" s="4">
        <v>0</v>
      </c>
      <c r="H531" s="4">
        <v>0</v>
      </c>
      <c r="I531" s="4">
        <v>0</v>
      </c>
      <c r="J531" s="184"/>
      <c r="K531" s="184"/>
    </row>
    <row r="532" spans="1:11" ht="15" customHeight="1" outlineLevel="1" x14ac:dyDescent="0.25">
      <c r="A532" s="184"/>
      <c r="B532" s="184"/>
      <c r="C532" s="184"/>
      <c r="D532" s="6">
        <v>2025</v>
      </c>
      <c r="E532" s="4">
        <v>0</v>
      </c>
      <c r="F532" s="4">
        <v>0</v>
      </c>
      <c r="G532" s="4">
        <v>0</v>
      </c>
      <c r="H532" s="4">
        <v>0</v>
      </c>
      <c r="I532" s="4">
        <v>0</v>
      </c>
      <c r="J532" s="184"/>
      <c r="K532" s="184"/>
    </row>
    <row r="533" spans="1:11" ht="15" customHeight="1" outlineLevel="1" x14ac:dyDescent="0.25">
      <c r="A533" s="184" t="s">
        <v>586</v>
      </c>
      <c r="B533" s="184" t="s">
        <v>587</v>
      </c>
      <c r="C533" s="184">
        <v>2021</v>
      </c>
      <c r="D533" s="6" t="s">
        <v>8</v>
      </c>
      <c r="E533" s="4">
        <f t="shared" si="38"/>
        <v>28829.676842105262</v>
      </c>
      <c r="F533" s="4">
        <f>SUM(F534:F538)</f>
        <v>27388.192999999999</v>
      </c>
      <c r="G533" s="4">
        <f>SUM(G534:G538)</f>
        <v>0</v>
      </c>
      <c r="H533" s="4">
        <f>SUM(H534:H538)</f>
        <v>1441.483842105263</v>
      </c>
      <c r="I533" s="4">
        <f>SUM(I534:I538)</f>
        <v>0</v>
      </c>
      <c r="J533" s="184" t="s">
        <v>588</v>
      </c>
      <c r="K533" s="184" t="s">
        <v>547</v>
      </c>
    </row>
    <row r="534" spans="1:11" ht="15" customHeight="1" outlineLevel="1" x14ac:dyDescent="0.25">
      <c r="A534" s="184"/>
      <c r="B534" s="184"/>
      <c r="C534" s="184"/>
      <c r="D534" s="6">
        <v>2021</v>
      </c>
      <c r="E534" s="4">
        <f t="shared" si="38"/>
        <v>28829.676842105262</v>
      </c>
      <c r="F534" s="4">
        <v>27388.192999999999</v>
      </c>
      <c r="G534" s="4">
        <v>0</v>
      </c>
      <c r="H534" s="4">
        <f>F534/95*5</f>
        <v>1441.483842105263</v>
      </c>
      <c r="I534" s="4">
        <v>0</v>
      </c>
      <c r="J534" s="184"/>
      <c r="K534" s="184"/>
    </row>
    <row r="535" spans="1:11" ht="15" customHeight="1" outlineLevel="1" x14ac:dyDescent="0.25">
      <c r="A535" s="184"/>
      <c r="B535" s="184"/>
      <c r="C535" s="184"/>
      <c r="D535" s="6">
        <v>2022</v>
      </c>
      <c r="E535" s="4">
        <v>0</v>
      </c>
      <c r="F535" s="4">
        <v>0</v>
      </c>
      <c r="G535" s="4">
        <v>0</v>
      </c>
      <c r="H535" s="4">
        <v>0</v>
      </c>
      <c r="I535" s="4">
        <v>0</v>
      </c>
      <c r="J535" s="184"/>
      <c r="K535" s="184"/>
    </row>
    <row r="536" spans="1:11" ht="15" customHeight="1" outlineLevel="1" x14ac:dyDescent="0.25">
      <c r="A536" s="184"/>
      <c r="B536" s="184"/>
      <c r="C536" s="184"/>
      <c r="D536" s="6">
        <v>2023</v>
      </c>
      <c r="E536" s="4">
        <v>0</v>
      </c>
      <c r="F536" s="4">
        <v>0</v>
      </c>
      <c r="G536" s="4">
        <v>0</v>
      </c>
      <c r="H536" s="4">
        <v>0</v>
      </c>
      <c r="I536" s="4">
        <v>0</v>
      </c>
      <c r="J536" s="184"/>
      <c r="K536" s="184"/>
    </row>
    <row r="537" spans="1:11" ht="15" customHeight="1" outlineLevel="1" x14ac:dyDescent="0.25">
      <c r="A537" s="184"/>
      <c r="B537" s="184"/>
      <c r="C537" s="184"/>
      <c r="D537" s="6">
        <v>2024</v>
      </c>
      <c r="E537" s="4">
        <v>0</v>
      </c>
      <c r="F537" s="4">
        <v>0</v>
      </c>
      <c r="G537" s="4">
        <v>0</v>
      </c>
      <c r="H537" s="4">
        <v>0</v>
      </c>
      <c r="I537" s="4">
        <v>0</v>
      </c>
      <c r="J537" s="184"/>
      <c r="K537" s="184"/>
    </row>
    <row r="538" spans="1:11" ht="13.5" customHeight="1" outlineLevel="1" x14ac:dyDescent="0.25">
      <c r="A538" s="184"/>
      <c r="B538" s="184"/>
      <c r="C538" s="184"/>
      <c r="D538" s="6">
        <v>2025</v>
      </c>
      <c r="E538" s="4">
        <v>0</v>
      </c>
      <c r="F538" s="4">
        <v>0</v>
      </c>
      <c r="G538" s="4">
        <v>0</v>
      </c>
      <c r="H538" s="4">
        <v>0</v>
      </c>
      <c r="I538" s="4">
        <v>0</v>
      </c>
      <c r="J538" s="184"/>
      <c r="K538" s="184"/>
    </row>
    <row r="539" spans="1:11" ht="16.5" customHeight="1" outlineLevel="1" x14ac:dyDescent="0.25">
      <c r="A539" s="184" t="s">
        <v>589</v>
      </c>
      <c r="B539" s="184" t="s">
        <v>590</v>
      </c>
      <c r="C539" s="184" t="s">
        <v>124</v>
      </c>
      <c r="D539" s="6" t="s">
        <v>8</v>
      </c>
      <c r="E539" s="4">
        <f t="shared" si="38"/>
        <v>4724.9217200000003</v>
      </c>
      <c r="F539" s="4">
        <f>SUM(F540:F544)</f>
        <v>4431.9217200000003</v>
      </c>
      <c r="G539" s="4">
        <f>SUM(G540:G544)</f>
        <v>0</v>
      </c>
      <c r="H539" s="4">
        <f>SUM(H540:H544)</f>
        <v>293</v>
      </c>
      <c r="I539" s="4">
        <f>SUM(I540:I544)</f>
        <v>0</v>
      </c>
      <c r="J539" s="184" t="s">
        <v>1178</v>
      </c>
      <c r="K539" s="184" t="s">
        <v>547</v>
      </c>
    </row>
    <row r="540" spans="1:11" ht="15" customHeight="1" outlineLevel="1" x14ac:dyDescent="0.25">
      <c r="A540" s="184"/>
      <c r="B540" s="184"/>
      <c r="C540" s="184"/>
      <c r="D540" s="6">
        <v>2021</v>
      </c>
      <c r="E540" s="4">
        <f t="shared" si="38"/>
        <v>2270.6600000000003</v>
      </c>
      <c r="F540" s="4">
        <v>2100.36</v>
      </c>
      <c r="G540" s="4">
        <v>0</v>
      </c>
      <c r="H540" s="4">
        <v>170.3</v>
      </c>
      <c r="I540" s="4">
        <v>0</v>
      </c>
      <c r="J540" s="184"/>
      <c r="K540" s="184"/>
    </row>
    <row r="541" spans="1:11" ht="18.75" customHeight="1" outlineLevel="1" x14ac:dyDescent="0.25">
      <c r="A541" s="184"/>
      <c r="B541" s="184"/>
      <c r="C541" s="184"/>
      <c r="D541" s="6">
        <v>2022</v>
      </c>
      <c r="E541" s="4">
        <f t="shared" si="38"/>
        <v>2454.26172</v>
      </c>
      <c r="F541" s="4">
        <v>2331.5617200000002</v>
      </c>
      <c r="G541" s="4">
        <v>0</v>
      </c>
      <c r="H541" s="4">
        <v>122.7</v>
      </c>
      <c r="I541" s="4">
        <v>0</v>
      </c>
      <c r="J541" s="184"/>
      <c r="K541" s="184"/>
    </row>
    <row r="542" spans="1:11" ht="17.25" customHeight="1" outlineLevel="1" x14ac:dyDescent="0.25">
      <c r="A542" s="184"/>
      <c r="B542" s="184"/>
      <c r="C542" s="184"/>
      <c r="D542" s="6">
        <v>2023</v>
      </c>
      <c r="E542" s="4">
        <f t="shared" si="38"/>
        <v>0</v>
      </c>
      <c r="F542" s="4">
        <v>0</v>
      </c>
      <c r="G542" s="4">
        <v>0</v>
      </c>
      <c r="H542" s="4">
        <v>0</v>
      </c>
      <c r="I542" s="4">
        <v>0</v>
      </c>
      <c r="J542" s="184"/>
      <c r="K542" s="184"/>
    </row>
    <row r="543" spans="1:11" ht="15" customHeight="1" outlineLevel="1" x14ac:dyDescent="0.25">
      <c r="A543" s="184"/>
      <c r="B543" s="184"/>
      <c r="C543" s="184"/>
      <c r="D543" s="6">
        <v>2024</v>
      </c>
      <c r="E543" s="4">
        <f t="shared" si="38"/>
        <v>0</v>
      </c>
      <c r="F543" s="4">
        <v>0</v>
      </c>
      <c r="G543" s="4">
        <v>0</v>
      </c>
      <c r="H543" s="4">
        <v>0</v>
      </c>
      <c r="I543" s="4">
        <v>0</v>
      </c>
      <c r="J543" s="184"/>
      <c r="K543" s="184"/>
    </row>
    <row r="544" spans="1:11" ht="14.25" customHeight="1" outlineLevel="1" x14ac:dyDescent="0.25">
      <c r="A544" s="184"/>
      <c r="B544" s="184"/>
      <c r="C544" s="184"/>
      <c r="D544" s="6">
        <v>2025</v>
      </c>
      <c r="E544" s="4">
        <f t="shared" si="38"/>
        <v>0</v>
      </c>
      <c r="F544" s="4">
        <v>0</v>
      </c>
      <c r="G544" s="4">
        <v>0</v>
      </c>
      <c r="H544" s="4">
        <v>0</v>
      </c>
      <c r="I544" s="4">
        <v>0</v>
      </c>
      <c r="J544" s="184"/>
      <c r="K544" s="184"/>
    </row>
    <row r="545" spans="1:11" ht="12.75" customHeight="1" outlineLevel="1" x14ac:dyDescent="0.25">
      <c r="A545" s="184" t="s">
        <v>592</v>
      </c>
      <c r="B545" s="184" t="s">
        <v>593</v>
      </c>
      <c r="C545" s="184">
        <v>2021</v>
      </c>
      <c r="D545" s="6" t="s">
        <v>8</v>
      </c>
      <c r="E545" s="4">
        <f t="shared" si="38"/>
        <v>0</v>
      </c>
      <c r="F545" s="4">
        <v>0</v>
      </c>
      <c r="G545" s="4">
        <v>0</v>
      </c>
      <c r="H545" s="4">
        <v>0</v>
      </c>
      <c r="I545" s="4">
        <v>0</v>
      </c>
      <c r="J545" s="184" t="s">
        <v>594</v>
      </c>
      <c r="K545" s="184" t="s">
        <v>103</v>
      </c>
    </row>
    <row r="546" spans="1:11" ht="12.75" customHeight="1" outlineLevel="1" x14ac:dyDescent="0.25">
      <c r="A546" s="184"/>
      <c r="B546" s="184"/>
      <c r="C546" s="184"/>
      <c r="D546" s="6">
        <v>2021</v>
      </c>
      <c r="E546" s="4">
        <f t="shared" si="38"/>
        <v>0</v>
      </c>
      <c r="F546" s="4">
        <v>0</v>
      </c>
      <c r="G546" s="4">
        <v>0</v>
      </c>
      <c r="H546" s="4">
        <v>0</v>
      </c>
      <c r="I546" s="4">
        <v>0</v>
      </c>
      <c r="J546" s="184"/>
      <c r="K546" s="184"/>
    </row>
    <row r="547" spans="1:11" ht="12.75" customHeight="1" outlineLevel="1" x14ac:dyDescent="0.25">
      <c r="A547" s="184"/>
      <c r="B547" s="184"/>
      <c r="C547" s="184"/>
      <c r="D547" s="6">
        <v>2022</v>
      </c>
      <c r="E547" s="4">
        <f t="shared" si="38"/>
        <v>0</v>
      </c>
      <c r="F547" s="4">
        <v>0</v>
      </c>
      <c r="G547" s="4">
        <v>0</v>
      </c>
      <c r="H547" s="4">
        <v>0</v>
      </c>
      <c r="I547" s="4">
        <v>0</v>
      </c>
      <c r="J547" s="184"/>
      <c r="K547" s="184"/>
    </row>
    <row r="548" spans="1:11" ht="12.75" customHeight="1" outlineLevel="1" x14ac:dyDescent="0.25">
      <c r="A548" s="184"/>
      <c r="B548" s="184"/>
      <c r="C548" s="184"/>
      <c r="D548" s="6">
        <v>2023</v>
      </c>
      <c r="E548" s="4">
        <f t="shared" si="38"/>
        <v>0</v>
      </c>
      <c r="F548" s="4">
        <v>0</v>
      </c>
      <c r="G548" s="4">
        <v>0</v>
      </c>
      <c r="H548" s="4">
        <v>0</v>
      </c>
      <c r="I548" s="4">
        <v>0</v>
      </c>
      <c r="J548" s="184"/>
      <c r="K548" s="184"/>
    </row>
    <row r="549" spans="1:11" ht="12.75" customHeight="1" outlineLevel="1" x14ac:dyDescent="0.25">
      <c r="A549" s="184"/>
      <c r="B549" s="184"/>
      <c r="C549" s="184"/>
      <c r="D549" s="6">
        <v>2024</v>
      </c>
      <c r="E549" s="4">
        <f t="shared" si="38"/>
        <v>0</v>
      </c>
      <c r="F549" s="4">
        <v>0</v>
      </c>
      <c r="G549" s="4">
        <v>0</v>
      </c>
      <c r="H549" s="4">
        <v>0</v>
      </c>
      <c r="I549" s="4">
        <v>0</v>
      </c>
      <c r="J549" s="184"/>
      <c r="K549" s="184"/>
    </row>
    <row r="550" spans="1:11" ht="12.75" customHeight="1" outlineLevel="1" x14ac:dyDescent="0.25">
      <c r="A550" s="184"/>
      <c r="B550" s="184"/>
      <c r="C550" s="184"/>
      <c r="D550" s="6">
        <v>2025</v>
      </c>
      <c r="E550" s="4">
        <f t="shared" si="38"/>
        <v>0</v>
      </c>
      <c r="F550" s="4">
        <v>0</v>
      </c>
      <c r="G550" s="4">
        <v>0</v>
      </c>
      <c r="H550" s="4">
        <v>0</v>
      </c>
      <c r="I550" s="4">
        <v>0</v>
      </c>
      <c r="J550" s="184"/>
      <c r="K550" s="184"/>
    </row>
    <row r="551" spans="1:11" ht="12.75" customHeight="1" outlineLevel="1" x14ac:dyDescent="0.25">
      <c r="A551" s="184" t="s">
        <v>722</v>
      </c>
      <c r="B551" s="184" t="s">
        <v>595</v>
      </c>
      <c r="C551" s="184">
        <v>2021</v>
      </c>
      <c r="D551" s="6" t="s">
        <v>8</v>
      </c>
      <c r="E551" s="4">
        <f t="shared" si="38"/>
        <v>468.3</v>
      </c>
      <c r="F551" s="4">
        <f>SUM(F552:F556)</f>
        <v>468.3</v>
      </c>
      <c r="G551" s="4">
        <f>SUM(G552:G556)</f>
        <v>0</v>
      </c>
      <c r="H551" s="4">
        <f>SUM(H552:H556)</f>
        <v>0</v>
      </c>
      <c r="I551" s="4">
        <f>SUM(I552:I556)</f>
        <v>0</v>
      </c>
      <c r="J551" s="184" t="s">
        <v>596</v>
      </c>
      <c r="K551" s="184" t="s">
        <v>597</v>
      </c>
    </row>
    <row r="552" spans="1:11" ht="12.75" customHeight="1" outlineLevel="1" x14ac:dyDescent="0.25">
      <c r="A552" s="184"/>
      <c r="B552" s="184"/>
      <c r="C552" s="184"/>
      <c r="D552" s="6">
        <v>2021</v>
      </c>
      <c r="E552" s="4">
        <f t="shared" si="38"/>
        <v>468.3</v>
      </c>
      <c r="F552" s="4">
        <v>468.3</v>
      </c>
      <c r="G552" s="4">
        <v>0</v>
      </c>
      <c r="H552" s="4">
        <v>0</v>
      </c>
      <c r="I552" s="4">
        <v>0</v>
      </c>
      <c r="J552" s="184"/>
      <c r="K552" s="184"/>
    </row>
    <row r="553" spans="1:11" ht="12.75" customHeight="1" outlineLevel="1" x14ac:dyDescent="0.25">
      <c r="A553" s="184"/>
      <c r="B553" s="184"/>
      <c r="C553" s="184"/>
      <c r="D553" s="6">
        <v>2022</v>
      </c>
      <c r="E553" s="4">
        <f t="shared" si="38"/>
        <v>0</v>
      </c>
      <c r="F553" s="4">
        <v>0</v>
      </c>
      <c r="G553" s="4">
        <v>0</v>
      </c>
      <c r="H553" s="4">
        <v>0</v>
      </c>
      <c r="I553" s="4">
        <v>0</v>
      </c>
      <c r="J553" s="184"/>
      <c r="K553" s="184"/>
    </row>
    <row r="554" spans="1:11" ht="12.75" customHeight="1" outlineLevel="1" x14ac:dyDescent="0.25">
      <c r="A554" s="184"/>
      <c r="B554" s="184"/>
      <c r="C554" s="184"/>
      <c r="D554" s="6">
        <v>2023</v>
      </c>
      <c r="E554" s="4">
        <f t="shared" si="38"/>
        <v>0</v>
      </c>
      <c r="F554" s="4">
        <v>0</v>
      </c>
      <c r="G554" s="4">
        <v>0</v>
      </c>
      <c r="H554" s="4">
        <v>0</v>
      </c>
      <c r="I554" s="4">
        <v>0</v>
      </c>
      <c r="J554" s="184"/>
      <c r="K554" s="184"/>
    </row>
    <row r="555" spans="1:11" ht="12.75" customHeight="1" outlineLevel="1" x14ac:dyDescent="0.25">
      <c r="A555" s="184"/>
      <c r="B555" s="184"/>
      <c r="C555" s="184"/>
      <c r="D555" s="6">
        <v>2024</v>
      </c>
      <c r="E555" s="4">
        <f t="shared" si="38"/>
        <v>0</v>
      </c>
      <c r="F555" s="4">
        <v>0</v>
      </c>
      <c r="G555" s="4">
        <v>0</v>
      </c>
      <c r="H555" s="4">
        <v>0</v>
      </c>
      <c r="I555" s="4">
        <v>0</v>
      </c>
      <c r="J555" s="184"/>
      <c r="K555" s="184"/>
    </row>
    <row r="556" spans="1:11" ht="12.75" customHeight="1" outlineLevel="1" x14ac:dyDescent="0.25">
      <c r="A556" s="184"/>
      <c r="B556" s="184"/>
      <c r="C556" s="184"/>
      <c r="D556" s="6">
        <v>2025</v>
      </c>
      <c r="E556" s="4">
        <f t="shared" si="38"/>
        <v>0</v>
      </c>
      <c r="F556" s="4">
        <v>0</v>
      </c>
      <c r="G556" s="4">
        <v>0</v>
      </c>
      <c r="H556" s="4">
        <v>0</v>
      </c>
      <c r="I556" s="4">
        <v>0</v>
      </c>
      <c r="J556" s="184"/>
      <c r="K556" s="184"/>
    </row>
    <row r="557" spans="1:11" ht="18" customHeight="1" outlineLevel="1" x14ac:dyDescent="0.25">
      <c r="A557" s="184" t="s">
        <v>1179</v>
      </c>
      <c r="B557" s="184" t="s">
        <v>599</v>
      </c>
      <c r="C557" s="184">
        <v>2021</v>
      </c>
      <c r="D557" s="6" t="s">
        <v>8</v>
      </c>
      <c r="E557" s="4">
        <f t="shared" si="38"/>
        <v>8226.4694736842102</v>
      </c>
      <c r="F557" s="4">
        <f>SUM(F558:F562)</f>
        <v>7815.1459999999997</v>
      </c>
      <c r="G557" s="4">
        <f>SUM(G558:G562)</f>
        <v>0</v>
      </c>
      <c r="H557" s="4">
        <f>SUM(H558:H562)</f>
        <v>411.32347368421051</v>
      </c>
      <c r="I557" s="4">
        <f>SUM(I558:I562)</f>
        <v>0</v>
      </c>
      <c r="J557" s="184" t="s">
        <v>600</v>
      </c>
      <c r="K557" s="184" t="s">
        <v>547</v>
      </c>
    </row>
    <row r="558" spans="1:11" ht="18" customHeight="1" outlineLevel="1" x14ac:dyDescent="0.25">
      <c r="A558" s="184"/>
      <c r="B558" s="184"/>
      <c r="C558" s="184"/>
      <c r="D558" s="6">
        <v>2021</v>
      </c>
      <c r="E558" s="4">
        <f t="shared" ref="E558:E621" si="39">SUM(F558:I558)</f>
        <v>8226.4694736842102</v>
      </c>
      <c r="F558" s="4">
        <v>7815.1459999999997</v>
      </c>
      <c r="G558" s="4">
        <v>0</v>
      </c>
      <c r="H558" s="4">
        <f t="shared" ref="H558:H559" si="40">F558/95*5</f>
        <v>411.32347368421051</v>
      </c>
      <c r="I558" s="4">
        <v>0</v>
      </c>
      <c r="J558" s="184"/>
      <c r="K558" s="184"/>
    </row>
    <row r="559" spans="1:11" ht="18" customHeight="1" outlineLevel="1" x14ac:dyDescent="0.25">
      <c r="A559" s="184"/>
      <c r="B559" s="184"/>
      <c r="C559" s="184"/>
      <c r="D559" s="6">
        <v>2022</v>
      </c>
      <c r="E559" s="4">
        <f t="shared" si="39"/>
        <v>0</v>
      </c>
      <c r="F559" s="4">
        <v>0</v>
      </c>
      <c r="G559" s="4">
        <v>0</v>
      </c>
      <c r="H559" s="4">
        <f t="shared" si="40"/>
        <v>0</v>
      </c>
      <c r="I559" s="4">
        <v>0</v>
      </c>
      <c r="J559" s="184"/>
      <c r="K559" s="184"/>
    </row>
    <row r="560" spans="1:11" ht="18" customHeight="1" outlineLevel="1" x14ac:dyDescent="0.25">
      <c r="A560" s="184"/>
      <c r="B560" s="184"/>
      <c r="C560" s="184"/>
      <c r="D560" s="6">
        <v>2023</v>
      </c>
      <c r="E560" s="4">
        <f t="shared" si="39"/>
        <v>0</v>
      </c>
      <c r="F560" s="4">
        <v>0</v>
      </c>
      <c r="G560" s="4">
        <v>0</v>
      </c>
      <c r="H560" s="4">
        <v>0</v>
      </c>
      <c r="I560" s="4">
        <v>0</v>
      </c>
      <c r="J560" s="184"/>
      <c r="K560" s="184"/>
    </row>
    <row r="561" spans="1:11" ht="18" customHeight="1" outlineLevel="1" x14ac:dyDescent="0.25">
      <c r="A561" s="184"/>
      <c r="B561" s="184"/>
      <c r="C561" s="184"/>
      <c r="D561" s="6">
        <v>2024</v>
      </c>
      <c r="E561" s="4">
        <f t="shared" si="39"/>
        <v>0</v>
      </c>
      <c r="F561" s="4">
        <v>0</v>
      </c>
      <c r="G561" s="4">
        <v>0</v>
      </c>
      <c r="H561" s="4">
        <v>0</v>
      </c>
      <c r="I561" s="4">
        <v>0</v>
      </c>
      <c r="J561" s="184"/>
      <c r="K561" s="184"/>
    </row>
    <row r="562" spans="1:11" ht="18" customHeight="1" outlineLevel="1" x14ac:dyDescent="0.25">
      <c r="A562" s="184"/>
      <c r="B562" s="184"/>
      <c r="C562" s="184"/>
      <c r="D562" s="6">
        <v>2025</v>
      </c>
      <c r="E562" s="4">
        <f t="shared" si="39"/>
        <v>0</v>
      </c>
      <c r="F562" s="4">
        <v>0</v>
      </c>
      <c r="G562" s="4">
        <v>0</v>
      </c>
      <c r="H562" s="4">
        <v>0</v>
      </c>
      <c r="I562" s="4">
        <v>0</v>
      </c>
      <c r="J562" s="184"/>
      <c r="K562" s="184"/>
    </row>
    <row r="563" spans="1:11" ht="18" customHeight="1" outlineLevel="1" x14ac:dyDescent="0.25">
      <c r="A563" s="184" t="s">
        <v>1180</v>
      </c>
      <c r="B563" s="184" t="s">
        <v>613</v>
      </c>
      <c r="C563" s="184">
        <v>2021</v>
      </c>
      <c r="D563" s="6" t="s">
        <v>8</v>
      </c>
      <c r="E563" s="4">
        <f t="shared" si="39"/>
        <v>15056.631578947368</v>
      </c>
      <c r="F563" s="4">
        <f>SUM(F564:F568)</f>
        <v>14303.8</v>
      </c>
      <c r="G563" s="4">
        <f>SUM(G564:G568)</f>
        <v>0</v>
      </c>
      <c r="H563" s="4">
        <f>SUM(H564:H568)</f>
        <v>752.83157894736837</v>
      </c>
      <c r="I563" s="4">
        <v>0</v>
      </c>
      <c r="J563" s="184" t="s">
        <v>614</v>
      </c>
      <c r="K563" s="184" t="s">
        <v>547</v>
      </c>
    </row>
    <row r="564" spans="1:11" ht="18" customHeight="1" outlineLevel="1" x14ac:dyDescent="0.25">
      <c r="A564" s="184"/>
      <c r="B564" s="184"/>
      <c r="C564" s="184"/>
      <c r="D564" s="6">
        <v>2021</v>
      </c>
      <c r="E564" s="4">
        <f t="shared" si="39"/>
        <v>15056.631578947368</v>
      </c>
      <c r="F564" s="4">
        <v>14303.8</v>
      </c>
      <c r="G564" s="4">
        <v>0</v>
      </c>
      <c r="H564" s="4">
        <f>F564/95*5</f>
        <v>752.83157894736837</v>
      </c>
      <c r="I564" s="4">
        <v>0</v>
      </c>
      <c r="J564" s="184"/>
      <c r="K564" s="184"/>
    </row>
    <row r="565" spans="1:11" ht="18" customHeight="1" outlineLevel="1" x14ac:dyDescent="0.25">
      <c r="A565" s="184"/>
      <c r="B565" s="184"/>
      <c r="C565" s="184"/>
      <c r="D565" s="6">
        <v>2022</v>
      </c>
      <c r="E565" s="4">
        <f t="shared" si="39"/>
        <v>0</v>
      </c>
      <c r="F565" s="4">
        <v>0</v>
      </c>
      <c r="G565" s="4">
        <v>0</v>
      </c>
      <c r="H565" s="4">
        <v>0</v>
      </c>
      <c r="I565" s="4">
        <v>0</v>
      </c>
      <c r="J565" s="184"/>
      <c r="K565" s="184"/>
    </row>
    <row r="566" spans="1:11" ht="18" customHeight="1" outlineLevel="1" x14ac:dyDescent="0.25">
      <c r="A566" s="184"/>
      <c r="B566" s="184"/>
      <c r="C566" s="184"/>
      <c r="D566" s="6">
        <v>2023</v>
      </c>
      <c r="E566" s="4">
        <f t="shared" si="39"/>
        <v>0</v>
      </c>
      <c r="F566" s="4">
        <v>0</v>
      </c>
      <c r="G566" s="4">
        <v>0</v>
      </c>
      <c r="H566" s="4">
        <v>0</v>
      </c>
      <c r="I566" s="4">
        <v>0</v>
      </c>
      <c r="J566" s="184"/>
      <c r="K566" s="184"/>
    </row>
    <row r="567" spans="1:11" ht="18" customHeight="1" outlineLevel="1" x14ac:dyDescent="0.25">
      <c r="A567" s="184"/>
      <c r="B567" s="184"/>
      <c r="C567" s="184"/>
      <c r="D567" s="6">
        <v>2024</v>
      </c>
      <c r="E567" s="4">
        <f t="shared" si="39"/>
        <v>0</v>
      </c>
      <c r="F567" s="4">
        <v>0</v>
      </c>
      <c r="G567" s="4">
        <v>0</v>
      </c>
      <c r="H567" s="4">
        <v>0</v>
      </c>
      <c r="I567" s="4">
        <v>0</v>
      </c>
      <c r="J567" s="184"/>
      <c r="K567" s="184"/>
    </row>
    <row r="568" spans="1:11" ht="18" customHeight="1" outlineLevel="1" x14ac:dyDescent="0.25">
      <c r="A568" s="184"/>
      <c r="B568" s="184"/>
      <c r="C568" s="184"/>
      <c r="D568" s="6">
        <v>2025</v>
      </c>
      <c r="E568" s="4">
        <f t="shared" si="39"/>
        <v>0</v>
      </c>
      <c r="F568" s="4">
        <v>0</v>
      </c>
      <c r="G568" s="4">
        <v>0</v>
      </c>
      <c r="H568" s="4">
        <v>0</v>
      </c>
      <c r="I568" s="4">
        <v>0</v>
      </c>
      <c r="J568" s="184"/>
      <c r="K568" s="184"/>
    </row>
    <row r="569" spans="1:11" ht="12.75" customHeight="1" outlineLevel="1" x14ac:dyDescent="0.25">
      <c r="A569" s="184" t="s">
        <v>916</v>
      </c>
      <c r="B569" s="184" t="s">
        <v>913</v>
      </c>
      <c r="C569" s="184">
        <v>2022</v>
      </c>
      <c r="D569" s="6" t="s">
        <v>8</v>
      </c>
      <c r="E569" s="4">
        <f t="shared" si="39"/>
        <v>20912.768100000001</v>
      </c>
      <c r="F569" s="4">
        <f>SUM(F570:F574)</f>
        <v>20912.768100000001</v>
      </c>
      <c r="G569" s="4">
        <f>SUM(G570:G574)</f>
        <v>0</v>
      </c>
      <c r="H569" s="4">
        <f>SUM(H570:H574)</f>
        <v>0</v>
      </c>
      <c r="I569" s="4">
        <f>SUM(I570:I574)</f>
        <v>0</v>
      </c>
      <c r="J569" s="184" t="s">
        <v>914</v>
      </c>
      <c r="K569" s="184" t="s">
        <v>915</v>
      </c>
    </row>
    <row r="570" spans="1:11" ht="12.75" customHeight="1" outlineLevel="1" x14ac:dyDescent="0.25">
      <c r="A570" s="184"/>
      <c r="B570" s="184"/>
      <c r="C570" s="184"/>
      <c r="D570" s="6">
        <v>2021</v>
      </c>
      <c r="E570" s="4">
        <f t="shared" si="39"/>
        <v>0</v>
      </c>
      <c r="F570" s="4">
        <v>0</v>
      </c>
      <c r="G570" s="4">
        <v>0</v>
      </c>
      <c r="H570" s="4">
        <v>0</v>
      </c>
      <c r="I570" s="4">
        <v>0</v>
      </c>
      <c r="J570" s="184"/>
      <c r="K570" s="184"/>
    </row>
    <row r="571" spans="1:11" ht="12.75" customHeight="1" outlineLevel="1" x14ac:dyDescent="0.25">
      <c r="A571" s="184"/>
      <c r="B571" s="184"/>
      <c r="C571" s="184"/>
      <c r="D571" s="6">
        <v>2022</v>
      </c>
      <c r="E571" s="4">
        <f t="shared" si="39"/>
        <v>20912.768100000001</v>
      </c>
      <c r="F571" s="4">
        <v>20912.768100000001</v>
      </c>
      <c r="G571" s="4">
        <v>0</v>
      </c>
      <c r="H571" s="4">
        <v>0</v>
      </c>
      <c r="I571" s="4">
        <v>0</v>
      </c>
      <c r="J571" s="184"/>
      <c r="K571" s="184"/>
    </row>
    <row r="572" spans="1:11" ht="12.75" customHeight="1" outlineLevel="1" x14ac:dyDescent="0.25">
      <c r="A572" s="184"/>
      <c r="B572" s="184"/>
      <c r="C572" s="184"/>
      <c r="D572" s="6">
        <v>2023</v>
      </c>
      <c r="E572" s="4">
        <f t="shared" si="39"/>
        <v>0</v>
      </c>
      <c r="F572" s="4">
        <v>0</v>
      </c>
      <c r="G572" s="4">
        <v>0</v>
      </c>
      <c r="H572" s="4">
        <v>0</v>
      </c>
      <c r="I572" s="4">
        <v>0</v>
      </c>
      <c r="J572" s="184"/>
      <c r="K572" s="184"/>
    </row>
    <row r="573" spans="1:11" ht="12.75" customHeight="1" outlineLevel="1" x14ac:dyDescent="0.25">
      <c r="A573" s="184"/>
      <c r="B573" s="184"/>
      <c r="C573" s="184"/>
      <c r="D573" s="6">
        <v>2024</v>
      </c>
      <c r="E573" s="4">
        <f t="shared" si="39"/>
        <v>0</v>
      </c>
      <c r="F573" s="4">
        <v>0</v>
      </c>
      <c r="G573" s="4">
        <v>0</v>
      </c>
      <c r="H573" s="4">
        <v>0</v>
      </c>
      <c r="I573" s="4">
        <v>0</v>
      </c>
      <c r="J573" s="184"/>
      <c r="K573" s="184"/>
    </row>
    <row r="574" spans="1:11" ht="12.75" customHeight="1" outlineLevel="1" x14ac:dyDescent="0.25">
      <c r="A574" s="184"/>
      <c r="B574" s="184"/>
      <c r="C574" s="184"/>
      <c r="D574" s="6">
        <v>2025</v>
      </c>
      <c r="E574" s="4">
        <f t="shared" si="39"/>
        <v>0</v>
      </c>
      <c r="F574" s="4">
        <v>0</v>
      </c>
      <c r="G574" s="4">
        <v>0</v>
      </c>
      <c r="H574" s="4">
        <v>0</v>
      </c>
      <c r="I574" s="4">
        <v>0</v>
      </c>
      <c r="J574" s="184"/>
      <c r="K574" s="184"/>
    </row>
    <row r="575" spans="1:11" ht="12.75" customHeight="1" outlineLevel="1" x14ac:dyDescent="0.25">
      <c r="A575" s="184" t="s">
        <v>1181</v>
      </c>
      <c r="B575" s="184" t="s">
        <v>917</v>
      </c>
      <c r="C575" s="184" t="s">
        <v>1169</v>
      </c>
      <c r="D575" s="6" t="s">
        <v>8</v>
      </c>
      <c r="E575" s="4">
        <f t="shared" si="39"/>
        <v>150000</v>
      </c>
      <c r="F575" s="4">
        <f>SUM(F576:F580)</f>
        <v>142500</v>
      </c>
      <c r="G575" s="4">
        <f>SUM(G576:G580)</f>
        <v>0</v>
      </c>
      <c r="H575" s="4">
        <f>SUM(H576:H580)</f>
        <v>7500</v>
      </c>
      <c r="I575" s="4">
        <f>SUM(I576:I580)</f>
        <v>0</v>
      </c>
      <c r="J575" s="184" t="s">
        <v>1182</v>
      </c>
      <c r="K575" s="184" t="s">
        <v>547</v>
      </c>
    </row>
    <row r="576" spans="1:11" ht="12.75" customHeight="1" outlineLevel="1" x14ac:dyDescent="0.25">
      <c r="A576" s="184"/>
      <c r="B576" s="184"/>
      <c r="C576" s="184"/>
      <c r="D576" s="6">
        <v>2021</v>
      </c>
      <c r="E576" s="4">
        <f t="shared" si="39"/>
        <v>0</v>
      </c>
      <c r="F576" s="4">
        <v>0</v>
      </c>
      <c r="G576" s="4">
        <v>0</v>
      </c>
      <c r="H576" s="4">
        <v>0</v>
      </c>
      <c r="I576" s="4">
        <v>0</v>
      </c>
      <c r="J576" s="184"/>
      <c r="K576" s="184"/>
    </row>
    <row r="577" spans="1:11" ht="12.75" customHeight="1" outlineLevel="1" x14ac:dyDescent="0.25">
      <c r="A577" s="184"/>
      <c r="B577" s="184"/>
      <c r="C577" s="184"/>
      <c r="D577" s="6">
        <v>2022</v>
      </c>
      <c r="E577" s="4">
        <f t="shared" si="39"/>
        <v>70000</v>
      </c>
      <c r="F577" s="4">
        <v>66500</v>
      </c>
      <c r="G577" s="4">
        <v>0</v>
      </c>
      <c r="H577" s="4">
        <v>3500</v>
      </c>
      <c r="I577" s="4">
        <v>0</v>
      </c>
      <c r="J577" s="184"/>
      <c r="K577" s="184"/>
    </row>
    <row r="578" spans="1:11" ht="12.75" customHeight="1" outlineLevel="1" x14ac:dyDescent="0.25">
      <c r="A578" s="184"/>
      <c r="B578" s="184"/>
      <c r="C578" s="184"/>
      <c r="D578" s="6">
        <v>2023</v>
      </c>
      <c r="E578" s="4">
        <f t="shared" si="39"/>
        <v>80000</v>
      </c>
      <c r="F578" s="4">
        <v>76000</v>
      </c>
      <c r="G578" s="4">
        <v>0</v>
      </c>
      <c r="H578" s="4">
        <v>4000</v>
      </c>
      <c r="I578" s="4">
        <v>0</v>
      </c>
      <c r="J578" s="184"/>
      <c r="K578" s="184"/>
    </row>
    <row r="579" spans="1:11" ht="12.75" customHeight="1" outlineLevel="1" x14ac:dyDescent="0.25">
      <c r="A579" s="184"/>
      <c r="B579" s="184"/>
      <c r="C579" s="184"/>
      <c r="D579" s="6">
        <v>2024</v>
      </c>
      <c r="E579" s="4">
        <f t="shared" si="39"/>
        <v>0</v>
      </c>
      <c r="F579" s="4">
        <v>0</v>
      </c>
      <c r="G579" s="4">
        <v>0</v>
      </c>
      <c r="H579" s="4">
        <v>0</v>
      </c>
      <c r="I579" s="4">
        <v>0</v>
      </c>
      <c r="J579" s="184"/>
      <c r="K579" s="184"/>
    </row>
    <row r="580" spans="1:11" outlineLevel="1" x14ac:dyDescent="0.25">
      <c r="A580" s="184"/>
      <c r="B580" s="184"/>
      <c r="C580" s="184"/>
      <c r="D580" s="6">
        <v>2025</v>
      </c>
      <c r="E580" s="4">
        <f t="shared" si="39"/>
        <v>0</v>
      </c>
      <c r="F580" s="4">
        <v>0</v>
      </c>
      <c r="G580" s="4">
        <v>0</v>
      </c>
      <c r="H580" s="4">
        <v>0</v>
      </c>
      <c r="I580" s="4">
        <v>0</v>
      </c>
      <c r="J580" s="184"/>
      <c r="K580" s="184"/>
    </row>
    <row r="581" spans="1:11" ht="14.25" customHeight="1" outlineLevel="1" x14ac:dyDescent="0.25">
      <c r="A581" s="184" t="s">
        <v>922</v>
      </c>
      <c r="B581" s="184" t="s">
        <v>920</v>
      </c>
      <c r="C581" s="184" t="s">
        <v>1113</v>
      </c>
      <c r="D581" s="6" t="s">
        <v>8</v>
      </c>
      <c r="E581" s="4">
        <f t="shared" si="39"/>
        <v>17600</v>
      </c>
      <c r="F581" s="4">
        <f>SUM(F582:F586)</f>
        <v>17600</v>
      </c>
      <c r="G581" s="4">
        <f>SUM(G582:G586)</f>
        <v>0</v>
      </c>
      <c r="H581" s="4">
        <f>SUM(H582:H586)</f>
        <v>0</v>
      </c>
      <c r="I581" s="4">
        <f>SUM(I582:I586)</f>
        <v>0</v>
      </c>
      <c r="J581" s="184" t="s">
        <v>921</v>
      </c>
      <c r="K581" s="184" t="s">
        <v>563</v>
      </c>
    </row>
    <row r="582" spans="1:11" ht="12.75" customHeight="1" outlineLevel="1" x14ac:dyDescent="0.25">
      <c r="A582" s="184"/>
      <c r="B582" s="184"/>
      <c r="C582" s="184"/>
      <c r="D582" s="6">
        <v>2021</v>
      </c>
      <c r="E582" s="4">
        <f t="shared" si="39"/>
        <v>0</v>
      </c>
      <c r="F582" s="4">
        <v>0</v>
      </c>
      <c r="G582" s="4">
        <v>0</v>
      </c>
      <c r="H582" s="4">
        <v>0</v>
      </c>
      <c r="I582" s="4">
        <v>0</v>
      </c>
      <c r="J582" s="184"/>
      <c r="K582" s="184"/>
    </row>
    <row r="583" spans="1:11" ht="14.25" customHeight="1" outlineLevel="1" x14ac:dyDescent="0.25">
      <c r="A583" s="184"/>
      <c r="B583" s="184"/>
      <c r="C583" s="184"/>
      <c r="D583" s="6">
        <v>2022</v>
      </c>
      <c r="E583" s="4">
        <f t="shared" si="39"/>
        <v>4400</v>
      </c>
      <c r="F583" s="4">
        <v>4400</v>
      </c>
      <c r="G583" s="4">
        <v>0</v>
      </c>
      <c r="H583" s="4">
        <v>0</v>
      </c>
      <c r="I583" s="4">
        <v>0</v>
      </c>
      <c r="J583" s="184"/>
      <c r="K583" s="184"/>
    </row>
    <row r="584" spans="1:11" ht="14.25" customHeight="1" outlineLevel="1" x14ac:dyDescent="0.25">
      <c r="A584" s="184"/>
      <c r="B584" s="184"/>
      <c r="C584" s="184"/>
      <c r="D584" s="6">
        <v>2023</v>
      </c>
      <c r="E584" s="4">
        <f t="shared" si="39"/>
        <v>4400</v>
      </c>
      <c r="F584" s="4">
        <v>4400</v>
      </c>
      <c r="G584" s="4">
        <v>0</v>
      </c>
      <c r="H584" s="4">
        <v>0</v>
      </c>
      <c r="I584" s="4">
        <v>0</v>
      </c>
      <c r="J584" s="184"/>
      <c r="K584" s="184"/>
    </row>
    <row r="585" spans="1:11" ht="12" customHeight="1" outlineLevel="1" x14ac:dyDescent="0.25">
      <c r="A585" s="184"/>
      <c r="B585" s="184"/>
      <c r="C585" s="184"/>
      <c r="D585" s="6">
        <v>2024</v>
      </c>
      <c r="E585" s="4">
        <f t="shared" si="39"/>
        <v>4400</v>
      </c>
      <c r="F585" s="4">
        <v>4400</v>
      </c>
      <c r="G585" s="4">
        <v>0</v>
      </c>
      <c r="H585" s="4">
        <v>0</v>
      </c>
      <c r="I585" s="4">
        <v>0</v>
      </c>
      <c r="J585" s="184"/>
      <c r="K585" s="184"/>
    </row>
    <row r="586" spans="1:11" ht="15" customHeight="1" outlineLevel="1" x14ac:dyDescent="0.25">
      <c r="A586" s="184"/>
      <c r="B586" s="184"/>
      <c r="C586" s="184"/>
      <c r="D586" s="6">
        <v>2025</v>
      </c>
      <c r="E586" s="4">
        <f t="shared" si="39"/>
        <v>4400</v>
      </c>
      <c r="F586" s="4">
        <v>4400</v>
      </c>
      <c r="G586" s="4">
        <v>0</v>
      </c>
      <c r="H586" s="4">
        <v>0</v>
      </c>
      <c r="I586" s="4">
        <v>0</v>
      </c>
      <c r="J586" s="184"/>
      <c r="K586" s="184"/>
    </row>
    <row r="587" spans="1:11" ht="12.75" customHeight="1" outlineLevel="1" x14ac:dyDescent="0.25">
      <c r="A587" s="184" t="s">
        <v>925</v>
      </c>
      <c r="B587" s="184" t="s">
        <v>926</v>
      </c>
      <c r="C587" s="184">
        <v>2022</v>
      </c>
      <c r="D587" s="6" t="s">
        <v>8</v>
      </c>
      <c r="E587" s="4">
        <f t="shared" si="39"/>
        <v>65500</v>
      </c>
      <c r="F587" s="4">
        <f>SUM(F588:F592)</f>
        <v>62225</v>
      </c>
      <c r="G587" s="4">
        <f>SUM(G588:G592)</f>
        <v>0</v>
      </c>
      <c r="H587" s="4">
        <f>SUM(H588:H592)</f>
        <v>3275</v>
      </c>
      <c r="I587" s="4">
        <f>SUM(I588:I592)</f>
        <v>0</v>
      </c>
      <c r="J587" s="184" t="s">
        <v>927</v>
      </c>
      <c r="K587" s="184" t="s">
        <v>547</v>
      </c>
    </row>
    <row r="588" spans="1:11" ht="12.75" customHeight="1" outlineLevel="1" x14ac:dyDescent="0.25">
      <c r="A588" s="184"/>
      <c r="B588" s="184"/>
      <c r="C588" s="184"/>
      <c r="D588" s="6">
        <v>2021</v>
      </c>
      <c r="E588" s="4">
        <f t="shared" si="39"/>
        <v>0</v>
      </c>
      <c r="F588" s="4">
        <v>0</v>
      </c>
      <c r="G588" s="4">
        <v>0</v>
      </c>
      <c r="H588" s="4">
        <v>0</v>
      </c>
      <c r="I588" s="4">
        <v>0</v>
      </c>
      <c r="J588" s="184"/>
      <c r="K588" s="184"/>
    </row>
    <row r="589" spans="1:11" ht="12.75" customHeight="1" outlineLevel="1" x14ac:dyDescent="0.25">
      <c r="A589" s="184"/>
      <c r="B589" s="184"/>
      <c r="C589" s="184"/>
      <c r="D589" s="6">
        <v>2022</v>
      </c>
      <c r="E589" s="4">
        <f t="shared" si="39"/>
        <v>65500</v>
      </c>
      <c r="F589" s="4">
        <v>62225</v>
      </c>
      <c r="G589" s="4">
        <v>0</v>
      </c>
      <c r="H589" s="4">
        <v>3275</v>
      </c>
      <c r="I589" s="4">
        <v>0</v>
      </c>
      <c r="J589" s="184"/>
      <c r="K589" s="184"/>
    </row>
    <row r="590" spans="1:11" ht="12.75" customHeight="1" outlineLevel="1" x14ac:dyDescent="0.25">
      <c r="A590" s="184"/>
      <c r="B590" s="184"/>
      <c r="C590" s="184"/>
      <c r="D590" s="6">
        <v>2023</v>
      </c>
      <c r="E590" s="4">
        <f t="shared" si="39"/>
        <v>0</v>
      </c>
      <c r="F590" s="4">
        <v>0</v>
      </c>
      <c r="G590" s="4">
        <v>0</v>
      </c>
      <c r="H590" s="4">
        <v>0</v>
      </c>
      <c r="I590" s="4">
        <v>0</v>
      </c>
      <c r="J590" s="184"/>
      <c r="K590" s="184"/>
    </row>
    <row r="591" spans="1:11" ht="12.75" customHeight="1" outlineLevel="1" x14ac:dyDescent="0.25">
      <c r="A591" s="184"/>
      <c r="B591" s="184"/>
      <c r="C591" s="184"/>
      <c r="D591" s="6">
        <v>2024</v>
      </c>
      <c r="E591" s="4">
        <f t="shared" si="39"/>
        <v>0</v>
      </c>
      <c r="F591" s="4">
        <v>0</v>
      </c>
      <c r="G591" s="4">
        <v>0</v>
      </c>
      <c r="H591" s="4">
        <v>0</v>
      </c>
      <c r="I591" s="4">
        <v>0</v>
      </c>
      <c r="J591" s="184"/>
      <c r="K591" s="184"/>
    </row>
    <row r="592" spans="1:11" ht="12.75" customHeight="1" outlineLevel="1" x14ac:dyDescent="0.25">
      <c r="A592" s="184"/>
      <c r="B592" s="184"/>
      <c r="C592" s="184"/>
      <c r="D592" s="6">
        <v>2025</v>
      </c>
      <c r="E592" s="4">
        <f t="shared" si="39"/>
        <v>0</v>
      </c>
      <c r="F592" s="4">
        <v>0</v>
      </c>
      <c r="G592" s="4">
        <v>0</v>
      </c>
      <c r="H592" s="4">
        <v>0</v>
      </c>
      <c r="I592" s="4">
        <v>0</v>
      </c>
      <c r="J592" s="184"/>
      <c r="K592" s="184"/>
    </row>
    <row r="593" spans="1:11" ht="12.75" customHeight="1" outlineLevel="1" x14ac:dyDescent="0.25">
      <c r="A593" s="184" t="s">
        <v>928</v>
      </c>
      <c r="B593" s="184" t="s">
        <v>1183</v>
      </c>
      <c r="C593" s="184">
        <v>2022</v>
      </c>
      <c r="D593" s="6" t="s">
        <v>8</v>
      </c>
      <c r="E593" s="4">
        <f t="shared" si="39"/>
        <v>3010.9325454545456</v>
      </c>
      <c r="F593" s="4">
        <f>SUM(F594:F598)</f>
        <v>2980.8232200000002</v>
      </c>
      <c r="G593" s="4">
        <f t="shared" ref="G593:G635" si="41">SUM(G594:G598)</f>
        <v>0</v>
      </c>
      <c r="H593" s="4">
        <f>SUM(H594:H598)</f>
        <v>30.109325454545456</v>
      </c>
      <c r="I593" s="4">
        <f t="shared" ref="I593:I629" si="42">SUM(I594:I598)</f>
        <v>0</v>
      </c>
      <c r="J593" s="184" t="s">
        <v>930</v>
      </c>
      <c r="K593" s="184" t="s">
        <v>547</v>
      </c>
    </row>
    <row r="594" spans="1:11" ht="12.75" customHeight="1" outlineLevel="1" x14ac:dyDescent="0.25">
      <c r="A594" s="184"/>
      <c r="B594" s="184"/>
      <c r="C594" s="184"/>
      <c r="D594" s="6">
        <v>2021</v>
      </c>
      <c r="E594" s="4">
        <f t="shared" si="39"/>
        <v>0</v>
      </c>
      <c r="F594" s="4"/>
      <c r="G594" s="4">
        <f t="shared" si="41"/>
        <v>0</v>
      </c>
      <c r="H594" s="4"/>
      <c r="I594" s="4">
        <f t="shared" si="42"/>
        <v>0</v>
      </c>
      <c r="J594" s="184"/>
      <c r="K594" s="184"/>
    </row>
    <row r="595" spans="1:11" ht="12.75" customHeight="1" outlineLevel="1" x14ac:dyDescent="0.25">
      <c r="A595" s="184"/>
      <c r="B595" s="184"/>
      <c r="C595" s="184"/>
      <c r="D595" s="6">
        <v>2022</v>
      </c>
      <c r="E595" s="4">
        <f t="shared" si="39"/>
        <v>3010.9325454545456</v>
      </c>
      <c r="F595" s="4">
        <v>2980.8232200000002</v>
      </c>
      <c r="G595" s="4">
        <f t="shared" si="41"/>
        <v>0</v>
      </c>
      <c r="H595" s="4">
        <f>F595/99*1</f>
        <v>30.109325454545456</v>
      </c>
      <c r="I595" s="4">
        <f t="shared" si="42"/>
        <v>0</v>
      </c>
      <c r="J595" s="184"/>
      <c r="K595" s="184"/>
    </row>
    <row r="596" spans="1:11" ht="12.75" customHeight="1" outlineLevel="1" x14ac:dyDescent="0.25">
      <c r="A596" s="184"/>
      <c r="B596" s="184"/>
      <c r="C596" s="184"/>
      <c r="D596" s="6">
        <v>2023</v>
      </c>
      <c r="E596" s="4">
        <f t="shared" si="39"/>
        <v>0</v>
      </c>
      <c r="F596" s="4"/>
      <c r="G596" s="4">
        <f t="shared" si="41"/>
        <v>0</v>
      </c>
      <c r="H596" s="4"/>
      <c r="I596" s="4">
        <f t="shared" si="42"/>
        <v>0</v>
      </c>
      <c r="J596" s="184"/>
      <c r="K596" s="184"/>
    </row>
    <row r="597" spans="1:11" ht="12.75" customHeight="1" outlineLevel="1" x14ac:dyDescent="0.25">
      <c r="A597" s="184"/>
      <c r="B597" s="184"/>
      <c r="C597" s="184"/>
      <c r="D597" s="6">
        <v>2024</v>
      </c>
      <c r="E597" s="4">
        <f t="shared" si="39"/>
        <v>0</v>
      </c>
      <c r="F597" s="4"/>
      <c r="G597" s="4">
        <f t="shared" si="41"/>
        <v>0</v>
      </c>
      <c r="H597" s="4"/>
      <c r="I597" s="4">
        <f t="shared" si="42"/>
        <v>0</v>
      </c>
      <c r="J597" s="184"/>
      <c r="K597" s="184"/>
    </row>
    <row r="598" spans="1:11" ht="12.75" customHeight="1" outlineLevel="1" x14ac:dyDescent="0.25">
      <c r="A598" s="184"/>
      <c r="B598" s="184"/>
      <c r="C598" s="184"/>
      <c r="D598" s="6">
        <v>2025</v>
      </c>
      <c r="E598" s="4">
        <f t="shared" si="39"/>
        <v>0</v>
      </c>
      <c r="F598" s="4"/>
      <c r="G598" s="4">
        <f t="shared" si="41"/>
        <v>0</v>
      </c>
      <c r="H598" s="4"/>
      <c r="I598" s="4">
        <f t="shared" si="42"/>
        <v>0</v>
      </c>
      <c r="J598" s="184"/>
      <c r="K598" s="184"/>
    </row>
    <row r="599" spans="1:11" ht="12.75" customHeight="1" outlineLevel="1" x14ac:dyDescent="0.25">
      <c r="A599" s="184" t="s">
        <v>931</v>
      </c>
      <c r="B599" s="184" t="s">
        <v>932</v>
      </c>
      <c r="C599" s="184">
        <v>2022</v>
      </c>
      <c r="D599" s="6" t="s">
        <v>8</v>
      </c>
      <c r="E599" s="4">
        <f t="shared" si="39"/>
        <v>9956.0763399999996</v>
      </c>
      <c r="F599" s="4">
        <f>SUM(F600:F604)</f>
        <v>9458.2733399999997</v>
      </c>
      <c r="G599" s="4">
        <f t="shared" si="41"/>
        <v>0</v>
      </c>
      <c r="H599" s="4">
        <f>SUM(H600:H604)</f>
        <v>497.803</v>
      </c>
      <c r="I599" s="4">
        <f t="shared" si="42"/>
        <v>0</v>
      </c>
      <c r="J599" s="184" t="s">
        <v>933</v>
      </c>
      <c r="K599" s="184" t="s">
        <v>547</v>
      </c>
    </row>
    <row r="600" spans="1:11" ht="12.75" customHeight="1" outlineLevel="1" x14ac:dyDescent="0.25">
      <c r="A600" s="184"/>
      <c r="B600" s="184"/>
      <c r="C600" s="184"/>
      <c r="D600" s="6">
        <v>2021</v>
      </c>
      <c r="E600" s="4">
        <f t="shared" si="39"/>
        <v>0</v>
      </c>
      <c r="F600" s="4">
        <v>0</v>
      </c>
      <c r="G600" s="4">
        <f t="shared" si="41"/>
        <v>0</v>
      </c>
      <c r="H600" s="4">
        <v>0</v>
      </c>
      <c r="I600" s="4">
        <f t="shared" si="42"/>
        <v>0</v>
      </c>
      <c r="J600" s="184"/>
      <c r="K600" s="184"/>
    </row>
    <row r="601" spans="1:11" ht="12.75" customHeight="1" outlineLevel="1" x14ac:dyDescent="0.25">
      <c r="A601" s="184"/>
      <c r="B601" s="184"/>
      <c r="C601" s="184"/>
      <c r="D601" s="6">
        <v>2022</v>
      </c>
      <c r="E601" s="4">
        <f t="shared" si="39"/>
        <v>9956.0763399999996</v>
      </c>
      <c r="F601" s="4">
        <v>9458.2733399999997</v>
      </c>
      <c r="G601" s="4">
        <f t="shared" si="41"/>
        <v>0</v>
      </c>
      <c r="H601" s="4">
        <v>497.803</v>
      </c>
      <c r="I601" s="4">
        <f t="shared" si="42"/>
        <v>0</v>
      </c>
      <c r="J601" s="184"/>
      <c r="K601" s="184"/>
    </row>
    <row r="602" spans="1:11" ht="12.75" customHeight="1" outlineLevel="1" x14ac:dyDescent="0.25">
      <c r="A602" s="184"/>
      <c r="B602" s="184"/>
      <c r="C602" s="184"/>
      <c r="D602" s="6">
        <v>2023</v>
      </c>
      <c r="E602" s="4">
        <f t="shared" si="39"/>
        <v>0</v>
      </c>
      <c r="F602" s="4">
        <v>0</v>
      </c>
      <c r="G602" s="4">
        <f t="shared" si="41"/>
        <v>0</v>
      </c>
      <c r="H602" s="4">
        <v>0</v>
      </c>
      <c r="I602" s="4">
        <f t="shared" si="42"/>
        <v>0</v>
      </c>
      <c r="J602" s="184"/>
      <c r="K602" s="184"/>
    </row>
    <row r="603" spans="1:11" ht="12.75" customHeight="1" outlineLevel="1" x14ac:dyDescent="0.25">
      <c r="A603" s="184"/>
      <c r="B603" s="184"/>
      <c r="C603" s="184"/>
      <c r="D603" s="6">
        <v>2024</v>
      </c>
      <c r="E603" s="4">
        <f t="shared" si="39"/>
        <v>0</v>
      </c>
      <c r="F603" s="4">
        <v>0</v>
      </c>
      <c r="G603" s="4">
        <f t="shared" si="41"/>
        <v>0</v>
      </c>
      <c r="H603" s="4">
        <v>0</v>
      </c>
      <c r="I603" s="4">
        <f t="shared" si="42"/>
        <v>0</v>
      </c>
      <c r="J603" s="184"/>
      <c r="K603" s="184"/>
    </row>
    <row r="604" spans="1:11" ht="12.75" customHeight="1" outlineLevel="1" x14ac:dyDescent="0.25">
      <c r="A604" s="184"/>
      <c r="B604" s="184"/>
      <c r="C604" s="184"/>
      <c r="D604" s="6">
        <v>2025</v>
      </c>
      <c r="E604" s="4">
        <f t="shared" si="39"/>
        <v>0</v>
      </c>
      <c r="F604" s="4">
        <v>0</v>
      </c>
      <c r="G604" s="4">
        <f t="shared" si="41"/>
        <v>0</v>
      </c>
      <c r="H604" s="4">
        <v>0</v>
      </c>
      <c r="I604" s="4">
        <f t="shared" si="42"/>
        <v>0</v>
      </c>
      <c r="J604" s="184"/>
      <c r="K604" s="184"/>
    </row>
    <row r="605" spans="1:11" ht="12.75" customHeight="1" outlineLevel="1" x14ac:dyDescent="0.25">
      <c r="A605" s="184" t="s">
        <v>934</v>
      </c>
      <c r="B605" s="184" t="s">
        <v>1184</v>
      </c>
      <c r="C605" s="184">
        <v>2022</v>
      </c>
      <c r="D605" s="6" t="s">
        <v>8</v>
      </c>
      <c r="E605" s="4">
        <f t="shared" si="39"/>
        <v>3320.7358421052631</v>
      </c>
      <c r="F605" s="4">
        <f>SUM(F606:F610)</f>
        <v>3154.6990500000002</v>
      </c>
      <c r="G605" s="4">
        <f t="shared" si="41"/>
        <v>0</v>
      </c>
      <c r="H605" s="4">
        <f>SUM(H606:H610)</f>
        <v>166.03679210526315</v>
      </c>
      <c r="I605" s="4">
        <f t="shared" si="42"/>
        <v>0</v>
      </c>
      <c r="J605" s="184" t="s">
        <v>1185</v>
      </c>
      <c r="K605" s="184" t="s">
        <v>547</v>
      </c>
    </row>
    <row r="606" spans="1:11" ht="12.75" customHeight="1" outlineLevel="1" x14ac:dyDescent="0.25">
      <c r="A606" s="184"/>
      <c r="B606" s="184"/>
      <c r="C606" s="184"/>
      <c r="D606" s="6">
        <v>2021</v>
      </c>
      <c r="E606" s="4">
        <f t="shared" si="39"/>
        <v>0</v>
      </c>
      <c r="F606" s="4">
        <v>0</v>
      </c>
      <c r="G606" s="4">
        <f t="shared" si="41"/>
        <v>0</v>
      </c>
      <c r="H606" s="4">
        <v>0</v>
      </c>
      <c r="I606" s="4">
        <f t="shared" si="42"/>
        <v>0</v>
      </c>
      <c r="J606" s="184"/>
      <c r="K606" s="184"/>
    </row>
    <row r="607" spans="1:11" ht="12.75" customHeight="1" outlineLevel="1" x14ac:dyDescent="0.25">
      <c r="A607" s="184"/>
      <c r="B607" s="184"/>
      <c r="C607" s="184"/>
      <c r="D607" s="6">
        <v>2022</v>
      </c>
      <c r="E607" s="4">
        <f t="shared" si="39"/>
        <v>3320.7358421052631</v>
      </c>
      <c r="F607" s="4">
        <v>3154.6990500000002</v>
      </c>
      <c r="G607" s="4">
        <f t="shared" si="41"/>
        <v>0</v>
      </c>
      <c r="H607" s="4">
        <f>F607/95*5</f>
        <v>166.03679210526315</v>
      </c>
      <c r="I607" s="4">
        <f t="shared" si="42"/>
        <v>0</v>
      </c>
      <c r="J607" s="184"/>
      <c r="K607" s="184"/>
    </row>
    <row r="608" spans="1:11" ht="12.75" customHeight="1" outlineLevel="1" x14ac:dyDescent="0.25">
      <c r="A608" s="184"/>
      <c r="B608" s="184"/>
      <c r="C608" s="184"/>
      <c r="D608" s="6">
        <v>2023</v>
      </c>
      <c r="E608" s="4">
        <f t="shared" si="39"/>
        <v>0</v>
      </c>
      <c r="F608" s="4">
        <v>0</v>
      </c>
      <c r="G608" s="4">
        <f t="shared" si="41"/>
        <v>0</v>
      </c>
      <c r="H608" s="4">
        <v>0</v>
      </c>
      <c r="I608" s="4">
        <f t="shared" si="42"/>
        <v>0</v>
      </c>
      <c r="J608" s="184"/>
      <c r="K608" s="184"/>
    </row>
    <row r="609" spans="1:11" ht="12.75" customHeight="1" outlineLevel="1" x14ac:dyDescent="0.25">
      <c r="A609" s="184"/>
      <c r="B609" s="184"/>
      <c r="C609" s="184"/>
      <c r="D609" s="6">
        <v>2024</v>
      </c>
      <c r="E609" s="4">
        <f t="shared" si="39"/>
        <v>0</v>
      </c>
      <c r="F609" s="4">
        <v>0</v>
      </c>
      <c r="G609" s="4">
        <f t="shared" si="41"/>
        <v>0</v>
      </c>
      <c r="H609" s="4">
        <v>0</v>
      </c>
      <c r="I609" s="4">
        <f t="shared" si="42"/>
        <v>0</v>
      </c>
      <c r="J609" s="184"/>
      <c r="K609" s="184"/>
    </row>
    <row r="610" spans="1:11" ht="12.75" customHeight="1" outlineLevel="1" x14ac:dyDescent="0.25">
      <c r="A610" s="184"/>
      <c r="B610" s="184"/>
      <c r="C610" s="184"/>
      <c r="D610" s="6">
        <v>2025</v>
      </c>
      <c r="E610" s="4">
        <f t="shared" si="39"/>
        <v>0</v>
      </c>
      <c r="F610" s="4">
        <v>0</v>
      </c>
      <c r="G610" s="4">
        <f t="shared" si="41"/>
        <v>0</v>
      </c>
      <c r="H610" s="4">
        <v>0</v>
      </c>
      <c r="I610" s="4">
        <f t="shared" si="42"/>
        <v>0</v>
      </c>
      <c r="J610" s="184"/>
      <c r="K610" s="184"/>
    </row>
    <row r="611" spans="1:11" ht="12.75" customHeight="1" outlineLevel="1" x14ac:dyDescent="0.25">
      <c r="A611" s="184" t="s">
        <v>937</v>
      </c>
      <c r="B611" s="184" t="s">
        <v>938</v>
      </c>
      <c r="C611" s="184">
        <v>2022</v>
      </c>
      <c r="D611" s="6" t="s">
        <v>8</v>
      </c>
      <c r="E611" s="4">
        <f t="shared" si="39"/>
        <v>17129.317905263157</v>
      </c>
      <c r="F611" s="4">
        <f>SUM(F612:F616)</f>
        <v>16272.852010000001</v>
      </c>
      <c r="G611" s="4">
        <f t="shared" si="41"/>
        <v>0</v>
      </c>
      <c r="H611" s="4">
        <f>SUM(H612:H616)</f>
        <v>856.4658952631579</v>
      </c>
      <c r="I611" s="4">
        <f t="shared" si="42"/>
        <v>0</v>
      </c>
      <c r="J611" s="184" t="s">
        <v>939</v>
      </c>
      <c r="K611" s="184" t="s">
        <v>547</v>
      </c>
    </row>
    <row r="612" spans="1:11" ht="12.75" customHeight="1" outlineLevel="1" x14ac:dyDescent="0.25">
      <c r="A612" s="184"/>
      <c r="B612" s="184"/>
      <c r="C612" s="184"/>
      <c r="D612" s="6">
        <v>2021</v>
      </c>
      <c r="E612" s="4">
        <f t="shared" si="39"/>
        <v>0</v>
      </c>
      <c r="F612" s="4">
        <v>0</v>
      </c>
      <c r="G612" s="4">
        <f t="shared" si="41"/>
        <v>0</v>
      </c>
      <c r="H612" s="4">
        <v>0</v>
      </c>
      <c r="I612" s="4">
        <f t="shared" si="42"/>
        <v>0</v>
      </c>
      <c r="J612" s="184"/>
      <c r="K612" s="184"/>
    </row>
    <row r="613" spans="1:11" ht="12.75" customHeight="1" outlineLevel="1" x14ac:dyDescent="0.25">
      <c r="A613" s="184"/>
      <c r="B613" s="184"/>
      <c r="C613" s="184"/>
      <c r="D613" s="6">
        <v>2022</v>
      </c>
      <c r="E613" s="4">
        <f t="shared" si="39"/>
        <v>17129.317905263157</v>
      </c>
      <c r="F613" s="4">
        <v>16272.852010000001</v>
      </c>
      <c r="G613" s="4">
        <f t="shared" si="41"/>
        <v>0</v>
      </c>
      <c r="H613" s="4">
        <f>F613/95*5</f>
        <v>856.4658952631579</v>
      </c>
      <c r="I613" s="4">
        <f t="shared" si="42"/>
        <v>0</v>
      </c>
      <c r="J613" s="184"/>
      <c r="K613" s="184"/>
    </row>
    <row r="614" spans="1:11" ht="12.75" customHeight="1" outlineLevel="1" x14ac:dyDescent="0.25">
      <c r="A614" s="184"/>
      <c r="B614" s="184"/>
      <c r="C614" s="184"/>
      <c r="D614" s="6">
        <v>2023</v>
      </c>
      <c r="E614" s="4">
        <f t="shared" si="39"/>
        <v>0</v>
      </c>
      <c r="F614" s="4">
        <v>0</v>
      </c>
      <c r="G614" s="4">
        <f t="shared" si="41"/>
        <v>0</v>
      </c>
      <c r="H614" s="4">
        <v>0</v>
      </c>
      <c r="I614" s="4">
        <f t="shared" si="42"/>
        <v>0</v>
      </c>
      <c r="J614" s="184"/>
      <c r="K614" s="184"/>
    </row>
    <row r="615" spans="1:11" ht="12.75" customHeight="1" outlineLevel="1" x14ac:dyDescent="0.25">
      <c r="A615" s="184"/>
      <c r="B615" s="184"/>
      <c r="C615" s="184"/>
      <c r="D615" s="6">
        <v>2024</v>
      </c>
      <c r="E615" s="4">
        <f t="shared" si="39"/>
        <v>0</v>
      </c>
      <c r="F615" s="4">
        <v>0</v>
      </c>
      <c r="G615" s="4">
        <f t="shared" si="41"/>
        <v>0</v>
      </c>
      <c r="H615" s="4">
        <v>0</v>
      </c>
      <c r="I615" s="4">
        <f t="shared" si="42"/>
        <v>0</v>
      </c>
      <c r="J615" s="184"/>
      <c r="K615" s="184"/>
    </row>
    <row r="616" spans="1:11" ht="12.75" customHeight="1" outlineLevel="1" x14ac:dyDescent="0.25">
      <c r="A616" s="184"/>
      <c r="B616" s="184"/>
      <c r="C616" s="184"/>
      <c r="D616" s="6">
        <v>2025</v>
      </c>
      <c r="E616" s="4">
        <f t="shared" si="39"/>
        <v>0</v>
      </c>
      <c r="F616" s="4">
        <v>0</v>
      </c>
      <c r="G616" s="4">
        <f t="shared" si="41"/>
        <v>0</v>
      </c>
      <c r="H616" s="4">
        <v>0</v>
      </c>
      <c r="I616" s="4">
        <f t="shared" si="42"/>
        <v>0</v>
      </c>
      <c r="J616" s="184"/>
      <c r="K616" s="184"/>
    </row>
    <row r="617" spans="1:11" ht="12.75" customHeight="1" outlineLevel="1" x14ac:dyDescent="0.25">
      <c r="A617" s="184" t="s">
        <v>940</v>
      </c>
      <c r="B617" s="184" t="s">
        <v>1186</v>
      </c>
      <c r="C617" s="184">
        <v>2022</v>
      </c>
      <c r="D617" s="6" t="s">
        <v>8</v>
      </c>
      <c r="E617" s="4">
        <f t="shared" si="39"/>
        <v>5286.9536799999996</v>
      </c>
      <c r="F617" s="4">
        <f>SUM(F618:F622)</f>
        <v>5022.6066799999999</v>
      </c>
      <c r="G617" s="4">
        <f t="shared" si="41"/>
        <v>0</v>
      </c>
      <c r="H617" s="4">
        <f>SUM(H618:H622)</f>
        <v>264.34699999999998</v>
      </c>
      <c r="I617" s="4">
        <f t="shared" si="42"/>
        <v>0</v>
      </c>
      <c r="J617" s="184" t="s">
        <v>942</v>
      </c>
      <c r="K617" s="184" t="s">
        <v>547</v>
      </c>
    </row>
    <row r="618" spans="1:11" ht="12.75" customHeight="1" outlineLevel="1" x14ac:dyDescent="0.25">
      <c r="A618" s="184"/>
      <c r="B618" s="184"/>
      <c r="C618" s="184"/>
      <c r="D618" s="6">
        <v>2021</v>
      </c>
      <c r="E618" s="4">
        <f t="shared" si="39"/>
        <v>0</v>
      </c>
      <c r="F618" s="4">
        <v>0</v>
      </c>
      <c r="G618" s="4">
        <f t="shared" si="41"/>
        <v>0</v>
      </c>
      <c r="H618" s="4">
        <v>0</v>
      </c>
      <c r="I618" s="4">
        <f t="shared" si="42"/>
        <v>0</v>
      </c>
      <c r="J618" s="184"/>
      <c r="K618" s="184"/>
    </row>
    <row r="619" spans="1:11" ht="12.75" customHeight="1" outlineLevel="1" x14ac:dyDescent="0.25">
      <c r="A619" s="184"/>
      <c r="B619" s="184"/>
      <c r="C619" s="184"/>
      <c r="D619" s="6">
        <v>2022</v>
      </c>
      <c r="E619" s="4">
        <f t="shared" si="39"/>
        <v>5286.9536799999996</v>
      </c>
      <c r="F619" s="4">
        <v>5022.6066799999999</v>
      </c>
      <c r="G619" s="4">
        <f t="shared" si="41"/>
        <v>0</v>
      </c>
      <c r="H619" s="4">
        <v>264.34699999999998</v>
      </c>
      <c r="I619" s="4">
        <f t="shared" si="42"/>
        <v>0</v>
      </c>
      <c r="J619" s="184"/>
      <c r="K619" s="184"/>
    </row>
    <row r="620" spans="1:11" ht="12.75" customHeight="1" outlineLevel="1" x14ac:dyDescent="0.25">
      <c r="A620" s="184"/>
      <c r="B620" s="184"/>
      <c r="C620" s="184"/>
      <c r="D620" s="6">
        <v>2023</v>
      </c>
      <c r="E620" s="4">
        <f t="shared" si="39"/>
        <v>0</v>
      </c>
      <c r="F620" s="4">
        <v>0</v>
      </c>
      <c r="G620" s="4">
        <f t="shared" si="41"/>
        <v>0</v>
      </c>
      <c r="H620" s="4">
        <v>0</v>
      </c>
      <c r="I620" s="4">
        <f t="shared" si="42"/>
        <v>0</v>
      </c>
      <c r="J620" s="184"/>
      <c r="K620" s="184"/>
    </row>
    <row r="621" spans="1:11" ht="12.75" customHeight="1" outlineLevel="1" x14ac:dyDescent="0.25">
      <c r="A621" s="184"/>
      <c r="B621" s="184"/>
      <c r="C621" s="184"/>
      <c r="D621" s="6">
        <v>2024</v>
      </c>
      <c r="E621" s="4">
        <f t="shared" si="39"/>
        <v>0</v>
      </c>
      <c r="F621" s="4">
        <v>0</v>
      </c>
      <c r="G621" s="4">
        <f t="shared" si="41"/>
        <v>0</v>
      </c>
      <c r="H621" s="4">
        <v>0</v>
      </c>
      <c r="I621" s="4">
        <f t="shared" si="42"/>
        <v>0</v>
      </c>
      <c r="J621" s="184"/>
      <c r="K621" s="184"/>
    </row>
    <row r="622" spans="1:11" ht="12.75" customHeight="1" outlineLevel="1" x14ac:dyDescent="0.25">
      <c r="A622" s="184"/>
      <c r="B622" s="184"/>
      <c r="C622" s="184"/>
      <c r="D622" s="6">
        <v>2025</v>
      </c>
      <c r="E622" s="4">
        <f t="shared" ref="E622:F685" si="43">SUM(F622:I622)</f>
        <v>0</v>
      </c>
      <c r="F622" s="4">
        <v>0</v>
      </c>
      <c r="G622" s="4">
        <f t="shared" si="41"/>
        <v>0</v>
      </c>
      <c r="H622" s="4">
        <v>0</v>
      </c>
      <c r="I622" s="4">
        <f t="shared" si="42"/>
        <v>0</v>
      </c>
      <c r="J622" s="184"/>
      <c r="K622" s="184"/>
    </row>
    <row r="623" spans="1:11" ht="12.75" customHeight="1" outlineLevel="1" x14ac:dyDescent="0.25">
      <c r="A623" s="184" t="s">
        <v>943</v>
      </c>
      <c r="B623" s="184" t="s">
        <v>944</v>
      </c>
      <c r="C623" s="184">
        <v>2022</v>
      </c>
      <c r="D623" s="6" t="s">
        <v>8</v>
      </c>
      <c r="E623" s="4">
        <f t="shared" si="43"/>
        <v>2973.9789052631577</v>
      </c>
      <c r="F623" s="4">
        <f>SUM(F624:F628)</f>
        <v>2825.2799599999998</v>
      </c>
      <c r="G623" s="4">
        <f t="shared" si="41"/>
        <v>0</v>
      </c>
      <c r="H623" s="4">
        <f>SUM(H624:H628)</f>
        <v>148.69894526315787</v>
      </c>
      <c r="I623" s="4">
        <f t="shared" si="42"/>
        <v>0</v>
      </c>
      <c r="J623" s="184" t="s">
        <v>945</v>
      </c>
      <c r="K623" s="184" t="s">
        <v>547</v>
      </c>
    </row>
    <row r="624" spans="1:11" ht="12.75" customHeight="1" outlineLevel="1" x14ac:dyDescent="0.25">
      <c r="A624" s="184"/>
      <c r="B624" s="184"/>
      <c r="C624" s="184"/>
      <c r="D624" s="6">
        <v>2021</v>
      </c>
      <c r="E624" s="4">
        <f t="shared" si="43"/>
        <v>0</v>
      </c>
      <c r="F624" s="4">
        <v>0</v>
      </c>
      <c r="G624" s="4">
        <f t="shared" si="41"/>
        <v>0</v>
      </c>
      <c r="H624" s="4">
        <v>0</v>
      </c>
      <c r="I624" s="4">
        <v>0</v>
      </c>
      <c r="J624" s="184"/>
      <c r="K624" s="184"/>
    </row>
    <row r="625" spans="1:11" ht="12.75" customHeight="1" outlineLevel="1" x14ac:dyDescent="0.25">
      <c r="A625" s="184"/>
      <c r="B625" s="184"/>
      <c r="C625" s="184"/>
      <c r="D625" s="6">
        <v>2022</v>
      </c>
      <c r="E625" s="4">
        <f t="shared" si="43"/>
        <v>2973.9789052631577</v>
      </c>
      <c r="F625" s="4">
        <v>2825.2799599999998</v>
      </c>
      <c r="G625" s="4">
        <f t="shared" si="41"/>
        <v>0</v>
      </c>
      <c r="H625" s="4">
        <f>F625/95*5</f>
        <v>148.69894526315787</v>
      </c>
      <c r="I625" s="4">
        <v>0</v>
      </c>
      <c r="J625" s="184"/>
      <c r="K625" s="184"/>
    </row>
    <row r="626" spans="1:11" ht="12.75" customHeight="1" outlineLevel="1" x14ac:dyDescent="0.25">
      <c r="A626" s="184"/>
      <c r="B626" s="184"/>
      <c r="C626" s="184"/>
      <c r="D626" s="6">
        <v>2023</v>
      </c>
      <c r="E626" s="4">
        <f t="shared" si="43"/>
        <v>0</v>
      </c>
      <c r="F626" s="4">
        <v>0</v>
      </c>
      <c r="G626" s="4">
        <v>0</v>
      </c>
      <c r="H626" s="4">
        <v>0</v>
      </c>
      <c r="I626" s="4">
        <v>0</v>
      </c>
      <c r="J626" s="184"/>
      <c r="K626" s="184"/>
    </row>
    <row r="627" spans="1:11" ht="12.75" customHeight="1" outlineLevel="1" x14ac:dyDescent="0.25">
      <c r="A627" s="184"/>
      <c r="B627" s="184"/>
      <c r="C627" s="184"/>
      <c r="D627" s="6">
        <v>2024</v>
      </c>
      <c r="E627" s="4">
        <f t="shared" si="43"/>
        <v>0</v>
      </c>
      <c r="F627" s="4">
        <v>0</v>
      </c>
      <c r="G627" s="4">
        <v>0</v>
      </c>
      <c r="H627" s="4">
        <v>0</v>
      </c>
      <c r="I627" s="4">
        <v>0</v>
      </c>
      <c r="J627" s="184"/>
      <c r="K627" s="184"/>
    </row>
    <row r="628" spans="1:11" ht="12.75" customHeight="1" outlineLevel="1" x14ac:dyDescent="0.25">
      <c r="A628" s="184"/>
      <c r="B628" s="184"/>
      <c r="C628" s="184"/>
      <c r="D628" s="6">
        <v>2025</v>
      </c>
      <c r="E628" s="4">
        <f t="shared" si="43"/>
        <v>0</v>
      </c>
      <c r="F628" s="4">
        <v>0</v>
      </c>
      <c r="G628" s="4">
        <v>0</v>
      </c>
      <c r="H628" s="4">
        <v>0</v>
      </c>
      <c r="I628" s="4">
        <v>0</v>
      </c>
      <c r="J628" s="184"/>
      <c r="K628" s="184"/>
    </row>
    <row r="629" spans="1:11" ht="12.75" customHeight="1" outlineLevel="1" x14ac:dyDescent="0.25">
      <c r="A629" s="184" t="s">
        <v>946</v>
      </c>
      <c r="B629" s="184" t="s">
        <v>947</v>
      </c>
      <c r="C629" s="184" t="s">
        <v>1169</v>
      </c>
      <c r="D629" s="6" t="s">
        <v>8</v>
      </c>
      <c r="E629" s="4">
        <f t="shared" si="43"/>
        <v>26151.575000000001</v>
      </c>
      <c r="F629" s="4">
        <f>SUM(F630:F634)</f>
        <v>24843.99625</v>
      </c>
      <c r="G629" s="4">
        <f t="shared" si="41"/>
        <v>0</v>
      </c>
      <c r="H629" s="4">
        <f>SUM(H630:H634)</f>
        <v>1307.5787500000001</v>
      </c>
      <c r="I629" s="4">
        <f t="shared" si="42"/>
        <v>0</v>
      </c>
      <c r="J629" s="184" t="s">
        <v>1187</v>
      </c>
      <c r="K629" s="184" t="s">
        <v>547</v>
      </c>
    </row>
    <row r="630" spans="1:11" ht="12.75" customHeight="1" outlineLevel="1" x14ac:dyDescent="0.25">
      <c r="A630" s="184"/>
      <c r="B630" s="184"/>
      <c r="C630" s="184"/>
      <c r="D630" s="6">
        <v>2021</v>
      </c>
      <c r="E630" s="4">
        <f t="shared" si="43"/>
        <v>0</v>
      </c>
      <c r="F630" s="4">
        <v>0</v>
      </c>
      <c r="G630" s="4">
        <v>0</v>
      </c>
      <c r="H630" s="4">
        <v>0</v>
      </c>
      <c r="I630" s="4">
        <f>SUM(I631:I634)</f>
        <v>0</v>
      </c>
      <c r="J630" s="184"/>
      <c r="K630" s="184"/>
    </row>
    <row r="631" spans="1:11" ht="12.75" customHeight="1" outlineLevel="1" x14ac:dyDescent="0.25">
      <c r="A631" s="184"/>
      <c r="B631" s="184"/>
      <c r="C631" s="184"/>
      <c r="D631" s="6">
        <v>2022</v>
      </c>
      <c r="E631" s="4">
        <f t="shared" si="43"/>
        <v>16151.575000000001</v>
      </c>
      <c r="F631" s="4">
        <v>15343.99625</v>
      </c>
      <c r="G631" s="4">
        <v>0</v>
      </c>
      <c r="H631" s="4">
        <f>F631*5/95</f>
        <v>807.57875000000001</v>
      </c>
      <c r="I631" s="4">
        <f>SUM(I632:I634)</f>
        <v>0</v>
      </c>
      <c r="J631" s="184"/>
      <c r="K631" s="184"/>
    </row>
    <row r="632" spans="1:11" ht="12.75" customHeight="1" outlineLevel="1" x14ac:dyDescent="0.25">
      <c r="A632" s="184"/>
      <c r="B632" s="184"/>
      <c r="C632" s="184"/>
      <c r="D632" s="6">
        <v>2023</v>
      </c>
      <c r="E632" s="4">
        <f t="shared" si="43"/>
        <v>10000</v>
      </c>
      <c r="F632" s="4">
        <v>9500</v>
      </c>
      <c r="G632" s="4">
        <v>0</v>
      </c>
      <c r="H632" s="4">
        <v>500</v>
      </c>
      <c r="I632" s="4">
        <f>SUM(I633:I634)</f>
        <v>0</v>
      </c>
      <c r="J632" s="184"/>
      <c r="K632" s="184"/>
    </row>
    <row r="633" spans="1:11" ht="12.75" customHeight="1" outlineLevel="1" x14ac:dyDescent="0.25">
      <c r="A633" s="184"/>
      <c r="B633" s="184"/>
      <c r="C633" s="184"/>
      <c r="D633" s="6">
        <v>2024</v>
      </c>
      <c r="E633" s="4">
        <f t="shared" si="43"/>
        <v>0</v>
      </c>
      <c r="F633" s="4">
        <v>0</v>
      </c>
      <c r="G633" s="4">
        <v>0</v>
      </c>
      <c r="H633" s="4">
        <v>0</v>
      </c>
      <c r="I633" s="4">
        <v>0</v>
      </c>
      <c r="J633" s="184"/>
      <c r="K633" s="184"/>
    </row>
    <row r="634" spans="1:11" ht="12.75" customHeight="1" outlineLevel="1" x14ac:dyDescent="0.25">
      <c r="A634" s="184"/>
      <c r="B634" s="184"/>
      <c r="C634" s="184"/>
      <c r="D634" s="6">
        <v>2025</v>
      </c>
      <c r="E634" s="4">
        <f t="shared" si="43"/>
        <v>0</v>
      </c>
      <c r="F634" s="4">
        <v>0</v>
      </c>
      <c r="G634" s="4">
        <v>0</v>
      </c>
      <c r="H634" s="4">
        <v>0</v>
      </c>
      <c r="I634" s="4">
        <v>0</v>
      </c>
      <c r="J634" s="184"/>
      <c r="K634" s="184"/>
    </row>
    <row r="635" spans="1:11" ht="12.75" customHeight="1" outlineLevel="1" x14ac:dyDescent="0.25">
      <c r="A635" s="184" t="s">
        <v>1188</v>
      </c>
      <c r="B635" s="184" t="s">
        <v>1189</v>
      </c>
      <c r="C635" s="184" t="s">
        <v>1169</v>
      </c>
      <c r="D635" s="6" t="s">
        <v>8</v>
      </c>
      <c r="E635" s="4">
        <f t="shared" si="43"/>
        <v>11451.6183</v>
      </c>
      <c r="F635" s="4">
        <f>SUM(F636:F640)</f>
        <v>11451.6183</v>
      </c>
      <c r="G635" s="4">
        <f t="shared" si="41"/>
        <v>0</v>
      </c>
      <c r="H635" s="4">
        <f>SUM(H636:H640)</f>
        <v>0</v>
      </c>
      <c r="I635" s="4">
        <f>SUM(I636:I640)</f>
        <v>0</v>
      </c>
      <c r="J635" s="184" t="s">
        <v>1756</v>
      </c>
      <c r="K635" s="184" t="s">
        <v>1190</v>
      </c>
    </row>
    <row r="636" spans="1:11" ht="12.75" customHeight="1" outlineLevel="1" x14ac:dyDescent="0.25">
      <c r="A636" s="184"/>
      <c r="B636" s="184"/>
      <c r="C636" s="184"/>
      <c r="D636" s="6">
        <v>2021</v>
      </c>
      <c r="E636" s="4">
        <f t="shared" si="43"/>
        <v>0</v>
      </c>
      <c r="F636" s="4">
        <v>0</v>
      </c>
      <c r="G636" s="4">
        <v>0</v>
      </c>
      <c r="H636" s="4">
        <v>0</v>
      </c>
      <c r="I636" s="4">
        <v>0</v>
      </c>
      <c r="J636" s="184"/>
      <c r="K636" s="184"/>
    </row>
    <row r="637" spans="1:11" ht="12.75" customHeight="1" outlineLevel="1" x14ac:dyDescent="0.25">
      <c r="A637" s="184"/>
      <c r="B637" s="184"/>
      <c r="C637" s="184"/>
      <c r="D637" s="6">
        <v>2022</v>
      </c>
      <c r="E637" s="4">
        <f t="shared" si="43"/>
        <v>11287.552299999999</v>
      </c>
      <c r="F637" s="4">
        <v>11287.552299999999</v>
      </c>
      <c r="G637" s="4">
        <v>0</v>
      </c>
      <c r="H637" s="4">
        <v>0</v>
      </c>
      <c r="I637" s="4">
        <v>0</v>
      </c>
      <c r="J637" s="184"/>
      <c r="K637" s="184"/>
    </row>
    <row r="638" spans="1:11" ht="12.75" customHeight="1" outlineLevel="1" x14ac:dyDescent="0.25">
      <c r="A638" s="184"/>
      <c r="B638" s="184"/>
      <c r="C638" s="184"/>
      <c r="D638" s="6">
        <v>2023</v>
      </c>
      <c r="E638" s="4">
        <f t="shared" si="43"/>
        <v>164.066</v>
      </c>
      <c r="F638" s="4">
        <v>164.066</v>
      </c>
      <c r="G638" s="4">
        <v>0</v>
      </c>
      <c r="H638" s="4">
        <v>0</v>
      </c>
      <c r="I638" s="4">
        <v>0</v>
      </c>
      <c r="J638" s="184"/>
      <c r="K638" s="184"/>
    </row>
    <row r="639" spans="1:11" ht="12.75" customHeight="1" outlineLevel="1" x14ac:dyDescent="0.25">
      <c r="A639" s="184"/>
      <c r="B639" s="184"/>
      <c r="C639" s="184"/>
      <c r="D639" s="6">
        <v>2024</v>
      </c>
      <c r="E639" s="4">
        <f t="shared" si="43"/>
        <v>0</v>
      </c>
      <c r="F639" s="4">
        <v>0</v>
      </c>
      <c r="G639" s="4">
        <v>0</v>
      </c>
      <c r="H639" s="4">
        <v>0</v>
      </c>
      <c r="I639" s="4">
        <v>0</v>
      </c>
      <c r="J639" s="184"/>
      <c r="K639" s="184"/>
    </row>
    <row r="640" spans="1:11" ht="12.75" customHeight="1" outlineLevel="1" x14ac:dyDescent="0.25">
      <c r="A640" s="184"/>
      <c r="B640" s="184"/>
      <c r="C640" s="184"/>
      <c r="D640" s="6">
        <v>2025</v>
      </c>
      <c r="E640" s="4">
        <f t="shared" si="43"/>
        <v>0</v>
      </c>
      <c r="F640" s="4">
        <v>0</v>
      </c>
      <c r="G640" s="4">
        <v>0</v>
      </c>
      <c r="H640" s="4">
        <v>0</v>
      </c>
      <c r="I640" s="4">
        <v>0</v>
      </c>
      <c r="J640" s="184"/>
      <c r="K640" s="184"/>
    </row>
    <row r="641" spans="1:11" ht="12.75" customHeight="1" outlineLevel="1" x14ac:dyDescent="0.25">
      <c r="A641" s="184" t="s">
        <v>1191</v>
      </c>
      <c r="B641" s="184" t="s">
        <v>1192</v>
      </c>
      <c r="C641" s="184">
        <v>2022</v>
      </c>
      <c r="D641" s="6" t="s">
        <v>8</v>
      </c>
      <c r="E641" s="4">
        <f t="shared" si="43"/>
        <v>2900</v>
      </c>
      <c r="F641" s="4">
        <f>SUM(F642:F646)</f>
        <v>2900</v>
      </c>
      <c r="G641" s="4">
        <f t="shared" ref="G641:I653" si="44">SUM(G642:G646)</f>
        <v>0</v>
      </c>
      <c r="H641" s="4">
        <f>SUM(H642:H646)</f>
        <v>0</v>
      </c>
      <c r="I641" s="4">
        <f>SUM(I642:I646)</f>
        <v>0</v>
      </c>
      <c r="J641" s="184" t="s">
        <v>1193</v>
      </c>
      <c r="K641" s="184" t="s">
        <v>597</v>
      </c>
    </row>
    <row r="642" spans="1:11" ht="12.75" customHeight="1" outlineLevel="1" x14ac:dyDescent="0.25">
      <c r="A642" s="184"/>
      <c r="B642" s="184"/>
      <c r="C642" s="184"/>
      <c r="D642" s="6">
        <v>2021</v>
      </c>
      <c r="E642" s="4">
        <f t="shared" si="43"/>
        <v>0</v>
      </c>
      <c r="F642" s="4">
        <v>0</v>
      </c>
      <c r="G642" s="4">
        <v>0</v>
      </c>
      <c r="H642" s="4">
        <v>0</v>
      </c>
      <c r="I642" s="4">
        <v>0</v>
      </c>
      <c r="J642" s="184"/>
      <c r="K642" s="184"/>
    </row>
    <row r="643" spans="1:11" ht="12.75" customHeight="1" outlineLevel="1" x14ac:dyDescent="0.25">
      <c r="A643" s="184"/>
      <c r="B643" s="184"/>
      <c r="C643" s="184"/>
      <c r="D643" s="6">
        <v>2022</v>
      </c>
      <c r="E643" s="4">
        <f t="shared" si="43"/>
        <v>2900</v>
      </c>
      <c r="F643" s="4">
        <v>2900</v>
      </c>
      <c r="G643" s="4">
        <v>0</v>
      </c>
      <c r="H643" s="4">
        <v>0</v>
      </c>
      <c r="I643" s="4">
        <v>0</v>
      </c>
      <c r="J643" s="184"/>
      <c r="K643" s="184"/>
    </row>
    <row r="644" spans="1:11" ht="12.75" customHeight="1" outlineLevel="1" x14ac:dyDescent="0.25">
      <c r="A644" s="184"/>
      <c r="B644" s="184"/>
      <c r="C644" s="184"/>
      <c r="D644" s="6">
        <v>2023</v>
      </c>
      <c r="E644" s="4">
        <f t="shared" si="43"/>
        <v>0</v>
      </c>
      <c r="F644" s="4">
        <v>0</v>
      </c>
      <c r="G644" s="4">
        <v>0</v>
      </c>
      <c r="H644" s="4">
        <v>0</v>
      </c>
      <c r="I644" s="4">
        <v>0</v>
      </c>
      <c r="J644" s="184"/>
      <c r="K644" s="184"/>
    </row>
    <row r="645" spans="1:11" ht="12.75" customHeight="1" outlineLevel="1" x14ac:dyDescent="0.25">
      <c r="A645" s="184"/>
      <c r="B645" s="184"/>
      <c r="C645" s="184"/>
      <c r="D645" s="6">
        <v>2024</v>
      </c>
      <c r="E645" s="4">
        <f t="shared" si="43"/>
        <v>0</v>
      </c>
      <c r="F645" s="4">
        <v>0</v>
      </c>
      <c r="G645" s="4">
        <v>0</v>
      </c>
      <c r="H645" s="4">
        <v>0</v>
      </c>
      <c r="I645" s="4">
        <v>0</v>
      </c>
      <c r="J645" s="184"/>
      <c r="K645" s="184"/>
    </row>
    <row r="646" spans="1:11" ht="12.75" customHeight="1" outlineLevel="1" x14ac:dyDescent="0.25">
      <c r="A646" s="184"/>
      <c r="B646" s="184"/>
      <c r="C646" s="184"/>
      <c r="D646" s="6">
        <v>2025</v>
      </c>
      <c r="E646" s="4">
        <f t="shared" si="43"/>
        <v>0</v>
      </c>
      <c r="F646" s="4">
        <v>0</v>
      </c>
      <c r="G646" s="4">
        <v>0</v>
      </c>
      <c r="H646" s="4">
        <v>0</v>
      </c>
      <c r="I646" s="4">
        <v>0</v>
      </c>
      <c r="J646" s="184"/>
      <c r="K646" s="184"/>
    </row>
    <row r="647" spans="1:11" ht="12.75" customHeight="1" outlineLevel="1" x14ac:dyDescent="0.25">
      <c r="A647" s="184" t="s">
        <v>1194</v>
      </c>
      <c r="B647" s="184" t="s">
        <v>1195</v>
      </c>
      <c r="C647" s="184">
        <v>2022</v>
      </c>
      <c r="D647" s="6" t="s">
        <v>8</v>
      </c>
      <c r="E647" s="4">
        <f t="shared" si="43"/>
        <v>0</v>
      </c>
      <c r="F647" s="4">
        <f>SUM(F648:F652)</f>
        <v>0</v>
      </c>
      <c r="G647" s="4">
        <f t="shared" si="44"/>
        <v>0</v>
      </c>
      <c r="H647" s="4">
        <f>SUM(H648:H652)</f>
        <v>0</v>
      </c>
      <c r="I647" s="4">
        <f>SUM(I648:I652)</f>
        <v>0</v>
      </c>
      <c r="J647" s="184" t="s">
        <v>1196</v>
      </c>
      <c r="K647" s="184" t="s">
        <v>597</v>
      </c>
    </row>
    <row r="648" spans="1:11" ht="12.75" customHeight="1" outlineLevel="1" x14ac:dyDescent="0.25">
      <c r="A648" s="184"/>
      <c r="B648" s="184"/>
      <c r="C648" s="184"/>
      <c r="D648" s="6">
        <v>2021</v>
      </c>
      <c r="E648" s="4">
        <f t="shared" si="43"/>
        <v>0</v>
      </c>
      <c r="F648" s="4">
        <v>0</v>
      </c>
      <c r="G648" s="4">
        <v>0</v>
      </c>
      <c r="H648" s="4">
        <v>0</v>
      </c>
      <c r="I648" s="4">
        <v>0</v>
      </c>
      <c r="J648" s="184"/>
      <c r="K648" s="184"/>
    </row>
    <row r="649" spans="1:11" ht="12.75" customHeight="1" outlineLevel="1" x14ac:dyDescent="0.25">
      <c r="A649" s="184"/>
      <c r="B649" s="184"/>
      <c r="C649" s="184"/>
      <c r="D649" s="6">
        <v>2022</v>
      </c>
      <c r="E649" s="4">
        <f t="shared" si="43"/>
        <v>0</v>
      </c>
      <c r="F649" s="4">
        <v>0</v>
      </c>
      <c r="G649" s="4">
        <v>0</v>
      </c>
      <c r="H649" s="4">
        <v>0</v>
      </c>
      <c r="I649" s="4">
        <v>0</v>
      </c>
      <c r="J649" s="184"/>
      <c r="K649" s="184"/>
    </row>
    <row r="650" spans="1:11" ht="12.75" customHeight="1" outlineLevel="1" x14ac:dyDescent="0.25">
      <c r="A650" s="184"/>
      <c r="B650" s="184"/>
      <c r="C650" s="184"/>
      <c r="D650" s="6">
        <v>2023</v>
      </c>
      <c r="E650" s="4">
        <f t="shared" si="43"/>
        <v>0</v>
      </c>
      <c r="F650" s="4">
        <v>0</v>
      </c>
      <c r="G650" s="4">
        <v>0</v>
      </c>
      <c r="H650" s="4">
        <v>0</v>
      </c>
      <c r="I650" s="4">
        <v>0</v>
      </c>
      <c r="J650" s="184"/>
      <c r="K650" s="184"/>
    </row>
    <row r="651" spans="1:11" ht="12.75" customHeight="1" outlineLevel="1" x14ac:dyDescent="0.25">
      <c r="A651" s="184"/>
      <c r="B651" s="184"/>
      <c r="C651" s="184"/>
      <c r="D651" s="6">
        <v>2024</v>
      </c>
      <c r="E651" s="4">
        <f t="shared" si="43"/>
        <v>0</v>
      </c>
      <c r="F651" s="4">
        <v>0</v>
      </c>
      <c r="G651" s="4">
        <v>0</v>
      </c>
      <c r="H651" s="4">
        <v>0</v>
      </c>
      <c r="I651" s="4">
        <v>0</v>
      </c>
      <c r="J651" s="184"/>
      <c r="K651" s="184"/>
    </row>
    <row r="652" spans="1:11" ht="12.75" customHeight="1" outlineLevel="1" x14ac:dyDescent="0.25">
      <c r="A652" s="184"/>
      <c r="B652" s="184"/>
      <c r="C652" s="184"/>
      <c r="D652" s="6">
        <v>2025</v>
      </c>
      <c r="E652" s="4">
        <f t="shared" si="43"/>
        <v>0</v>
      </c>
      <c r="F652" s="4">
        <v>0</v>
      </c>
      <c r="G652" s="4">
        <v>0</v>
      </c>
      <c r="H652" s="4">
        <v>0</v>
      </c>
      <c r="I652" s="4">
        <v>0</v>
      </c>
      <c r="J652" s="184"/>
      <c r="K652" s="184"/>
    </row>
    <row r="653" spans="1:11" ht="15.75" customHeight="1" outlineLevel="1" x14ac:dyDescent="0.25">
      <c r="A653" s="184" t="s">
        <v>1197</v>
      </c>
      <c r="B653" s="184" t="s">
        <v>1198</v>
      </c>
      <c r="C653" s="184">
        <v>2022</v>
      </c>
      <c r="D653" s="6" t="s">
        <v>8</v>
      </c>
      <c r="E653" s="4">
        <f t="shared" si="43"/>
        <v>964.12733015494632</v>
      </c>
      <c r="F653" s="4">
        <f>SUM(F654:F658)</f>
        <v>808.90282999999999</v>
      </c>
      <c r="G653" s="4">
        <f t="shared" si="44"/>
        <v>0</v>
      </c>
      <c r="H653" s="4">
        <f t="shared" si="44"/>
        <v>155.22450015494636</v>
      </c>
      <c r="I653" s="4">
        <f t="shared" si="44"/>
        <v>0</v>
      </c>
      <c r="J653" s="184" t="s">
        <v>1199</v>
      </c>
      <c r="K653" s="184" t="s">
        <v>566</v>
      </c>
    </row>
    <row r="654" spans="1:11" ht="15.75" customHeight="1" outlineLevel="1" x14ac:dyDescent="0.25">
      <c r="A654" s="184"/>
      <c r="B654" s="184"/>
      <c r="C654" s="184"/>
      <c r="D654" s="6">
        <v>2021</v>
      </c>
      <c r="E654" s="4">
        <f t="shared" si="43"/>
        <v>0</v>
      </c>
      <c r="F654" s="4">
        <v>0</v>
      </c>
      <c r="G654" s="4">
        <v>0</v>
      </c>
      <c r="H654" s="4">
        <v>0</v>
      </c>
      <c r="I654" s="4">
        <v>0</v>
      </c>
      <c r="J654" s="184"/>
      <c r="K654" s="184"/>
    </row>
    <row r="655" spans="1:11" ht="19.5" customHeight="1" outlineLevel="1" x14ac:dyDescent="0.25">
      <c r="A655" s="184"/>
      <c r="B655" s="184"/>
      <c r="C655" s="184"/>
      <c r="D655" s="6">
        <v>2022</v>
      </c>
      <c r="E655" s="4">
        <f t="shared" si="43"/>
        <v>964.12733015494632</v>
      </c>
      <c r="F655" s="4">
        <f>808.944-0.04117</f>
        <v>808.90282999999999</v>
      </c>
      <c r="G655" s="4">
        <v>0</v>
      </c>
      <c r="H655" s="4">
        <f>F655*16.1/83.9</f>
        <v>155.22450015494636</v>
      </c>
      <c r="I655" s="4">
        <v>0</v>
      </c>
      <c r="J655" s="184"/>
      <c r="K655" s="184"/>
    </row>
    <row r="656" spans="1:11" ht="18" customHeight="1" outlineLevel="1" x14ac:dyDescent="0.25">
      <c r="A656" s="184"/>
      <c r="B656" s="184"/>
      <c r="C656" s="184"/>
      <c r="D656" s="6">
        <v>2023</v>
      </c>
      <c r="E656" s="4">
        <f t="shared" si="43"/>
        <v>0</v>
      </c>
      <c r="F656" s="4">
        <v>0</v>
      </c>
      <c r="G656" s="4">
        <v>0</v>
      </c>
      <c r="H656" s="4">
        <v>0</v>
      </c>
      <c r="I656" s="4">
        <v>0</v>
      </c>
      <c r="J656" s="184"/>
      <c r="K656" s="184"/>
    </row>
    <row r="657" spans="1:11" ht="16.5" customHeight="1" outlineLevel="1" x14ac:dyDescent="0.25">
      <c r="A657" s="184"/>
      <c r="B657" s="184"/>
      <c r="C657" s="184"/>
      <c r="D657" s="6">
        <v>2024</v>
      </c>
      <c r="E657" s="4">
        <f t="shared" si="43"/>
        <v>0</v>
      </c>
      <c r="F657" s="4">
        <v>0</v>
      </c>
      <c r="G657" s="4">
        <v>0</v>
      </c>
      <c r="H657" s="4">
        <v>0</v>
      </c>
      <c r="I657" s="4">
        <v>0</v>
      </c>
      <c r="J657" s="184"/>
      <c r="K657" s="184"/>
    </row>
    <row r="658" spans="1:11" ht="16.5" customHeight="1" outlineLevel="1" x14ac:dyDescent="0.25">
      <c r="A658" s="184"/>
      <c r="B658" s="184"/>
      <c r="C658" s="184"/>
      <c r="D658" s="6">
        <v>2025</v>
      </c>
      <c r="E658" s="4">
        <f t="shared" si="43"/>
        <v>0</v>
      </c>
      <c r="F658" s="4">
        <v>0</v>
      </c>
      <c r="G658" s="4">
        <v>0</v>
      </c>
      <c r="H658" s="4">
        <v>0</v>
      </c>
      <c r="I658" s="4">
        <v>0</v>
      </c>
      <c r="J658" s="184"/>
      <c r="K658" s="184"/>
    </row>
    <row r="659" spans="1:11" ht="11.25" customHeight="1" outlineLevel="1" x14ac:dyDescent="0.25">
      <c r="A659" s="184" t="s">
        <v>1200</v>
      </c>
      <c r="B659" s="184" t="s">
        <v>1201</v>
      </c>
      <c r="C659" s="184">
        <v>2022</v>
      </c>
      <c r="D659" s="6" t="s">
        <v>8</v>
      </c>
      <c r="E659" s="4">
        <f t="shared" si="43"/>
        <v>5088.3444576877237</v>
      </c>
      <c r="F659" s="4">
        <f>SUM(F660:F664)</f>
        <v>4269.1210000000001</v>
      </c>
      <c r="G659" s="4">
        <f t="shared" ref="G659:I677" si="45">SUM(G660:G664)</f>
        <v>0</v>
      </c>
      <c r="H659" s="4">
        <f t="shared" si="45"/>
        <v>819.22345768772345</v>
      </c>
      <c r="I659" s="4">
        <f t="shared" si="45"/>
        <v>0</v>
      </c>
      <c r="J659" s="184" t="s">
        <v>1202</v>
      </c>
      <c r="K659" s="184" t="s">
        <v>566</v>
      </c>
    </row>
    <row r="660" spans="1:11" ht="11.25" customHeight="1" outlineLevel="1" x14ac:dyDescent="0.25">
      <c r="A660" s="184"/>
      <c r="B660" s="184"/>
      <c r="C660" s="184"/>
      <c r="D660" s="6">
        <v>2021</v>
      </c>
      <c r="E660" s="4">
        <f t="shared" si="43"/>
        <v>0</v>
      </c>
      <c r="F660" s="4">
        <v>0</v>
      </c>
      <c r="G660" s="4">
        <v>0</v>
      </c>
      <c r="H660" s="4">
        <v>0</v>
      </c>
      <c r="I660" s="4">
        <v>0</v>
      </c>
      <c r="J660" s="184"/>
      <c r="K660" s="184"/>
    </row>
    <row r="661" spans="1:11" ht="11.25" customHeight="1" outlineLevel="1" x14ac:dyDescent="0.25">
      <c r="A661" s="184"/>
      <c r="B661" s="184"/>
      <c r="C661" s="184"/>
      <c r="D661" s="6">
        <v>2022</v>
      </c>
      <c r="E661" s="4">
        <f t="shared" si="43"/>
        <v>5088.3444576877237</v>
      </c>
      <c r="F661" s="4">
        <f>4677.411-408.29</f>
        <v>4269.1210000000001</v>
      </c>
      <c r="G661" s="4">
        <v>0</v>
      </c>
      <c r="H661" s="4">
        <f>F661*16.1/83.9</f>
        <v>819.22345768772345</v>
      </c>
      <c r="I661" s="4">
        <v>0</v>
      </c>
      <c r="J661" s="184"/>
      <c r="K661" s="184"/>
    </row>
    <row r="662" spans="1:11" ht="11.25" customHeight="1" outlineLevel="1" x14ac:dyDescent="0.25">
      <c r="A662" s="184"/>
      <c r="B662" s="184"/>
      <c r="C662" s="184"/>
      <c r="D662" s="6">
        <v>2023</v>
      </c>
      <c r="E662" s="4">
        <f t="shared" si="43"/>
        <v>0</v>
      </c>
      <c r="F662" s="4">
        <v>0</v>
      </c>
      <c r="G662" s="4">
        <v>0</v>
      </c>
      <c r="H662" s="4">
        <v>0</v>
      </c>
      <c r="I662" s="4">
        <v>0</v>
      </c>
      <c r="J662" s="184"/>
      <c r="K662" s="184"/>
    </row>
    <row r="663" spans="1:11" ht="11.25" customHeight="1" outlineLevel="1" x14ac:dyDescent="0.25">
      <c r="A663" s="184"/>
      <c r="B663" s="184"/>
      <c r="C663" s="184"/>
      <c r="D663" s="6">
        <v>2024</v>
      </c>
      <c r="E663" s="4">
        <f t="shared" si="43"/>
        <v>0</v>
      </c>
      <c r="F663" s="4">
        <v>0</v>
      </c>
      <c r="G663" s="4">
        <v>0</v>
      </c>
      <c r="H663" s="4">
        <v>0</v>
      </c>
      <c r="I663" s="4">
        <v>0</v>
      </c>
      <c r="J663" s="184"/>
      <c r="K663" s="184"/>
    </row>
    <row r="664" spans="1:11" ht="11.25" customHeight="1" outlineLevel="1" x14ac:dyDescent="0.25">
      <c r="A664" s="184"/>
      <c r="B664" s="184"/>
      <c r="C664" s="184"/>
      <c r="D664" s="6">
        <v>2025</v>
      </c>
      <c r="E664" s="4">
        <f t="shared" si="43"/>
        <v>0</v>
      </c>
      <c r="F664" s="4">
        <v>0</v>
      </c>
      <c r="G664" s="4">
        <v>0</v>
      </c>
      <c r="H664" s="4">
        <v>0</v>
      </c>
      <c r="I664" s="4">
        <v>0</v>
      </c>
      <c r="J664" s="184"/>
      <c r="K664" s="184"/>
    </row>
    <row r="665" spans="1:11" ht="11.25" customHeight="1" outlineLevel="1" x14ac:dyDescent="0.25">
      <c r="A665" s="184" t="s">
        <v>1203</v>
      </c>
      <c r="B665" s="184" t="s">
        <v>1204</v>
      </c>
      <c r="C665" s="184">
        <v>2022</v>
      </c>
      <c r="D665" s="6" t="s">
        <v>8</v>
      </c>
      <c r="E665" s="4">
        <f t="shared" si="43"/>
        <v>35550</v>
      </c>
      <c r="F665" s="4">
        <f>SUM(F666:F670)</f>
        <v>33772.5</v>
      </c>
      <c r="G665" s="4">
        <v>0</v>
      </c>
      <c r="H665" s="4">
        <f>SUM(H666:H670)</f>
        <v>1777.5</v>
      </c>
      <c r="I665" s="4">
        <v>0</v>
      </c>
      <c r="J665" s="184" t="s">
        <v>1205</v>
      </c>
      <c r="K665" s="184" t="s">
        <v>1206</v>
      </c>
    </row>
    <row r="666" spans="1:11" ht="11.25" customHeight="1" outlineLevel="1" x14ac:dyDescent="0.25">
      <c r="A666" s="184"/>
      <c r="B666" s="184"/>
      <c r="C666" s="184"/>
      <c r="D666" s="6">
        <v>2021</v>
      </c>
      <c r="E666" s="4">
        <f t="shared" si="43"/>
        <v>0</v>
      </c>
      <c r="F666" s="4">
        <v>0</v>
      </c>
      <c r="G666" s="4">
        <v>0</v>
      </c>
      <c r="H666" s="4">
        <v>0</v>
      </c>
      <c r="I666" s="4">
        <v>0</v>
      </c>
      <c r="J666" s="184"/>
      <c r="K666" s="184"/>
    </row>
    <row r="667" spans="1:11" ht="11.25" customHeight="1" outlineLevel="1" x14ac:dyDescent="0.25">
      <c r="A667" s="184"/>
      <c r="B667" s="184"/>
      <c r="C667" s="184"/>
      <c r="D667" s="6">
        <v>2022</v>
      </c>
      <c r="E667" s="4">
        <f t="shared" si="43"/>
        <v>35550</v>
      </c>
      <c r="F667" s="4">
        <v>33772.5</v>
      </c>
      <c r="G667" s="4">
        <v>0</v>
      </c>
      <c r="H667" s="4">
        <f>F667*5/95</f>
        <v>1777.5</v>
      </c>
      <c r="I667" s="4">
        <v>0</v>
      </c>
      <c r="J667" s="184"/>
      <c r="K667" s="184"/>
    </row>
    <row r="668" spans="1:11" ht="11.25" customHeight="1" outlineLevel="1" x14ac:dyDescent="0.25">
      <c r="A668" s="184"/>
      <c r="B668" s="184"/>
      <c r="C668" s="184"/>
      <c r="D668" s="6">
        <v>2023</v>
      </c>
      <c r="E668" s="4">
        <f t="shared" si="43"/>
        <v>0</v>
      </c>
      <c r="F668" s="4">
        <v>0</v>
      </c>
      <c r="G668" s="4">
        <v>0</v>
      </c>
      <c r="H668" s="4">
        <v>0</v>
      </c>
      <c r="I668" s="4">
        <v>0</v>
      </c>
      <c r="J668" s="184"/>
      <c r="K668" s="184"/>
    </row>
    <row r="669" spans="1:11" ht="11.25" customHeight="1" outlineLevel="1" x14ac:dyDescent="0.25">
      <c r="A669" s="184"/>
      <c r="B669" s="184"/>
      <c r="C669" s="184"/>
      <c r="D669" s="6">
        <v>2024</v>
      </c>
      <c r="E669" s="4">
        <f t="shared" si="43"/>
        <v>0</v>
      </c>
      <c r="F669" s="4">
        <v>0</v>
      </c>
      <c r="G669" s="4">
        <v>0</v>
      </c>
      <c r="H669" s="4">
        <v>0</v>
      </c>
      <c r="I669" s="4">
        <v>0</v>
      </c>
      <c r="J669" s="184"/>
      <c r="K669" s="184"/>
    </row>
    <row r="670" spans="1:11" ht="11.25" customHeight="1" outlineLevel="1" x14ac:dyDescent="0.25">
      <c r="A670" s="184"/>
      <c r="B670" s="184"/>
      <c r="C670" s="184"/>
      <c r="D670" s="6">
        <v>2025</v>
      </c>
      <c r="E670" s="4">
        <f t="shared" si="43"/>
        <v>0</v>
      </c>
      <c r="F670" s="4">
        <v>0</v>
      </c>
      <c r="G670" s="4">
        <v>0</v>
      </c>
      <c r="H670" s="4">
        <v>0</v>
      </c>
      <c r="I670" s="4">
        <v>0</v>
      </c>
      <c r="J670" s="184"/>
      <c r="K670" s="184"/>
    </row>
    <row r="671" spans="1:11" ht="11.25" customHeight="1" outlineLevel="1" x14ac:dyDescent="0.25">
      <c r="A671" s="184" t="s">
        <v>1207</v>
      </c>
      <c r="B671" s="184" t="s">
        <v>1208</v>
      </c>
      <c r="C671" s="184">
        <v>2022</v>
      </c>
      <c r="D671" s="6" t="s">
        <v>8</v>
      </c>
      <c r="E671" s="4">
        <f t="shared" si="43"/>
        <v>15871.72</v>
      </c>
      <c r="F671" s="4">
        <f>SUM(F672:F676)</f>
        <v>15078.134</v>
      </c>
      <c r="G671" s="4">
        <v>0</v>
      </c>
      <c r="H671" s="4">
        <f>SUM(H672:H676)</f>
        <v>793.58600000000001</v>
      </c>
      <c r="I671" s="4">
        <v>0</v>
      </c>
      <c r="J671" s="184" t="s">
        <v>1209</v>
      </c>
      <c r="K671" s="184" t="s">
        <v>1206</v>
      </c>
    </row>
    <row r="672" spans="1:11" ht="11.25" customHeight="1" outlineLevel="1" x14ac:dyDescent="0.25">
      <c r="A672" s="184"/>
      <c r="B672" s="184"/>
      <c r="C672" s="184"/>
      <c r="D672" s="6">
        <v>2021</v>
      </c>
      <c r="E672" s="4">
        <f t="shared" si="43"/>
        <v>0</v>
      </c>
      <c r="F672" s="4">
        <f>SUM(G672:J672)</f>
        <v>0</v>
      </c>
      <c r="G672" s="4">
        <v>0</v>
      </c>
      <c r="H672" s="4">
        <v>0</v>
      </c>
      <c r="I672" s="4">
        <v>0</v>
      </c>
      <c r="J672" s="184"/>
      <c r="K672" s="184"/>
    </row>
    <row r="673" spans="1:11" ht="11.25" customHeight="1" outlineLevel="1" x14ac:dyDescent="0.25">
      <c r="A673" s="184"/>
      <c r="B673" s="184"/>
      <c r="C673" s="184"/>
      <c r="D673" s="6">
        <v>2022</v>
      </c>
      <c r="E673" s="4">
        <f t="shared" si="43"/>
        <v>15871.72</v>
      </c>
      <c r="F673" s="4">
        <v>15078.134</v>
      </c>
      <c r="G673" s="4">
        <v>0</v>
      </c>
      <c r="H673" s="4">
        <f>F673*5/95</f>
        <v>793.58600000000001</v>
      </c>
      <c r="I673" s="4">
        <v>0</v>
      </c>
      <c r="J673" s="184"/>
      <c r="K673" s="184"/>
    </row>
    <row r="674" spans="1:11" ht="11.25" customHeight="1" outlineLevel="1" x14ac:dyDescent="0.25">
      <c r="A674" s="184"/>
      <c r="B674" s="184"/>
      <c r="C674" s="184"/>
      <c r="D674" s="6">
        <v>2023</v>
      </c>
      <c r="E674" s="4">
        <f t="shared" si="43"/>
        <v>0</v>
      </c>
      <c r="F674" s="4">
        <f t="shared" si="43"/>
        <v>0</v>
      </c>
      <c r="G674" s="4">
        <v>0</v>
      </c>
      <c r="H674" s="4">
        <v>0</v>
      </c>
      <c r="I674" s="4">
        <v>0</v>
      </c>
      <c r="J674" s="184"/>
      <c r="K674" s="184"/>
    </row>
    <row r="675" spans="1:11" ht="11.25" customHeight="1" outlineLevel="1" x14ac:dyDescent="0.25">
      <c r="A675" s="184"/>
      <c r="B675" s="184"/>
      <c r="C675" s="184"/>
      <c r="D675" s="6">
        <v>2024</v>
      </c>
      <c r="E675" s="4">
        <f t="shared" si="43"/>
        <v>0</v>
      </c>
      <c r="F675" s="4">
        <f t="shared" si="43"/>
        <v>0</v>
      </c>
      <c r="G675" s="4">
        <v>0</v>
      </c>
      <c r="H675" s="4">
        <v>0</v>
      </c>
      <c r="I675" s="4">
        <v>0</v>
      </c>
      <c r="J675" s="184"/>
      <c r="K675" s="184"/>
    </row>
    <row r="676" spans="1:11" ht="11.25" customHeight="1" outlineLevel="1" x14ac:dyDescent="0.25">
      <c r="A676" s="184"/>
      <c r="B676" s="184"/>
      <c r="C676" s="184"/>
      <c r="D676" s="6">
        <v>2025</v>
      </c>
      <c r="E676" s="4">
        <f t="shared" si="43"/>
        <v>0</v>
      </c>
      <c r="F676" s="4">
        <f t="shared" si="43"/>
        <v>0</v>
      </c>
      <c r="G676" s="4">
        <v>0</v>
      </c>
      <c r="H676" s="4">
        <v>0</v>
      </c>
      <c r="I676" s="4">
        <v>0</v>
      </c>
      <c r="J676" s="184"/>
      <c r="K676" s="184"/>
    </row>
    <row r="677" spans="1:11" ht="12.75" customHeight="1" outlineLevel="1" x14ac:dyDescent="0.25">
      <c r="A677" s="184" t="s">
        <v>1210</v>
      </c>
      <c r="B677" s="184" t="s">
        <v>1211</v>
      </c>
      <c r="C677" s="184" t="s">
        <v>1113</v>
      </c>
      <c r="D677" s="6" t="s">
        <v>8</v>
      </c>
      <c r="E677" s="4">
        <f t="shared" si="43"/>
        <v>328021.95</v>
      </c>
      <c r="F677" s="4">
        <f>SUM(F678:F682)</f>
        <v>98140.857000000004</v>
      </c>
      <c r="G677" s="4">
        <f t="shared" si="45"/>
        <v>229881.09299999999</v>
      </c>
      <c r="H677" s="4">
        <f>SUM(H678:H682)</f>
        <v>0</v>
      </c>
      <c r="I677" s="4">
        <f>SUM(I678:I682)</f>
        <v>0</v>
      </c>
      <c r="J677" s="184" t="s">
        <v>117</v>
      </c>
      <c r="K677" s="184" t="s">
        <v>484</v>
      </c>
    </row>
    <row r="678" spans="1:11" ht="12.75" customHeight="1" outlineLevel="1" x14ac:dyDescent="0.25">
      <c r="A678" s="184"/>
      <c r="B678" s="184"/>
      <c r="C678" s="184"/>
      <c r="D678" s="6">
        <v>2021</v>
      </c>
      <c r="E678" s="4">
        <f t="shared" si="43"/>
        <v>0</v>
      </c>
      <c r="F678" s="4">
        <f t="shared" ref="F678:I682" si="46">F684</f>
        <v>0</v>
      </c>
      <c r="G678" s="4">
        <f>G684</f>
        <v>0</v>
      </c>
      <c r="H678" s="4">
        <f t="shared" si="46"/>
        <v>0</v>
      </c>
      <c r="I678" s="4">
        <f t="shared" si="46"/>
        <v>0</v>
      </c>
      <c r="J678" s="184"/>
      <c r="K678" s="184"/>
    </row>
    <row r="679" spans="1:11" ht="12.75" customHeight="1" outlineLevel="1" x14ac:dyDescent="0.25">
      <c r="A679" s="184"/>
      <c r="B679" s="184"/>
      <c r="C679" s="184"/>
      <c r="D679" s="6">
        <v>2022</v>
      </c>
      <c r="E679" s="4">
        <f t="shared" si="43"/>
        <v>67438.159</v>
      </c>
      <c r="F679" s="4">
        <f t="shared" si="46"/>
        <v>19557.065999999999</v>
      </c>
      <c r="G679" s="4">
        <f t="shared" si="46"/>
        <v>47881.093000000001</v>
      </c>
      <c r="H679" s="4">
        <f t="shared" si="46"/>
        <v>0</v>
      </c>
      <c r="I679" s="4">
        <f t="shared" si="46"/>
        <v>0</v>
      </c>
      <c r="J679" s="184"/>
      <c r="K679" s="184"/>
    </row>
    <row r="680" spans="1:11" ht="12.75" customHeight="1" outlineLevel="1" x14ac:dyDescent="0.25">
      <c r="A680" s="184"/>
      <c r="B680" s="184"/>
      <c r="C680" s="184"/>
      <c r="D680" s="6">
        <v>2023</v>
      </c>
      <c r="E680" s="4">
        <f t="shared" si="43"/>
        <v>0</v>
      </c>
      <c r="F680" s="4">
        <f t="shared" si="46"/>
        <v>0</v>
      </c>
      <c r="G680" s="4">
        <f t="shared" si="46"/>
        <v>0</v>
      </c>
      <c r="H680" s="4">
        <f t="shared" si="46"/>
        <v>0</v>
      </c>
      <c r="I680" s="4">
        <f t="shared" si="46"/>
        <v>0</v>
      </c>
      <c r="J680" s="184"/>
      <c r="K680" s="184"/>
    </row>
    <row r="681" spans="1:11" ht="12.75" customHeight="1" outlineLevel="1" x14ac:dyDescent="0.25">
      <c r="A681" s="184"/>
      <c r="B681" s="184"/>
      <c r="C681" s="184"/>
      <c r="D681" s="6">
        <v>2024</v>
      </c>
      <c r="E681" s="4">
        <f t="shared" si="43"/>
        <v>109859.15399999999</v>
      </c>
      <c r="F681" s="4">
        <f t="shared" si="46"/>
        <v>31859.153999999999</v>
      </c>
      <c r="G681" s="4">
        <f t="shared" si="46"/>
        <v>78000</v>
      </c>
      <c r="H681" s="4">
        <f t="shared" si="46"/>
        <v>0</v>
      </c>
      <c r="I681" s="4">
        <f t="shared" si="46"/>
        <v>0</v>
      </c>
      <c r="J681" s="184"/>
      <c r="K681" s="184"/>
    </row>
    <row r="682" spans="1:11" ht="12.75" customHeight="1" outlineLevel="1" x14ac:dyDescent="0.25">
      <c r="A682" s="184"/>
      <c r="B682" s="184"/>
      <c r="C682" s="184"/>
      <c r="D682" s="6">
        <v>2025</v>
      </c>
      <c r="E682" s="4">
        <f t="shared" si="43"/>
        <v>150724.63699999999</v>
      </c>
      <c r="F682" s="4">
        <f t="shared" si="46"/>
        <v>46724.637000000002</v>
      </c>
      <c r="G682" s="4">
        <f t="shared" si="46"/>
        <v>104000</v>
      </c>
      <c r="H682" s="4">
        <f t="shared" si="46"/>
        <v>0</v>
      </c>
      <c r="I682" s="4">
        <f t="shared" si="46"/>
        <v>0</v>
      </c>
      <c r="J682" s="184"/>
      <c r="K682" s="184"/>
    </row>
    <row r="683" spans="1:11" ht="12.75" customHeight="1" outlineLevel="1" x14ac:dyDescent="0.25">
      <c r="A683" s="184" t="s">
        <v>1212</v>
      </c>
      <c r="B683" s="184" t="s">
        <v>1736</v>
      </c>
      <c r="C683" s="184" t="s">
        <v>1113</v>
      </c>
      <c r="D683" s="6" t="s">
        <v>8</v>
      </c>
      <c r="E683" s="4">
        <f t="shared" si="43"/>
        <v>328021.95</v>
      </c>
      <c r="F683" s="4">
        <f>SUM(F684:F688)</f>
        <v>98140.857000000004</v>
      </c>
      <c r="G683" s="4">
        <f>SUM(G684:G688)</f>
        <v>229881.09299999999</v>
      </c>
      <c r="H683" s="4">
        <f>SUM(H684:H688)</f>
        <v>0</v>
      </c>
      <c r="I683" s="4">
        <f>SUM(I684:I688)</f>
        <v>0</v>
      </c>
      <c r="J683" s="184" t="s">
        <v>1213</v>
      </c>
      <c r="K683" s="184" t="s">
        <v>484</v>
      </c>
    </row>
    <row r="684" spans="1:11" outlineLevel="1" x14ac:dyDescent="0.25">
      <c r="A684" s="184"/>
      <c r="B684" s="184"/>
      <c r="C684" s="184"/>
      <c r="D684" s="6">
        <v>2021</v>
      </c>
      <c r="E684" s="4">
        <f t="shared" si="43"/>
        <v>0</v>
      </c>
      <c r="F684" s="4">
        <v>0</v>
      </c>
      <c r="G684" s="4">
        <v>0</v>
      </c>
      <c r="H684" s="4">
        <v>0</v>
      </c>
      <c r="I684" s="4">
        <v>0</v>
      </c>
      <c r="J684" s="184"/>
      <c r="K684" s="184"/>
    </row>
    <row r="685" spans="1:11" outlineLevel="1" x14ac:dyDescent="0.25">
      <c r="A685" s="184"/>
      <c r="B685" s="184"/>
      <c r="C685" s="184"/>
      <c r="D685" s="6">
        <v>2022</v>
      </c>
      <c r="E685" s="4">
        <f t="shared" si="43"/>
        <v>67438.159</v>
      </c>
      <c r="F685" s="4">
        <v>19557.065999999999</v>
      </c>
      <c r="G685" s="4">
        <v>47881.093000000001</v>
      </c>
      <c r="H685" s="4">
        <v>0</v>
      </c>
      <c r="I685" s="4">
        <v>0</v>
      </c>
      <c r="J685" s="184"/>
      <c r="K685" s="184"/>
    </row>
    <row r="686" spans="1:11" outlineLevel="1" x14ac:dyDescent="0.25">
      <c r="A686" s="184"/>
      <c r="B686" s="184"/>
      <c r="C686" s="184"/>
      <c r="D686" s="6">
        <v>2023</v>
      </c>
      <c r="E686" s="4">
        <f t="shared" ref="E686:E767" si="47">SUM(F686:I686)</f>
        <v>0</v>
      </c>
      <c r="F686" s="4">
        <v>0</v>
      </c>
      <c r="G686" s="4">
        <v>0</v>
      </c>
      <c r="H686" s="4">
        <v>0</v>
      </c>
      <c r="I686" s="4">
        <v>0</v>
      </c>
      <c r="J686" s="184"/>
      <c r="K686" s="184"/>
    </row>
    <row r="687" spans="1:11" outlineLevel="1" x14ac:dyDescent="0.25">
      <c r="A687" s="184"/>
      <c r="B687" s="184"/>
      <c r="C687" s="184"/>
      <c r="D687" s="6">
        <v>2024</v>
      </c>
      <c r="E687" s="4">
        <f t="shared" si="47"/>
        <v>109859.15399999999</v>
      </c>
      <c r="F687" s="4">
        <v>31859.153999999999</v>
      </c>
      <c r="G687" s="4">
        <v>78000</v>
      </c>
      <c r="H687" s="4">
        <v>0</v>
      </c>
      <c r="I687" s="4">
        <v>0</v>
      </c>
      <c r="J687" s="184"/>
      <c r="K687" s="184"/>
    </row>
    <row r="688" spans="1:11" outlineLevel="1" x14ac:dyDescent="0.25">
      <c r="A688" s="184"/>
      <c r="B688" s="184"/>
      <c r="C688" s="184"/>
      <c r="D688" s="6">
        <v>2025</v>
      </c>
      <c r="E688" s="4">
        <f t="shared" si="47"/>
        <v>150724.63699999999</v>
      </c>
      <c r="F688" s="4">
        <v>46724.637000000002</v>
      </c>
      <c r="G688" s="4">
        <v>104000</v>
      </c>
      <c r="H688" s="4">
        <f>SUM(I682:L682)</f>
        <v>0</v>
      </c>
      <c r="I688" s="4">
        <f>SUM(J682:L682)</f>
        <v>0</v>
      </c>
      <c r="J688" s="184"/>
      <c r="K688" s="184"/>
    </row>
    <row r="689" spans="1:11" outlineLevel="1" x14ac:dyDescent="0.25">
      <c r="A689" s="184" t="s">
        <v>1214</v>
      </c>
      <c r="B689" s="184" t="s">
        <v>1215</v>
      </c>
      <c r="C689" s="184" t="s">
        <v>1216</v>
      </c>
      <c r="D689" s="6" t="s">
        <v>8</v>
      </c>
      <c r="E689" s="4">
        <f>'5092197'!E689</f>
        <v>1965199.79856</v>
      </c>
      <c r="F689" s="4">
        <f>'5092197'!F689</f>
        <v>1667880.05856</v>
      </c>
      <c r="G689" s="4">
        <f>'5092197'!G689</f>
        <v>297319.74</v>
      </c>
      <c r="H689" s="4">
        <f>'5092197'!H689</f>
        <v>0</v>
      </c>
      <c r="I689" s="4">
        <f>'5092197'!I689</f>
        <v>0</v>
      </c>
      <c r="J689" s="184" t="s">
        <v>1217</v>
      </c>
      <c r="K689" s="184" t="s">
        <v>1760</v>
      </c>
    </row>
    <row r="690" spans="1:11" outlineLevel="1" x14ac:dyDescent="0.25">
      <c r="A690" s="184"/>
      <c r="B690" s="184"/>
      <c r="C690" s="184"/>
      <c r="D690" s="6">
        <v>2021</v>
      </c>
      <c r="E690" s="4">
        <f>'5092197'!E690</f>
        <v>0</v>
      </c>
      <c r="F690" s="4">
        <f>'5092197'!F690</f>
        <v>0</v>
      </c>
      <c r="G690" s="4">
        <f>'5092197'!G690</f>
        <v>0</v>
      </c>
      <c r="H690" s="4">
        <f>'5092197'!H690</f>
        <v>0</v>
      </c>
      <c r="I690" s="4">
        <f>'5092197'!I690</f>
        <v>0</v>
      </c>
      <c r="J690" s="184"/>
      <c r="K690" s="184"/>
    </row>
    <row r="691" spans="1:11" outlineLevel="1" x14ac:dyDescent="0.25">
      <c r="A691" s="184"/>
      <c r="B691" s="184"/>
      <c r="C691" s="184"/>
      <c r="D691" s="6">
        <v>2022</v>
      </c>
      <c r="E691" s="4">
        <f>'5092197'!E691</f>
        <v>0</v>
      </c>
      <c r="F691" s="4">
        <f>'5092197'!F691</f>
        <v>0</v>
      </c>
      <c r="G691" s="4">
        <f>'5092197'!G691</f>
        <v>0</v>
      </c>
      <c r="H691" s="4">
        <f>'5092197'!H691</f>
        <v>0</v>
      </c>
      <c r="I691" s="4">
        <f>'5092197'!I691</f>
        <v>0</v>
      </c>
      <c r="J691" s="184"/>
      <c r="K691" s="184"/>
    </row>
    <row r="692" spans="1:11" outlineLevel="1" x14ac:dyDescent="0.25">
      <c r="A692" s="184"/>
      <c r="B692" s="184"/>
      <c r="C692" s="184"/>
      <c r="D692" s="6">
        <v>2023</v>
      </c>
      <c r="E692" s="4">
        <f>'5092197'!E692</f>
        <v>381844.82530999999</v>
      </c>
      <c r="F692" s="4">
        <f>'5092197'!F692</f>
        <v>84525.085309999995</v>
      </c>
      <c r="G692" s="4">
        <f>'5092197'!G692</f>
        <v>297319.74</v>
      </c>
      <c r="H692" s="4">
        <f>'5092197'!H692</f>
        <v>0</v>
      </c>
      <c r="I692" s="4">
        <f>'5092197'!I692</f>
        <v>0</v>
      </c>
      <c r="J692" s="184"/>
      <c r="K692" s="184"/>
    </row>
    <row r="693" spans="1:11" outlineLevel="1" x14ac:dyDescent="0.25">
      <c r="A693" s="184"/>
      <c r="B693" s="184"/>
      <c r="C693" s="184"/>
      <c r="D693" s="6">
        <v>2024</v>
      </c>
      <c r="E693" s="4">
        <f>'5092197'!E693</f>
        <v>1101184.97325</v>
      </c>
      <c r="F693" s="4">
        <f>'5092197'!F693</f>
        <v>1101184.97325</v>
      </c>
      <c r="G693" s="4">
        <f>'5092197'!G693</f>
        <v>0</v>
      </c>
      <c r="H693" s="4">
        <f>'5092197'!H693</f>
        <v>0</v>
      </c>
      <c r="I693" s="4">
        <f>'5092197'!I693</f>
        <v>0</v>
      </c>
      <c r="J693" s="184"/>
      <c r="K693" s="184"/>
    </row>
    <row r="694" spans="1:11" outlineLevel="1" x14ac:dyDescent="0.25">
      <c r="A694" s="184"/>
      <c r="B694" s="184"/>
      <c r="C694" s="184"/>
      <c r="D694" s="6">
        <v>2025</v>
      </c>
      <c r="E694" s="4">
        <f>'5092197'!E694</f>
        <v>482170</v>
      </c>
      <c r="F694" s="4">
        <f>'5092197'!F694</f>
        <v>482170</v>
      </c>
      <c r="G694" s="4">
        <f>'5092197'!G694</f>
        <v>0</v>
      </c>
      <c r="H694" s="4">
        <f>'5092197'!H694</f>
        <v>0</v>
      </c>
      <c r="I694" s="4">
        <f>'5092197'!I694</f>
        <v>0</v>
      </c>
      <c r="J694" s="184"/>
      <c r="K694" s="184"/>
    </row>
    <row r="695" spans="1:11" outlineLevel="1" x14ac:dyDescent="0.25">
      <c r="A695" s="185" t="s">
        <v>1218</v>
      </c>
      <c r="B695" s="185" t="s">
        <v>101</v>
      </c>
      <c r="C695" s="185" t="s">
        <v>1216</v>
      </c>
      <c r="D695" s="2" t="s">
        <v>8</v>
      </c>
      <c r="E695" s="3">
        <f>'5092197'!E695</f>
        <v>884016.68856000004</v>
      </c>
      <c r="F695" s="3">
        <f>'5092197'!F695</f>
        <v>703540.05856000003</v>
      </c>
      <c r="G695" s="3">
        <f>'5092197'!G695</f>
        <v>180476.63</v>
      </c>
      <c r="H695" s="3">
        <f>'5092197'!H695</f>
        <v>0</v>
      </c>
      <c r="I695" s="3">
        <f>'5092197'!I695</f>
        <v>0</v>
      </c>
      <c r="J695" s="185" t="s">
        <v>1219</v>
      </c>
      <c r="K695" s="185" t="s">
        <v>1220</v>
      </c>
    </row>
    <row r="696" spans="1:11" outlineLevel="1" x14ac:dyDescent="0.25">
      <c r="A696" s="185"/>
      <c r="B696" s="185"/>
      <c r="C696" s="185"/>
      <c r="D696" s="2">
        <v>2021</v>
      </c>
      <c r="E696" s="3">
        <f>'5092197'!E696</f>
        <v>0</v>
      </c>
      <c r="F696" s="3">
        <f>'5092197'!F696</f>
        <v>0</v>
      </c>
      <c r="G696" s="3">
        <f>'5092197'!G696</f>
        <v>0</v>
      </c>
      <c r="H696" s="3">
        <f>'5092197'!H696</f>
        <v>0</v>
      </c>
      <c r="I696" s="3">
        <f>'5092197'!I696</f>
        <v>0</v>
      </c>
      <c r="J696" s="185"/>
      <c r="K696" s="185"/>
    </row>
    <row r="697" spans="1:11" outlineLevel="1" x14ac:dyDescent="0.25">
      <c r="A697" s="185"/>
      <c r="B697" s="185"/>
      <c r="C697" s="185"/>
      <c r="D697" s="2">
        <v>2022</v>
      </c>
      <c r="E697" s="3">
        <f>'5092197'!E697</f>
        <v>0</v>
      </c>
      <c r="F697" s="3">
        <f>'5092197'!F697</f>
        <v>0</v>
      </c>
      <c r="G697" s="3">
        <f>'5092197'!G697</f>
        <v>0</v>
      </c>
      <c r="H697" s="3">
        <f>'5092197'!H697</f>
        <v>0</v>
      </c>
      <c r="I697" s="3">
        <f>'5092197'!I697</f>
        <v>0</v>
      </c>
      <c r="J697" s="185"/>
      <c r="K697" s="185"/>
    </row>
    <row r="698" spans="1:11" outlineLevel="1" x14ac:dyDescent="0.25">
      <c r="A698" s="185"/>
      <c r="B698" s="185"/>
      <c r="C698" s="185"/>
      <c r="D698" s="2">
        <v>2023</v>
      </c>
      <c r="E698" s="3">
        <f>'5092197'!E698</f>
        <v>265001.71531</v>
      </c>
      <c r="F698" s="3">
        <f>'5092197'!F698</f>
        <v>84525.085309999995</v>
      </c>
      <c r="G698" s="3">
        <f>'5092197'!G698</f>
        <v>180476.63</v>
      </c>
      <c r="H698" s="3">
        <f>'5092197'!H698</f>
        <v>0</v>
      </c>
      <c r="I698" s="3">
        <f>'5092197'!I698</f>
        <v>0</v>
      </c>
      <c r="J698" s="185"/>
      <c r="K698" s="185"/>
    </row>
    <row r="699" spans="1:11" outlineLevel="1" x14ac:dyDescent="0.25">
      <c r="A699" s="185"/>
      <c r="B699" s="185"/>
      <c r="C699" s="185"/>
      <c r="D699" s="2">
        <v>2024</v>
      </c>
      <c r="E699" s="3">
        <f>'5092197'!E699</f>
        <v>619014.97325000004</v>
      </c>
      <c r="F699" s="3">
        <f>'5092197'!F699</f>
        <v>619014.97325000004</v>
      </c>
      <c r="G699" s="3">
        <f>'5092197'!G699</f>
        <v>0</v>
      </c>
      <c r="H699" s="3">
        <f>'5092197'!H699</f>
        <v>0</v>
      </c>
      <c r="I699" s="3">
        <f>'5092197'!I699</f>
        <v>0</v>
      </c>
      <c r="J699" s="185"/>
      <c r="K699" s="185"/>
    </row>
    <row r="700" spans="1:11" outlineLevel="1" x14ac:dyDescent="0.25">
      <c r="A700" s="185"/>
      <c r="B700" s="185"/>
      <c r="C700" s="185"/>
      <c r="D700" s="2">
        <v>2025</v>
      </c>
      <c r="E700" s="3">
        <f>'5092197'!E700</f>
        <v>0</v>
      </c>
      <c r="F700" s="3">
        <f>'5092197'!F700</f>
        <v>0</v>
      </c>
      <c r="G700" s="3">
        <f>'5092197'!G700</f>
        <v>0</v>
      </c>
      <c r="H700" s="3">
        <f>'5092197'!H700</f>
        <v>0</v>
      </c>
      <c r="I700" s="3">
        <f>'5092197'!I700</f>
        <v>0</v>
      </c>
      <c r="J700" s="185"/>
      <c r="K700" s="185"/>
    </row>
    <row r="701" spans="1:11" ht="12.75" customHeight="1" outlineLevel="1" x14ac:dyDescent="0.25">
      <c r="A701" s="184" t="s">
        <v>1221</v>
      </c>
      <c r="B701" s="184" t="s">
        <v>1755</v>
      </c>
      <c r="C701" s="184">
        <v>2023</v>
      </c>
      <c r="D701" s="6" t="s">
        <v>8</v>
      </c>
      <c r="E701" s="3">
        <f>'5092197'!E701</f>
        <v>249780</v>
      </c>
      <c r="F701" s="3">
        <f>'5092197'!F701</f>
        <v>184340</v>
      </c>
      <c r="G701" s="3">
        <f>'5092197'!G701</f>
        <v>65440</v>
      </c>
      <c r="H701" s="3">
        <f>'5092197'!H701</f>
        <v>0</v>
      </c>
      <c r="I701" s="3">
        <f>'5092197'!I701</f>
        <v>0</v>
      </c>
      <c r="J701" s="184" t="s">
        <v>1219</v>
      </c>
      <c r="K701" s="184" t="s">
        <v>1757</v>
      </c>
    </row>
    <row r="702" spans="1:11" ht="12.75" customHeight="1" outlineLevel="1" x14ac:dyDescent="0.25">
      <c r="A702" s="184"/>
      <c r="B702" s="184"/>
      <c r="C702" s="184"/>
      <c r="D702" s="6">
        <v>2021</v>
      </c>
      <c r="E702" s="3">
        <f>'5092197'!E702</f>
        <v>0</v>
      </c>
      <c r="F702" s="3">
        <f>'5092197'!F702</f>
        <v>0</v>
      </c>
      <c r="G702" s="3">
        <f>'5092197'!G702</f>
        <v>0</v>
      </c>
      <c r="H702" s="3">
        <f>'5092197'!H702</f>
        <v>0</v>
      </c>
      <c r="I702" s="3">
        <f>'5092197'!I702</f>
        <v>0</v>
      </c>
      <c r="J702" s="184"/>
      <c r="K702" s="184"/>
    </row>
    <row r="703" spans="1:11" ht="12.75" customHeight="1" outlineLevel="1" x14ac:dyDescent="0.25">
      <c r="A703" s="184"/>
      <c r="B703" s="184"/>
      <c r="C703" s="184"/>
      <c r="D703" s="6">
        <v>2022</v>
      </c>
      <c r="E703" s="3">
        <f>'5092197'!E703</f>
        <v>0</v>
      </c>
      <c r="F703" s="3">
        <f>'5092197'!F703</f>
        <v>0</v>
      </c>
      <c r="G703" s="3">
        <f>'5092197'!G703</f>
        <v>0</v>
      </c>
      <c r="H703" s="3">
        <f>'5092197'!H703</f>
        <v>0</v>
      </c>
      <c r="I703" s="3">
        <f>'5092197'!I703</f>
        <v>0</v>
      </c>
      <c r="J703" s="184"/>
      <c r="K703" s="184"/>
    </row>
    <row r="704" spans="1:11" ht="12.75" customHeight="1" outlineLevel="1" x14ac:dyDescent="0.25">
      <c r="A704" s="184"/>
      <c r="B704" s="184"/>
      <c r="C704" s="184"/>
      <c r="D704" s="6">
        <v>2023</v>
      </c>
      <c r="E704" s="3">
        <f>'5092197'!E704</f>
        <v>65440</v>
      </c>
      <c r="F704" s="3">
        <f>'5092197'!F704</f>
        <v>0</v>
      </c>
      <c r="G704" s="3">
        <f>'5092197'!G704</f>
        <v>65440</v>
      </c>
      <c r="H704" s="3">
        <f>'5092197'!H704</f>
        <v>0</v>
      </c>
      <c r="I704" s="3">
        <f>'5092197'!I704</f>
        <v>0</v>
      </c>
      <c r="J704" s="184"/>
      <c r="K704" s="184"/>
    </row>
    <row r="705" spans="1:13" ht="12.75" customHeight="1" outlineLevel="1" x14ac:dyDescent="0.25">
      <c r="A705" s="184"/>
      <c r="B705" s="184"/>
      <c r="C705" s="184"/>
      <c r="D705" s="6">
        <v>2024</v>
      </c>
      <c r="E705" s="3">
        <f>'5092197'!E705</f>
        <v>92170</v>
      </c>
      <c r="F705" s="3">
        <f>'5092197'!F705</f>
        <v>92170</v>
      </c>
      <c r="G705" s="3">
        <f>'5092197'!G705</f>
        <v>0</v>
      </c>
      <c r="H705" s="3">
        <f>'5092197'!H705</f>
        <v>0</v>
      </c>
      <c r="I705" s="3">
        <f>'5092197'!I705</f>
        <v>0</v>
      </c>
      <c r="J705" s="184"/>
      <c r="K705" s="184"/>
    </row>
    <row r="706" spans="1:13" ht="67.5" customHeight="1" outlineLevel="1" x14ac:dyDescent="0.25">
      <c r="A706" s="184"/>
      <c r="B706" s="184"/>
      <c r="C706" s="184"/>
      <c r="D706" s="6">
        <v>2025</v>
      </c>
      <c r="E706" s="3">
        <f>'5092197'!E706</f>
        <v>92170</v>
      </c>
      <c r="F706" s="3">
        <f>'5092197'!F706</f>
        <v>92170</v>
      </c>
      <c r="G706" s="3">
        <f>'5092197'!G706</f>
        <v>0</v>
      </c>
      <c r="H706" s="3">
        <f>'5092197'!H706</f>
        <v>0</v>
      </c>
      <c r="I706" s="3">
        <f>'5092197'!I706</f>
        <v>0</v>
      </c>
      <c r="J706" s="184"/>
      <c r="K706" s="184"/>
    </row>
    <row r="707" spans="1:13" ht="12.75" customHeight="1" outlineLevel="1" x14ac:dyDescent="0.25">
      <c r="A707" s="184" t="s">
        <v>677</v>
      </c>
      <c r="B707" s="184" t="s">
        <v>1754</v>
      </c>
      <c r="C707" s="184">
        <v>2023</v>
      </c>
      <c r="D707" s="6" t="s">
        <v>8</v>
      </c>
      <c r="E707" s="3">
        <f>'5092197'!E707</f>
        <v>831403.11</v>
      </c>
      <c r="F707" s="3">
        <f>'5092197'!F707</f>
        <v>780000</v>
      </c>
      <c r="G707" s="3">
        <f>'5092197'!G707</f>
        <v>51403.11</v>
      </c>
      <c r="H707" s="3">
        <f>'5092197'!H707</f>
        <v>0</v>
      </c>
      <c r="I707" s="3">
        <f>'5092197'!I707</f>
        <v>0</v>
      </c>
      <c r="J707" s="184" t="s">
        <v>1219</v>
      </c>
      <c r="K707" s="184" t="s">
        <v>1757</v>
      </c>
    </row>
    <row r="708" spans="1:13" outlineLevel="1" x14ac:dyDescent="0.25">
      <c r="A708" s="184"/>
      <c r="B708" s="184"/>
      <c r="C708" s="184"/>
      <c r="D708" s="6">
        <v>2021</v>
      </c>
      <c r="E708" s="3">
        <f>'5092197'!E708</f>
        <v>0</v>
      </c>
      <c r="F708" s="3">
        <f>'5092197'!F708</f>
        <v>0</v>
      </c>
      <c r="G708" s="3">
        <f>'5092197'!G708</f>
        <v>0</v>
      </c>
      <c r="H708" s="3">
        <f>'5092197'!H708</f>
        <v>0</v>
      </c>
      <c r="I708" s="3">
        <f>'5092197'!I708</f>
        <v>0</v>
      </c>
      <c r="J708" s="184"/>
      <c r="K708" s="184"/>
    </row>
    <row r="709" spans="1:13" outlineLevel="1" x14ac:dyDescent="0.25">
      <c r="A709" s="184"/>
      <c r="B709" s="184"/>
      <c r="C709" s="184"/>
      <c r="D709" s="6">
        <v>2022</v>
      </c>
      <c r="E709" s="3">
        <f>'5092197'!E709</f>
        <v>0</v>
      </c>
      <c r="F709" s="3">
        <f>'5092197'!F709</f>
        <v>0</v>
      </c>
      <c r="G709" s="3">
        <f>'5092197'!G709</f>
        <v>0</v>
      </c>
      <c r="H709" s="3">
        <f>'5092197'!H709</f>
        <v>0</v>
      </c>
      <c r="I709" s="3">
        <f>'5092197'!I709</f>
        <v>0</v>
      </c>
      <c r="J709" s="184"/>
      <c r="K709" s="184"/>
    </row>
    <row r="710" spans="1:13" outlineLevel="1" x14ac:dyDescent="0.25">
      <c r="A710" s="184"/>
      <c r="B710" s="184"/>
      <c r="C710" s="184"/>
      <c r="D710" s="6">
        <v>2023</v>
      </c>
      <c r="E710" s="3">
        <f>'5092197'!E710</f>
        <v>51403.11</v>
      </c>
      <c r="F710" s="3">
        <f>'5092197'!F710</f>
        <v>0</v>
      </c>
      <c r="G710" s="3">
        <f>'5092197'!G710</f>
        <v>51403.11</v>
      </c>
      <c r="H710" s="3">
        <f>'5092197'!H710</f>
        <v>0</v>
      </c>
      <c r="I710" s="3">
        <f>'5092197'!I710</f>
        <v>0</v>
      </c>
      <c r="J710" s="184"/>
      <c r="K710" s="184"/>
    </row>
    <row r="711" spans="1:13" outlineLevel="1" x14ac:dyDescent="0.25">
      <c r="A711" s="184"/>
      <c r="B711" s="184"/>
      <c r="C711" s="184"/>
      <c r="D711" s="6">
        <v>2024</v>
      </c>
      <c r="E711" s="3">
        <f>'5092197'!E711</f>
        <v>390000</v>
      </c>
      <c r="F711" s="3">
        <f>'5092197'!F711</f>
        <v>390000</v>
      </c>
      <c r="G711" s="3">
        <f>'5092197'!G711</f>
        <v>0</v>
      </c>
      <c r="H711" s="3">
        <f>'5092197'!H711</f>
        <v>0</v>
      </c>
      <c r="I711" s="3">
        <f>'5092197'!I711</f>
        <v>0</v>
      </c>
      <c r="J711" s="184"/>
      <c r="K711" s="184"/>
    </row>
    <row r="712" spans="1:13" ht="48.75" customHeight="1" outlineLevel="1" x14ac:dyDescent="0.25">
      <c r="A712" s="184"/>
      <c r="B712" s="184"/>
      <c r="C712" s="184"/>
      <c r="D712" s="6">
        <v>2025</v>
      </c>
      <c r="E712" s="3">
        <f>'5092197'!E712</f>
        <v>390000</v>
      </c>
      <c r="F712" s="3">
        <f>'5092197'!F712</f>
        <v>390000</v>
      </c>
      <c r="G712" s="3">
        <f>'5092197'!G712</f>
        <v>0</v>
      </c>
      <c r="H712" s="3">
        <f>'5092197'!H712</f>
        <v>0</v>
      </c>
      <c r="I712" s="3">
        <f>'5092197'!I712</f>
        <v>0</v>
      </c>
      <c r="J712" s="184"/>
      <c r="K712" s="184"/>
    </row>
    <row r="713" spans="1:13" ht="12.75" customHeight="1" outlineLevel="1" x14ac:dyDescent="0.25">
      <c r="A713" s="184" t="s">
        <v>1747</v>
      </c>
      <c r="B713" s="184" t="s">
        <v>1761</v>
      </c>
      <c r="C713" s="184" t="s">
        <v>1125</v>
      </c>
      <c r="D713" s="6" t="s">
        <v>8</v>
      </c>
      <c r="E713" s="4">
        <f t="shared" ref="E713:I718" si="48">SUM(E719,E725)</f>
        <v>187892.8</v>
      </c>
      <c r="F713" s="4">
        <f t="shared" si="48"/>
        <v>186013.8</v>
      </c>
      <c r="G713" s="4">
        <f t="shared" si="48"/>
        <v>0</v>
      </c>
      <c r="H713" s="4">
        <f t="shared" si="48"/>
        <v>1879</v>
      </c>
      <c r="I713" s="4">
        <f t="shared" si="48"/>
        <v>0</v>
      </c>
      <c r="J713" s="184" t="s">
        <v>1759</v>
      </c>
      <c r="K713" s="184" t="s">
        <v>1749</v>
      </c>
    </row>
    <row r="714" spans="1:13" outlineLevel="1" x14ac:dyDescent="0.25">
      <c r="A714" s="184"/>
      <c r="B714" s="184"/>
      <c r="C714" s="184"/>
      <c r="D714" s="6">
        <v>2021</v>
      </c>
      <c r="E714" s="4">
        <f t="shared" si="48"/>
        <v>0</v>
      </c>
      <c r="F714" s="4">
        <f t="shared" si="48"/>
        <v>0</v>
      </c>
      <c r="G714" s="4">
        <f t="shared" si="48"/>
        <v>0</v>
      </c>
      <c r="H714" s="4">
        <f t="shared" si="48"/>
        <v>0</v>
      </c>
      <c r="I714" s="4">
        <f t="shared" si="48"/>
        <v>0</v>
      </c>
      <c r="J714" s="184"/>
      <c r="K714" s="184"/>
    </row>
    <row r="715" spans="1:13" outlineLevel="1" x14ac:dyDescent="0.25">
      <c r="A715" s="184"/>
      <c r="B715" s="184"/>
      <c r="C715" s="184"/>
      <c r="D715" s="6">
        <v>2022</v>
      </c>
      <c r="E715" s="4">
        <f t="shared" si="48"/>
        <v>0</v>
      </c>
      <c r="F715" s="4">
        <f t="shared" si="48"/>
        <v>0</v>
      </c>
      <c r="G715" s="4">
        <f t="shared" si="48"/>
        <v>0</v>
      </c>
      <c r="H715" s="4">
        <f t="shared" si="48"/>
        <v>0</v>
      </c>
      <c r="I715" s="4">
        <f t="shared" si="48"/>
        <v>0</v>
      </c>
      <c r="J715" s="184"/>
      <c r="K715" s="184"/>
    </row>
    <row r="716" spans="1:13" outlineLevel="1" x14ac:dyDescent="0.25">
      <c r="A716" s="184"/>
      <c r="B716" s="184"/>
      <c r="C716" s="184"/>
      <c r="D716" s="6">
        <v>2023</v>
      </c>
      <c r="E716" s="4">
        <f>SUM(E722,E728)</f>
        <v>28290</v>
      </c>
      <c r="F716" s="4">
        <f>SUM(F722,F728)</f>
        <v>28000</v>
      </c>
      <c r="G716" s="4">
        <f t="shared" si="48"/>
        <v>0</v>
      </c>
      <c r="H716" s="4">
        <f t="shared" si="48"/>
        <v>290</v>
      </c>
      <c r="I716" s="4">
        <f t="shared" si="48"/>
        <v>0</v>
      </c>
      <c r="J716" s="184"/>
      <c r="K716" s="184"/>
    </row>
    <row r="717" spans="1:13" outlineLevel="1" x14ac:dyDescent="0.25">
      <c r="A717" s="184"/>
      <c r="B717" s="184"/>
      <c r="C717" s="184"/>
      <c r="D717" s="6">
        <v>2024</v>
      </c>
      <c r="E717" s="4">
        <f t="shared" si="48"/>
        <v>80355</v>
      </c>
      <c r="F717" s="4">
        <f>SUM(F723,F729)</f>
        <v>79555</v>
      </c>
      <c r="G717" s="4">
        <f t="shared" si="48"/>
        <v>0</v>
      </c>
      <c r="H717" s="4">
        <f t="shared" si="48"/>
        <v>800</v>
      </c>
      <c r="I717" s="4">
        <f t="shared" si="48"/>
        <v>0</v>
      </c>
      <c r="J717" s="184"/>
      <c r="K717" s="184"/>
    </row>
    <row r="718" spans="1:13" outlineLevel="1" x14ac:dyDescent="0.25">
      <c r="A718" s="184"/>
      <c r="B718" s="184"/>
      <c r="C718" s="184"/>
      <c r="D718" s="6">
        <v>2025</v>
      </c>
      <c r="E718" s="4">
        <f t="shared" si="48"/>
        <v>79247.8</v>
      </c>
      <c r="F718" s="4">
        <f t="shared" si="48"/>
        <v>78458.8</v>
      </c>
      <c r="G718" s="4">
        <f t="shared" si="48"/>
        <v>0</v>
      </c>
      <c r="H718" s="4">
        <f t="shared" si="48"/>
        <v>789</v>
      </c>
      <c r="I718" s="4">
        <f t="shared" si="48"/>
        <v>0</v>
      </c>
      <c r="J718" s="184"/>
      <c r="K718" s="184"/>
    </row>
    <row r="719" spans="1:13" ht="12.75" customHeight="1" outlineLevel="1" x14ac:dyDescent="0.25">
      <c r="A719" s="184" t="s">
        <v>1750</v>
      </c>
      <c r="B719" s="184" t="s">
        <v>1753</v>
      </c>
      <c r="C719" s="184" t="s">
        <v>1125</v>
      </c>
      <c r="D719" s="6" t="s">
        <v>8</v>
      </c>
      <c r="E719" s="4">
        <f t="shared" ref="E719:E730" si="49">SUM(F719:I719)</f>
        <v>138499.6</v>
      </c>
      <c r="F719" s="4">
        <f>SUM(F720:F724)</f>
        <v>137114.6</v>
      </c>
      <c r="G719" s="4">
        <f>SUM(G720:G724)</f>
        <v>0</v>
      </c>
      <c r="H719" s="4">
        <f>SUM(H720:H724)</f>
        <v>1385</v>
      </c>
      <c r="I719" s="4">
        <f>SUM(I720:I724)</f>
        <v>0</v>
      </c>
      <c r="J719" s="184" t="s">
        <v>1752</v>
      </c>
      <c r="K719" s="184" t="s">
        <v>1748</v>
      </c>
    </row>
    <row r="720" spans="1:13" outlineLevel="1" x14ac:dyDescent="0.25">
      <c r="A720" s="184"/>
      <c r="B720" s="184"/>
      <c r="C720" s="184"/>
      <c r="D720" s="6">
        <v>2021</v>
      </c>
      <c r="E720" s="4">
        <f t="shared" si="49"/>
        <v>0</v>
      </c>
      <c r="F720" s="4">
        <v>0</v>
      </c>
      <c r="G720" s="4">
        <v>0</v>
      </c>
      <c r="H720" s="4">
        <v>0</v>
      </c>
      <c r="I720" s="4">
        <v>0</v>
      </c>
      <c r="J720" s="184"/>
      <c r="K720" s="184"/>
      <c r="M720" s="5">
        <f>SUM(E719,E725)</f>
        <v>187892.8</v>
      </c>
    </row>
    <row r="721" spans="1:13" outlineLevel="1" x14ac:dyDescent="0.25">
      <c r="A721" s="184"/>
      <c r="B721" s="184"/>
      <c r="C721" s="184"/>
      <c r="D721" s="6">
        <v>2022</v>
      </c>
      <c r="E721" s="4">
        <f t="shared" si="49"/>
        <v>0</v>
      </c>
      <c r="F721" s="4">
        <v>0</v>
      </c>
      <c r="G721" s="4">
        <v>0</v>
      </c>
      <c r="H721" s="4">
        <v>0</v>
      </c>
      <c r="I721" s="4">
        <v>0</v>
      </c>
      <c r="J721" s="184"/>
      <c r="K721" s="184"/>
    </row>
    <row r="722" spans="1:13" outlineLevel="1" x14ac:dyDescent="0.25">
      <c r="A722" s="184"/>
      <c r="B722" s="184"/>
      <c r="C722" s="184"/>
      <c r="D722" s="6">
        <v>2023</v>
      </c>
      <c r="E722" s="4">
        <f t="shared" si="49"/>
        <v>20666.5</v>
      </c>
      <c r="F722" s="4">
        <v>20452.7</v>
      </c>
      <c r="G722" s="4">
        <v>0</v>
      </c>
      <c r="H722" s="4">
        <v>213.8</v>
      </c>
      <c r="I722" s="4">
        <v>0</v>
      </c>
      <c r="J722" s="184"/>
      <c r="K722" s="184"/>
    </row>
    <row r="723" spans="1:13" outlineLevel="1" x14ac:dyDescent="0.25">
      <c r="A723" s="184"/>
      <c r="B723" s="184"/>
      <c r="C723" s="184"/>
      <c r="D723" s="6">
        <v>2024</v>
      </c>
      <c r="E723" s="4">
        <f t="shared" si="49"/>
        <v>59324.6</v>
      </c>
      <c r="F723" s="4">
        <v>58734.9</v>
      </c>
      <c r="G723" s="4">
        <v>0</v>
      </c>
      <c r="H723" s="4">
        <v>589.70000000000005</v>
      </c>
      <c r="I723" s="4">
        <v>0</v>
      </c>
      <c r="J723" s="184"/>
      <c r="K723" s="184"/>
    </row>
    <row r="724" spans="1:13" outlineLevel="1" x14ac:dyDescent="0.25">
      <c r="A724" s="184"/>
      <c r="B724" s="184"/>
      <c r="C724" s="184"/>
      <c r="D724" s="6">
        <v>2025</v>
      </c>
      <c r="E724" s="4">
        <f t="shared" si="49"/>
        <v>58508.5</v>
      </c>
      <c r="F724" s="4">
        <v>57927</v>
      </c>
      <c r="G724" s="4">
        <v>0</v>
      </c>
      <c r="H724" s="4">
        <v>581.5</v>
      </c>
      <c r="I724" s="4">
        <v>0</v>
      </c>
      <c r="J724" s="184"/>
      <c r="K724" s="184"/>
    </row>
    <row r="725" spans="1:13" outlineLevel="1" x14ac:dyDescent="0.25">
      <c r="A725" s="184" t="s">
        <v>1751</v>
      </c>
      <c r="B725" s="184" t="s">
        <v>1758</v>
      </c>
      <c r="C725" s="184" t="s">
        <v>1125</v>
      </c>
      <c r="D725" s="6" t="s">
        <v>8</v>
      </c>
      <c r="E725" s="4">
        <f t="shared" si="49"/>
        <v>49393.2</v>
      </c>
      <c r="F725" s="4">
        <f>SUM(F726:F730)</f>
        <v>48899.199999999997</v>
      </c>
      <c r="G725" s="4">
        <f>SUM(G726:G730)</f>
        <v>0</v>
      </c>
      <c r="H725" s="4">
        <f>SUM(H726:H730)</f>
        <v>494</v>
      </c>
      <c r="I725" s="4">
        <f>SUM(I726:I730)</f>
        <v>0</v>
      </c>
      <c r="J725" s="184" t="s">
        <v>1752</v>
      </c>
      <c r="K725" s="184" t="s">
        <v>1748</v>
      </c>
    </row>
    <row r="726" spans="1:13" outlineLevel="1" x14ac:dyDescent="0.25">
      <c r="A726" s="184"/>
      <c r="B726" s="184"/>
      <c r="C726" s="184"/>
      <c r="D726" s="6">
        <v>2021</v>
      </c>
      <c r="E726" s="4">
        <f t="shared" si="49"/>
        <v>0</v>
      </c>
      <c r="F726" s="4">
        <v>0</v>
      </c>
      <c r="G726" s="4">
        <v>0</v>
      </c>
      <c r="H726" s="4">
        <v>0</v>
      </c>
      <c r="I726" s="4">
        <v>0</v>
      </c>
      <c r="J726" s="184"/>
      <c r="K726" s="184"/>
    </row>
    <row r="727" spans="1:13" outlineLevel="1" x14ac:dyDescent="0.25">
      <c r="A727" s="184"/>
      <c r="B727" s="184"/>
      <c r="C727" s="184"/>
      <c r="D727" s="6">
        <v>2022</v>
      </c>
      <c r="E727" s="4">
        <f t="shared" si="49"/>
        <v>0</v>
      </c>
      <c r="F727" s="4">
        <v>0</v>
      </c>
      <c r="G727" s="4">
        <v>0</v>
      </c>
      <c r="H727" s="4">
        <v>0</v>
      </c>
      <c r="I727" s="4">
        <v>0</v>
      </c>
      <c r="J727" s="184"/>
      <c r="K727" s="184"/>
      <c r="M727" s="5">
        <f>SUM(F728,F722)</f>
        <v>28000</v>
      </c>
    </row>
    <row r="728" spans="1:13" outlineLevel="1" x14ac:dyDescent="0.25">
      <c r="A728" s="184"/>
      <c r="B728" s="184"/>
      <c r="C728" s="184"/>
      <c r="D728" s="6">
        <v>2023</v>
      </c>
      <c r="E728" s="4">
        <f t="shared" si="49"/>
        <v>7623.5</v>
      </c>
      <c r="F728" s="4">
        <v>7547.3</v>
      </c>
      <c r="G728" s="4">
        <v>0</v>
      </c>
      <c r="H728" s="4">
        <v>76.2</v>
      </c>
      <c r="I728" s="4">
        <v>0</v>
      </c>
      <c r="J728" s="184"/>
      <c r="K728" s="184"/>
    </row>
    <row r="729" spans="1:13" outlineLevel="1" x14ac:dyDescent="0.25">
      <c r="A729" s="184"/>
      <c r="B729" s="184"/>
      <c r="C729" s="184"/>
      <c r="D729" s="6">
        <v>2024</v>
      </c>
      <c r="E729" s="4">
        <f t="shared" si="49"/>
        <v>21030.399999999998</v>
      </c>
      <c r="F729" s="4">
        <v>20820.099999999999</v>
      </c>
      <c r="G729" s="4">
        <v>0</v>
      </c>
      <c r="H729" s="4">
        <v>210.3</v>
      </c>
      <c r="I729" s="4">
        <v>0</v>
      </c>
      <c r="J729" s="184"/>
      <c r="K729" s="184"/>
    </row>
    <row r="730" spans="1:13" outlineLevel="1" x14ac:dyDescent="0.25">
      <c r="A730" s="184"/>
      <c r="B730" s="184"/>
      <c r="C730" s="184"/>
      <c r="D730" s="6">
        <v>2025</v>
      </c>
      <c r="E730" s="4">
        <f t="shared" si="49"/>
        <v>20739.3</v>
      </c>
      <c r="F730" s="4">
        <v>20531.8</v>
      </c>
      <c r="G730" s="4">
        <v>0</v>
      </c>
      <c r="H730" s="4">
        <v>207.5</v>
      </c>
      <c r="I730" s="4">
        <v>0</v>
      </c>
      <c r="J730" s="184"/>
      <c r="K730" s="184"/>
    </row>
    <row r="731" spans="1:13" x14ac:dyDescent="0.25">
      <c r="A731" s="184" t="s">
        <v>116</v>
      </c>
      <c r="B731" s="184" t="s">
        <v>40</v>
      </c>
      <c r="C731" s="184" t="s">
        <v>14</v>
      </c>
      <c r="D731" s="6" t="s">
        <v>8</v>
      </c>
      <c r="E731" s="4">
        <f t="shared" si="47"/>
        <v>1328210.8980899998</v>
      </c>
      <c r="F731" s="4">
        <f>SUM(F732:F736)</f>
        <v>735152.66107999999</v>
      </c>
      <c r="G731" s="4">
        <f>SUM(G732:G736)</f>
        <v>562487.59899999993</v>
      </c>
      <c r="H731" s="4">
        <f>SUM(H732:H736)</f>
        <v>30570.638009999973</v>
      </c>
      <c r="I731" s="4">
        <f>SUM(I732:I736)</f>
        <v>0</v>
      </c>
      <c r="J731" s="184" t="s">
        <v>117</v>
      </c>
      <c r="K731" s="184" t="s">
        <v>601</v>
      </c>
    </row>
    <row r="732" spans="1:13" ht="14.25" customHeight="1" x14ac:dyDescent="0.25">
      <c r="A732" s="184"/>
      <c r="B732" s="184"/>
      <c r="C732" s="184"/>
      <c r="D732" s="6">
        <v>2021</v>
      </c>
      <c r="E732" s="4">
        <f t="shared" si="47"/>
        <v>277483.179</v>
      </c>
      <c r="F732" s="4">
        <f t="shared" ref="F732:I736" si="50">F738+F744+F750+F756</f>
        <v>19160.86</v>
      </c>
      <c r="G732" s="4">
        <f t="shared" si="50"/>
        <v>257488.69899999999</v>
      </c>
      <c r="H732" s="4">
        <f t="shared" si="50"/>
        <v>833.61999999999989</v>
      </c>
      <c r="I732" s="4">
        <f t="shared" si="50"/>
        <v>0</v>
      </c>
      <c r="J732" s="184"/>
      <c r="K732" s="184"/>
    </row>
    <row r="733" spans="1:13" x14ac:dyDescent="0.25">
      <c r="A733" s="184"/>
      <c r="B733" s="184"/>
      <c r="C733" s="184"/>
      <c r="D733" s="6">
        <v>2022</v>
      </c>
      <c r="E733" s="4">
        <f t="shared" si="47"/>
        <v>684506.5541999999</v>
      </c>
      <c r="F733" s="4">
        <f t="shared" si="50"/>
        <v>488280.63192999997</v>
      </c>
      <c r="G733" s="4">
        <f t="shared" si="50"/>
        <v>177607.9</v>
      </c>
      <c r="H733" s="4">
        <f t="shared" si="50"/>
        <v>18618.022270000001</v>
      </c>
      <c r="I733" s="4">
        <f t="shared" si="50"/>
        <v>0</v>
      </c>
      <c r="J733" s="184"/>
      <c r="K733" s="184"/>
    </row>
    <row r="734" spans="1:13" x14ac:dyDescent="0.25">
      <c r="A734" s="184"/>
      <c r="B734" s="184"/>
      <c r="C734" s="184"/>
      <c r="D734" s="6">
        <v>2023</v>
      </c>
      <c r="E734" s="4">
        <f t="shared" si="47"/>
        <v>139473.16488999996</v>
      </c>
      <c r="F734" s="4">
        <f t="shared" si="50"/>
        <v>11675.569150000007</v>
      </c>
      <c r="G734" s="4">
        <f t="shared" si="50"/>
        <v>127391</v>
      </c>
      <c r="H734" s="4">
        <f t="shared" si="50"/>
        <v>406.59573999997519</v>
      </c>
      <c r="I734" s="4">
        <f t="shared" si="50"/>
        <v>0</v>
      </c>
      <c r="J734" s="184"/>
      <c r="K734" s="184"/>
    </row>
    <row r="735" spans="1:13" x14ac:dyDescent="0.25">
      <c r="A735" s="184"/>
      <c r="B735" s="184"/>
      <c r="C735" s="184"/>
      <c r="D735" s="6">
        <v>2024</v>
      </c>
      <c r="E735" s="4">
        <f t="shared" si="47"/>
        <v>220498</v>
      </c>
      <c r="F735" s="4">
        <f t="shared" si="50"/>
        <v>209785.60000000001</v>
      </c>
      <c r="G735" s="4">
        <f t="shared" si="50"/>
        <v>0</v>
      </c>
      <c r="H735" s="4">
        <f t="shared" si="50"/>
        <v>10712.4</v>
      </c>
      <c r="I735" s="4">
        <f t="shared" si="50"/>
        <v>0</v>
      </c>
      <c r="J735" s="184"/>
      <c r="K735" s="184"/>
    </row>
    <row r="736" spans="1:13" x14ac:dyDescent="0.25">
      <c r="A736" s="184"/>
      <c r="B736" s="184"/>
      <c r="C736" s="184"/>
      <c r="D736" s="6">
        <v>2025</v>
      </c>
      <c r="E736" s="4">
        <f t="shared" si="47"/>
        <v>6250</v>
      </c>
      <c r="F736" s="4">
        <f t="shared" si="50"/>
        <v>6250</v>
      </c>
      <c r="G736" s="4">
        <f t="shared" si="50"/>
        <v>0</v>
      </c>
      <c r="H736" s="4">
        <f t="shared" si="50"/>
        <v>0</v>
      </c>
      <c r="I736" s="4">
        <f t="shared" si="50"/>
        <v>0</v>
      </c>
      <c r="J736" s="184"/>
      <c r="K736" s="184"/>
    </row>
    <row r="737" spans="1:12" ht="21" customHeight="1" x14ac:dyDescent="0.25">
      <c r="A737" s="184" t="s">
        <v>119</v>
      </c>
      <c r="B737" s="184" t="s">
        <v>120</v>
      </c>
      <c r="C737" s="184" t="s">
        <v>14</v>
      </c>
      <c r="D737" s="6" t="s">
        <v>8</v>
      </c>
      <c r="E737" s="4">
        <f t="shared" si="47"/>
        <v>25746.25</v>
      </c>
      <c r="F737" s="4">
        <f>SUM(F738:F742)</f>
        <v>25746.25</v>
      </c>
      <c r="G737" s="4">
        <f>SUM(G738:G742)</f>
        <v>0</v>
      </c>
      <c r="H737" s="4">
        <f>SUM(H738:H742)</f>
        <v>0</v>
      </c>
      <c r="I737" s="4">
        <f>SUM(I738:I742)</f>
        <v>0</v>
      </c>
      <c r="J737" s="184" t="s">
        <v>1222</v>
      </c>
      <c r="K737" s="184" t="s">
        <v>484</v>
      </c>
      <c r="L737" s="124" t="s">
        <v>950</v>
      </c>
    </row>
    <row r="738" spans="1:12" ht="21" customHeight="1" x14ac:dyDescent="0.25">
      <c r="A738" s="184"/>
      <c r="B738" s="184"/>
      <c r="C738" s="184"/>
      <c r="D738" s="6">
        <v>2021</v>
      </c>
      <c r="E738" s="4">
        <f t="shared" si="47"/>
        <v>3320.7</v>
      </c>
      <c r="F738" s="4">
        <v>3320.7</v>
      </c>
      <c r="G738" s="4">
        <v>0</v>
      </c>
      <c r="H738" s="4">
        <v>0</v>
      </c>
      <c r="I738" s="4">
        <v>0</v>
      </c>
      <c r="J738" s="184"/>
      <c r="K738" s="184"/>
      <c r="L738" s="124"/>
    </row>
    <row r="739" spans="1:12" ht="21" customHeight="1" x14ac:dyDescent="0.25">
      <c r="A739" s="184"/>
      <c r="B739" s="184"/>
      <c r="C739" s="184"/>
      <c r="D739" s="6">
        <v>2022</v>
      </c>
      <c r="E739" s="4">
        <f t="shared" si="47"/>
        <v>5975.3</v>
      </c>
      <c r="F739" s="4">
        <v>5975.3</v>
      </c>
      <c r="G739" s="4">
        <v>0</v>
      </c>
      <c r="H739" s="4">
        <v>0</v>
      </c>
      <c r="I739" s="4">
        <v>0</v>
      </c>
      <c r="J739" s="184"/>
      <c r="K739" s="184"/>
      <c r="L739" s="124"/>
    </row>
    <row r="740" spans="1:12" ht="21" customHeight="1" x14ac:dyDescent="0.25">
      <c r="A740" s="184"/>
      <c r="B740" s="184"/>
      <c r="C740" s="184"/>
      <c r="D740" s="6">
        <v>2023</v>
      </c>
      <c r="E740" s="4">
        <f t="shared" si="47"/>
        <v>3950.25</v>
      </c>
      <c r="F740" s="4">
        <f>6250-2299.75</f>
        <v>3950.25</v>
      </c>
      <c r="G740" s="4">
        <v>0</v>
      </c>
      <c r="H740" s="4">
        <v>0</v>
      </c>
      <c r="I740" s="4">
        <v>0</v>
      </c>
      <c r="J740" s="184"/>
      <c r="K740" s="184"/>
      <c r="L740" s="124"/>
    </row>
    <row r="741" spans="1:12" ht="21" customHeight="1" x14ac:dyDescent="0.25">
      <c r="A741" s="184"/>
      <c r="B741" s="184"/>
      <c r="C741" s="184"/>
      <c r="D741" s="6">
        <v>2024</v>
      </c>
      <c r="E741" s="4">
        <f t="shared" si="47"/>
        <v>6250</v>
      </c>
      <c r="F741" s="4">
        <v>6250</v>
      </c>
      <c r="G741" s="4">
        <v>0</v>
      </c>
      <c r="H741" s="4">
        <v>0</v>
      </c>
      <c r="I741" s="4">
        <v>0</v>
      </c>
      <c r="J741" s="184"/>
      <c r="K741" s="184"/>
      <c r="L741" s="124"/>
    </row>
    <row r="742" spans="1:12" ht="21" customHeight="1" x14ac:dyDescent="0.25">
      <c r="A742" s="184"/>
      <c r="B742" s="184"/>
      <c r="C742" s="184"/>
      <c r="D742" s="6">
        <v>2025</v>
      </c>
      <c r="E742" s="4">
        <f t="shared" si="47"/>
        <v>6250</v>
      </c>
      <c r="F742" s="4">
        <v>6250</v>
      </c>
      <c r="G742" s="4">
        <v>0</v>
      </c>
      <c r="H742" s="4">
        <v>0</v>
      </c>
      <c r="I742" s="4">
        <v>0</v>
      </c>
      <c r="J742" s="184"/>
      <c r="K742" s="184"/>
      <c r="L742" s="124"/>
    </row>
    <row r="743" spans="1:12" ht="20.25" customHeight="1" x14ac:dyDescent="0.25">
      <c r="A743" s="184" t="s">
        <v>122</v>
      </c>
      <c r="B743" s="184" t="s">
        <v>123</v>
      </c>
      <c r="C743" s="184" t="s">
        <v>124</v>
      </c>
      <c r="D743" s="6" t="s">
        <v>8</v>
      </c>
      <c r="E743" s="4">
        <f t="shared" si="47"/>
        <v>447152.68754999997</v>
      </c>
      <c r="F743" s="4">
        <f>SUM(F744:F748)</f>
        <v>316032.67813999997</v>
      </c>
      <c r="G743" s="4">
        <f>SUM(G744:G748)</f>
        <v>121253.24804000001</v>
      </c>
      <c r="H743" s="4">
        <f>SUM(H744:H748)</f>
        <v>9866.7613700000002</v>
      </c>
      <c r="I743" s="4">
        <f>SUM(I744:I748)</f>
        <v>0</v>
      </c>
      <c r="J743" s="184" t="s">
        <v>949</v>
      </c>
      <c r="K743" s="184" t="s">
        <v>547</v>
      </c>
      <c r="L743" s="124"/>
    </row>
    <row r="744" spans="1:12" ht="20.25" customHeight="1" x14ac:dyDescent="0.25">
      <c r="A744" s="184"/>
      <c r="B744" s="184"/>
      <c r="C744" s="184"/>
      <c r="D744" s="6">
        <v>2021</v>
      </c>
      <c r="E744" s="4">
        <f t="shared" si="47"/>
        <v>94469.148000000001</v>
      </c>
      <c r="F744" s="4">
        <v>5458.1030000000001</v>
      </c>
      <c r="G744" s="4">
        <v>88723.845000000001</v>
      </c>
      <c r="H744" s="4">
        <v>287.2</v>
      </c>
      <c r="I744" s="4">
        <v>0</v>
      </c>
      <c r="J744" s="184"/>
      <c r="K744" s="184"/>
      <c r="L744" s="124"/>
    </row>
    <row r="745" spans="1:12" ht="20.25" customHeight="1" x14ac:dyDescent="0.25">
      <c r="A745" s="184"/>
      <c r="B745" s="184"/>
      <c r="C745" s="184"/>
      <c r="D745" s="6">
        <v>2022</v>
      </c>
      <c r="E745" s="4">
        <f t="shared" si="47"/>
        <v>352683.53954999999</v>
      </c>
      <c r="F745" s="4">
        <v>310574.57513999997</v>
      </c>
      <c r="G745" s="4">
        <v>32529.403040000001</v>
      </c>
      <c r="H745" s="4">
        <v>9579.5613699999994</v>
      </c>
      <c r="I745" s="4">
        <v>0</v>
      </c>
      <c r="J745" s="184"/>
      <c r="K745" s="184"/>
      <c r="L745" s="124"/>
    </row>
    <row r="746" spans="1:12" ht="20.25" customHeight="1" x14ac:dyDescent="0.25">
      <c r="A746" s="184"/>
      <c r="B746" s="184"/>
      <c r="C746" s="184"/>
      <c r="D746" s="6">
        <v>2023</v>
      </c>
      <c r="E746" s="4">
        <f t="shared" si="47"/>
        <v>0</v>
      </c>
      <c r="F746" s="4">
        <v>0</v>
      </c>
      <c r="G746" s="4">
        <v>0</v>
      </c>
      <c r="H746" s="4">
        <v>0</v>
      </c>
      <c r="I746" s="4">
        <v>0</v>
      </c>
      <c r="J746" s="184"/>
      <c r="K746" s="184"/>
      <c r="L746" s="124"/>
    </row>
    <row r="747" spans="1:12" ht="20.25" customHeight="1" x14ac:dyDescent="0.25">
      <c r="A747" s="184"/>
      <c r="B747" s="184"/>
      <c r="C747" s="184"/>
      <c r="D747" s="6">
        <v>2024</v>
      </c>
      <c r="E747" s="4">
        <f t="shared" si="47"/>
        <v>0</v>
      </c>
      <c r="F747" s="4">
        <v>0</v>
      </c>
      <c r="G747" s="4">
        <v>0</v>
      </c>
      <c r="H747" s="4">
        <v>0</v>
      </c>
      <c r="I747" s="4">
        <v>0</v>
      </c>
      <c r="J747" s="184"/>
      <c r="K747" s="184"/>
      <c r="L747" s="124"/>
    </row>
    <row r="748" spans="1:12" ht="20.25" customHeight="1" x14ac:dyDescent="0.25">
      <c r="A748" s="184"/>
      <c r="B748" s="184"/>
      <c r="C748" s="184"/>
      <c r="D748" s="6">
        <v>2025</v>
      </c>
      <c r="E748" s="4">
        <f t="shared" si="47"/>
        <v>0</v>
      </c>
      <c r="F748" s="4">
        <v>0</v>
      </c>
      <c r="G748" s="4">
        <v>0</v>
      </c>
      <c r="H748" s="4">
        <v>0</v>
      </c>
      <c r="I748" s="4">
        <v>0</v>
      </c>
      <c r="J748" s="184"/>
      <c r="K748" s="184"/>
      <c r="L748" s="124"/>
    </row>
    <row r="749" spans="1:12" ht="15" customHeight="1" x14ac:dyDescent="0.25">
      <c r="A749" s="184" t="s">
        <v>126</v>
      </c>
      <c r="B749" s="184" t="s">
        <v>127</v>
      </c>
      <c r="C749" s="184" t="s">
        <v>124</v>
      </c>
      <c r="D749" s="6" t="s">
        <v>8</v>
      </c>
      <c r="E749" s="4">
        <f t="shared" si="47"/>
        <v>508717.68395999999</v>
      </c>
      <c r="F749" s="4">
        <v>242209.413</v>
      </c>
      <c r="G749" s="4">
        <v>253746.75095999998</v>
      </c>
      <c r="H749" s="4">
        <v>12761.52</v>
      </c>
      <c r="I749" s="4">
        <f>SUM(I750:I754)</f>
        <v>0</v>
      </c>
      <c r="J749" s="184" t="s">
        <v>1223</v>
      </c>
      <c r="K749" s="184" t="s">
        <v>547</v>
      </c>
    </row>
    <row r="750" spans="1:12" x14ac:dyDescent="0.25">
      <c r="A750" s="184"/>
      <c r="B750" s="184"/>
      <c r="C750" s="184"/>
      <c r="D750" s="6">
        <v>2021</v>
      </c>
      <c r="E750" s="4">
        <f t="shared" si="47"/>
        <v>179693.33100000001</v>
      </c>
      <c r="F750" s="4">
        <v>10382.057000000001</v>
      </c>
      <c r="G750" s="4">
        <v>168764.85399999999</v>
      </c>
      <c r="H750" s="4">
        <v>546.41999999999996</v>
      </c>
      <c r="I750" s="4">
        <v>0</v>
      </c>
      <c r="J750" s="184"/>
      <c r="K750" s="184"/>
    </row>
    <row r="751" spans="1:12" x14ac:dyDescent="0.25">
      <c r="A751" s="184"/>
      <c r="B751" s="184"/>
      <c r="C751" s="184"/>
      <c r="D751" s="6">
        <v>2022</v>
      </c>
      <c r="E751" s="4">
        <f t="shared" si="47"/>
        <v>325847.71465000004</v>
      </c>
      <c r="F751" s="4">
        <v>171730.75679000001</v>
      </c>
      <c r="G751" s="4">
        <v>145078.49695999999</v>
      </c>
      <c r="H751" s="4">
        <v>9038.4609</v>
      </c>
      <c r="I751" s="4">
        <v>0</v>
      </c>
      <c r="J751" s="184"/>
      <c r="K751" s="184"/>
    </row>
    <row r="752" spans="1:12" x14ac:dyDescent="0.25">
      <c r="A752" s="184"/>
      <c r="B752" s="184"/>
      <c r="C752" s="184"/>
      <c r="D752" s="6">
        <v>2023</v>
      </c>
      <c r="E752" s="4">
        <f t="shared" si="47"/>
        <v>0</v>
      </c>
      <c r="F752" s="4">
        <v>0</v>
      </c>
      <c r="G752" s="4">
        <v>0</v>
      </c>
      <c r="H752" s="4">
        <v>0</v>
      </c>
      <c r="I752" s="4">
        <v>0</v>
      </c>
      <c r="J752" s="184"/>
      <c r="K752" s="184"/>
    </row>
    <row r="753" spans="1:11" x14ac:dyDescent="0.25">
      <c r="A753" s="184"/>
      <c r="B753" s="184"/>
      <c r="C753" s="184"/>
      <c r="D753" s="6">
        <v>2024</v>
      </c>
      <c r="E753" s="4">
        <f t="shared" si="47"/>
        <v>0</v>
      </c>
      <c r="F753" s="4">
        <v>0</v>
      </c>
      <c r="G753" s="4">
        <v>0</v>
      </c>
      <c r="H753" s="4">
        <v>0</v>
      </c>
      <c r="I753" s="4">
        <v>0</v>
      </c>
      <c r="J753" s="184"/>
      <c r="K753" s="184"/>
    </row>
    <row r="754" spans="1:11" x14ac:dyDescent="0.25">
      <c r="A754" s="184"/>
      <c r="B754" s="184"/>
      <c r="C754" s="184"/>
      <c r="D754" s="6">
        <v>2025</v>
      </c>
      <c r="E754" s="4">
        <f t="shared" si="47"/>
        <v>0</v>
      </c>
      <c r="F754" s="4">
        <v>0</v>
      </c>
      <c r="G754" s="4">
        <v>0</v>
      </c>
      <c r="H754" s="4">
        <v>0</v>
      </c>
      <c r="I754" s="4">
        <v>0</v>
      </c>
      <c r="J754" s="184"/>
      <c r="K754" s="184"/>
    </row>
    <row r="755" spans="1:11" x14ac:dyDescent="0.25">
      <c r="A755" s="184" t="s">
        <v>128</v>
      </c>
      <c r="B755" s="184" t="s">
        <v>1224</v>
      </c>
      <c r="C755" s="184" t="s">
        <v>1216</v>
      </c>
      <c r="D755" s="6" t="s">
        <v>8</v>
      </c>
      <c r="E755" s="4">
        <f t="shared" si="47"/>
        <v>349770.91488999996</v>
      </c>
      <c r="F755" s="4">
        <f>SUM(F756:F760)</f>
        <v>211260.91915</v>
      </c>
      <c r="G755" s="4">
        <f>SUM(G756:G760)</f>
        <v>127391</v>
      </c>
      <c r="H755" s="4">
        <f>SUM(H756:H760)</f>
        <v>11118.995739999975</v>
      </c>
      <c r="I755" s="4">
        <f>SUM(I756:I760)</f>
        <v>0</v>
      </c>
      <c r="J755" s="184" t="s">
        <v>952</v>
      </c>
      <c r="K755" s="184" t="s">
        <v>547</v>
      </c>
    </row>
    <row r="756" spans="1:11" x14ac:dyDescent="0.25">
      <c r="A756" s="184"/>
      <c r="B756" s="184"/>
      <c r="C756" s="184"/>
      <c r="D756" s="6">
        <v>2021</v>
      </c>
      <c r="E756" s="4">
        <f t="shared" si="47"/>
        <v>0</v>
      </c>
      <c r="F756" s="4">
        <v>0</v>
      </c>
      <c r="G756" s="4">
        <v>0</v>
      </c>
      <c r="H756" s="4">
        <v>0</v>
      </c>
      <c r="I756" s="4">
        <v>0</v>
      </c>
      <c r="J756" s="184"/>
      <c r="K756" s="184"/>
    </row>
    <row r="757" spans="1:11" x14ac:dyDescent="0.25">
      <c r="A757" s="184"/>
      <c r="B757" s="184"/>
      <c r="C757" s="184"/>
      <c r="D757" s="6">
        <v>2022</v>
      </c>
      <c r="E757" s="4">
        <f t="shared" si="47"/>
        <v>0</v>
      </c>
      <c r="F757" s="4">
        <v>0</v>
      </c>
      <c r="G757" s="4">
        <v>0</v>
      </c>
      <c r="H757" s="4">
        <v>0</v>
      </c>
      <c r="I757" s="4">
        <v>0</v>
      </c>
      <c r="J757" s="184"/>
      <c r="K757" s="184"/>
    </row>
    <row r="758" spans="1:11" x14ac:dyDescent="0.25">
      <c r="A758" s="184"/>
      <c r="B758" s="184"/>
      <c r="C758" s="184"/>
      <c r="D758" s="6">
        <v>2023</v>
      </c>
      <c r="E758" s="4">
        <f t="shared" si="47"/>
        <v>135522.91488999996</v>
      </c>
      <c r="F758" s="4">
        <f>(135116319.15-127391000)/1000</f>
        <v>7725.3191500000057</v>
      </c>
      <c r="G758" s="4">
        <v>127391</v>
      </c>
      <c r="H758" s="4">
        <f>135522914.89/1000-F758-G758</f>
        <v>406.59573999997519</v>
      </c>
      <c r="I758" s="4">
        <v>0</v>
      </c>
      <c r="J758" s="184"/>
      <c r="K758" s="184"/>
    </row>
    <row r="759" spans="1:11" x14ac:dyDescent="0.25">
      <c r="A759" s="184"/>
      <c r="B759" s="184"/>
      <c r="C759" s="184"/>
      <c r="D759" s="6">
        <v>2024</v>
      </c>
      <c r="E759" s="4">
        <f t="shared" si="47"/>
        <v>214248</v>
      </c>
      <c r="F759" s="4">
        <v>203535.6</v>
      </c>
      <c r="G759" s="4">
        <v>0</v>
      </c>
      <c r="H759" s="4">
        <v>10712.4</v>
      </c>
      <c r="I759" s="4">
        <v>0</v>
      </c>
      <c r="J759" s="184"/>
      <c r="K759" s="184"/>
    </row>
    <row r="760" spans="1:11" x14ac:dyDescent="0.25">
      <c r="A760" s="184"/>
      <c r="B760" s="184"/>
      <c r="C760" s="184"/>
      <c r="D760" s="6">
        <v>2025</v>
      </c>
      <c r="E760" s="4">
        <f t="shared" si="47"/>
        <v>0</v>
      </c>
      <c r="F760" s="4">
        <v>0</v>
      </c>
      <c r="G760" s="4">
        <v>0</v>
      </c>
      <c r="H760" s="4">
        <v>0</v>
      </c>
      <c r="I760" s="4">
        <v>0</v>
      </c>
      <c r="J760" s="184"/>
      <c r="K760" s="184"/>
    </row>
    <row r="761" spans="1:11" ht="15" customHeight="1" x14ac:dyDescent="0.25">
      <c r="A761" s="184" t="s">
        <v>131</v>
      </c>
      <c r="B761" s="184" t="s">
        <v>132</v>
      </c>
      <c r="C761" s="184" t="s">
        <v>14</v>
      </c>
      <c r="D761" s="6" t="s">
        <v>8</v>
      </c>
      <c r="E761" s="4">
        <f t="shared" si="47"/>
        <v>254013.038</v>
      </c>
      <c r="F761" s="4">
        <f>SUM(F762:F766)</f>
        <v>254013.038</v>
      </c>
      <c r="G761" s="4">
        <f>SUM(G762:G766)</f>
        <v>0</v>
      </c>
      <c r="H761" s="4">
        <f>SUM(H762:H766)</f>
        <v>0</v>
      </c>
      <c r="I761" s="4">
        <f>SUM(I762:I766)</f>
        <v>0</v>
      </c>
      <c r="J761" s="184"/>
      <c r="K761" s="184" t="s">
        <v>484</v>
      </c>
    </row>
    <row r="762" spans="1:11" x14ac:dyDescent="0.25">
      <c r="A762" s="184"/>
      <c r="B762" s="184"/>
      <c r="C762" s="184"/>
      <c r="D762" s="6">
        <v>2021</v>
      </c>
      <c r="E762" s="4">
        <f t="shared" si="47"/>
        <v>40456.699999999997</v>
      </c>
      <c r="F762" s="4">
        <f t="shared" ref="F762:I766" si="51">F768</f>
        <v>40456.699999999997</v>
      </c>
      <c r="G762" s="4">
        <f t="shared" si="51"/>
        <v>0</v>
      </c>
      <c r="H762" s="4">
        <f t="shared" si="51"/>
        <v>0</v>
      </c>
      <c r="I762" s="4">
        <f t="shared" si="51"/>
        <v>0</v>
      </c>
      <c r="J762" s="184"/>
      <c r="K762" s="184"/>
    </row>
    <row r="763" spans="1:11" x14ac:dyDescent="0.25">
      <c r="A763" s="184"/>
      <c r="B763" s="184"/>
      <c r="C763" s="184"/>
      <c r="D763" s="6">
        <v>2022</v>
      </c>
      <c r="E763" s="4">
        <f t="shared" si="47"/>
        <v>50867.625999999997</v>
      </c>
      <c r="F763" s="4">
        <f t="shared" si="51"/>
        <v>50867.625999999997</v>
      </c>
      <c r="G763" s="4">
        <f t="shared" si="51"/>
        <v>0</v>
      </c>
      <c r="H763" s="4">
        <f t="shared" si="51"/>
        <v>0</v>
      </c>
      <c r="I763" s="4">
        <f t="shared" si="51"/>
        <v>0</v>
      </c>
      <c r="J763" s="184"/>
      <c r="K763" s="184"/>
    </row>
    <row r="764" spans="1:11" x14ac:dyDescent="0.25">
      <c r="A764" s="184"/>
      <c r="B764" s="184"/>
      <c r="C764" s="184"/>
      <c r="D764" s="6">
        <v>2023</v>
      </c>
      <c r="E764" s="4">
        <f t="shared" si="47"/>
        <v>54125.195</v>
      </c>
      <c r="F764" s="4">
        <f t="shared" si="51"/>
        <v>54125.195</v>
      </c>
      <c r="G764" s="4">
        <f t="shared" si="51"/>
        <v>0</v>
      </c>
      <c r="H764" s="4">
        <f t="shared" si="51"/>
        <v>0</v>
      </c>
      <c r="I764" s="4">
        <f t="shared" si="51"/>
        <v>0</v>
      </c>
      <c r="J764" s="184"/>
      <c r="K764" s="184"/>
    </row>
    <row r="765" spans="1:11" x14ac:dyDescent="0.25">
      <c r="A765" s="184"/>
      <c r="B765" s="184"/>
      <c r="C765" s="184"/>
      <c r="D765" s="6">
        <v>2024</v>
      </c>
      <c r="E765" s="4">
        <f t="shared" si="47"/>
        <v>54249.398000000001</v>
      </c>
      <c r="F765" s="4">
        <f t="shared" si="51"/>
        <v>54249.398000000001</v>
      </c>
      <c r="G765" s="4">
        <f t="shared" si="51"/>
        <v>0</v>
      </c>
      <c r="H765" s="4">
        <f t="shared" si="51"/>
        <v>0</v>
      </c>
      <c r="I765" s="4">
        <f t="shared" si="51"/>
        <v>0</v>
      </c>
      <c r="J765" s="184"/>
      <c r="K765" s="184"/>
    </row>
    <row r="766" spans="1:11" ht="19.5" customHeight="1" x14ac:dyDescent="0.25">
      <c r="A766" s="184"/>
      <c r="B766" s="184"/>
      <c r="C766" s="184"/>
      <c r="D766" s="6">
        <v>2025</v>
      </c>
      <c r="E766" s="4">
        <f t="shared" si="47"/>
        <v>54314.118999999999</v>
      </c>
      <c r="F766" s="4">
        <f t="shared" si="51"/>
        <v>54314.118999999999</v>
      </c>
      <c r="G766" s="4">
        <f t="shared" si="51"/>
        <v>0</v>
      </c>
      <c r="H766" s="4">
        <f t="shared" si="51"/>
        <v>0</v>
      </c>
      <c r="I766" s="4">
        <f t="shared" si="51"/>
        <v>0</v>
      </c>
      <c r="J766" s="184"/>
      <c r="K766" s="184"/>
    </row>
    <row r="767" spans="1:11" x14ac:dyDescent="0.25">
      <c r="A767" s="184" t="s">
        <v>133</v>
      </c>
      <c r="B767" s="184" t="s">
        <v>134</v>
      </c>
      <c r="C767" s="184" t="s">
        <v>14</v>
      </c>
      <c r="D767" s="6" t="s">
        <v>8</v>
      </c>
      <c r="E767" s="4">
        <f t="shared" si="47"/>
        <v>254013.038</v>
      </c>
      <c r="F767" s="4">
        <f>SUM(F768:F772)</f>
        <v>254013.038</v>
      </c>
      <c r="G767" s="4">
        <f>SUM(G768:G772)</f>
        <v>0</v>
      </c>
      <c r="H767" s="4">
        <f>SUM(H768:H772)</f>
        <v>0</v>
      </c>
      <c r="I767" s="4">
        <f>SUM(I768:I772)</f>
        <v>0</v>
      </c>
      <c r="J767" s="184" t="s">
        <v>605</v>
      </c>
      <c r="K767" s="184" t="s">
        <v>484</v>
      </c>
    </row>
    <row r="768" spans="1:11" x14ac:dyDescent="0.25">
      <c r="A768" s="184"/>
      <c r="B768" s="184"/>
      <c r="C768" s="184"/>
      <c r="D768" s="6">
        <v>2021</v>
      </c>
      <c r="E768" s="4">
        <f t="shared" ref="E768:E778" si="52">SUM(F768:I768)</f>
        <v>40456.699999999997</v>
      </c>
      <c r="F768" s="4">
        <f t="shared" ref="F768:I772" si="53">F774</f>
        <v>40456.699999999997</v>
      </c>
      <c r="G768" s="4">
        <f t="shared" si="53"/>
        <v>0</v>
      </c>
      <c r="H768" s="4">
        <f t="shared" si="53"/>
        <v>0</v>
      </c>
      <c r="I768" s="4">
        <f t="shared" si="53"/>
        <v>0</v>
      </c>
      <c r="J768" s="184"/>
      <c r="K768" s="184"/>
    </row>
    <row r="769" spans="1:11" x14ac:dyDescent="0.25">
      <c r="A769" s="184"/>
      <c r="B769" s="184"/>
      <c r="C769" s="184"/>
      <c r="D769" s="6">
        <v>2022</v>
      </c>
      <c r="E769" s="4">
        <f t="shared" si="52"/>
        <v>50867.625999999997</v>
      </c>
      <c r="F769" s="4">
        <f t="shared" si="53"/>
        <v>50867.625999999997</v>
      </c>
      <c r="G769" s="4">
        <f t="shared" si="53"/>
        <v>0</v>
      </c>
      <c r="H769" s="4">
        <f t="shared" si="53"/>
        <v>0</v>
      </c>
      <c r="I769" s="4">
        <f t="shared" si="53"/>
        <v>0</v>
      </c>
      <c r="J769" s="184"/>
      <c r="K769" s="184"/>
    </row>
    <row r="770" spans="1:11" x14ac:dyDescent="0.25">
      <c r="A770" s="184"/>
      <c r="B770" s="184"/>
      <c r="C770" s="184"/>
      <c r="D770" s="6">
        <v>2023</v>
      </c>
      <c r="E770" s="4">
        <f t="shared" si="52"/>
        <v>54125.195</v>
      </c>
      <c r="F770" s="4">
        <f t="shared" si="53"/>
        <v>54125.195</v>
      </c>
      <c r="G770" s="4">
        <f t="shared" si="53"/>
        <v>0</v>
      </c>
      <c r="H770" s="4">
        <f t="shared" si="53"/>
        <v>0</v>
      </c>
      <c r="I770" s="4">
        <f t="shared" si="53"/>
        <v>0</v>
      </c>
      <c r="J770" s="184"/>
      <c r="K770" s="184"/>
    </row>
    <row r="771" spans="1:11" x14ac:dyDescent="0.25">
      <c r="A771" s="184"/>
      <c r="B771" s="184"/>
      <c r="C771" s="184"/>
      <c r="D771" s="6">
        <v>2024</v>
      </c>
      <c r="E771" s="4">
        <f t="shared" si="52"/>
        <v>54249.398000000001</v>
      </c>
      <c r="F771" s="4">
        <f t="shared" si="53"/>
        <v>54249.398000000001</v>
      </c>
      <c r="G771" s="4">
        <f t="shared" si="53"/>
        <v>0</v>
      </c>
      <c r="H771" s="4">
        <f t="shared" si="53"/>
        <v>0</v>
      </c>
      <c r="I771" s="4">
        <f t="shared" si="53"/>
        <v>0</v>
      </c>
      <c r="J771" s="184"/>
      <c r="K771" s="184"/>
    </row>
    <row r="772" spans="1:11" x14ac:dyDescent="0.25">
      <c r="A772" s="184"/>
      <c r="B772" s="184"/>
      <c r="C772" s="184"/>
      <c r="D772" s="6">
        <v>2025</v>
      </c>
      <c r="E772" s="4">
        <f t="shared" si="52"/>
        <v>54314.118999999999</v>
      </c>
      <c r="F772" s="4">
        <f t="shared" si="53"/>
        <v>54314.118999999999</v>
      </c>
      <c r="G772" s="4">
        <f>G778</f>
        <v>0</v>
      </c>
      <c r="H772" s="4">
        <f>H778</f>
        <v>0</v>
      </c>
      <c r="I772" s="4">
        <f>I778</f>
        <v>0</v>
      </c>
      <c r="J772" s="184"/>
      <c r="K772" s="184"/>
    </row>
    <row r="773" spans="1:11" x14ac:dyDescent="0.25">
      <c r="A773" s="184" t="s">
        <v>135</v>
      </c>
      <c r="B773" s="184" t="s">
        <v>954</v>
      </c>
      <c r="C773" s="184" t="s">
        <v>14</v>
      </c>
      <c r="D773" s="6" t="s">
        <v>8</v>
      </c>
      <c r="E773" s="4">
        <f t="shared" si="52"/>
        <v>254013.038</v>
      </c>
      <c r="F773" s="4">
        <f>SUM(F774:F778)</f>
        <v>254013.038</v>
      </c>
      <c r="G773" s="4">
        <f>SUM(G774:G778)</f>
        <v>0</v>
      </c>
      <c r="H773" s="4">
        <f>SUM(H774:H778)</f>
        <v>0</v>
      </c>
      <c r="I773" s="4">
        <f>SUM(I774:I778)</f>
        <v>0</v>
      </c>
      <c r="J773" s="184" t="s">
        <v>607</v>
      </c>
      <c r="K773" s="184" t="s">
        <v>484</v>
      </c>
    </row>
    <row r="774" spans="1:11" x14ac:dyDescent="0.25">
      <c r="A774" s="184"/>
      <c r="B774" s="184"/>
      <c r="C774" s="184"/>
      <c r="D774" s="6">
        <v>2021</v>
      </c>
      <c r="E774" s="4">
        <f t="shared" si="52"/>
        <v>40456.699999999997</v>
      </c>
      <c r="F774" s="4">
        <v>40456.699999999997</v>
      </c>
      <c r="G774" s="4">
        <v>0</v>
      </c>
      <c r="H774" s="4">
        <v>0</v>
      </c>
      <c r="I774" s="4">
        <v>0</v>
      </c>
      <c r="J774" s="184"/>
      <c r="K774" s="184"/>
    </row>
    <row r="775" spans="1:11" x14ac:dyDescent="0.25">
      <c r="A775" s="184"/>
      <c r="B775" s="184"/>
      <c r="C775" s="184"/>
      <c r="D775" s="6">
        <v>2022</v>
      </c>
      <c r="E775" s="4">
        <f t="shared" si="52"/>
        <v>50867.625999999997</v>
      </c>
      <c r="F775" s="4">
        <v>50867.625999999997</v>
      </c>
      <c r="G775" s="4">
        <v>0</v>
      </c>
      <c r="H775" s="4">
        <v>0</v>
      </c>
      <c r="I775" s="4">
        <v>0</v>
      </c>
      <c r="J775" s="184"/>
      <c r="K775" s="184"/>
    </row>
    <row r="776" spans="1:11" x14ac:dyDescent="0.25">
      <c r="A776" s="184"/>
      <c r="B776" s="184"/>
      <c r="C776" s="184"/>
      <c r="D776" s="6">
        <v>2023</v>
      </c>
      <c r="E776" s="4">
        <f t="shared" si="52"/>
        <v>54125.195</v>
      </c>
      <c r="F776" s="4">
        <v>54125.195</v>
      </c>
      <c r="G776" s="4">
        <v>0</v>
      </c>
      <c r="H776" s="4">
        <v>0</v>
      </c>
      <c r="I776" s="4">
        <v>0</v>
      </c>
      <c r="J776" s="184"/>
      <c r="K776" s="184"/>
    </row>
    <row r="777" spans="1:11" x14ac:dyDescent="0.25">
      <c r="A777" s="184"/>
      <c r="B777" s="184"/>
      <c r="C777" s="184"/>
      <c r="D777" s="6">
        <v>2024</v>
      </c>
      <c r="E777" s="4">
        <f t="shared" si="52"/>
        <v>54249.398000000001</v>
      </c>
      <c r="F777" s="4">
        <v>54249.398000000001</v>
      </c>
      <c r="G777" s="4">
        <v>0</v>
      </c>
      <c r="H777" s="4">
        <v>0</v>
      </c>
      <c r="I777" s="4">
        <v>0</v>
      </c>
      <c r="J777" s="184"/>
      <c r="K777" s="184"/>
    </row>
    <row r="778" spans="1:11" x14ac:dyDescent="0.25">
      <c r="A778" s="184"/>
      <c r="B778" s="184"/>
      <c r="C778" s="184"/>
      <c r="D778" s="6">
        <v>2025</v>
      </c>
      <c r="E778" s="4">
        <f t="shared" si="52"/>
        <v>54314.118999999999</v>
      </c>
      <c r="F778" s="4">
        <v>54314.118999999999</v>
      </c>
      <c r="G778" s="4">
        <v>0</v>
      </c>
      <c r="H778" s="4">
        <v>0</v>
      </c>
      <c r="I778" s="4">
        <v>0</v>
      </c>
      <c r="J778" s="184"/>
      <c r="K778" s="184"/>
    </row>
    <row r="780" spans="1:11" x14ac:dyDescent="0.25">
      <c r="A780" s="5" t="s">
        <v>1745</v>
      </c>
    </row>
  </sheetData>
  <autoFilter ref="A4:L778"/>
  <mergeCells count="666">
    <mergeCell ref="A1:K2"/>
    <mergeCell ref="A3:A4"/>
    <mergeCell ref="B3:B4"/>
    <mergeCell ref="C3:C4"/>
    <mergeCell ref="D3:I3"/>
    <mergeCell ref="J3:J4"/>
    <mergeCell ref="K3:K4"/>
    <mergeCell ref="A5:A10"/>
    <mergeCell ref="B5:B10"/>
    <mergeCell ref="C5:C10"/>
    <mergeCell ref="J5:J10"/>
    <mergeCell ref="K5:K10"/>
    <mergeCell ref="A11:A16"/>
    <mergeCell ref="B11:B16"/>
    <mergeCell ref="C11:C16"/>
    <mergeCell ref="J11:J16"/>
    <mergeCell ref="K11:K16"/>
    <mergeCell ref="L23:L28"/>
    <mergeCell ref="A29:A34"/>
    <mergeCell ref="B29:B34"/>
    <mergeCell ref="C29:C34"/>
    <mergeCell ref="J29:J34"/>
    <mergeCell ref="K29:K34"/>
    <mergeCell ref="L29:L34"/>
    <mergeCell ref="A17:A22"/>
    <mergeCell ref="B17:B22"/>
    <mergeCell ref="C17:C22"/>
    <mergeCell ref="J17:J22"/>
    <mergeCell ref="K17:K22"/>
    <mergeCell ref="A23:A28"/>
    <mergeCell ref="B23:B28"/>
    <mergeCell ref="C23:C28"/>
    <mergeCell ref="J23:J28"/>
    <mergeCell ref="K23:K28"/>
    <mergeCell ref="L41:L46"/>
    <mergeCell ref="A47:A52"/>
    <mergeCell ref="B47:B52"/>
    <mergeCell ref="C47:C52"/>
    <mergeCell ref="J47:J52"/>
    <mergeCell ref="K47:K52"/>
    <mergeCell ref="A35:A40"/>
    <mergeCell ref="B35:B40"/>
    <mergeCell ref="C35:C40"/>
    <mergeCell ref="J35:J40"/>
    <mergeCell ref="K35:K40"/>
    <mergeCell ref="A41:A46"/>
    <mergeCell ref="B41:B46"/>
    <mergeCell ref="C41:C46"/>
    <mergeCell ref="J41:J46"/>
    <mergeCell ref="K41:K46"/>
    <mergeCell ref="A53:A58"/>
    <mergeCell ref="B53:B58"/>
    <mergeCell ref="C53:C58"/>
    <mergeCell ref="J53:J58"/>
    <mergeCell ref="K53:K58"/>
    <mergeCell ref="A59:A64"/>
    <mergeCell ref="B59:B64"/>
    <mergeCell ref="C59:C64"/>
    <mergeCell ref="J59:J64"/>
    <mergeCell ref="K59:K64"/>
    <mergeCell ref="A65:A70"/>
    <mergeCell ref="B65:B70"/>
    <mergeCell ref="C65:C70"/>
    <mergeCell ref="J65:J70"/>
    <mergeCell ref="K65:K70"/>
    <mergeCell ref="A71:A76"/>
    <mergeCell ref="B71:B76"/>
    <mergeCell ref="C71:C76"/>
    <mergeCell ref="J71:J76"/>
    <mergeCell ref="K71:K76"/>
    <mergeCell ref="A77:A82"/>
    <mergeCell ref="B77:B82"/>
    <mergeCell ref="C77:C82"/>
    <mergeCell ref="J77:J82"/>
    <mergeCell ref="K77:K82"/>
    <mergeCell ref="A83:A88"/>
    <mergeCell ref="B83:B88"/>
    <mergeCell ref="C83:C88"/>
    <mergeCell ref="J83:J88"/>
    <mergeCell ref="K83:K88"/>
    <mergeCell ref="A89:A94"/>
    <mergeCell ref="B89:B94"/>
    <mergeCell ref="C89:C94"/>
    <mergeCell ref="J89:J94"/>
    <mergeCell ref="K89:K94"/>
    <mergeCell ref="A95:A100"/>
    <mergeCell ref="B95:B100"/>
    <mergeCell ref="C95:C100"/>
    <mergeCell ref="J95:J100"/>
    <mergeCell ref="K95:K100"/>
    <mergeCell ref="A101:A106"/>
    <mergeCell ref="B101:B106"/>
    <mergeCell ref="C101:C106"/>
    <mergeCell ref="J101:J106"/>
    <mergeCell ref="K101:K106"/>
    <mergeCell ref="A107:A112"/>
    <mergeCell ref="B107:B112"/>
    <mergeCell ref="C107:C112"/>
    <mergeCell ref="J107:J112"/>
    <mergeCell ref="K107:K112"/>
    <mergeCell ref="A113:A118"/>
    <mergeCell ref="B113:B118"/>
    <mergeCell ref="C113:C118"/>
    <mergeCell ref="J113:J118"/>
    <mergeCell ref="K113:K118"/>
    <mergeCell ref="A119:A124"/>
    <mergeCell ref="B119:B124"/>
    <mergeCell ref="C119:C124"/>
    <mergeCell ref="J119:J124"/>
    <mergeCell ref="K119:K124"/>
    <mergeCell ref="A125:A130"/>
    <mergeCell ref="B125:B130"/>
    <mergeCell ref="C125:C130"/>
    <mergeCell ref="J125:J130"/>
    <mergeCell ref="K125:K130"/>
    <mergeCell ref="A131:A136"/>
    <mergeCell ref="B131:B136"/>
    <mergeCell ref="C131:C136"/>
    <mergeCell ref="J131:J136"/>
    <mergeCell ref="K131:K136"/>
    <mergeCell ref="A137:A142"/>
    <mergeCell ref="B137:B142"/>
    <mergeCell ref="C137:C142"/>
    <mergeCell ref="J137:J142"/>
    <mergeCell ref="K137:K142"/>
    <mergeCell ref="A143:A148"/>
    <mergeCell ref="B143:B148"/>
    <mergeCell ref="C143:C148"/>
    <mergeCell ref="J143:J148"/>
    <mergeCell ref="K143:K148"/>
    <mergeCell ref="L155:L160"/>
    <mergeCell ref="A161:A166"/>
    <mergeCell ref="B161:B166"/>
    <mergeCell ref="C161:C166"/>
    <mergeCell ref="J161:J166"/>
    <mergeCell ref="K161:K166"/>
    <mergeCell ref="A149:A154"/>
    <mergeCell ref="B149:B154"/>
    <mergeCell ref="C149:C154"/>
    <mergeCell ref="J149:J154"/>
    <mergeCell ref="K149:K154"/>
    <mergeCell ref="A155:A160"/>
    <mergeCell ref="B155:B160"/>
    <mergeCell ref="C155:C160"/>
    <mergeCell ref="J155:J160"/>
    <mergeCell ref="K155:K160"/>
    <mergeCell ref="A167:A172"/>
    <mergeCell ref="B167:B172"/>
    <mergeCell ref="C167:C172"/>
    <mergeCell ref="J167:J172"/>
    <mergeCell ref="K167:K172"/>
    <mergeCell ref="A173:A178"/>
    <mergeCell ref="B173:B178"/>
    <mergeCell ref="C173:C178"/>
    <mergeCell ref="J173:J178"/>
    <mergeCell ref="K173:K178"/>
    <mergeCell ref="A185:A190"/>
    <mergeCell ref="B185:B190"/>
    <mergeCell ref="C185:C190"/>
    <mergeCell ref="J185:J190"/>
    <mergeCell ref="K185:K190"/>
    <mergeCell ref="L185:L190"/>
    <mergeCell ref="A179:A184"/>
    <mergeCell ref="B179:B184"/>
    <mergeCell ref="C179:C184"/>
    <mergeCell ref="J179:J184"/>
    <mergeCell ref="K179:K184"/>
    <mergeCell ref="L179:L184"/>
    <mergeCell ref="A191:A196"/>
    <mergeCell ref="B191:B196"/>
    <mergeCell ref="C191:C196"/>
    <mergeCell ref="J191:J196"/>
    <mergeCell ref="K191:K196"/>
    <mergeCell ref="A197:A202"/>
    <mergeCell ref="B197:B202"/>
    <mergeCell ref="C197:C202"/>
    <mergeCell ref="J197:J202"/>
    <mergeCell ref="K197:K202"/>
    <mergeCell ref="A203:A208"/>
    <mergeCell ref="B203:B208"/>
    <mergeCell ref="C203:C208"/>
    <mergeCell ref="J203:J208"/>
    <mergeCell ref="K203:K208"/>
    <mergeCell ref="A209:A214"/>
    <mergeCell ref="B209:B214"/>
    <mergeCell ref="C209:C214"/>
    <mergeCell ref="J209:J214"/>
    <mergeCell ref="K209:K214"/>
    <mergeCell ref="A215:A220"/>
    <mergeCell ref="B215:B220"/>
    <mergeCell ref="C215:C220"/>
    <mergeCell ref="J215:J220"/>
    <mergeCell ref="K215:K220"/>
    <mergeCell ref="A221:A226"/>
    <mergeCell ref="B221:B226"/>
    <mergeCell ref="C221:C226"/>
    <mergeCell ref="J221:J226"/>
    <mergeCell ref="K221:K226"/>
    <mergeCell ref="A227:A232"/>
    <mergeCell ref="B227:B232"/>
    <mergeCell ref="C227:C232"/>
    <mergeCell ref="J227:J232"/>
    <mergeCell ref="K227:K232"/>
    <mergeCell ref="A233:A238"/>
    <mergeCell ref="B233:B238"/>
    <mergeCell ref="C233:C238"/>
    <mergeCell ref="J233:J238"/>
    <mergeCell ref="K233:K238"/>
    <mergeCell ref="A239:A244"/>
    <mergeCell ref="B239:B244"/>
    <mergeCell ref="C239:C244"/>
    <mergeCell ref="J239:J244"/>
    <mergeCell ref="K239:K244"/>
    <mergeCell ref="A245:A250"/>
    <mergeCell ref="B245:B250"/>
    <mergeCell ref="C245:C250"/>
    <mergeCell ref="J245:J250"/>
    <mergeCell ref="K245:K250"/>
    <mergeCell ref="A251:A256"/>
    <mergeCell ref="B251:B256"/>
    <mergeCell ref="C251:C256"/>
    <mergeCell ref="J251:J256"/>
    <mergeCell ref="K251:K256"/>
    <mergeCell ref="A257:A262"/>
    <mergeCell ref="B257:B262"/>
    <mergeCell ref="C257:C262"/>
    <mergeCell ref="J257:J262"/>
    <mergeCell ref="K257:K262"/>
    <mergeCell ref="A263:A268"/>
    <mergeCell ref="B263:B268"/>
    <mergeCell ref="C263:C268"/>
    <mergeCell ref="J263:J268"/>
    <mergeCell ref="K263:K268"/>
    <mergeCell ref="A269:A274"/>
    <mergeCell ref="B269:B274"/>
    <mergeCell ref="C269:C274"/>
    <mergeCell ref="J269:J274"/>
    <mergeCell ref="K269:K274"/>
    <mergeCell ref="A275:A280"/>
    <mergeCell ref="B275:B280"/>
    <mergeCell ref="C275:C280"/>
    <mergeCell ref="J275:J280"/>
    <mergeCell ref="K275:K280"/>
    <mergeCell ref="A281:A286"/>
    <mergeCell ref="B281:B286"/>
    <mergeCell ref="C281:C286"/>
    <mergeCell ref="J281:J286"/>
    <mergeCell ref="K281:K286"/>
    <mergeCell ref="A287:A292"/>
    <mergeCell ref="B287:B292"/>
    <mergeCell ref="C287:C292"/>
    <mergeCell ref="J287:J292"/>
    <mergeCell ref="K287:K292"/>
    <mergeCell ref="A293:A298"/>
    <mergeCell ref="B293:B298"/>
    <mergeCell ref="C293:C298"/>
    <mergeCell ref="J293:J298"/>
    <mergeCell ref="K293:K298"/>
    <mergeCell ref="A299:A304"/>
    <mergeCell ref="B299:B304"/>
    <mergeCell ref="C299:C304"/>
    <mergeCell ref="J299:J304"/>
    <mergeCell ref="K299:K304"/>
    <mergeCell ref="A305:A310"/>
    <mergeCell ref="B305:B310"/>
    <mergeCell ref="C305:C310"/>
    <mergeCell ref="J305:J310"/>
    <mergeCell ref="K305:K310"/>
    <mergeCell ref="A311:A316"/>
    <mergeCell ref="B311:B316"/>
    <mergeCell ref="C311:C316"/>
    <mergeCell ref="J311:J316"/>
    <mergeCell ref="K311:K316"/>
    <mergeCell ref="A317:A322"/>
    <mergeCell ref="B317:B322"/>
    <mergeCell ref="C317:C322"/>
    <mergeCell ref="J317:J322"/>
    <mergeCell ref="K317:K322"/>
    <mergeCell ref="A323:A328"/>
    <mergeCell ref="B323:B328"/>
    <mergeCell ref="C323:C328"/>
    <mergeCell ref="J323:J328"/>
    <mergeCell ref="K323:K328"/>
    <mergeCell ref="A329:A334"/>
    <mergeCell ref="B329:B334"/>
    <mergeCell ref="C329:C334"/>
    <mergeCell ref="J329:J334"/>
    <mergeCell ref="K329:K334"/>
    <mergeCell ref="A335:A340"/>
    <mergeCell ref="B335:B340"/>
    <mergeCell ref="C335:C340"/>
    <mergeCell ref="J335:J340"/>
    <mergeCell ref="K335:K340"/>
    <mergeCell ref="A341:A346"/>
    <mergeCell ref="B341:B346"/>
    <mergeCell ref="C341:C346"/>
    <mergeCell ref="J341:J346"/>
    <mergeCell ref="K341:K346"/>
    <mergeCell ref="A347:A352"/>
    <mergeCell ref="B347:B352"/>
    <mergeCell ref="C347:C352"/>
    <mergeCell ref="J347:J352"/>
    <mergeCell ref="K347:K352"/>
    <mergeCell ref="A353:A358"/>
    <mergeCell ref="B353:B358"/>
    <mergeCell ref="C353:C358"/>
    <mergeCell ref="J353:J358"/>
    <mergeCell ref="K353:K358"/>
    <mergeCell ref="A359:A364"/>
    <mergeCell ref="B359:B364"/>
    <mergeCell ref="C359:C364"/>
    <mergeCell ref="J359:J364"/>
    <mergeCell ref="K359:K364"/>
    <mergeCell ref="A365:A370"/>
    <mergeCell ref="B365:B370"/>
    <mergeCell ref="C365:C370"/>
    <mergeCell ref="J365:J370"/>
    <mergeCell ref="K365:K370"/>
    <mergeCell ref="A371:A376"/>
    <mergeCell ref="B371:B376"/>
    <mergeCell ref="C371:C376"/>
    <mergeCell ref="J371:J376"/>
    <mergeCell ref="K371:K376"/>
    <mergeCell ref="A377:A382"/>
    <mergeCell ref="B377:B382"/>
    <mergeCell ref="C377:C382"/>
    <mergeCell ref="J377:J382"/>
    <mergeCell ref="K377:K382"/>
    <mergeCell ref="A383:A388"/>
    <mergeCell ref="B383:B388"/>
    <mergeCell ref="C383:C388"/>
    <mergeCell ref="J383:J388"/>
    <mergeCell ref="K383:K388"/>
    <mergeCell ref="A389:A394"/>
    <mergeCell ref="B389:B394"/>
    <mergeCell ref="C389:C394"/>
    <mergeCell ref="J389:J394"/>
    <mergeCell ref="K389:K394"/>
    <mergeCell ref="A401:A406"/>
    <mergeCell ref="B401:B406"/>
    <mergeCell ref="C401:C406"/>
    <mergeCell ref="J401:J406"/>
    <mergeCell ref="K401:K406"/>
    <mergeCell ref="L401:L406"/>
    <mergeCell ref="L389:L394"/>
    <mergeCell ref="A395:A400"/>
    <mergeCell ref="B395:B400"/>
    <mergeCell ref="C395:C400"/>
    <mergeCell ref="J395:J400"/>
    <mergeCell ref="K395:K400"/>
    <mergeCell ref="L395:L400"/>
    <mergeCell ref="A407:A412"/>
    <mergeCell ref="B407:B412"/>
    <mergeCell ref="C407:C412"/>
    <mergeCell ref="J407:J412"/>
    <mergeCell ref="K407:K412"/>
    <mergeCell ref="A413:A418"/>
    <mergeCell ref="B413:B418"/>
    <mergeCell ref="C413:C418"/>
    <mergeCell ref="J413:J418"/>
    <mergeCell ref="K413:K418"/>
    <mergeCell ref="A431:A436"/>
    <mergeCell ref="B431:B436"/>
    <mergeCell ref="C431:C436"/>
    <mergeCell ref="J431:J436"/>
    <mergeCell ref="K431:K436"/>
    <mergeCell ref="L431:L436"/>
    <mergeCell ref="A419:A424"/>
    <mergeCell ref="B419:B424"/>
    <mergeCell ref="C419:C424"/>
    <mergeCell ref="J419:J424"/>
    <mergeCell ref="K419:K424"/>
    <mergeCell ref="A425:A430"/>
    <mergeCell ref="B425:B430"/>
    <mergeCell ref="C425:C430"/>
    <mergeCell ref="J425:J430"/>
    <mergeCell ref="K425:K430"/>
    <mergeCell ref="L443:L448"/>
    <mergeCell ref="A449:A454"/>
    <mergeCell ref="B449:B454"/>
    <mergeCell ref="C449:C454"/>
    <mergeCell ref="J449:J454"/>
    <mergeCell ref="K449:K454"/>
    <mergeCell ref="A437:A442"/>
    <mergeCell ref="B437:B442"/>
    <mergeCell ref="C437:C442"/>
    <mergeCell ref="J437:J442"/>
    <mergeCell ref="K437:K442"/>
    <mergeCell ref="A443:A448"/>
    <mergeCell ref="B443:B448"/>
    <mergeCell ref="C443:C448"/>
    <mergeCell ref="J443:J448"/>
    <mergeCell ref="K443:K448"/>
    <mergeCell ref="L461:L463"/>
    <mergeCell ref="A467:A472"/>
    <mergeCell ref="B467:B472"/>
    <mergeCell ref="C467:C472"/>
    <mergeCell ref="J467:J472"/>
    <mergeCell ref="K467:K472"/>
    <mergeCell ref="A455:A460"/>
    <mergeCell ref="B455:B460"/>
    <mergeCell ref="C455:C460"/>
    <mergeCell ref="J455:J460"/>
    <mergeCell ref="K455:K460"/>
    <mergeCell ref="A461:A466"/>
    <mergeCell ref="B461:B466"/>
    <mergeCell ref="C461:C466"/>
    <mergeCell ref="J461:J466"/>
    <mergeCell ref="K461:K466"/>
    <mergeCell ref="A473:A478"/>
    <mergeCell ref="B473:B478"/>
    <mergeCell ref="C473:C478"/>
    <mergeCell ref="J473:J478"/>
    <mergeCell ref="K473:K478"/>
    <mergeCell ref="A479:A484"/>
    <mergeCell ref="B479:B484"/>
    <mergeCell ref="C479:C484"/>
    <mergeCell ref="J479:J484"/>
    <mergeCell ref="K479:K484"/>
    <mergeCell ref="A485:A490"/>
    <mergeCell ref="B485:B490"/>
    <mergeCell ref="C485:C490"/>
    <mergeCell ref="J485:J490"/>
    <mergeCell ref="K485:K490"/>
    <mergeCell ref="A491:A496"/>
    <mergeCell ref="B491:B496"/>
    <mergeCell ref="C491:C496"/>
    <mergeCell ref="J491:J496"/>
    <mergeCell ref="K491:K496"/>
    <mergeCell ref="A497:A502"/>
    <mergeCell ref="B497:B502"/>
    <mergeCell ref="C497:C502"/>
    <mergeCell ref="J497:J502"/>
    <mergeCell ref="K497:K502"/>
    <mergeCell ref="A503:A508"/>
    <mergeCell ref="B503:B508"/>
    <mergeCell ref="C503:C508"/>
    <mergeCell ref="J503:J508"/>
    <mergeCell ref="K503:K508"/>
    <mergeCell ref="A509:A514"/>
    <mergeCell ref="B509:B514"/>
    <mergeCell ref="C509:C514"/>
    <mergeCell ref="J509:J514"/>
    <mergeCell ref="K509:K514"/>
    <mergeCell ref="A515:A520"/>
    <mergeCell ref="B515:B520"/>
    <mergeCell ref="C515:C520"/>
    <mergeCell ref="J515:J520"/>
    <mergeCell ref="K515:K520"/>
    <mergeCell ref="A521:A526"/>
    <mergeCell ref="B521:B526"/>
    <mergeCell ref="C521:C526"/>
    <mergeCell ref="J521:J526"/>
    <mergeCell ref="K521:K526"/>
    <mergeCell ref="A527:A532"/>
    <mergeCell ref="B527:B532"/>
    <mergeCell ref="C527:C532"/>
    <mergeCell ref="J527:J532"/>
    <mergeCell ref="K527:K532"/>
    <mergeCell ref="A533:A538"/>
    <mergeCell ref="B533:B538"/>
    <mergeCell ref="C533:C538"/>
    <mergeCell ref="J533:J538"/>
    <mergeCell ref="K533:K538"/>
    <mergeCell ref="A539:A544"/>
    <mergeCell ref="B539:B544"/>
    <mergeCell ref="C539:C544"/>
    <mergeCell ref="J539:J544"/>
    <mergeCell ref="K539:K544"/>
    <mergeCell ref="A545:A550"/>
    <mergeCell ref="B545:B550"/>
    <mergeCell ref="C545:C550"/>
    <mergeCell ref="J545:J550"/>
    <mergeCell ref="K545:K550"/>
    <mergeCell ref="A551:A556"/>
    <mergeCell ref="B551:B556"/>
    <mergeCell ref="C551:C556"/>
    <mergeCell ref="J551:J556"/>
    <mergeCell ref="K551:K556"/>
    <mergeCell ref="A557:A562"/>
    <mergeCell ref="B557:B562"/>
    <mergeCell ref="C557:C562"/>
    <mergeCell ref="J557:J562"/>
    <mergeCell ref="K557:K562"/>
    <mergeCell ref="A563:A568"/>
    <mergeCell ref="B563:B568"/>
    <mergeCell ref="C563:C568"/>
    <mergeCell ref="J563:J568"/>
    <mergeCell ref="K563:K568"/>
    <mergeCell ref="A569:A574"/>
    <mergeCell ref="B569:B574"/>
    <mergeCell ref="C569:C574"/>
    <mergeCell ref="J569:J574"/>
    <mergeCell ref="K569:K574"/>
    <mergeCell ref="A575:A580"/>
    <mergeCell ref="B575:B580"/>
    <mergeCell ref="C575:C580"/>
    <mergeCell ref="J575:J580"/>
    <mergeCell ref="K575:K580"/>
    <mergeCell ref="A581:A586"/>
    <mergeCell ref="B581:B586"/>
    <mergeCell ref="C581:C586"/>
    <mergeCell ref="J581:J586"/>
    <mergeCell ref="K581:K586"/>
    <mergeCell ref="A587:A592"/>
    <mergeCell ref="B587:B592"/>
    <mergeCell ref="C587:C592"/>
    <mergeCell ref="J587:J592"/>
    <mergeCell ref="K587:K592"/>
    <mergeCell ref="A593:A598"/>
    <mergeCell ref="B593:B598"/>
    <mergeCell ref="C593:C598"/>
    <mergeCell ref="J593:J598"/>
    <mergeCell ref="K593:K598"/>
    <mergeCell ref="A599:A604"/>
    <mergeCell ref="B599:B604"/>
    <mergeCell ref="C599:C604"/>
    <mergeCell ref="J599:J604"/>
    <mergeCell ref="K599:K604"/>
    <mergeCell ref="A605:A610"/>
    <mergeCell ref="B605:B610"/>
    <mergeCell ref="C605:C610"/>
    <mergeCell ref="J605:J610"/>
    <mergeCell ref="K605:K610"/>
    <mergeCell ref="A611:A616"/>
    <mergeCell ref="B611:B616"/>
    <mergeCell ref="C611:C616"/>
    <mergeCell ref="J611:J616"/>
    <mergeCell ref="K611:K616"/>
    <mergeCell ref="A617:A622"/>
    <mergeCell ref="B617:B622"/>
    <mergeCell ref="C617:C622"/>
    <mergeCell ref="J617:J622"/>
    <mergeCell ref="K617:K622"/>
    <mergeCell ref="A623:A628"/>
    <mergeCell ref="B623:B628"/>
    <mergeCell ref="C623:C628"/>
    <mergeCell ref="J623:J628"/>
    <mergeCell ref="K623:K628"/>
    <mergeCell ref="A629:A634"/>
    <mergeCell ref="B629:B634"/>
    <mergeCell ref="C629:C634"/>
    <mergeCell ref="J629:J634"/>
    <mergeCell ref="K629:K634"/>
    <mergeCell ref="A635:A640"/>
    <mergeCell ref="B635:B640"/>
    <mergeCell ref="C635:C640"/>
    <mergeCell ref="J635:J640"/>
    <mergeCell ref="K635:K640"/>
    <mergeCell ref="A641:A646"/>
    <mergeCell ref="B641:B646"/>
    <mergeCell ref="C641:C646"/>
    <mergeCell ref="J641:J646"/>
    <mergeCell ref="K641:K646"/>
    <mergeCell ref="A647:A652"/>
    <mergeCell ref="B647:B652"/>
    <mergeCell ref="C647:C652"/>
    <mergeCell ref="J647:J652"/>
    <mergeCell ref="K647:K652"/>
    <mergeCell ref="A653:A658"/>
    <mergeCell ref="B653:B658"/>
    <mergeCell ref="C653:C658"/>
    <mergeCell ref="J653:J658"/>
    <mergeCell ref="K653:K658"/>
    <mergeCell ref="A659:A664"/>
    <mergeCell ref="B659:B664"/>
    <mergeCell ref="C659:C664"/>
    <mergeCell ref="J659:J664"/>
    <mergeCell ref="K659:K664"/>
    <mergeCell ref="A665:A670"/>
    <mergeCell ref="B665:B670"/>
    <mergeCell ref="C665:C670"/>
    <mergeCell ref="J665:J670"/>
    <mergeCell ref="K665:K670"/>
    <mergeCell ref="A671:A676"/>
    <mergeCell ref="B671:B676"/>
    <mergeCell ref="C671:C676"/>
    <mergeCell ref="J671:J676"/>
    <mergeCell ref="K671:K676"/>
    <mergeCell ref="A677:A682"/>
    <mergeCell ref="B677:B682"/>
    <mergeCell ref="C677:C682"/>
    <mergeCell ref="J677:J682"/>
    <mergeCell ref="K677:K682"/>
    <mergeCell ref="A683:A688"/>
    <mergeCell ref="B683:B688"/>
    <mergeCell ref="C683:C688"/>
    <mergeCell ref="J683:J688"/>
    <mergeCell ref="K683:K688"/>
    <mergeCell ref="A689:A694"/>
    <mergeCell ref="B689:B694"/>
    <mergeCell ref="C689:C694"/>
    <mergeCell ref="J689:J694"/>
    <mergeCell ref="K689:K694"/>
    <mergeCell ref="A695:A700"/>
    <mergeCell ref="B695:B700"/>
    <mergeCell ref="C695:C700"/>
    <mergeCell ref="J695:J700"/>
    <mergeCell ref="K695:K700"/>
    <mergeCell ref="A701:A706"/>
    <mergeCell ref="B701:B706"/>
    <mergeCell ref="C701:C706"/>
    <mergeCell ref="J701:J706"/>
    <mergeCell ref="K701:K706"/>
    <mergeCell ref="A707:A712"/>
    <mergeCell ref="B707:B712"/>
    <mergeCell ref="C707:C712"/>
    <mergeCell ref="J707:J712"/>
    <mergeCell ref="K707:K712"/>
    <mergeCell ref="A713:A718"/>
    <mergeCell ref="B713:B718"/>
    <mergeCell ref="C713:C718"/>
    <mergeCell ref="J713:J718"/>
    <mergeCell ref="K713:K718"/>
    <mergeCell ref="A719:A724"/>
    <mergeCell ref="B719:B724"/>
    <mergeCell ref="C719:C724"/>
    <mergeCell ref="J719:J724"/>
    <mergeCell ref="K719:K724"/>
    <mergeCell ref="A725:A730"/>
    <mergeCell ref="B725:B730"/>
    <mergeCell ref="C725:C730"/>
    <mergeCell ref="J725:J730"/>
    <mergeCell ref="K725:K730"/>
    <mergeCell ref="A731:A736"/>
    <mergeCell ref="B731:B736"/>
    <mergeCell ref="C731:C736"/>
    <mergeCell ref="J731:J736"/>
    <mergeCell ref="K731:K736"/>
    <mergeCell ref="A743:A748"/>
    <mergeCell ref="B743:B748"/>
    <mergeCell ref="C743:C748"/>
    <mergeCell ref="J743:J748"/>
    <mergeCell ref="K743:K748"/>
    <mergeCell ref="L743:L748"/>
    <mergeCell ref="A737:A742"/>
    <mergeCell ref="B737:B742"/>
    <mergeCell ref="C737:C742"/>
    <mergeCell ref="J737:J742"/>
    <mergeCell ref="K737:K742"/>
    <mergeCell ref="L737:L742"/>
    <mergeCell ref="A749:A754"/>
    <mergeCell ref="B749:B754"/>
    <mergeCell ref="C749:C754"/>
    <mergeCell ref="J749:J754"/>
    <mergeCell ref="K749:K754"/>
    <mergeCell ref="A755:A760"/>
    <mergeCell ref="B755:B760"/>
    <mergeCell ref="C755:C760"/>
    <mergeCell ref="J755:J760"/>
    <mergeCell ref="K755:K760"/>
    <mergeCell ref="A773:A778"/>
    <mergeCell ref="B773:B778"/>
    <mergeCell ref="C773:C778"/>
    <mergeCell ref="J773:J778"/>
    <mergeCell ref="K773:K778"/>
    <mergeCell ref="A761:A766"/>
    <mergeCell ref="B761:B766"/>
    <mergeCell ref="C761:C766"/>
    <mergeCell ref="J761:J766"/>
    <mergeCell ref="K761:K766"/>
    <mergeCell ref="A767:A772"/>
    <mergeCell ref="B767:B772"/>
    <mergeCell ref="C767:C772"/>
    <mergeCell ref="J767:J772"/>
    <mergeCell ref="K767:K772"/>
  </mergeCells>
  <pageMargins left="0.11811023622047245" right="0.11811023622047245" top="0.15748031496062992" bottom="0.15748031496062992" header="0.11811023622047245" footer="0.11811023622047245"/>
  <pageSetup paperSize="9" scale="68" firstPageNumber="4294967295" fitToHeight="0" orientation="landscape" r:id="rId1"/>
  <headerFooter>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856"/>
  <sheetViews>
    <sheetView view="pageBreakPreview" zoomScaleNormal="100" zoomScaleSheetLayoutView="100" workbookViewId="0">
      <pane xSplit="3" ySplit="4" topLeftCell="D5" activePane="bottomRight" state="frozen"/>
      <selection activeCell="J305" sqref="J305:J310"/>
      <selection pane="topRight"/>
      <selection pane="bottomLeft"/>
      <selection pane="bottomRight" activeCell="E760" sqref="E760"/>
    </sheetView>
  </sheetViews>
  <sheetFormatPr defaultRowHeight="15" outlineLevelRow="1" x14ac:dyDescent="0.25"/>
  <cols>
    <col min="1" max="1" width="7.42578125" style="17" customWidth="1"/>
    <col min="2" max="2" width="36.42578125" style="16" customWidth="1"/>
    <col min="3" max="3" width="12.7109375" style="9" customWidth="1"/>
    <col min="4" max="4" width="8.85546875" style="9" customWidth="1"/>
    <col min="5" max="5" width="17.140625" style="9" customWidth="1"/>
    <col min="6" max="6" width="18" style="9" customWidth="1"/>
    <col min="7" max="7" width="15" style="9" customWidth="1"/>
    <col min="8" max="8" width="11.7109375" style="9" customWidth="1"/>
    <col min="9" max="9" width="15.5703125" style="9" customWidth="1"/>
    <col min="10" max="10" width="43.42578125" style="9" customWidth="1"/>
    <col min="11" max="11" width="32.7109375" style="9" customWidth="1"/>
    <col min="12" max="12" width="0.140625" style="1" hidden="1" customWidth="1"/>
    <col min="13" max="13" width="12.85546875" style="55" customWidth="1"/>
    <col min="14" max="14" width="39.85546875" style="55" customWidth="1"/>
    <col min="15" max="15" width="12.5703125" style="55" customWidth="1"/>
    <col min="16" max="16" width="13.5703125" style="55" customWidth="1"/>
    <col min="17" max="16384" width="9.140625" style="1"/>
  </cols>
  <sheetData>
    <row r="1" spans="1:16" ht="15.75" customHeight="1" x14ac:dyDescent="0.25">
      <c r="A1" s="157" t="s">
        <v>1782</v>
      </c>
      <c r="B1" s="157"/>
      <c r="C1" s="157"/>
      <c r="D1" s="157"/>
      <c r="E1" s="157"/>
      <c r="F1" s="157"/>
      <c r="G1" s="157"/>
      <c r="H1" s="157"/>
      <c r="I1" s="157"/>
      <c r="J1" s="157"/>
      <c r="K1" s="157"/>
    </row>
    <row r="2" spans="1:16" x14ac:dyDescent="0.25">
      <c r="A2" s="158"/>
      <c r="B2" s="158"/>
      <c r="C2" s="158"/>
      <c r="D2" s="158"/>
      <c r="E2" s="158"/>
      <c r="F2" s="158"/>
      <c r="G2" s="158"/>
      <c r="H2" s="158"/>
      <c r="I2" s="158"/>
      <c r="J2" s="158"/>
      <c r="K2" s="158"/>
    </row>
    <row r="3" spans="1:16" ht="39.75" customHeight="1" x14ac:dyDescent="0.25">
      <c r="A3" s="117" t="s">
        <v>1</v>
      </c>
      <c r="B3" s="118" t="s">
        <v>2</v>
      </c>
      <c r="C3" s="119" t="s">
        <v>3</v>
      </c>
      <c r="D3" s="159" t="s">
        <v>4</v>
      </c>
      <c r="E3" s="159"/>
      <c r="F3" s="159"/>
      <c r="G3" s="159"/>
      <c r="H3" s="159"/>
      <c r="I3" s="159"/>
      <c r="J3" s="119" t="s">
        <v>5</v>
      </c>
      <c r="K3" s="119" t="s">
        <v>6</v>
      </c>
    </row>
    <row r="4" spans="1:16" ht="36.75" customHeight="1" x14ac:dyDescent="0.25">
      <c r="A4" s="117"/>
      <c r="B4" s="118"/>
      <c r="C4" s="119"/>
      <c r="D4" s="7" t="s">
        <v>7</v>
      </c>
      <c r="E4" s="7" t="s">
        <v>8</v>
      </c>
      <c r="F4" s="7" t="s">
        <v>9</v>
      </c>
      <c r="G4" s="7" t="s">
        <v>10</v>
      </c>
      <c r="H4" s="7" t="s">
        <v>11</v>
      </c>
      <c r="I4" s="7" t="s">
        <v>12</v>
      </c>
      <c r="J4" s="119"/>
      <c r="K4" s="119"/>
    </row>
    <row r="5" spans="1:16" ht="15" customHeight="1" x14ac:dyDescent="0.25">
      <c r="A5" s="108"/>
      <c r="B5" s="108" t="s">
        <v>13</v>
      </c>
      <c r="C5" s="111" t="s">
        <v>828</v>
      </c>
      <c r="D5" s="7" t="s">
        <v>8</v>
      </c>
      <c r="E5" s="8">
        <f t="shared" ref="E5:E31" si="0">SUM(F5:I5)</f>
        <v>14194775.079914751</v>
      </c>
      <c r="F5" s="8">
        <f>SUM(F6:F11)</f>
        <v>12398170.638259999</v>
      </c>
      <c r="G5" s="8">
        <f>SUM(G6:G11)</f>
        <v>1565023.1228499999</v>
      </c>
      <c r="H5" s="8">
        <f>SUM(H6:H11)</f>
        <v>231581.31880475086</v>
      </c>
      <c r="I5" s="8">
        <f>SUM(I6:I10)</f>
        <v>0</v>
      </c>
      <c r="J5" s="114"/>
      <c r="K5" s="114" t="s">
        <v>482</v>
      </c>
      <c r="M5" s="55">
        <f>E12+E19</f>
        <v>14194775.079914751</v>
      </c>
    </row>
    <row r="6" spans="1:16" x14ac:dyDescent="0.25">
      <c r="A6" s="109"/>
      <c r="B6" s="109"/>
      <c r="C6" s="112"/>
      <c r="D6" s="7">
        <v>2021</v>
      </c>
      <c r="E6" s="8">
        <f t="shared" si="0"/>
        <v>1613228.6017916503</v>
      </c>
      <c r="F6" s="8">
        <f t="shared" ref="F6:I10" si="1">F27+F197+F387+F835</f>
        <v>1267910.29015</v>
      </c>
      <c r="G6" s="8">
        <f t="shared" si="1"/>
        <v>301879.99800000002</v>
      </c>
      <c r="H6" s="8">
        <f t="shared" si="1"/>
        <v>43438.313641650384</v>
      </c>
      <c r="I6" s="8">
        <f t="shared" si="1"/>
        <v>0</v>
      </c>
      <c r="J6" s="115"/>
      <c r="K6" s="115"/>
    </row>
    <row r="7" spans="1:16" x14ac:dyDescent="0.25">
      <c r="A7" s="109"/>
      <c r="B7" s="109"/>
      <c r="C7" s="112"/>
      <c r="D7" s="7">
        <v>2022</v>
      </c>
      <c r="E7" s="8">
        <f t="shared" si="0"/>
        <v>2883391.4108731011</v>
      </c>
      <c r="F7" s="8">
        <f t="shared" si="1"/>
        <v>2558971.7024200005</v>
      </c>
      <c r="G7" s="8">
        <f t="shared" si="1"/>
        <v>244045.77</v>
      </c>
      <c r="H7" s="8">
        <f t="shared" si="1"/>
        <v>80373.93845310052</v>
      </c>
      <c r="I7" s="8">
        <f t="shared" si="1"/>
        <v>0</v>
      </c>
      <c r="J7" s="115"/>
      <c r="K7" s="115"/>
    </row>
    <row r="8" spans="1:16" x14ac:dyDescent="0.25">
      <c r="A8" s="109"/>
      <c r="B8" s="109"/>
      <c r="C8" s="112"/>
      <c r="D8" s="7">
        <v>2023</v>
      </c>
      <c r="E8" s="8">
        <f t="shared" si="0"/>
        <v>2154380.0654199999</v>
      </c>
      <c r="F8" s="8">
        <f t="shared" si="1"/>
        <v>1676033.8114900002</v>
      </c>
      <c r="G8" s="8">
        <f t="shared" si="1"/>
        <v>436920.95484999998</v>
      </c>
      <c r="H8" s="8">
        <f t="shared" si="1"/>
        <v>41425.299079999975</v>
      </c>
      <c r="I8" s="8">
        <f t="shared" si="1"/>
        <v>0</v>
      </c>
      <c r="J8" s="115"/>
      <c r="K8" s="115"/>
    </row>
    <row r="9" spans="1:16" x14ac:dyDescent="0.25">
      <c r="A9" s="109"/>
      <c r="B9" s="109"/>
      <c r="C9" s="112"/>
      <c r="D9" s="7">
        <v>2024</v>
      </c>
      <c r="E9" s="8">
        <f t="shared" si="0"/>
        <v>3546799.9386499994</v>
      </c>
      <c r="F9" s="8">
        <f t="shared" si="1"/>
        <v>3046251.4026499996</v>
      </c>
      <c r="G9" s="8">
        <f t="shared" si="1"/>
        <v>468176.39999999997</v>
      </c>
      <c r="H9" s="8">
        <f t="shared" si="1"/>
        <v>32372.135999999999</v>
      </c>
      <c r="I9" s="8">
        <f t="shared" si="1"/>
        <v>0</v>
      </c>
      <c r="J9" s="115"/>
      <c r="K9" s="115"/>
    </row>
    <row r="10" spans="1:16" x14ac:dyDescent="0.25">
      <c r="A10" s="109"/>
      <c r="B10" s="109"/>
      <c r="C10" s="112"/>
      <c r="D10" s="7">
        <v>2025</v>
      </c>
      <c r="E10" s="8">
        <f t="shared" si="0"/>
        <v>2159394.9740800001</v>
      </c>
      <c r="F10" s="8">
        <f t="shared" si="1"/>
        <v>2052012.8657499999</v>
      </c>
      <c r="G10" s="8">
        <f t="shared" si="1"/>
        <v>90000</v>
      </c>
      <c r="H10" s="8">
        <f t="shared" si="1"/>
        <v>17382.108329999999</v>
      </c>
      <c r="I10" s="8">
        <f t="shared" si="1"/>
        <v>0</v>
      </c>
      <c r="J10" s="115"/>
      <c r="K10" s="115"/>
    </row>
    <row r="11" spans="1:16" s="38" customFormat="1" x14ac:dyDescent="0.25">
      <c r="A11" s="110"/>
      <c r="B11" s="110"/>
      <c r="C11" s="113"/>
      <c r="D11" s="40">
        <v>2026</v>
      </c>
      <c r="E11" s="41">
        <f>SUM(F11:I11)</f>
        <v>1837580.0891000002</v>
      </c>
      <c r="F11" s="41">
        <f>SUM(F32,F202,F392,F840)</f>
        <v>1796990.5658000002</v>
      </c>
      <c r="G11" s="41">
        <f>SUM(G32,G202,G392,G840)</f>
        <v>24000</v>
      </c>
      <c r="H11" s="41">
        <f>SUM(H32,H202,H392,H840)</f>
        <v>16589.523300000001</v>
      </c>
      <c r="I11" s="41">
        <f>SUM(I32,I202,I392,I840)</f>
        <v>0</v>
      </c>
      <c r="J11" s="116"/>
      <c r="K11" s="116"/>
      <c r="M11" s="55"/>
      <c r="N11" s="55"/>
      <c r="O11" s="55"/>
      <c r="P11" s="55"/>
    </row>
    <row r="12" spans="1:16" ht="15" customHeight="1" x14ac:dyDescent="0.25">
      <c r="A12" s="108"/>
      <c r="B12" s="108" t="s">
        <v>483</v>
      </c>
      <c r="C12" s="111" t="s">
        <v>828</v>
      </c>
      <c r="D12" s="7" t="s">
        <v>8</v>
      </c>
      <c r="E12" s="8">
        <f t="shared" ref="E12:E24" si="2">SUM(F12:I12)</f>
        <v>9907870.5382178426</v>
      </c>
      <c r="F12" s="8">
        <f>SUM(F13:F18)</f>
        <v>9444880.1123600006</v>
      </c>
      <c r="G12" s="8">
        <f>SUM(G13:G18)</f>
        <v>335107.18385000003</v>
      </c>
      <c r="H12" s="8">
        <f>SUM(H13:H18)</f>
        <v>127883.24200784267</v>
      </c>
      <c r="I12" s="8">
        <v>0</v>
      </c>
      <c r="J12" s="114"/>
      <c r="K12" s="114" t="s">
        <v>484</v>
      </c>
    </row>
    <row r="13" spans="1:16" x14ac:dyDescent="0.25">
      <c r="A13" s="109"/>
      <c r="B13" s="109"/>
      <c r="C13" s="112"/>
      <c r="D13" s="7">
        <v>2021</v>
      </c>
      <c r="E13" s="8">
        <f t="shared" si="2"/>
        <v>1143437.1402100001</v>
      </c>
      <c r="F13" s="8">
        <f t="shared" ref="F13:I18" si="3">F6-F20</f>
        <v>1079783.2501300001</v>
      </c>
      <c r="G13" s="8">
        <f t="shared" si="3"/>
        <v>44391.299000000028</v>
      </c>
      <c r="H13" s="8">
        <f t="shared" si="3"/>
        <v>19262.591080000006</v>
      </c>
      <c r="I13" s="8">
        <v>0</v>
      </c>
      <c r="J13" s="115"/>
      <c r="K13" s="115"/>
      <c r="M13" s="55" t="s">
        <v>9</v>
      </c>
      <c r="N13" s="55" t="s">
        <v>10</v>
      </c>
      <c r="O13" s="55" t="s">
        <v>11</v>
      </c>
    </row>
    <row r="14" spans="1:16" x14ac:dyDescent="0.25">
      <c r="A14" s="109"/>
      <c r="B14" s="109"/>
      <c r="C14" s="112"/>
      <c r="D14" s="7">
        <v>2022</v>
      </c>
      <c r="E14" s="8">
        <f t="shared" si="2"/>
        <v>1725609.8373178432</v>
      </c>
      <c r="F14" s="8">
        <f t="shared" si="3"/>
        <v>1637815.2563600005</v>
      </c>
      <c r="G14" s="8">
        <f t="shared" si="3"/>
        <v>66437.87</v>
      </c>
      <c r="H14" s="8">
        <f t="shared" si="3"/>
        <v>21356.710957842668</v>
      </c>
      <c r="I14" s="8">
        <v>0</v>
      </c>
      <c r="J14" s="115"/>
      <c r="K14" s="115"/>
      <c r="M14" s="56">
        <f>SUM(F28,F198,F419,F431,F509,F534,F540,F547,F553,F607,F637,F698,F704,F710,F716,F748,F811,F836)</f>
        <v>1637815.2563600005</v>
      </c>
      <c r="N14" s="55">
        <f>SUM(G28,G198,G419,G431,G509,G534,G540,G547,G553,G607,G637,G698,G704,G710,G716,G748,G811,G836)</f>
        <v>66437.87</v>
      </c>
      <c r="O14" s="55">
        <f>SUM(H28,H198,H419,H431,H509,H534,H540,H547,H553,H607,H637,H698,H704,H710,H716,H748,H811,H836)</f>
        <v>21356.710957842668</v>
      </c>
    </row>
    <row r="15" spans="1:16" x14ac:dyDescent="0.25">
      <c r="A15" s="109"/>
      <c r="B15" s="109"/>
      <c r="C15" s="112"/>
      <c r="D15" s="7">
        <v>2023</v>
      </c>
      <c r="E15" s="8">
        <f t="shared" si="2"/>
        <v>1506558.2592200004</v>
      </c>
      <c r="F15" s="8">
        <f t="shared" si="3"/>
        <v>1461119.3410300002</v>
      </c>
      <c r="G15" s="8">
        <f t="shared" si="3"/>
        <v>12210.214849999989</v>
      </c>
      <c r="H15" s="8">
        <f t="shared" si="3"/>
        <v>33228.70334</v>
      </c>
      <c r="I15" s="8">
        <v>0</v>
      </c>
      <c r="J15" s="115"/>
      <c r="K15" s="115"/>
    </row>
    <row r="16" spans="1:16" x14ac:dyDescent="0.25">
      <c r="A16" s="109"/>
      <c r="B16" s="109"/>
      <c r="C16" s="112"/>
      <c r="D16" s="65">
        <v>2024</v>
      </c>
      <c r="E16" s="66">
        <f t="shared" si="2"/>
        <v>2096708.0382899996</v>
      </c>
      <c r="F16" s="66">
        <f t="shared" si="3"/>
        <v>1977784.0482899996</v>
      </c>
      <c r="G16" s="66">
        <f t="shared" si="3"/>
        <v>98067.799999999988</v>
      </c>
      <c r="H16" s="66">
        <f t="shared" si="3"/>
        <v>20856.189999999999</v>
      </c>
      <c r="I16" s="66">
        <v>0</v>
      </c>
      <c r="J16" s="115"/>
      <c r="K16" s="115"/>
      <c r="M16" s="56">
        <f t="shared" ref="M16:O17" si="4">SUM(F30,F200,F421,F433,F511,F536,F542,F549,F555,F609,F639,F700,F706,F712,F718,F750,F813,F838)</f>
        <v>1977784.0482899998</v>
      </c>
      <c r="N16" s="55">
        <f t="shared" si="4"/>
        <v>98067.8</v>
      </c>
      <c r="O16" s="55">
        <f t="shared" si="4"/>
        <v>20856.189999999999</v>
      </c>
    </row>
    <row r="17" spans="1:16" x14ac:dyDescent="0.25">
      <c r="A17" s="109"/>
      <c r="B17" s="109"/>
      <c r="C17" s="112"/>
      <c r="D17" s="7">
        <v>2025</v>
      </c>
      <c r="E17" s="8">
        <f t="shared" si="2"/>
        <v>1597977.17408</v>
      </c>
      <c r="F17" s="8">
        <f t="shared" si="3"/>
        <v>1491387.65075</v>
      </c>
      <c r="G17" s="8">
        <f t="shared" si="3"/>
        <v>90000</v>
      </c>
      <c r="H17" s="8">
        <f t="shared" si="3"/>
        <v>16589.52333</v>
      </c>
      <c r="I17" s="8">
        <v>0</v>
      </c>
      <c r="J17" s="115"/>
      <c r="K17" s="115"/>
      <c r="M17" s="55">
        <f t="shared" si="4"/>
        <v>1491387.65075</v>
      </c>
      <c r="N17" s="55">
        <f t="shared" si="4"/>
        <v>90000</v>
      </c>
      <c r="O17" s="55">
        <f t="shared" si="4"/>
        <v>16589.52333</v>
      </c>
    </row>
    <row r="18" spans="1:16" s="43" customFormat="1" x14ac:dyDescent="0.25">
      <c r="A18" s="110"/>
      <c r="B18" s="110"/>
      <c r="C18" s="113"/>
      <c r="D18" s="63">
        <v>2026</v>
      </c>
      <c r="E18" s="64">
        <f>SUM(F18:I18)</f>
        <v>1837580.0891000002</v>
      </c>
      <c r="F18" s="64">
        <f t="shared" si="3"/>
        <v>1796990.5658000002</v>
      </c>
      <c r="G18" s="64">
        <f t="shared" si="3"/>
        <v>24000</v>
      </c>
      <c r="H18" s="64">
        <f t="shared" si="3"/>
        <v>16589.523300000001</v>
      </c>
      <c r="I18" s="64">
        <f t="shared" si="3"/>
        <v>0</v>
      </c>
      <c r="J18" s="116"/>
      <c r="K18" s="116"/>
      <c r="M18" s="55"/>
      <c r="N18" s="55"/>
      <c r="O18" s="55"/>
      <c r="P18" s="55"/>
    </row>
    <row r="19" spans="1:16" ht="15" customHeight="1" x14ac:dyDescent="0.25">
      <c r="A19" s="108"/>
      <c r="B19" s="108" t="s">
        <v>18</v>
      </c>
      <c r="C19" s="111" t="s">
        <v>828</v>
      </c>
      <c r="D19" s="7" t="s">
        <v>8</v>
      </c>
      <c r="E19" s="8">
        <f t="shared" si="2"/>
        <v>4286904.541696908</v>
      </c>
      <c r="F19" s="8">
        <f>F20+F21+F22+F23+F24</f>
        <v>2953290.5258999998</v>
      </c>
      <c r="G19" s="8">
        <f t="shared" ref="G19:H19" si="5">G20+G21+G22+G23+G24</f>
        <v>1229915.9389999998</v>
      </c>
      <c r="H19" s="8">
        <f t="shared" si="5"/>
        <v>103698.07679690821</v>
      </c>
      <c r="I19" s="8">
        <f t="shared" ref="I19" si="6">I20+I21+I22+I23</f>
        <v>0</v>
      </c>
      <c r="J19" s="114"/>
      <c r="K19" s="114" t="s">
        <v>20</v>
      </c>
      <c r="N19" s="56">
        <f>F70+F83+F90+F97+F104+F123+F142+F149+F156+F182+F189+F216+F223+F230+F237+F244+F305+F367+F544+F641+F738+F745+F759+F815+F854</f>
        <v>1796990.5658000002</v>
      </c>
    </row>
    <row r="20" spans="1:16" x14ac:dyDescent="0.25">
      <c r="A20" s="109"/>
      <c r="B20" s="109"/>
      <c r="C20" s="112"/>
      <c r="D20" s="7">
        <v>2021</v>
      </c>
      <c r="E20" s="8">
        <f t="shared" si="2"/>
        <v>469791.46158165036</v>
      </c>
      <c r="F20" s="8">
        <f t="shared" ref="F20:H21" si="7">F400+F406+F412+F424+F454+F466+F472+F502+F558+F564+F570+F576+F588+F594+F612+F618+F624+F630+F643+F649+F655+F661+F667+F673+F679+F685+F691+F721+F727+F767+F817+F823+F829+F490+F785+F773</f>
        <v>188127.04001999999</v>
      </c>
      <c r="G20" s="8">
        <f t="shared" si="7"/>
        <v>257488.69899999999</v>
      </c>
      <c r="H20" s="8">
        <f t="shared" si="7"/>
        <v>24175.722561650378</v>
      </c>
      <c r="I20" s="8">
        <f>I6-I13</f>
        <v>0</v>
      </c>
      <c r="J20" s="115"/>
      <c r="K20" s="115"/>
    </row>
    <row r="21" spans="1:16" x14ac:dyDescent="0.25">
      <c r="A21" s="109"/>
      <c r="B21" s="109"/>
      <c r="C21" s="112"/>
      <c r="D21" s="7">
        <v>2022</v>
      </c>
      <c r="E21" s="8">
        <f t="shared" si="2"/>
        <v>1157781.5735552579</v>
      </c>
      <c r="F21" s="8">
        <f t="shared" si="7"/>
        <v>921156.4460600001</v>
      </c>
      <c r="G21" s="8">
        <f t="shared" si="7"/>
        <v>177607.9</v>
      </c>
      <c r="H21" s="8">
        <f t="shared" si="7"/>
        <v>59017.227495257852</v>
      </c>
      <c r="I21" s="8">
        <f>I7-I14</f>
        <v>0</v>
      </c>
      <c r="J21" s="115"/>
      <c r="K21" s="115"/>
    </row>
    <row r="22" spans="1:16" x14ac:dyDescent="0.25">
      <c r="A22" s="109"/>
      <c r="B22" s="109"/>
      <c r="C22" s="112"/>
      <c r="D22" s="7">
        <v>2023</v>
      </c>
      <c r="E22" s="8">
        <f>SUM(F22:I22)</f>
        <v>647821.80619999999</v>
      </c>
      <c r="F22" s="8">
        <f>F402+F408+F414+F426+F456+F468+F474+F504+F560+F566+F572+F578+F590+F596+F614+F620+F626+F632+F645+F651+F657+F663+F669+F675+F681+F687+F693+F723+F729+F769+F819+F825+F831+F492+F787+F775</f>
        <v>214914.47045999998</v>
      </c>
      <c r="G22" s="8">
        <f>G402+G408+G414+G426+G456+G468+G474+G504+G560+G566+G572+G578+G590+G596+G614+G620+G626+G632+G645+G651+G657+G663+G669+G675+G681+G687+G693+G723+G729+G769+G819+G825+G831+G492+G787+G775+G781</f>
        <v>424710.74</v>
      </c>
      <c r="H22" s="8">
        <f>H402+H408+H414+H426+H456+H468+H474+H504+H560+H566+H572+H578+H590+H596+H614+H620+H626+H632+H645+H651+H657+H663+H669+H675+H681+H687+H693+H723+H729+H769+H819+H825+H831+H492+H787+H775</f>
        <v>8196.5957399999752</v>
      </c>
      <c r="I22" s="8">
        <f>I402+I408+I414+I426+I456+I468+I474+I504+I560+I566+I572+I578+I590+I596+I608+I614+I620+I626+I632+I645+I651+I657+I663+I669+I675+I681+I687+I693+I723+I729+I769+I819+I825+I831+I492+I787</f>
        <v>0</v>
      </c>
      <c r="J22" s="115"/>
      <c r="K22" s="115"/>
    </row>
    <row r="23" spans="1:16" x14ac:dyDescent="0.25">
      <c r="A23" s="109"/>
      <c r="B23" s="109"/>
      <c r="C23" s="112"/>
      <c r="D23" s="7">
        <v>2024</v>
      </c>
      <c r="E23" s="8">
        <f t="shared" si="2"/>
        <v>1450091.9003599999</v>
      </c>
      <c r="F23" s="8">
        <f>F403+F409+F415+F427+F457+F469+F475+F505+F561+F567+F573+F579+F591+F597+F615+F621+F627+F633+F646+F652+F658+F664+F670+F676+F682+F688+F694+F724+F730+F820+F826+F832+F493+F788+F764+F517+F523</f>
        <v>1068467.35436</v>
      </c>
      <c r="G23" s="8">
        <f>G403+G409+G415+G427+G457+G469+G475+G505+G561+G567+G573+G579+G591+G597+G615+G621+G627+G633+G646+G652+G658+G664+G670+G676+G682+G688+G694+G724+G730+G770+G820+G826+G832+G493+G788+G776</f>
        <v>370108.6</v>
      </c>
      <c r="H23" s="8">
        <f>H403+H409+H415+H427+H457+H469+H475+H505+H561+H567+H573+H579+H591+H597+H615+H621+H627+H633+H646+H652+H658+H664+H670+H676+H682+H688+H694+H724+H730+H770+H820+H826+H832+H493+H788+H776</f>
        <v>11515.946</v>
      </c>
      <c r="I23" s="8">
        <f>I403+I409+I415+I427+I457+I469+I475+I505+I561+I567+I573+I579+I591+I597+I609+I615+I621+I627+I633+I646+I652+I658+I664+I670+I676+I682+I688+I694+I724+I730+I770+I820+I826+I832+I493+I788+I789</f>
        <v>0</v>
      </c>
      <c r="J23" s="115"/>
      <c r="K23" s="115"/>
      <c r="M23" s="56"/>
      <c r="N23" s="56"/>
    </row>
    <row r="24" spans="1:16" x14ac:dyDescent="0.25">
      <c r="A24" s="109"/>
      <c r="B24" s="109"/>
      <c r="C24" s="112"/>
      <c r="D24" s="7">
        <v>2025</v>
      </c>
      <c r="E24" s="8">
        <f t="shared" si="2"/>
        <v>561417.79999999993</v>
      </c>
      <c r="F24" s="8">
        <f>F404+F410+F416+F428+F458+F470+F476+F506+F562+F568+F574+F580+F592+F598+F616+F622+F628+F634+F647+F653+F659+F665+F671+F677+F683+F689+F695+F725+F731+F821+F827+F833+F494+F789+F765</f>
        <v>560625.21499999997</v>
      </c>
      <c r="G24" s="8">
        <f>G404+G410+G416+G428+G458+G470+G476+G506+G562+G568+G574+G580+G592+G598+G616+G622+G628+G634+G647+G653+G659+G665+G671+G677+G683+G689+G695+G725+G731+G771+G821+G827+G833+G494+G789+G777</f>
        <v>0</v>
      </c>
      <c r="H24" s="8">
        <f>H404+H410+H416+H428+H458+H470+H476+H506+H562+H568+H574+H580+H592+H598+H616+H622+H628+H634+H647+H653+H659+H665+H671+H677+H683+H689+H695+H725+H731+H771+H821+H827+H833+H494+H789+H777</f>
        <v>792.58500000000004</v>
      </c>
      <c r="I24" s="8">
        <f>I10-I17</f>
        <v>0</v>
      </c>
      <c r="J24" s="115"/>
      <c r="K24" s="115"/>
    </row>
    <row r="25" spans="1:16" s="47" customFormat="1" x14ac:dyDescent="0.25">
      <c r="A25" s="110"/>
      <c r="B25" s="110"/>
      <c r="C25" s="113"/>
      <c r="D25" s="50">
        <v>2026</v>
      </c>
      <c r="E25" s="51"/>
      <c r="F25" s="51"/>
      <c r="G25" s="51"/>
      <c r="H25" s="51"/>
      <c r="I25" s="51"/>
      <c r="J25" s="116"/>
      <c r="K25" s="116"/>
      <c r="M25" s="55"/>
      <c r="N25" s="55"/>
      <c r="O25" s="55"/>
      <c r="P25" s="55"/>
    </row>
    <row r="26" spans="1:16" ht="15" customHeight="1" x14ac:dyDescent="0.25">
      <c r="A26" s="108" t="s">
        <v>806</v>
      </c>
      <c r="B26" s="108" t="s">
        <v>818</v>
      </c>
      <c r="C26" s="111" t="s">
        <v>828</v>
      </c>
      <c r="D26" s="7" t="s">
        <v>8</v>
      </c>
      <c r="E26" s="8">
        <f t="shared" si="0"/>
        <v>1681561.42818</v>
      </c>
      <c r="F26" s="8">
        <f>SUM(F27:F32)</f>
        <v>1645392.3293600001</v>
      </c>
      <c r="G26" s="8">
        <f>SUM(G27:G31)</f>
        <v>23683.307479999996</v>
      </c>
      <c r="H26" s="8">
        <f>SUM(H27:H31)</f>
        <v>12485.79134</v>
      </c>
      <c r="I26" s="8">
        <f>SUM(I27:I31)</f>
        <v>0</v>
      </c>
      <c r="J26" s="114"/>
      <c r="K26" s="108" t="s">
        <v>486</v>
      </c>
      <c r="L26" s="124" t="s">
        <v>1111</v>
      </c>
    </row>
    <row r="27" spans="1:16" x14ac:dyDescent="0.25">
      <c r="A27" s="109"/>
      <c r="B27" s="109"/>
      <c r="C27" s="112"/>
      <c r="D27" s="7">
        <v>2021</v>
      </c>
      <c r="E27" s="8">
        <f t="shared" si="0"/>
        <v>138607.88275000002</v>
      </c>
      <c r="F27" s="8">
        <f t="shared" ref="F27:I29" si="8">F34+F58+F164</f>
        <v>118407.68375000001</v>
      </c>
      <c r="G27" s="8">
        <f t="shared" si="8"/>
        <v>20200.198999999997</v>
      </c>
      <c r="H27" s="8">
        <f t="shared" si="8"/>
        <v>0</v>
      </c>
      <c r="I27" s="8">
        <f t="shared" si="8"/>
        <v>0</v>
      </c>
      <c r="J27" s="115"/>
      <c r="K27" s="109"/>
      <c r="L27" s="124"/>
    </row>
    <row r="28" spans="1:16" x14ac:dyDescent="0.25">
      <c r="A28" s="109"/>
      <c r="B28" s="109"/>
      <c r="C28" s="112"/>
      <c r="D28" s="7">
        <v>2022</v>
      </c>
      <c r="E28" s="8">
        <f t="shared" si="0"/>
        <v>284204.41166000004</v>
      </c>
      <c r="F28" s="8">
        <f t="shared" si="8"/>
        <v>281836.93466000003</v>
      </c>
      <c r="G28" s="8">
        <f t="shared" si="8"/>
        <v>2367.4769999999999</v>
      </c>
      <c r="H28" s="8">
        <f t="shared" si="8"/>
        <v>0</v>
      </c>
      <c r="I28" s="8">
        <f t="shared" si="8"/>
        <v>0</v>
      </c>
      <c r="J28" s="115"/>
      <c r="K28" s="109"/>
      <c r="L28" s="124"/>
    </row>
    <row r="29" spans="1:16" x14ac:dyDescent="0.25">
      <c r="A29" s="109"/>
      <c r="B29" s="109"/>
      <c r="C29" s="112"/>
      <c r="D29" s="7">
        <v>2023</v>
      </c>
      <c r="E29" s="8">
        <f t="shared" si="0"/>
        <v>296877.74302999995</v>
      </c>
      <c r="F29" s="8">
        <f t="shared" si="8"/>
        <v>283276.32020999998</v>
      </c>
      <c r="G29" s="8">
        <f t="shared" si="8"/>
        <v>1115.63148</v>
      </c>
      <c r="H29" s="8">
        <f t="shared" si="8"/>
        <v>12485.79134</v>
      </c>
      <c r="I29" s="8">
        <f t="shared" si="8"/>
        <v>0</v>
      </c>
      <c r="J29" s="115"/>
      <c r="K29" s="109"/>
      <c r="L29" s="124"/>
    </row>
    <row r="30" spans="1:16" x14ac:dyDescent="0.25">
      <c r="A30" s="109"/>
      <c r="B30" s="109"/>
      <c r="C30" s="112"/>
      <c r="D30" s="7">
        <v>2024</v>
      </c>
      <c r="E30" s="8">
        <f t="shared" si="0"/>
        <v>466756.59357999999</v>
      </c>
      <c r="F30" s="8">
        <f>F37+F61+F167</f>
        <v>466756.59357999999</v>
      </c>
      <c r="G30" s="8">
        <f t="shared" ref="G30:I31" si="9">G37+G61+G167</f>
        <v>0</v>
      </c>
      <c r="H30" s="8">
        <f t="shared" si="9"/>
        <v>0</v>
      </c>
      <c r="I30" s="8">
        <f t="shared" si="9"/>
        <v>0</v>
      </c>
      <c r="J30" s="115"/>
      <c r="K30" s="109"/>
      <c r="L30" s="124"/>
    </row>
    <row r="31" spans="1:16" x14ac:dyDescent="0.25">
      <c r="A31" s="109"/>
      <c r="B31" s="109"/>
      <c r="C31" s="112"/>
      <c r="D31" s="7">
        <v>2025</v>
      </c>
      <c r="E31" s="8">
        <f t="shared" si="0"/>
        <v>247557.39858000001</v>
      </c>
      <c r="F31" s="8">
        <f>F38+F62+F168</f>
        <v>247557.39858000001</v>
      </c>
      <c r="G31" s="8">
        <f t="shared" si="9"/>
        <v>0</v>
      </c>
      <c r="H31" s="8">
        <f t="shared" si="9"/>
        <v>0</v>
      </c>
      <c r="I31" s="8">
        <f t="shared" si="9"/>
        <v>0</v>
      </c>
      <c r="J31" s="115"/>
      <c r="K31" s="109"/>
      <c r="L31" s="124"/>
    </row>
    <row r="32" spans="1:16" s="45" customFormat="1" x14ac:dyDescent="0.25">
      <c r="A32" s="110"/>
      <c r="B32" s="110"/>
      <c r="C32" s="113"/>
      <c r="D32" s="48">
        <v>2026</v>
      </c>
      <c r="E32" s="49">
        <f>SUM(F32:I32)</f>
        <v>247557.39858000001</v>
      </c>
      <c r="F32" s="49">
        <f>SUM(F63,F169)</f>
        <v>247557.39858000001</v>
      </c>
      <c r="G32" s="49">
        <f t="shared" ref="G32:I32" si="10">SUM(G63,G169)</f>
        <v>0</v>
      </c>
      <c r="H32" s="49">
        <f t="shared" si="10"/>
        <v>0</v>
      </c>
      <c r="I32" s="49">
        <f t="shared" si="10"/>
        <v>0</v>
      </c>
      <c r="J32" s="116"/>
      <c r="K32" s="110"/>
      <c r="M32" s="55"/>
      <c r="N32" s="55"/>
      <c r="O32" s="55"/>
      <c r="P32" s="55"/>
    </row>
    <row r="33" spans="1:12" x14ac:dyDescent="0.25">
      <c r="A33" s="117" t="s">
        <v>23</v>
      </c>
      <c r="B33" s="118" t="s">
        <v>24</v>
      </c>
      <c r="C33" s="153" t="s">
        <v>14</v>
      </c>
      <c r="D33" s="7" t="s">
        <v>8</v>
      </c>
      <c r="E33" s="8">
        <f t="shared" ref="E33:E44" si="11">SUM(F33:I33)</f>
        <v>5422.4259999999995</v>
      </c>
      <c r="F33" s="8">
        <f>SUM(F34:F38)</f>
        <v>5422.4259999999995</v>
      </c>
      <c r="G33" s="8">
        <f>SUM(G34:G38)</f>
        <v>0</v>
      </c>
      <c r="H33" s="8">
        <f>SUM(H34:H38)</f>
        <v>0</v>
      </c>
      <c r="I33" s="8">
        <f>SUM(I34:I38)</f>
        <v>0</v>
      </c>
      <c r="J33" s="119" t="s">
        <v>487</v>
      </c>
      <c r="K33" s="119" t="s">
        <v>488</v>
      </c>
      <c r="L33" s="124"/>
    </row>
    <row r="34" spans="1:12" x14ac:dyDescent="0.25">
      <c r="A34" s="117"/>
      <c r="B34" s="118"/>
      <c r="C34" s="154"/>
      <c r="D34" s="7">
        <v>2021</v>
      </c>
      <c r="E34" s="8">
        <f t="shared" si="11"/>
        <v>3054.4259999999999</v>
      </c>
      <c r="F34" s="8">
        <f t="shared" ref="F34:I38" si="12">F40+F46</f>
        <v>3054.4259999999999</v>
      </c>
      <c r="G34" s="8">
        <f t="shared" si="12"/>
        <v>0</v>
      </c>
      <c r="H34" s="8">
        <f t="shared" si="12"/>
        <v>0</v>
      </c>
      <c r="I34" s="8">
        <f t="shared" si="12"/>
        <v>0</v>
      </c>
      <c r="J34" s="119"/>
      <c r="K34" s="119"/>
      <c r="L34" s="124"/>
    </row>
    <row r="35" spans="1:12" x14ac:dyDescent="0.25">
      <c r="A35" s="117"/>
      <c r="B35" s="118"/>
      <c r="C35" s="154"/>
      <c r="D35" s="7">
        <v>2022</v>
      </c>
      <c r="E35" s="8">
        <f t="shared" si="11"/>
        <v>0</v>
      </c>
      <c r="F35" s="8">
        <f t="shared" si="12"/>
        <v>0</v>
      </c>
      <c r="G35" s="8">
        <f t="shared" si="12"/>
        <v>0</v>
      </c>
      <c r="H35" s="8">
        <f t="shared" si="12"/>
        <v>0</v>
      </c>
      <c r="I35" s="8">
        <f t="shared" si="12"/>
        <v>0</v>
      </c>
      <c r="J35" s="119"/>
      <c r="K35" s="119"/>
      <c r="L35" s="124"/>
    </row>
    <row r="36" spans="1:12" x14ac:dyDescent="0.25">
      <c r="A36" s="117"/>
      <c r="B36" s="118"/>
      <c r="C36" s="154"/>
      <c r="D36" s="7">
        <v>2023</v>
      </c>
      <c r="E36" s="8">
        <f t="shared" si="11"/>
        <v>0</v>
      </c>
      <c r="F36" s="8">
        <f t="shared" si="12"/>
        <v>0</v>
      </c>
      <c r="G36" s="8">
        <f t="shared" si="12"/>
        <v>0</v>
      </c>
      <c r="H36" s="8">
        <f t="shared" si="12"/>
        <v>0</v>
      </c>
      <c r="I36" s="8">
        <f t="shared" si="12"/>
        <v>0</v>
      </c>
      <c r="J36" s="119"/>
      <c r="K36" s="119"/>
      <c r="L36" s="124"/>
    </row>
    <row r="37" spans="1:12" x14ac:dyDescent="0.25">
      <c r="A37" s="117"/>
      <c r="B37" s="118"/>
      <c r="C37" s="154"/>
      <c r="D37" s="7">
        <v>2024</v>
      </c>
      <c r="E37" s="8">
        <f t="shared" si="11"/>
        <v>2368</v>
      </c>
      <c r="F37" s="8">
        <f>F43+F49+F55</f>
        <v>2368</v>
      </c>
      <c r="G37" s="8">
        <f t="shared" si="12"/>
        <v>0</v>
      </c>
      <c r="H37" s="8">
        <f t="shared" si="12"/>
        <v>0</v>
      </c>
      <c r="I37" s="8">
        <f t="shared" si="12"/>
        <v>0</v>
      </c>
      <c r="J37" s="119"/>
      <c r="K37" s="119"/>
      <c r="L37" s="124"/>
    </row>
    <row r="38" spans="1:12" x14ac:dyDescent="0.25">
      <c r="A38" s="117"/>
      <c r="B38" s="118"/>
      <c r="C38" s="155"/>
      <c r="D38" s="7">
        <v>2025</v>
      </c>
      <c r="E38" s="8">
        <f t="shared" si="11"/>
        <v>0</v>
      </c>
      <c r="F38" s="8">
        <f t="shared" si="12"/>
        <v>0</v>
      </c>
      <c r="G38" s="8">
        <f t="shared" si="12"/>
        <v>0</v>
      </c>
      <c r="H38" s="8">
        <f t="shared" si="12"/>
        <v>0</v>
      </c>
      <c r="I38" s="8">
        <f t="shared" si="12"/>
        <v>0</v>
      </c>
      <c r="J38" s="119"/>
      <c r="K38" s="119"/>
      <c r="L38" s="124"/>
    </row>
    <row r="39" spans="1:12" x14ac:dyDescent="0.25">
      <c r="A39" s="117" t="s">
        <v>27</v>
      </c>
      <c r="B39" s="118" t="s">
        <v>489</v>
      </c>
      <c r="C39" s="119" t="s">
        <v>490</v>
      </c>
      <c r="D39" s="7" t="s">
        <v>8</v>
      </c>
      <c r="E39" s="8">
        <f t="shared" si="11"/>
        <v>0</v>
      </c>
      <c r="F39" s="8">
        <f>SUM(F40:F44)</f>
        <v>0</v>
      </c>
      <c r="G39" s="8">
        <f>SUM(G40:G44)</f>
        <v>0</v>
      </c>
      <c r="H39" s="8">
        <f>SUM(H40:H44)</f>
        <v>0</v>
      </c>
      <c r="I39" s="8">
        <f>SUM(I40:I44)</f>
        <v>0</v>
      </c>
      <c r="J39" s="119" t="s">
        <v>29</v>
      </c>
      <c r="K39" s="119" t="s">
        <v>486</v>
      </c>
    </row>
    <row r="40" spans="1:12" x14ac:dyDescent="0.25">
      <c r="A40" s="117"/>
      <c r="B40" s="118"/>
      <c r="C40" s="119"/>
      <c r="D40" s="7">
        <v>2021</v>
      </c>
      <c r="E40" s="8">
        <f t="shared" si="11"/>
        <v>0</v>
      </c>
      <c r="F40" s="8">
        <v>0</v>
      </c>
      <c r="G40" s="8">
        <v>0</v>
      </c>
      <c r="H40" s="8">
        <v>0</v>
      </c>
      <c r="I40" s="8">
        <v>0</v>
      </c>
      <c r="J40" s="119"/>
      <c r="K40" s="119"/>
    </row>
    <row r="41" spans="1:12" x14ac:dyDescent="0.25">
      <c r="A41" s="117"/>
      <c r="B41" s="118"/>
      <c r="C41" s="119"/>
      <c r="D41" s="7">
        <v>2022</v>
      </c>
      <c r="E41" s="8">
        <f t="shared" si="11"/>
        <v>0</v>
      </c>
      <c r="F41" s="8">
        <v>0</v>
      </c>
      <c r="G41" s="8">
        <v>0</v>
      </c>
      <c r="H41" s="8">
        <v>0</v>
      </c>
      <c r="I41" s="8">
        <v>0</v>
      </c>
      <c r="J41" s="119"/>
      <c r="K41" s="119"/>
    </row>
    <row r="42" spans="1:12" x14ac:dyDescent="0.25">
      <c r="A42" s="117"/>
      <c r="B42" s="118"/>
      <c r="C42" s="119"/>
      <c r="D42" s="7">
        <v>2023</v>
      </c>
      <c r="E42" s="8">
        <f t="shared" si="11"/>
        <v>0</v>
      </c>
      <c r="F42" s="8">
        <v>0</v>
      </c>
      <c r="G42" s="8">
        <v>0</v>
      </c>
      <c r="H42" s="8">
        <v>0</v>
      </c>
      <c r="I42" s="8">
        <v>0</v>
      </c>
      <c r="J42" s="119"/>
      <c r="K42" s="119"/>
    </row>
    <row r="43" spans="1:12" x14ac:dyDescent="0.25">
      <c r="A43" s="117"/>
      <c r="B43" s="118"/>
      <c r="C43" s="119"/>
      <c r="D43" s="7">
        <v>2024</v>
      </c>
      <c r="E43" s="8">
        <f t="shared" si="11"/>
        <v>0</v>
      </c>
      <c r="F43" s="8">
        <v>0</v>
      </c>
      <c r="G43" s="8">
        <v>0</v>
      </c>
      <c r="H43" s="8">
        <v>0</v>
      </c>
      <c r="I43" s="8">
        <v>0</v>
      </c>
      <c r="J43" s="119"/>
      <c r="K43" s="119"/>
    </row>
    <row r="44" spans="1:12" x14ac:dyDescent="0.25">
      <c r="A44" s="117"/>
      <c r="B44" s="118"/>
      <c r="C44" s="119"/>
      <c r="D44" s="7">
        <v>2025</v>
      </c>
      <c r="E44" s="8">
        <f t="shared" si="11"/>
        <v>0</v>
      </c>
      <c r="F44" s="8">
        <v>0</v>
      </c>
      <c r="G44" s="8">
        <v>0</v>
      </c>
      <c r="H44" s="8">
        <v>0</v>
      </c>
      <c r="I44" s="8">
        <v>0</v>
      </c>
      <c r="J44" s="119"/>
      <c r="K44" s="119"/>
    </row>
    <row r="45" spans="1:12" x14ac:dyDescent="0.25">
      <c r="A45" s="117" t="s">
        <v>491</v>
      </c>
      <c r="B45" s="118" t="s">
        <v>492</v>
      </c>
      <c r="C45" s="119" t="s">
        <v>490</v>
      </c>
      <c r="D45" s="7" t="s">
        <v>8</v>
      </c>
      <c r="E45" s="8">
        <f>SUM(E46:E50)</f>
        <v>3054.4259999999999</v>
      </c>
      <c r="F45" s="8">
        <f>SUM(F46:F50)</f>
        <v>3054.4259999999999</v>
      </c>
      <c r="G45" s="8">
        <f>SUM(G46:G50)</f>
        <v>0</v>
      </c>
      <c r="H45" s="8">
        <f>SUM(H46:H50)</f>
        <v>0</v>
      </c>
      <c r="I45" s="8">
        <f>SUM(I46:I50)</f>
        <v>0</v>
      </c>
      <c r="J45" s="119" t="s">
        <v>493</v>
      </c>
      <c r="K45" s="119" t="s">
        <v>494</v>
      </c>
      <c r="L45" s="124"/>
    </row>
    <row r="46" spans="1:12" x14ac:dyDescent="0.25">
      <c r="A46" s="117"/>
      <c r="B46" s="118"/>
      <c r="C46" s="119"/>
      <c r="D46" s="7">
        <v>2021</v>
      </c>
      <c r="E46" s="8">
        <f t="shared" ref="E46:E121" si="13">SUM(F46:I46)</f>
        <v>3054.4259999999999</v>
      </c>
      <c r="F46" s="8">
        <v>3054.4259999999999</v>
      </c>
      <c r="G46" s="8">
        <v>0</v>
      </c>
      <c r="H46" s="8">
        <v>0</v>
      </c>
      <c r="I46" s="8">
        <v>0</v>
      </c>
      <c r="J46" s="119"/>
      <c r="K46" s="119"/>
      <c r="L46" s="124"/>
    </row>
    <row r="47" spans="1:12" x14ac:dyDescent="0.25">
      <c r="A47" s="117"/>
      <c r="B47" s="118"/>
      <c r="C47" s="119"/>
      <c r="D47" s="7">
        <v>2022</v>
      </c>
      <c r="E47" s="8">
        <f t="shared" si="13"/>
        <v>0</v>
      </c>
      <c r="F47" s="8">
        <v>0</v>
      </c>
      <c r="G47" s="8">
        <v>0</v>
      </c>
      <c r="H47" s="8">
        <v>0</v>
      </c>
      <c r="I47" s="8">
        <v>0</v>
      </c>
      <c r="J47" s="119"/>
      <c r="K47" s="119"/>
      <c r="L47" s="124"/>
    </row>
    <row r="48" spans="1:12" x14ac:dyDescent="0.25">
      <c r="A48" s="117"/>
      <c r="B48" s="118"/>
      <c r="C48" s="119"/>
      <c r="D48" s="7">
        <v>2023</v>
      </c>
      <c r="E48" s="8">
        <f t="shared" si="13"/>
        <v>0</v>
      </c>
      <c r="F48" s="8">
        <v>0</v>
      </c>
      <c r="G48" s="8">
        <v>0</v>
      </c>
      <c r="H48" s="8">
        <v>0</v>
      </c>
      <c r="I48" s="8">
        <v>0</v>
      </c>
      <c r="J48" s="119"/>
      <c r="K48" s="119"/>
      <c r="L48" s="124"/>
    </row>
    <row r="49" spans="1:16" x14ac:dyDescent="0.25">
      <c r="A49" s="117"/>
      <c r="B49" s="118"/>
      <c r="C49" s="119"/>
      <c r="D49" s="7">
        <v>2024</v>
      </c>
      <c r="E49" s="8">
        <f t="shared" si="13"/>
        <v>0</v>
      </c>
      <c r="F49" s="8">
        <v>0</v>
      </c>
      <c r="G49" s="8">
        <v>0</v>
      </c>
      <c r="H49" s="8">
        <v>0</v>
      </c>
      <c r="I49" s="8">
        <v>0</v>
      </c>
      <c r="J49" s="119"/>
      <c r="K49" s="119"/>
      <c r="L49" s="124"/>
    </row>
    <row r="50" spans="1:16" x14ac:dyDescent="0.25">
      <c r="A50" s="117"/>
      <c r="B50" s="118"/>
      <c r="C50" s="119"/>
      <c r="D50" s="7">
        <v>2025</v>
      </c>
      <c r="E50" s="8">
        <f t="shared" si="13"/>
        <v>0</v>
      </c>
      <c r="F50" s="8">
        <v>0</v>
      </c>
      <c r="G50" s="8">
        <v>0</v>
      </c>
      <c r="H50" s="8">
        <v>0</v>
      </c>
      <c r="I50" s="8">
        <v>0</v>
      </c>
      <c r="J50" s="119"/>
      <c r="K50" s="119"/>
      <c r="L50" s="124"/>
    </row>
    <row r="51" spans="1:16" s="33" customFormat="1" x14ac:dyDescent="0.25">
      <c r="A51" s="152" t="s">
        <v>1773</v>
      </c>
      <c r="B51" s="144" t="s">
        <v>1772</v>
      </c>
      <c r="C51" s="119" t="s">
        <v>14</v>
      </c>
      <c r="D51" s="34" t="s">
        <v>8</v>
      </c>
      <c r="E51" s="8">
        <f>SUM(E52:E56)</f>
        <v>2368</v>
      </c>
      <c r="F51" s="12">
        <f>SUM(F52:F56)</f>
        <v>2368</v>
      </c>
      <c r="G51" s="8">
        <f>SUM(G52:G56)</f>
        <v>0</v>
      </c>
      <c r="H51" s="8">
        <f>SUM(H52:H56)</f>
        <v>0</v>
      </c>
      <c r="I51" s="8">
        <f>SUM(I52:I56)</f>
        <v>0</v>
      </c>
      <c r="J51" s="119" t="s">
        <v>1774</v>
      </c>
      <c r="K51" s="119" t="s">
        <v>515</v>
      </c>
      <c r="L51" s="124"/>
      <c r="M51" s="55"/>
      <c r="N51" s="55"/>
      <c r="O51" s="55"/>
      <c r="P51" s="55"/>
    </row>
    <row r="52" spans="1:16" s="33" customFormat="1" x14ac:dyDescent="0.25">
      <c r="A52" s="152"/>
      <c r="B52" s="144"/>
      <c r="C52" s="119"/>
      <c r="D52" s="34">
        <v>2021</v>
      </c>
      <c r="E52" s="8">
        <f t="shared" ref="E52:E56" si="14">SUM(F52:I52)</f>
        <v>0</v>
      </c>
      <c r="F52" s="8">
        <v>0</v>
      </c>
      <c r="G52" s="8">
        <v>0</v>
      </c>
      <c r="H52" s="8">
        <v>0</v>
      </c>
      <c r="I52" s="8">
        <v>0</v>
      </c>
      <c r="J52" s="119"/>
      <c r="K52" s="119"/>
      <c r="L52" s="124"/>
      <c r="M52" s="55"/>
      <c r="N52" s="55"/>
      <c r="O52" s="55"/>
      <c r="P52" s="55"/>
    </row>
    <row r="53" spans="1:16" s="33" customFormat="1" x14ac:dyDescent="0.25">
      <c r="A53" s="152"/>
      <c r="B53" s="144"/>
      <c r="C53" s="119"/>
      <c r="D53" s="34">
        <v>2022</v>
      </c>
      <c r="E53" s="8">
        <f t="shared" si="14"/>
        <v>0</v>
      </c>
      <c r="F53" s="8">
        <v>0</v>
      </c>
      <c r="G53" s="8">
        <v>0</v>
      </c>
      <c r="H53" s="8">
        <v>0</v>
      </c>
      <c r="I53" s="8">
        <v>0</v>
      </c>
      <c r="J53" s="119"/>
      <c r="K53" s="119"/>
      <c r="L53" s="124"/>
      <c r="M53" s="55"/>
      <c r="N53" s="55"/>
      <c r="O53" s="55"/>
      <c r="P53" s="55"/>
    </row>
    <row r="54" spans="1:16" s="33" customFormat="1" x14ac:dyDescent="0.25">
      <c r="A54" s="152"/>
      <c r="B54" s="144"/>
      <c r="C54" s="119"/>
      <c r="D54" s="34">
        <v>2023</v>
      </c>
      <c r="E54" s="8">
        <f t="shared" si="14"/>
        <v>0</v>
      </c>
      <c r="F54" s="8">
        <v>0</v>
      </c>
      <c r="G54" s="8">
        <v>0</v>
      </c>
      <c r="H54" s="8">
        <v>0</v>
      </c>
      <c r="I54" s="8">
        <v>0</v>
      </c>
      <c r="J54" s="119"/>
      <c r="K54" s="119"/>
      <c r="L54" s="124"/>
      <c r="M54" s="55"/>
      <c r="N54" s="55"/>
      <c r="O54" s="55"/>
      <c r="P54" s="55"/>
    </row>
    <row r="55" spans="1:16" s="33" customFormat="1" x14ac:dyDescent="0.25">
      <c r="A55" s="152"/>
      <c r="B55" s="144"/>
      <c r="C55" s="119"/>
      <c r="D55" s="34">
        <v>2024</v>
      </c>
      <c r="E55" s="8">
        <f t="shared" si="14"/>
        <v>2368</v>
      </c>
      <c r="F55" s="32">
        <v>2368</v>
      </c>
      <c r="G55" s="8">
        <v>0</v>
      </c>
      <c r="H55" s="8">
        <v>0</v>
      </c>
      <c r="I55" s="8">
        <v>0</v>
      </c>
      <c r="J55" s="119"/>
      <c r="K55" s="119"/>
      <c r="L55" s="124"/>
      <c r="M55" s="55"/>
      <c r="N55" s="55"/>
      <c r="O55" s="55"/>
      <c r="P55" s="55"/>
    </row>
    <row r="56" spans="1:16" s="33" customFormat="1" x14ac:dyDescent="0.25">
      <c r="A56" s="152"/>
      <c r="B56" s="144"/>
      <c r="C56" s="119"/>
      <c r="D56" s="34">
        <v>2025</v>
      </c>
      <c r="E56" s="8">
        <f t="shared" si="14"/>
        <v>0</v>
      </c>
      <c r="F56" s="8">
        <v>0</v>
      </c>
      <c r="G56" s="8">
        <v>0</v>
      </c>
      <c r="H56" s="8">
        <v>0</v>
      </c>
      <c r="I56" s="8">
        <v>0</v>
      </c>
      <c r="J56" s="119"/>
      <c r="K56" s="119"/>
      <c r="L56" s="124"/>
      <c r="M56" s="55"/>
      <c r="N56" s="55"/>
      <c r="O56" s="55"/>
      <c r="P56" s="55"/>
    </row>
    <row r="57" spans="1:16" ht="27.75" customHeight="1" x14ac:dyDescent="0.25">
      <c r="A57" s="108" t="s">
        <v>30</v>
      </c>
      <c r="B57" s="108" t="s">
        <v>608</v>
      </c>
      <c r="C57" s="111" t="s">
        <v>828</v>
      </c>
      <c r="D57" s="7" t="s">
        <v>8</v>
      </c>
      <c r="E57" s="8">
        <f t="shared" si="13"/>
        <v>1598584.7174299997</v>
      </c>
      <c r="F57" s="8">
        <f>SUM(F58:F63)</f>
        <v>1586098.9260899997</v>
      </c>
      <c r="G57" s="8">
        <f t="shared" ref="G57:I57" si="15">SUM(G58:G63)</f>
        <v>0</v>
      </c>
      <c r="H57" s="8">
        <f t="shared" si="15"/>
        <v>12485.79134</v>
      </c>
      <c r="I57" s="8">
        <f t="shared" si="15"/>
        <v>0</v>
      </c>
      <c r="J57" s="188" t="s">
        <v>1790</v>
      </c>
      <c r="K57" s="108" t="s">
        <v>486</v>
      </c>
      <c r="N57" s="187" t="s">
        <v>1772</v>
      </c>
    </row>
    <row r="58" spans="1:16" ht="27.75" customHeight="1" x14ac:dyDescent="0.25">
      <c r="A58" s="109"/>
      <c r="B58" s="109"/>
      <c r="C58" s="112"/>
      <c r="D58" s="7">
        <v>2021</v>
      </c>
      <c r="E58" s="8">
        <f t="shared" si="13"/>
        <v>108436.894</v>
      </c>
      <c r="F58" s="8">
        <f>SUM(F65+F72+F78+F85+F92+F99+F106+F118+F125+F131+F151)</f>
        <v>108436.894</v>
      </c>
      <c r="G58" s="8">
        <f t="shared" ref="G58:I59" si="16">SUM(G65+G72+G78+G85+G92+G99+G106+G118+G125+G131)</f>
        <v>0</v>
      </c>
      <c r="H58" s="8">
        <f t="shared" si="16"/>
        <v>0</v>
      </c>
      <c r="I58" s="8">
        <f t="shared" si="16"/>
        <v>0</v>
      </c>
      <c r="J58" s="189"/>
      <c r="K58" s="109"/>
      <c r="N58" s="187"/>
    </row>
    <row r="59" spans="1:16" ht="27.75" customHeight="1" x14ac:dyDescent="0.25">
      <c r="A59" s="109"/>
      <c r="B59" s="109"/>
      <c r="C59" s="112"/>
      <c r="D59" s="7">
        <v>2022</v>
      </c>
      <c r="E59" s="8">
        <f t="shared" si="13"/>
        <v>274226.68966000003</v>
      </c>
      <c r="F59" s="8">
        <f>SUM(F66+F73+F79+F86+F93+F100+F107+F119+F126+F132+F152)</f>
        <v>274226.68966000003</v>
      </c>
      <c r="G59" s="8">
        <f t="shared" si="16"/>
        <v>0</v>
      </c>
      <c r="H59" s="8">
        <f t="shared" si="16"/>
        <v>0</v>
      </c>
      <c r="I59" s="8">
        <f t="shared" si="16"/>
        <v>0</v>
      </c>
      <c r="J59" s="189"/>
      <c r="K59" s="109"/>
      <c r="N59" s="187"/>
    </row>
    <row r="60" spans="1:16" ht="27.75" customHeight="1" x14ac:dyDescent="0.25">
      <c r="A60" s="109"/>
      <c r="B60" s="109"/>
      <c r="C60" s="112"/>
      <c r="D60" s="7">
        <v>2023</v>
      </c>
      <c r="E60" s="8">
        <f t="shared" si="13"/>
        <v>286735.94302999997</v>
      </c>
      <c r="F60" s="8">
        <f>SUM(F67+F74+F80+F87+F94+F101+F108+F120+F127+F133+F153+F139+F146+F160)</f>
        <v>274250.15168999997</v>
      </c>
      <c r="G60" s="8">
        <f>SUM(G67+G74+G80+G87+G94+G101+G108+G120+G127+G133+G153+G139+G146)</f>
        <v>0</v>
      </c>
      <c r="H60" s="8">
        <f>SUM(H67+H74+H80+H87+H94+H101+H108+H120+H127+H133+H153+H139+H146)</f>
        <v>12485.79134</v>
      </c>
      <c r="I60" s="8">
        <f>SUM(I67+I74+I80+I87+I94+I101+I108+I120+I127+I133)</f>
        <v>0</v>
      </c>
      <c r="J60" s="189"/>
      <c r="K60" s="109"/>
      <c r="N60" s="187"/>
    </row>
    <row r="61" spans="1:16" ht="27.75" customHeight="1" x14ac:dyDescent="0.25">
      <c r="A61" s="109"/>
      <c r="B61" s="109"/>
      <c r="C61" s="112"/>
      <c r="D61" s="7">
        <v>2024</v>
      </c>
      <c r="E61" s="8">
        <f t="shared" si="13"/>
        <v>448388.59357999999</v>
      </c>
      <c r="F61" s="8">
        <f>SUM(F68+F75+F81+F88+F95+F102+F109+F121+F128+F134+F154+F140+F147)</f>
        <v>448388.59357999999</v>
      </c>
      <c r="G61" s="8">
        <f>SUM(G68+G75+G81+G88+G95+G102+G109+G121+G128+G134)</f>
        <v>0</v>
      </c>
      <c r="H61" s="8">
        <f>SUM(H68+H75+H81+H88+H95+H102+H109+H121+H128+H134)</f>
        <v>0</v>
      </c>
      <c r="I61" s="8">
        <f>SUM(I68+I75+I81+I88+I95+I102+I109+I121+I128+I134)</f>
        <v>0</v>
      </c>
      <c r="J61" s="189"/>
      <c r="K61" s="109"/>
      <c r="N61" s="187"/>
    </row>
    <row r="62" spans="1:16" ht="27.75" customHeight="1" x14ac:dyDescent="0.25">
      <c r="A62" s="109"/>
      <c r="B62" s="109"/>
      <c r="C62" s="112"/>
      <c r="D62" s="7">
        <v>2025</v>
      </c>
      <c r="E62" s="8">
        <f t="shared" si="13"/>
        <v>240398.29858</v>
      </c>
      <c r="F62" s="8">
        <f>SUM(F69+F76+F82+F89+F96+F103+F110+F122+F129+F135+F155+F141+F148)</f>
        <v>240398.29858</v>
      </c>
      <c r="G62" s="8">
        <f>SUM(G69+G76+G82+G89+G96+G103+G110+G122+G129+G135)</f>
        <v>0</v>
      </c>
      <c r="H62" s="8">
        <f>SUM(H69+H76+H82+H89+H96+H103+H110+H122+H129+H135)</f>
        <v>0</v>
      </c>
      <c r="I62" s="8">
        <f>SUM(I69+I76+I82+I89+I96+I103+I110+I122+I129+I135)</f>
        <v>0</v>
      </c>
      <c r="J62" s="189"/>
      <c r="K62" s="109"/>
      <c r="N62" s="187"/>
    </row>
    <row r="63" spans="1:16" s="45" customFormat="1" ht="17.25" customHeight="1" x14ac:dyDescent="0.25">
      <c r="A63" s="110"/>
      <c r="B63" s="110"/>
      <c r="C63" s="113"/>
      <c r="D63" s="48">
        <v>2026</v>
      </c>
      <c r="E63" s="49">
        <f>SUM(F63:I63)</f>
        <v>240398.29858</v>
      </c>
      <c r="F63" s="49">
        <f>SUM(F70,F83,F90,F97,F104,F123,F142,F149,F156)</f>
        <v>240398.29858</v>
      </c>
      <c r="G63" s="49">
        <f t="shared" ref="G63:I63" si="17">SUM(G70,G83,G90,G97,G104,G123,G142,G149,G156)</f>
        <v>0</v>
      </c>
      <c r="H63" s="49">
        <f t="shared" si="17"/>
        <v>0</v>
      </c>
      <c r="I63" s="49">
        <f t="shared" si="17"/>
        <v>0</v>
      </c>
      <c r="J63" s="190"/>
      <c r="K63" s="110"/>
      <c r="M63" s="55"/>
      <c r="N63" s="187"/>
      <c r="O63" s="55"/>
      <c r="P63" s="55"/>
    </row>
    <row r="64" spans="1:16" ht="15" customHeight="1" x14ac:dyDescent="0.25">
      <c r="A64" s="108" t="s">
        <v>33</v>
      </c>
      <c r="B64" s="108" t="s">
        <v>496</v>
      </c>
      <c r="C64" s="111" t="s">
        <v>828</v>
      </c>
      <c r="D64" s="7" t="s">
        <v>8</v>
      </c>
      <c r="E64" s="8">
        <f t="shared" si="13"/>
        <v>274200</v>
      </c>
      <c r="F64" s="8">
        <f>SUM(F65:F70)</f>
        <v>274200</v>
      </c>
      <c r="G64" s="8">
        <f>SUM(G65:G69)</f>
        <v>0</v>
      </c>
      <c r="H64" s="8">
        <f>SUM(H65:H69)</f>
        <v>0</v>
      </c>
      <c r="I64" s="8">
        <f>SUM(I65:I69)</f>
        <v>0</v>
      </c>
      <c r="J64" s="108" t="s">
        <v>819</v>
      </c>
      <c r="K64" s="108" t="s">
        <v>484</v>
      </c>
    </row>
    <row r="65" spans="1:16" x14ac:dyDescent="0.25">
      <c r="A65" s="109"/>
      <c r="B65" s="109"/>
      <c r="C65" s="112"/>
      <c r="D65" s="7">
        <v>2021</v>
      </c>
      <c r="E65" s="8">
        <f t="shared" si="13"/>
        <v>43000</v>
      </c>
      <c r="F65" s="8">
        <v>43000</v>
      </c>
      <c r="G65" s="8">
        <v>0</v>
      </c>
      <c r="H65" s="8">
        <v>0</v>
      </c>
      <c r="I65" s="8">
        <v>0</v>
      </c>
      <c r="J65" s="109"/>
      <c r="K65" s="109"/>
    </row>
    <row r="66" spans="1:16" x14ac:dyDescent="0.25">
      <c r="A66" s="109"/>
      <c r="B66" s="109"/>
      <c r="C66" s="112"/>
      <c r="D66" s="7">
        <v>2022</v>
      </c>
      <c r="E66" s="8">
        <f t="shared" si="13"/>
        <v>45000</v>
      </c>
      <c r="F66" s="8">
        <v>45000</v>
      </c>
      <c r="G66" s="8">
        <v>0</v>
      </c>
      <c r="H66" s="8">
        <v>0</v>
      </c>
      <c r="I66" s="8">
        <v>0</v>
      </c>
      <c r="J66" s="109"/>
      <c r="K66" s="109"/>
    </row>
    <row r="67" spans="1:16" x14ac:dyDescent="0.25">
      <c r="A67" s="109"/>
      <c r="B67" s="109"/>
      <c r="C67" s="112"/>
      <c r="D67" s="7">
        <v>2023</v>
      </c>
      <c r="E67" s="8">
        <f t="shared" si="13"/>
        <v>61200</v>
      </c>
      <c r="F67" s="31">
        <f>30000+10000+9000+12200</f>
        <v>61200</v>
      </c>
      <c r="G67" s="8">
        <v>0</v>
      </c>
      <c r="H67" s="8">
        <v>0</v>
      </c>
      <c r="I67" s="8">
        <v>0</v>
      </c>
      <c r="J67" s="109"/>
      <c r="K67" s="109"/>
    </row>
    <row r="68" spans="1:16" x14ac:dyDescent="0.25">
      <c r="A68" s="109"/>
      <c r="B68" s="109"/>
      <c r="C68" s="112"/>
      <c r="D68" s="7">
        <v>2024</v>
      </c>
      <c r="E68" s="8">
        <f t="shared" si="13"/>
        <v>65000</v>
      </c>
      <c r="F68" s="32">
        <v>65000</v>
      </c>
      <c r="G68" s="8">
        <v>0</v>
      </c>
      <c r="H68" s="8">
        <v>0</v>
      </c>
      <c r="I68" s="8">
        <v>0</v>
      </c>
      <c r="J68" s="109"/>
      <c r="K68" s="109"/>
    </row>
    <row r="69" spans="1:16" x14ac:dyDescent="0.25">
      <c r="A69" s="109"/>
      <c r="B69" s="109"/>
      <c r="C69" s="112"/>
      <c r="D69" s="7">
        <v>2025</v>
      </c>
      <c r="E69" s="8">
        <f t="shared" si="13"/>
        <v>30000</v>
      </c>
      <c r="F69" s="32">
        <v>30000</v>
      </c>
      <c r="G69" s="8">
        <v>0</v>
      </c>
      <c r="H69" s="8">
        <v>0</v>
      </c>
      <c r="I69" s="8">
        <v>0</v>
      </c>
      <c r="J69" s="109"/>
      <c r="K69" s="109"/>
    </row>
    <row r="70" spans="1:16" s="43" customFormat="1" x14ac:dyDescent="0.25">
      <c r="A70" s="110"/>
      <c r="B70" s="110"/>
      <c r="C70" s="113"/>
      <c r="D70" s="40">
        <v>2026</v>
      </c>
      <c r="E70" s="41">
        <f>SUM(F70:I70)</f>
        <v>30000</v>
      </c>
      <c r="F70" s="41">
        <v>30000</v>
      </c>
      <c r="G70" s="41"/>
      <c r="H70" s="41"/>
      <c r="I70" s="41"/>
      <c r="J70" s="110"/>
      <c r="K70" s="110"/>
      <c r="M70" s="55"/>
      <c r="N70" s="55"/>
      <c r="O70" s="55"/>
      <c r="P70" s="55"/>
    </row>
    <row r="71" spans="1:16" ht="13.5" customHeight="1" outlineLevel="1" x14ac:dyDescent="0.25">
      <c r="A71" s="117" t="s">
        <v>36</v>
      </c>
      <c r="B71" s="118" t="s">
        <v>498</v>
      </c>
      <c r="C71" s="119">
        <v>2021</v>
      </c>
      <c r="D71" s="7" t="s">
        <v>8</v>
      </c>
      <c r="E71" s="8">
        <f t="shared" si="13"/>
        <v>0</v>
      </c>
      <c r="F71" s="8">
        <f>SUM(F72:F76)</f>
        <v>0</v>
      </c>
      <c r="G71" s="8">
        <f>SUM(G72:G76)</f>
        <v>0</v>
      </c>
      <c r="H71" s="8">
        <f>SUM(H72:H76)</f>
        <v>0</v>
      </c>
      <c r="I71" s="8">
        <f>SUM(I72:I76)</f>
        <v>0</v>
      </c>
      <c r="J71" s="119" t="s">
        <v>499</v>
      </c>
      <c r="K71" s="108" t="s">
        <v>484</v>
      </c>
    </row>
    <row r="72" spans="1:16" ht="13.5" customHeight="1" outlineLevel="1" x14ac:dyDescent="0.25">
      <c r="A72" s="117"/>
      <c r="B72" s="118"/>
      <c r="C72" s="119"/>
      <c r="D72" s="7">
        <v>2021</v>
      </c>
      <c r="E72" s="8">
        <f t="shared" si="13"/>
        <v>0</v>
      </c>
      <c r="F72" s="8">
        <v>0</v>
      </c>
      <c r="G72" s="8">
        <v>0</v>
      </c>
      <c r="H72" s="8">
        <v>0</v>
      </c>
      <c r="I72" s="8">
        <v>0</v>
      </c>
      <c r="J72" s="119"/>
      <c r="K72" s="109"/>
    </row>
    <row r="73" spans="1:16" ht="13.5" customHeight="1" outlineLevel="1" x14ac:dyDescent="0.25">
      <c r="A73" s="117"/>
      <c r="B73" s="118"/>
      <c r="C73" s="119"/>
      <c r="D73" s="7">
        <v>2022</v>
      </c>
      <c r="E73" s="8">
        <f t="shared" si="13"/>
        <v>0</v>
      </c>
      <c r="F73" s="8">
        <v>0</v>
      </c>
      <c r="G73" s="8">
        <v>0</v>
      </c>
      <c r="H73" s="8">
        <v>0</v>
      </c>
      <c r="I73" s="8">
        <v>0</v>
      </c>
      <c r="J73" s="119"/>
      <c r="K73" s="109"/>
    </row>
    <row r="74" spans="1:16" ht="13.5" customHeight="1" outlineLevel="1" x14ac:dyDescent="0.25">
      <c r="A74" s="117"/>
      <c r="B74" s="118"/>
      <c r="C74" s="119"/>
      <c r="D74" s="7">
        <v>2023</v>
      </c>
      <c r="E74" s="8">
        <f t="shared" si="13"/>
        <v>0</v>
      </c>
      <c r="F74" s="8">
        <v>0</v>
      </c>
      <c r="G74" s="8">
        <v>0</v>
      </c>
      <c r="H74" s="8">
        <v>0</v>
      </c>
      <c r="I74" s="8">
        <v>0</v>
      </c>
      <c r="J74" s="119"/>
      <c r="K74" s="109"/>
    </row>
    <row r="75" spans="1:16" ht="13.5" customHeight="1" outlineLevel="1" x14ac:dyDescent="0.25">
      <c r="A75" s="117"/>
      <c r="B75" s="118"/>
      <c r="C75" s="119"/>
      <c r="D75" s="7">
        <v>2024</v>
      </c>
      <c r="E75" s="8">
        <f t="shared" si="13"/>
        <v>0</v>
      </c>
      <c r="F75" s="8">
        <v>0</v>
      </c>
      <c r="G75" s="8">
        <v>0</v>
      </c>
      <c r="H75" s="8">
        <v>0</v>
      </c>
      <c r="I75" s="8">
        <v>0</v>
      </c>
      <c r="J75" s="119"/>
      <c r="K75" s="109"/>
    </row>
    <row r="76" spans="1:16" ht="13.5" customHeight="1" outlineLevel="1" x14ac:dyDescent="0.25">
      <c r="A76" s="117"/>
      <c r="B76" s="118"/>
      <c r="C76" s="119"/>
      <c r="D76" s="7">
        <v>2025</v>
      </c>
      <c r="E76" s="8">
        <f t="shared" si="13"/>
        <v>0</v>
      </c>
      <c r="F76" s="8">
        <v>0</v>
      </c>
      <c r="G76" s="8">
        <v>0</v>
      </c>
      <c r="H76" s="8">
        <v>0</v>
      </c>
      <c r="I76" s="8">
        <v>0</v>
      </c>
      <c r="J76" s="119"/>
      <c r="K76" s="110"/>
    </row>
    <row r="77" spans="1:16" ht="13.5" customHeight="1" outlineLevel="1" x14ac:dyDescent="0.25">
      <c r="A77" s="108" t="s">
        <v>500</v>
      </c>
      <c r="B77" s="108" t="s">
        <v>501</v>
      </c>
      <c r="C77" s="111" t="s">
        <v>828</v>
      </c>
      <c r="D77" s="7" t="s">
        <v>8</v>
      </c>
      <c r="E77" s="8">
        <f t="shared" si="13"/>
        <v>257993.769</v>
      </c>
      <c r="F77" s="8">
        <f>SUM(F78:F83)</f>
        <v>257993.769</v>
      </c>
      <c r="G77" s="8">
        <f>SUM(G78:G82)</f>
        <v>0</v>
      </c>
      <c r="H77" s="8">
        <f>SUM(H78:H82)</f>
        <v>0</v>
      </c>
      <c r="I77" s="8">
        <f>SUM(I78:I82)</f>
        <v>0</v>
      </c>
      <c r="J77" s="108" t="s">
        <v>820</v>
      </c>
      <c r="K77" s="108" t="s">
        <v>484</v>
      </c>
    </row>
    <row r="78" spans="1:16" ht="13.5" customHeight="1" outlineLevel="1" x14ac:dyDescent="0.25">
      <c r="A78" s="109"/>
      <c r="B78" s="109"/>
      <c r="C78" s="112"/>
      <c r="D78" s="7">
        <v>2021</v>
      </c>
      <c r="E78" s="8">
        <f t="shared" si="13"/>
        <v>33993.769</v>
      </c>
      <c r="F78" s="8">
        <v>33993.769</v>
      </c>
      <c r="G78" s="8">
        <v>0</v>
      </c>
      <c r="H78" s="8">
        <v>0</v>
      </c>
      <c r="I78" s="8">
        <v>0</v>
      </c>
      <c r="J78" s="109"/>
      <c r="K78" s="109"/>
    </row>
    <row r="79" spans="1:16" ht="13.5" customHeight="1" outlineLevel="1" x14ac:dyDescent="0.25">
      <c r="A79" s="109"/>
      <c r="B79" s="109"/>
      <c r="C79" s="112"/>
      <c r="D79" s="7">
        <v>2022</v>
      </c>
      <c r="E79" s="8">
        <f t="shared" si="13"/>
        <v>40000</v>
      </c>
      <c r="F79" s="8">
        <v>40000</v>
      </c>
      <c r="G79" s="8">
        <v>0</v>
      </c>
      <c r="H79" s="8">
        <v>0</v>
      </c>
      <c r="I79" s="8">
        <v>0</v>
      </c>
      <c r="J79" s="109"/>
      <c r="K79" s="109"/>
    </row>
    <row r="80" spans="1:16" ht="13.5" customHeight="1" outlineLevel="1" x14ac:dyDescent="0.25">
      <c r="A80" s="109"/>
      <c r="B80" s="109"/>
      <c r="C80" s="112"/>
      <c r="D80" s="7">
        <v>2023</v>
      </c>
      <c r="E80" s="8">
        <f t="shared" si="13"/>
        <v>49000</v>
      </c>
      <c r="F80" s="31">
        <f>40000+9000</f>
        <v>49000</v>
      </c>
      <c r="G80" s="8">
        <v>0</v>
      </c>
      <c r="H80" s="8">
        <v>0</v>
      </c>
      <c r="I80" s="8">
        <v>0</v>
      </c>
      <c r="J80" s="109"/>
      <c r="K80" s="109"/>
    </row>
    <row r="81" spans="1:16" ht="13.5" customHeight="1" outlineLevel="1" x14ac:dyDescent="0.25">
      <c r="A81" s="109"/>
      <c r="B81" s="109"/>
      <c r="C81" s="112"/>
      <c r="D81" s="7">
        <v>2024</v>
      </c>
      <c r="E81" s="8">
        <f t="shared" si="13"/>
        <v>55000</v>
      </c>
      <c r="F81" s="32">
        <v>55000</v>
      </c>
      <c r="G81" s="8">
        <v>0</v>
      </c>
      <c r="H81" s="8">
        <v>0</v>
      </c>
      <c r="I81" s="8">
        <v>0</v>
      </c>
      <c r="J81" s="109"/>
      <c r="K81" s="109"/>
    </row>
    <row r="82" spans="1:16" ht="13.5" customHeight="1" outlineLevel="1" x14ac:dyDescent="0.25">
      <c r="A82" s="109"/>
      <c r="B82" s="109"/>
      <c r="C82" s="112"/>
      <c r="D82" s="7">
        <v>2025</v>
      </c>
      <c r="E82" s="8">
        <f t="shared" si="13"/>
        <v>40000</v>
      </c>
      <c r="F82" s="32">
        <v>40000</v>
      </c>
      <c r="G82" s="8">
        <v>0</v>
      </c>
      <c r="H82" s="8">
        <v>0</v>
      </c>
      <c r="I82" s="8">
        <v>0</v>
      </c>
      <c r="J82" s="109"/>
      <c r="K82" s="109"/>
    </row>
    <row r="83" spans="1:16" s="43" customFormat="1" ht="13.5" customHeight="1" outlineLevel="1" x14ac:dyDescent="0.25">
      <c r="A83" s="110"/>
      <c r="B83" s="110"/>
      <c r="C83" s="113"/>
      <c r="D83" s="40">
        <v>2026</v>
      </c>
      <c r="E83" s="41">
        <f>SUM(F83:I83)</f>
        <v>40000</v>
      </c>
      <c r="F83" s="41">
        <v>40000</v>
      </c>
      <c r="G83" s="41"/>
      <c r="H83" s="41"/>
      <c r="I83" s="41"/>
      <c r="J83" s="110"/>
      <c r="K83" s="110"/>
      <c r="M83" s="55"/>
      <c r="N83" s="55"/>
      <c r="O83" s="55"/>
      <c r="P83" s="55"/>
    </row>
    <row r="84" spans="1:16" ht="13.5" customHeight="1" outlineLevel="1" x14ac:dyDescent="0.25">
      <c r="A84" s="108" t="s">
        <v>503</v>
      </c>
      <c r="B84" s="108" t="s">
        <v>1112</v>
      </c>
      <c r="C84" s="111" t="s">
        <v>828</v>
      </c>
      <c r="D84" s="7" t="s">
        <v>8</v>
      </c>
      <c r="E84" s="8">
        <f t="shared" si="13"/>
        <v>23634.921689999999</v>
      </c>
      <c r="F84" s="8">
        <f>SUM(F85:F90)</f>
        <v>23634.921689999999</v>
      </c>
      <c r="G84" s="8">
        <f>SUM(G85:G89)</f>
        <v>0</v>
      </c>
      <c r="H84" s="8">
        <f>SUM(H85:H89)</f>
        <v>0</v>
      </c>
      <c r="I84" s="8">
        <f>SUM(I85:I89)</f>
        <v>0</v>
      </c>
      <c r="J84" s="108" t="s">
        <v>505</v>
      </c>
      <c r="K84" s="108" t="s">
        <v>484</v>
      </c>
    </row>
    <row r="85" spans="1:16" ht="13.5" customHeight="1" outlineLevel="1" x14ac:dyDescent="0.25">
      <c r="A85" s="109"/>
      <c r="B85" s="109"/>
      <c r="C85" s="112"/>
      <c r="D85" s="7">
        <v>2021</v>
      </c>
      <c r="E85" s="8">
        <f t="shared" si="13"/>
        <v>2000</v>
      </c>
      <c r="F85" s="8">
        <v>2000</v>
      </c>
      <c r="G85" s="8">
        <v>0</v>
      </c>
      <c r="H85" s="8">
        <v>0</v>
      </c>
      <c r="I85" s="8">
        <v>0</v>
      </c>
      <c r="J85" s="109"/>
      <c r="K85" s="109"/>
    </row>
    <row r="86" spans="1:16" ht="13.5" customHeight="1" outlineLevel="1" x14ac:dyDescent="0.25">
      <c r="A86" s="109"/>
      <c r="B86" s="109"/>
      <c r="C86" s="112"/>
      <c r="D86" s="7">
        <v>2022</v>
      </c>
      <c r="E86" s="8">
        <f t="shared" si="13"/>
        <v>2900</v>
      </c>
      <c r="F86" s="8">
        <v>2900</v>
      </c>
      <c r="G86" s="8">
        <v>0</v>
      </c>
      <c r="H86" s="8">
        <v>0</v>
      </c>
      <c r="I86" s="8">
        <v>0</v>
      </c>
      <c r="J86" s="109"/>
      <c r="K86" s="109"/>
    </row>
    <row r="87" spans="1:16" ht="13.5" customHeight="1" outlineLevel="1" x14ac:dyDescent="0.25">
      <c r="A87" s="109"/>
      <c r="B87" s="109"/>
      <c r="C87" s="112"/>
      <c r="D87" s="7">
        <v>2023</v>
      </c>
      <c r="E87" s="8">
        <f t="shared" si="13"/>
        <v>1934.9216900000004</v>
      </c>
      <c r="F87" s="8">
        <f>5600-3148.56931-134.432-300-82.077</f>
        <v>1934.9216900000004</v>
      </c>
      <c r="G87" s="8">
        <v>0</v>
      </c>
      <c r="H87" s="8">
        <v>0</v>
      </c>
      <c r="I87" s="8">
        <v>0</v>
      </c>
      <c r="J87" s="109"/>
      <c r="K87" s="109"/>
      <c r="M87" s="55" t="s">
        <v>1743</v>
      </c>
    </row>
    <row r="88" spans="1:16" ht="13.5" customHeight="1" outlineLevel="1" x14ac:dyDescent="0.25">
      <c r="A88" s="109"/>
      <c r="B88" s="109"/>
      <c r="C88" s="112"/>
      <c r="D88" s="7">
        <v>2024</v>
      </c>
      <c r="E88" s="8">
        <f t="shared" si="13"/>
        <v>5600</v>
      </c>
      <c r="F88" s="32">
        <v>5600</v>
      </c>
      <c r="G88" s="8">
        <v>0</v>
      </c>
      <c r="H88" s="8">
        <v>0</v>
      </c>
      <c r="I88" s="8">
        <v>0</v>
      </c>
      <c r="J88" s="109"/>
      <c r="K88" s="109"/>
    </row>
    <row r="89" spans="1:16" ht="13.5" customHeight="1" outlineLevel="1" x14ac:dyDescent="0.25">
      <c r="A89" s="109"/>
      <c r="B89" s="109"/>
      <c r="C89" s="112"/>
      <c r="D89" s="7">
        <v>2025</v>
      </c>
      <c r="E89" s="8">
        <f t="shared" si="13"/>
        <v>5600</v>
      </c>
      <c r="F89" s="32">
        <v>5600</v>
      </c>
      <c r="G89" s="8">
        <v>0</v>
      </c>
      <c r="H89" s="8">
        <v>0</v>
      </c>
      <c r="I89" s="8">
        <v>0</v>
      </c>
      <c r="J89" s="109"/>
      <c r="K89" s="109"/>
    </row>
    <row r="90" spans="1:16" s="43" customFormat="1" ht="13.5" customHeight="1" outlineLevel="1" x14ac:dyDescent="0.25">
      <c r="A90" s="110"/>
      <c r="B90" s="110"/>
      <c r="C90" s="113"/>
      <c r="D90" s="40">
        <v>2026</v>
      </c>
      <c r="E90" s="41">
        <f>SUM(F90:I90)</f>
        <v>5600</v>
      </c>
      <c r="F90" s="41">
        <v>5600</v>
      </c>
      <c r="G90" s="41"/>
      <c r="H90" s="41"/>
      <c r="I90" s="41"/>
      <c r="J90" s="110"/>
      <c r="K90" s="110"/>
      <c r="M90" s="55"/>
      <c r="N90" s="55"/>
      <c r="O90" s="55"/>
      <c r="P90" s="55"/>
    </row>
    <row r="91" spans="1:16" ht="13.5" customHeight="1" outlineLevel="1" x14ac:dyDescent="0.25">
      <c r="A91" s="108" t="s">
        <v>506</v>
      </c>
      <c r="B91" s="108" t="s">
        <v>1225</v>
      </c>
      <c r="C91" s="111" t="s">
        <v>828</v>
      </c>
      <c r="D91" s="7" t="s">
        <v>8</v>
      </c>
      <c r="E91" s="8">
        <f t="shared" si="13"/>
        <v>441460.98374</v>
      </c>
      <c r="F91" s="8">
        <f>SUM(F92:F97)</f>
        <v>441460.98374</v>
      </c>
      <c r="G91" s="8">
        <f>SUM(G92:G96)</f>
        <v>0</v>
      </c>
      <c r="H91" s="8">
        <f>SUM(H92:H96)</f>
        <v>0</v>
      </c>
      <c r="I91" s="8">
        <f>SUM(I92:I96)</f>
        <v>0</v>
      </c>
      <c r="J91" s="108" t="s">
        <v>508</v>
      </c>
      <c r="K91" s="108" t="s">
        <v>486</v>
      </c>
    </row>
    <row r="92" spans="1:16" ht="13.5" customHeight="1" outlineLevel="1" x14ac:dyDescent="0.25">
      <c r="A92" s="109"/>
      <c r="B92" s="109"/>
      <c r="C92" s="112"/>
      <c r="D92" s="7">
        <v>2021</v>
      </c>
      <c r="E92" s="8">
        <f t="shared" si="13"/>
        <v>29443.125</v>
      </c>
      <c r="F92" s="8">
        <f>29443125/1000</f>
        <v>29443.125</v>
      </c>
      <c r="G92" s="8">
        <v>0</v>
      </c>
      <c r="H92" s="8">
        <v>0</v>
      </c>
      <c r="I92" s="8">
        <v>0</v>
      </c>
      <c r="J92" s="109"/>
      <c r="K92" s="109"/>
    </row>
    <row r="93" spans="1:16" ht="13.5" customHeight="1" outlineLevel="1" x14ac:dyDescent="0.25">
      <c r="A93" s="109"/>
      <c r="B93" s="109"/>
      <c r="C93" s="112"/>
      <c r="D93" s="7">
        <v>2022</v>
      </c>
      <c r="E93" s="8">
        <f t="shared" si="13"/>
        <v>99747.438999999998</v>
      </c>
      <c r="F93" s="8">
        <v>99747.438999999998</v>
      </c>
      <c r="G93" s="8">
        <v>0</v>
      </c>
      <c r="H93" s="8">
        <v>0</v>
      </c>
      <c r="I93" s="8">
        <v>0</v>
      </c>
      <c r="J93" s="109"/>
      <c r="K93" s="109"/>
    </row>
    <row r="94" spans="1:16" ht="13.5" customHeight="1" outlineLevel="1" x14ac:dyDescent="0.25">
      <c r="A94" s="109"/>
      <c r="B94" s="109"/>
      <c r="C94" s="112"/>
      <c r="D94" s="7">
        <v>2023</v>
      </c>
      <c r="E94" s="8">
        <f t="shared" si="13"/>
        <v>74885.229000000007</v>
      </c>
      <c r="F94" s="8">
        <f>56948.035+1000+16937.194</f>
        <v>74885.229000000007</v>
      </c>
      <c r="G94" s="8">
        <v>0</v>
      </c>
      <c r="H94" s="8">
        <v>0</v>
      </c>
      <c r="I94" s="8">
        <v>0</v>
      </c>
      <c r="J94" s="109"/>
      <c r="K94" s="109"/>
    </row>
    <row r="95" spans="1:16" ht="13.5" customHeight="1" outlineLevel="1" x14ac:dyDescent="0.25">
      <c r="A95" s="109"/>
      <c r="B95" s="109"/>
      <c r="C95" s="112"/>
      <c r="D95" s="7">
        <v>2024</v>
      </c>
      <c r="E95" s="8">
        <f t="shared" si="13"/>
        <v>115788.59358</v>
      </c>
      <c r="F95" s="32">
        <v>115788.59358</v>
      </c>
      <c r="G95" s="8">
        <v>0</v>
      </c>
      <c r="H95" s="8">
        <v>0</v>
      </c>
      <c r="I95" s="8">
        <v>0</v>
      </c>
      <c r="J95" s="109"/>
      <c r="K95" s="109"/>
    </row>
    <row r="96" spans="1:16" ht="13.5" customHeight="1" outlineLevel="1" x14ac:dyDescent="0.25">
      <c r="A96" s="109"/>
      <c r="B96" s="109"/>
      <c r="C96" s="112"/>
      <c r="D96" s="7">
        <v>2025</v>
      </c>
      <c r="E96" s="8">
        <f t="shared" si="13"/>
        <v>60798.298580000002</v>
      </c>
      <c r="F96" s="32">
        <v>60798.298580000002</v>
      </c>
      <c r="G96" s="8">
        <v>0</v>
      </c>
      <c r="H96" s="8">
        <v>0</v>
      </c>
      <c r="I96" s="8">
        <v>0</v>
      </c>
      <c r="J96" s="109"/>
      <c r="K96" s="109"/>
    </row>
    <row r="97" spans="1:16" s="43" customFormat="1" ht="13.5" customHeight="1" outlineLevel="1" x14ac:dyDescent="0.25">
      <c r="A97" s="110"/>
      <c r="B97" s="110"/>
      <c r="C97" s="113"/>
      <c r="D97" s="40">
        <v>2026</v>
      </c>
      <c r="E97" s="41">
        <f>SUM(F97:I97)</f>
        <v>60798.298580000002</v>
      </c>
      <c r="F97" s="41">
        <v>60798.298580000002</v>
      </c>
      <c r="G97" s="41"/>
      <c r="H97" s="41"/>
      <c r="I97" s="41"/>
      <c r="J97" s="110"/>
      <c r="K97" s="110"/>
      <c r="M97" s="55"/>
      <c r="N97" s="55"/>
      <c r="O97" s="55"/>
      <c r="P97" s="55"/>
    </row>
    <row r="98" spans="1:16" ht="13.5" customHeight="1" outlineLevel="1" x14ac:dyDescent="0.25">
      <c r="A98" s="108" t="s">
        <v>821</v>
      </c>
      <c r="B98" s="108" t="s">
        <v>822</v>
      </c>
      <c r="C98" s="111" t="s">
        <v>1777</v>
      </c>
      <c r="D98" s="7" t="s">
        <v>8</v>
      </c>
      <c r="E98" s="8">
        <f t="shared" si="13"/>
        <v>100000</v>
      </c>
      <c r="F98" s="8">
        <f>SUM(F99:F104)</f>
        <v>100000</v>
      </c>
      <c r="G98" s="8">
        <f>SUM(G99:G103)</f>
        <v>0</v>
      </c>
      <c r="H98" s="8">
        <f>SUM(H99:H103)</f>
        <v>0</v>
      </c>
      <c r="I98" s="8">
        <f>SUM(I99:I103)</f>
        <v>0</v>
      </c>
      <c r="J98" s="114" t="s">
        <v>823</v>
      </c>
      <c r="K98" s="108" t="s">
        <v>484</v>
      </c>
    </row>
    <row r="99" spans="1:16" ht="13.5" customHeight="1" outlineLevel="1" x14ac:dyDescent="0.25">
      <c r="A99" s="109"/>
      <c r="B99" s="109"/>
      <c r="C99" s="112"/>
      <c r="D99" s="7">
        <v>2021</v>
      </c>
      <c r="E99" s="8">
        <f t="shared" si="13"/>
        <v>0</v>
      </c>
      <c r="F99" s="8">
        <v>0</v>
      </c>
      <c r="G99" s="8">
        <v>0</v>
      </c>
      <c r="H99" s="8">
        <v>0</v>
      </c>
      <c r="I99" s="8">
        <v>0</v>
      </c>
      <c r="J99" s="115"/>
      <c r="K99" s="109"/>
    </row>
    <row r="100" spans="1:16" ht="13.5" customHeight="1" outlineLevel="1" x14ac:dyDescent="0.25">
      <c r="A100" s="109"/>
      <c r="B100" s="109"/>
      <c r="C100" s="112"/>
      <c r="D100" s="7">
        <v>2022</v>
      </c>
      <c r="E100" s="8">
        <f t="shared" si="13"/>
        <v>20000</v>
      </c>
      <c r="F100" s="8">
        <v>20000</v>
      </c>
      <c r="G100" s="8">
        <v>0</v>
      </c>
      <c r="H100" s="8">
        <v>0</v>
      </c>
      <c r="I100" s="8">
        <v>0</v>
      </c>
      <c r="J100" s="115"/>
      <c r="K100" s="109"/>
    </row>
    <row r="101" spans="1:16" ht="13.5" customHeight="1" outlineLevel="1" x14ac:dyDescent="0.25">
      <c r="A101" s="109"/>
      <c r="B101" s="109"/>
      <c r="C101" s="112"/>
      <c r="D101" s="7">
        <v>2023</v>
      </c>
      <c r="E101" s="8">
        <f t="shared" si="13"/>
        <v>20000</v>
      </c>
      <c r="F101" s="8">
        <v>20000</v>
      </c>
      <c r="G101" s="8">
        <v>0</v>
      </c>
      <c r="H101" s="8">
        <v>0</v>
      </c>
      <c r="I101" s="8">
        <v>0</v>
      </c>
      <c r="J101" s="115"/>
      <c r="K101" s="109"/>
    </row>
    <row r="102" spans="1:16" ht="13.5" customHeight="1" outlineLevel="1" x14ac:dyDescent="0.25">
      <c r="A102" s="109"/>
      <c r="B102" s="109"/>
      <c r="C102" s="112"/>
      <c r="D102" s="7">
        <v>2024</v>
      </c>
      <c r="E102" s="8">
        <f t="shared" si="13"/>
        <v>20000</v>
      </c>
      <c r="F102" s="32">
        <v>20000</v>
      </c>
      <c r="G102" s="8">
        <v>0</v>
      </c>
      <c r="H102" s="8">
        <v>0</v>
      </c>
      <c r="I102" s="8">
        <v>0</v>
      </c>
      <c r="J102" s="115"/>
      <c r="K102" s="109"/>
    </row>
    <row r="103" spans="1:16" ht="13.5" customHeight="1" outlineLevel="1" x14ac:dyDescent="0.25">
      <c r="A103" s="109"/>
      <c r="B103" s="109"/>
      <c r="C103" s="112"/>
      <c r="D103" s="7">
        <v>2025</v>
      </c>
      <c r="E103" s="8">
        <f t="shared" si="13"/>
        <v>20000</v>
      </c>
      <c r="F103" s="32">
        <v>20000</v>
      </c>
      <c r="G103" s="8">
        <v>0</v>
      </c>
      <c r="H103" s="8">
        <v>0</v>
      </c>
      <c r="I103" s="8">
        <v>0</v>
      </c>
      <c r="J103" s="115"/>
      <c r="K103" s="109"/>
    </row>
    <row r="104" spans="1:16" s="43" customFormat="1" ht="13.5" customHeight="1" outlineLevel="1" x14ac:dyDescent="0.25">
      <c r="A104" s="110"/>
      <c r="B104" s="110"/>
      <c r="C104" s="113"/>
      <c r="D104" s="40">
        <v>2026</v>
      </c>
      <c r="E104" s="41">
        <f>SUM(F104:I104)</f>
        <v>20000</v>
      </c>
      <c r="F104" s="41">
        <v>20000</v>
      </c>
      <c r="G104" s="41"/>
      <c r="H104" s="41"/>
      <c r="I104" s="41"/>
      <c r="J104" s="116"/>
      <c r="K104" s="110"/>
      <c r="M104" s="55"/>
      <c r="N104" s="55"/>
      <c r="O104" s="55"/>
      <c r="P104" s="55"/>
    </row>
    <row r="105" spans="1:16" ht="13.5" customHeight="1" outlineLevel="1" x14ac:dyDescent="0.25">
      <c r="A105" s="117" t="s">
        <v>824</v>
      </c>
      <c r="B105" s="118" t="s">
        <v>1114</v>
      </c>
      <c r="C105" s="119" t="s">
        <v>14</v>
      </c>
      <c r="D105" s="7" t="s">
        <v>8</v>
      </c>
      <c r="E105" s="8">
        <f t="shared" si="13"/>
        <v>3220</v>
      </c>
      <c r="F105" s="8">
        <f>SUM(F106:F110)</f>
        <v>3220</v>
      </c>
      <c r="G105" s="8">
        <f>SUM(G106:G110)</f>
        <v>0</v>
      </c>
      <c r="H105" s="8">
        <f>SUM(H106:H110)</f>
        <v>0</v>
      </c>
      <c r="I105" s="8">
        <f>SUM(I106:I110)</f>
        <v>0</v>
      </c>
      <c r="J105" s="119" t="s">
        <v>1115</v>
      </c>
      <c r="K105" s="119" t="s">
        <v>484</v>
      </c>
    </row>
    <row r="106" spans="1:16" ht="13.5" customHeight="1" outlineLevel="1" x14ac:dyDescent="0.25">
      <c r="A106" s="117"/>
      <c r="B106" s="118"/>
      <c r="C106" s="119"/>
      <c r="D106" s="7">
        <v>2021</v>
      </c>
      <c r="E106" s="8">
        <f t="shared" si="13"/>
        <v>0</v>
      </c>
      <c r="F106" s="8">
        <v>0</v>
      </c>
      <c r="G106" s="8">
        <v>0</v>
      </c>
      <c r="H106" s="8">
        <v>0</v>
      </c>
      <c r="I106" s="8">
        <v>0</v>
      </c>
      <c r="J106" s="119"/>
      <c r="K106" s="119"/>
    </row>
    <row r="107" spans="1:16" ht="13.5" customHeight="1" outlineLevel="1" x14ac:dyDescent="0.25">
      <c r="A107" s="117"/>
      <c r="B107" s="118"/>
      <c r="C107" s="119"/>
      <c r="D107" s="7">
        <v>2022</v>
      </c>
      <c r="E107" s="8">
        <f t="shared" si="13"/>
        <v>3220</v>
      </c>
      <c r="F107" s="8">
        <f>3360-140</f>
        <v>3220</v>
      </c>
      <c r="G107" s="8">
        <v>0</v>
      </c>
      <c r="H107" s="8">
        <v>0</v>
      </c>
      <c r="I107" s="8">
        <v>0</v>
      </c>
      <c r="J107" s="119"/>
      <c r="K107" s="119"/>
    </row>
    <row r="108" spans="1:16" ht="13.5" customHeight="1" outlineLevel="1" x14ac:dyDescent="0.25">
      <c r="A108" s="117"/>
      <c r="B108" s="118"/>
      <c r="C108" s="119"/>
      <c r="D108" s="7">
        <v>2023</v>
      </c>
      <c r="E108" s="8">
        <f t="shared" si="13"/>
        <v>0</v>
      </c>
      <c r="F108" s="8">
        <v>0</v>
      </c>
      <c r="G108" s="8">
        <v>0</v>
      </c>
      <c r="H108" s="8">
        <v>0</v>
      </c>
      <c r="I108" s="8">
        <v>0</v>
      </c>
      <c r="J108" s="119"/>
      <c r="K108" s="119"/>
    </row>
    <row r="109" spans="1:16" ht="13.5" customHeight="1" outlineLevel="1" x14ac:dyDescent="0.25">
      <c r="A109" s="117"/>
      <c r="B109" s="118"/>
      <c r="C109" s="119"/>
      <c r="D109" s="7">
        <v>2024</v>
      </c>
      <c r="E109" s="8">
        <f t="shared" si="13"/>
        <v>0</v>
      </c>
      <c r="F109" s="8">
        <v>0</v>
      </c>
      <c r="G109" s="8">
        <v>0</v>
      </c>
      <c r="H109" s="8">
        <v>0</v>
      </c>
      <c r="I109" s="8">
        <v>0</v>
      </c>
      <c r="J109" s="119"/>
      <c r="K109" s="119"/>
    </row>
    <row r="110" spans="1:16" ht="13.5" customHeight="1" outlineLevel="1" x14ac:dyDescent="0.25">
      <c r="A110" s="117"/>
      <c r="B110" s="118"/>
      <c r="C110" s="119"/>
      <c r="D110" s="7">
        <v>2025</v>
      </c>
      <c r="E110" s="8">
        <f t="shared" si="13"/>
        <v>0</v>
      </c>
      <c r="F110" s="8">
        <v>0</v>
      </c>
      <c r="G110" s="8">
        <v>0</v>
      </c>
      <c r="H110" s="8">
        <v>0</v>
      </c>
      <c r="I110" s="8">
        <v>0</v>
      </c>
      <c r="J110" s="119"/>
      <c r="K110" s="119"/>
    </row>
    <row r="111" spans="1:16" ht="23.25" customHeight="1" outlineLevel="1" x14ac:dyDescent="0.25">
      <c r="A111" s="117" t="s">
        <v>826</v>
      </c>
      <c r="B111" s="118" t="s">
        <v>1116</v>
      </c>
      <c r="C111" s="119" t="s">
        <v>14</v>
      </c>
      <c r="D111" s="7" t="s">
        <v>8</v>
      </c>
      <c r="E111" s="8">
        <f t="shared" si="13"/>
        <v>0</v>
      </c>
      <c r="F111" s="8">
        <f>SUM(F112:F116)</f>
        <v>0</v>
      </c>
      <c r="G111" s="8">
        <f>SUM(G112:G116)</f>
        <v>0</v>
      </c>
      <c r="H111" s="8">
        <f>SUM(H112:H116)</f>
        <v>0</v>
      </c>
      <c r="I111" s="8">
        <f>SUM(I112:I116)</f>
        <v>0</v>
      </c>
      <c r="J111" s="119" t="s">
        <v>829</v>
      </c>
      <c r="K111" s="119" t="s">
        <v>484</v>
      </c>
    </row>
    <row r="112" spans="1:16" ht="13.5" customHeight="1" outlineLevel="1" x14ac:dyDescent="0.25">
      <c r="A112" s="117"/>
      <c r="B112" s="118"/>
      <c r="C112" s="119"/>
      <c r="D112" s="7">
        <v>2021</v>
      </c>
      <c r="E112" s="8">
        <f t="shared" si="13"/>
        <v>0</v>
      </c>
      <c r="F112" s="8">
        <v>0</v>
      </c>
      <c r="G112" s="8">
        <v>0</v>
      </c>
      <c r="H112" s="8">
        <v>0</v>
      </c>
      <c r="I112" s="8">
        <v>0</v>
      </c>
      <c r="J112" s="119"/>
      <c r="K112" s="119"/>
    </row>
    <row r="113" spans="1:16" ht="13.5" customHeight="1" outlineLevel="1" x14ac:dyDescent="0.25">
      <c r="A113" s="117"/>
      <c r="B113" s="118"/>
      <c r="C113" s="119"/>
      <c r="D113" s="7">
        <v>2022</v>
      </c>
      <c r="E113" s="8">
        <f t="shared" si="13"/>
        <v>0</v>
      </c>
      <c r="F113" s="8">
        <v>0</v>
      </c>
      <c r="G113" s="8">
        <v>0</v>
      </c>
      <c r="H113" s="8">
        <v>0</v>
      </c>
      <c r="I113" s="8">
        <v>0</v>
      </c>
      <c r="J113" s="119"/>
      <c r="K113" s="119"/>
    </row>
    <row r="114" spans="1:16" ht="13.5" customHeight="1" outlineLevel="1" x14ac:dyDescent="0.25">
      <c r="A114" s="117"/>
      <c r="B114" s="118"/>
      <c r="C114" s="119"/>
      <c r="D114" s="7">
        <v>2023</v>
      </c>
      <c r="E114" s="8">
        <f t="shared" si="13"/>
        <v>0</v>
      </c>
      <c r="F114" s="8">
        <v>0</v>
      </c>
      <c r="G114" s="8">
        <v>0</v>
      </c>
      <c r="H114" s="8">
        <v>0</v>
      </c>
      <c r="I114" s="8">
        <v>0</v>
      </c>
      <c r="J114" s="119"/>
      <c r="K114" s="119"/>
    </row>
    <row r="115" spans="1:16" ht="13.5" customHeight="1" outlineLevel="1" x14ac:dyDescent="0.25">
      <c r="A115" s="117"/>
      <c r="B115" s="118"/>
      <c r="C115" s="119"/>
      <c r="D115" s="7">
        <v>2024</v>
      </c>
      <c r="E115" s="8">
        <f t="shared" si="13"/>
        <v>0</v>
      </c>
      <c r="F115" s="8">
        <v>0</v>
      </c>
      <c r="G115" s="8">
        <v>0</v>
      </c>
      <c r="H115" s="8">
        <v>0</v>
      </c>
      <c r="I115" s="8">
        <v>0</v>
      </c>
      <c r="J115" s="119"/>
      <c r="K115" s="119"/>
    </row>
    <row r="116" spans="1:16" ht="13.5" customHeight="1" outlineLevel="1" x14ac:dyDescent="0.25">
      <c r="A116" s="117"/>
      <c r="B116" s="118"/>
      <c r="C116" s="119"/>
      <c r="D116" s="7">
        <v>2025</v>
      </c>
      <c r="E116" s="8">
        <v>0</v>
      </c>
      <c r="F116" s="8">
        <v>0</v>
      </c>
      <c r="G116" s="8">
        <v>0</v>
      </c>
      <c r="H116" s="8">
        <v>0</v>
      </c>
      <c r="I116" s="8">
        <v>0</v>
      </c>
      <c r="J116" s="119"/>
      <c r="K116" s="119"/>
    </row>
    <row r="117" spans="1:16" ht="13.5" customHeight="1" outlineLevel="1" x14ac:dyDescent="0.25">
      <c r="A117" s="108" t="s">
        <v>830</v>
      </c>
      <c r="B117" s="132" t="s">
        <v>1117</v>
      </c>
      <c r="C117" s="111" t="s">
        <v>1777</v>
      </c>
      <c r="D117" s="7" t="s">
        <v>8</v>
      </c>
      <c r="E117" s="8">
        <f t="shared" si="13"/>
        <v>121500</v>
      </c>
      <c r="F117" s="8">
        <f>SUM(F118:F123)</f>
        <v>121500</v>
      </c>
      <c r="G117" s="8">
        <f>SUM(G118:G122)</f>
        <v>0</v>
      </c>
      <c r="H117" s="8">
        <f>SUM(H118:H122)</f>
        <v>0</v>
      </c>
      <c r="I117" s="8">
        <f>SUM(I118:I122)</f>
        <v>0</v>
      </c>
      <c r="J117" s="149" t="s">
        <v>1118</v>
      </c>
      <c r="K117" s="132" t="s">
        <v>515</v>
      </c>
    </row>
    <row r="118" spans="1:16" ht="13.5" customHeight="1" outlineLevel="1" x14ac:dyDescent="0.25">
      <c r="A118" s="109"/>
      <c r="B118" s="133"/>
      <c r="C118" s="112"/>
      <c r="D118" s="7">
        <v>2021</v>
      </c>
      <c r="E118" s="8">
        <f t="shared" si="13"/>
        <v>0</v>
      </c>
      <c r="F118" s="8">
        <v>0</v>
      </c>
      <c r="G118" s="8">
        <v>0</v>
      </c>
      <c r="H118" s="8">
        <v>0</v>
      </c>
      <c r="I118" s="8">
        <v>0</v>
      </c>
      <c r="J118" s="150"/>
      <c r="K118" s="133"/>
    </row>
    <row r="119" spans="1:16" ht="13.5" customHeight="1" outlineLevel="1" x14ac:dyDescent="0.25">
      <c r="A119" s="109"/>
      <c r="B119" s="133"/>
      <c r="C119" s="112"/>
      <c r="D119" s="7">
        <v>2022</v>
      </c>
      <c r="E119" s="8">
        <f t="shared" si="13"/>
        <v>21000</v>
      </c>
      <c r="F119" s="8">
        <v>21000</v>
      </c>
      <c r="G119" s="8">
        <v>0</v>
      </c>
      <c r="H119" s="8">
        <v>0</v>
      </c>
      <c r="I119" s="8">
        <v>0</v>
      </c>
      <c r="J119" s="150"/>
      <c r="K119" s="133"/>
    </row>
    <row r="120" spans="1:16" ht="13.5" customHeight="1" outlineLevel="1" x14ac:dyDescent="0.25">
      <c r="A120" s="109"/>
      <c r="B120" s="133"/>
      <c r="C120" s="112"/>
      <c r="D120" s="7">
        <v>2023</v>
      </c>
      <c r="E120" s="8">
        <f t="shared" si="13"/>
        <v>22500</v>
      </c>
      <c r="F120" s="8">
        <f>26000-3500</f>
        <v>22500</v>
      </c>
      <c r="G120" s="8">
        <v>0</v>
      </c>
      <c r="H120" s="8">
        <v>0</v>
      </c>
      <c r="I120" s="8">
        <v>0</v>
      </c>
      <c r="J120" s="150"/>
      <c r="K120" s="133"/>
    </row>
    <row r="121" spans="1:16" ht="13.5" customHeight="1" outlineLevel="1" x14ac:dyDescent="0.25">
      <c r="A121" s="109"/>
      <c r="B121" s="133"/>
      <c r="C121" s="112"/>
      <c r="D121" s="7">
        <v>2024</v>
      </c>
      <c r="E121" s="8">
        <f t="shared" si="13"/>
        <v>26000</v>
      </c>
      <c r="F121" s="32">
        <v>26000</v>
      </c>
      <c r="G121" s="8">
        <v>0</v>
      </c>
      <c r="H121" s="8">
        <v>0</v>
      </c>
      <c r="I121" s="8">
        <v>0</v>
      </c>
      <c r="J121" s="150"/>
      <c r="K121" s="133"/>
    </row>
    <row r="122" spans="1:16" ht="13.5" customHeight="1" outlineLevel="1" x14ac:dyDescent="0.25">
      <c r="A122" s="109"/>
      <c r="B122" s="133"/>
      <c r="C122" s="112"/>
      <c r="D122" s="7">
        <v>2025</v>
      </c>
      <c r="E122" s="8">
        <f t="shared" ref="E122:H137" si="18">SUM(F122:I122)</f>
        <v>26000</v>
      </c>
      <c r="F122" s="32">
        <v>26000</v>
      </c>
      <c r="G122" s="8">
        <v>0</v>
      </c>
      <c r="H122" s="8">
        <v>0</v>
      </c>
      <c r="I122" s="8">
        <v>0</v>
      </c>
      <c r="J122" s="150"/>
      <c r="K122" s="133"/>
    </row>
    <row r="123" spans="1:16" s="43" customFormat="1" ht="13.5" customHeight="1" outlineLevel="1" x14ac:dyDescent="0.25">
      <c r="A123" s="110"/>
      <c r="B123" s="134"/>
      <c r="C123" s="113"/>
      <c r="D123" s="40"/>
      <c r="E123" s="41">
        <f>SUM(F123:I123)</f>
        <v>26000</v>
      </c>
      <c r="F123" s="41">
        <v>26000</v>
      </c>
      <c r="G123" s="41"/>
      <c r="H123" s="41"/>
      <c r="I123" s="41"/>
      <c r="J123" s="151"/>
      <c r="K123" s="134"/>
      <c r="M123" s="55"/>
      <c r="N123" s="55"/>
      <c r="O123" s="55"/>
      <c r="P123" s="55"/>
    </row>
    <row r="124" spans="1:16" ht="18" customHeight="1" outlineLevel="1" x14ac:dyDescent="0.25">
      <c r="A124" s="117" t="s">
        <v>832</v>
      </c>
      <c r="B124" s="118" t="s">
        <v>1119</v>
      </c>
      <c r="C124" s="108" t="s">
        <v>124</v>
      </c>
      <c r="D124" s="7" t="s">
        <v>8</v>
      </c>
      <c r="E124" s="8">
        <f t="shared" si="18"/>
        <v>9000</v>
      </c>
      <c r="F124" s="8">
        <f>SUM(F125:F129)</f>
        <v>9000</v>
      </c>
      <c r="G124" s="8">
        <f>SUM(G125:G129)</f>
        <v>0</v>
      </c>
      <c r="H124" s="8">
        <f>SUM(H125:H129)</f>
        <v>0</v>
      </c>
      <c r="I124" s="8">
        <f>SUM(I125:I129)</f>
        <v>0</v>
      </c>
      <c r="J124" s="119" t="s">
        <v>1120</v>
      </c>
      <c r="K124" s="119" t="s">
        <v>515</v>
      </c>
    </row>
    <row r="125" spans="1:16" ht="22.5" customHeight="1" outlineLevel="1" x14ac:dyDescent="0.25">
      <c r="A125" s="117"/>
      <c r="B125" s="118"/>
      <c r="C125" s="109"/>
      <c r="D125" s="7">
        <v>2021</v>
      </c>
      <c r="E125" s="8">
        <f t="shared" si="18"/>
        <v>0</v>
      </c>
      <c r="F125" s="8">
        <v>0</v>
      </c>
      <c r="G125" s="8">
        <v>0</v>
      </c>
      <c r="H125" s="8">
        <v>0</v>
      </c>
      <c r="I125" s="8">
        <v>0</v>
      </c>
      <c r="J125" s="119"/>
      <c r="K125" s="119"/>
    </row>
    <row r="126" spans="1:16" ht="26.25" customHeight="1" outlineLevel="1" x14ac:dyDescent="0.25">
      <c r="A126" s="117"/>
      <c r="B126" s="118"/>
      <c r="C126" s="109"/>
      <c r="D126" s="7">
        <v>2022</v>
      </c>
      <c r="E126" s="8">
        <f t="shared" si="18"/>
        <v>9000</v>
      </c>
      <c r="F126" s="8">
        <v>9000</v>
      </c>
      <c r="G126" s="8">
        <v>0</v>
      </c>
      <c r="H126" s="8">
        <v>0</v>
      </c>
      <c r="I126" s="8">
        <v>0</v>
      </c>
      <c r="J126" s="119"/>
      <c r="K126" s="119"/>
    </row>
    <row r="127" spans="1:16" ht="32.25" customHeight="1" outlineLevel="1" x14ac:dyDescent="0.25">
      <c r="A127" s="117"/>
      <c r="B127" s="118"/>
      <c r="C127" s="109"/>
      <c r="D127" s="7">
        <v>2023</v>
      </c>
      <c r="E127" s="8">
        <f t="shared" si="18"/>
        <v>0</v>
      </c>
      <c r="F127" s="8">
        <v>0</v>
      </c>
      <c r="G127" s="8">
        <v>0</v>
      </c>
      <c r="H127" s="8">
        <v>0</v>
      </c>
      <c r="I127" s="8">
        <v>0</v>
      </c>
      <c r="J127" s="119"/>
      <c r="K127" s="119"/>
    </row>
    <row r="128" spans="1:16" ht="22.5" customHeight="1" outlineLevel="1" x14ac:dyDescent="0.25">
      <c r="A128" s="117"/>
      <c r="B128" s="118"/>
      <c r="C128" s="109"/>
      <c r="D128" s="7">
        <v>2024</v>
      </c>
      <c r="E128" s="8">
        <f t="shared" si="18"/>
        <v>0</v>
      </c>
      <c r="F128" s="8">
        <v>0</v>
      </c>
      <c r="G128" s="8">
        <v>0</v>
      </c>
      <c r="H128" s="8">
        <v>0</v>
      </c>
      <c r="I128" s="8">
        <v>0</v>
      </c>
      <c r="J128" s="119"/>
      <c r="K128" s="119"/>
    </row>
    <row r="129" spans="1:16" ht="21" customHeight="1" outlineLevel="1" x14ac:dyDescent="0.25">
      <c r="A129" s="117"/>
      <c r="B129" s="118"/>
      <c r="C129" s="110"/>
      <c r="D129" s="7">
        <v>2025</v>
      </c>
      <c r="E129" s="8">
        <f t="shared" si="18"/>
        <v>0</v>
      </c>
      <c r="F129" s="8">
        <v>0</v>
      </c>
      <c r="G129" s="8">
        <v>0</v>
      </c>
      <c r="H129" s="8">
        <v>0</v>
      </c>
      <c r="I129" s="8">
        <v>0</v>
      </c>
      <c r="J129" s="119"/>
      <c r="K129" s="119"/>
    </row>
    <row r="130" spans="1:16" ht="15.75" customHeight="1" outlineLevel="1" x14ac:dyDescent="0.25">
      <c r="A130" s="117" t="s">
        <v>1121</v>
      </c>
      <c r="B130" s="118" t="s">
        <v>1122</v>
      </c>
      <c r="C130" s="108">
        <v>2022</v>
      </c>
      <c r="D130" s="7" t="s">
        <v>8</v>
      </c>
      <c r="E130" s="8">
        <f>SUM(F130:I130)</f>
        <v>33359.250659999998</v>
      </c>
      <c r="F130" s="8">
        <f>SUM(F131:F135)</f>
        <v>33359.250659999998</v>
      </c>
      <c r="G130" s="8">
        <f>SUM(G131:G135)</f>
        <v>0</v>
      </c>
      <c r="H130" s="8">
        <f>SUM(H131:H135)</f>
        <v>0</v>
      </c>
      <c r="I130" s="8">
        <f>SUM(I131:I135)</f>
        <v>0</v>
      </c>
      <c r="J130" s="119" t="s">
        <v>1120</v>
      </c>
      <c r="K130" s="119" t="s">
        <v>515</v>
      </c>
    </row>
    <row r="131" spans="1:16" ht="15.75" customHeight="1" outlineLevel="1" x14ac:dyDescent="0.25">
      <c r="A131" s="117"/>
      <c r="B131" s="118"/>
      <c r="C131" s="109"/>
      <c r="D131" s="7">
        <v>2021</v>
      </c>
      <c r="E131" s="8">
        <f t="shared" si="18"/>
        <v>0</v>
      </c>
      <c r="F131" s="8">
        <v>0</v>
      </c>
      <c r="G131" s="8">
        <v>0</v>
      </c>
      <c r="H131" s="8">
        <v>0</v>
      </c>
      <c r="I131" s="8">
        <v>0</v>
      </c>
      <c r="J131" s="119"/>
      <c r="K131" s="119"/>
    </row>
    <row r="132" spans="1:16" ht="15.75" customHeight="1" outlineLevel="1" x14ac:dyDescent="0.25">
      <c r="A132" s="117"/>
      <c r="B132" s="118"/>
      <c r="C132" s="109"/>
      <c r="D132" s="7">
        <v>2022</v>
      </c>
      <c r="E132" s="8">
        <f t="shared" si="18"/>
        <v>33359.250659999998</v>
      </c>
      <c r="F132" s="8">
        <f>33194.388+164.86266</f>
        <v>33359.250659999998</v>
      </c>
      <c r="G132" s="8">
        <v>0</v>
      </c>
      <c r="H132" s="8">
        <v>0</v>
      </c>
      <c r="I132" s="8">
        <v>0</v>
      </c>
      <c r="J132" s="119"/>
      <c r="K132" s="119"/>
    </row>
    <row r="133" spans="1:16" ht="15.75" customHeight="1" outlineLevel="1" x14ac:dyDescent="0.25">
      <c r="A133" s="117"/>
      <c r="B133" s="118"/>
      <c r="C133" s="109"/>
      <c r="D133" s="7">
        <v>2023</v>
      </c>
      <c r="E133" s="8">
        <f t="shared" si="18"/>
        <v>0</v>
      </c>
      <c r="F133" s="8">
        <f t="shared" si="18"/>
        <v>0</v>
      </c>
      <c r="G133" s="8">
        <f t="shared" si="18"/>
        <v>0</v>
      </c>
      <c r="H133" s="8">
        <f t="shared" si="18"/>
        <v>0</v>
      </c>
      <c r="I133" s="8">
        <v>0</v>
      </c>
      <c r="J133" s="119"/>
      <c r="K133" s="119"/>
    </row>
    <row r="134" spans="1:16" ht="15.75" customHeight="1" outlineLevel="1" x14ac:dyDescent="0.25">
      <c r="A134" s="117"/>
      <c r="B134" s="118"/>
      <c r="C134" s="109"/>
      <c r="D134" s="7">
        <v>2024</v>
      </c>
      <c r="E134" s="8">
        <f t="shared" si="18"/>
        <v>0</v>
      </c>
      <c r="F134" s="8">
        <f t="shared" si="18"/>
        <v>0</v>
      </c>
      <c r="G134" s="8">
        <f t="shared" si="18"/>
        <v>0</v>
      </c>
      <c r="H134" s="8">
        <f t="shared" si="18"/>
        <v>0</v>
      </c>
      <c r="I134" s="8">
        <v>0</v>
      </c>
      <c r="J134" s="119"/>
      <c r="K134" s="119"/>
    </row>
    <row r="135" spans="1:16" ht="15.75" customHeight="1" outlineLevel="1" x14ac:dyDescent="0.25">
      <c r="A135" s="117"/>
      <c r="B135" s="118"/>
      <c r="C135" s="110"/>
      <c r="D135" s="7">
        <v>2025</v>
      </c>
      <c r="E135" s="8">
        <f t="shared" si="18"/>
        <v>0</v>
      </c>
      <c r="F135" s="8">
        <f t="shared" si="18"/>
        <v>0</v>
      </c>
      <c r="G135" s="8">
        <f t="shared" si="18"/>
        <v>0</v>
      </c>
      <c r="H135" s="8">
        <f t="shared" si="18"/>
        <v>0</v>
      </c>
      <c r="I135" s="8">
        <v>0</v>
      </c>
      <c r="J135" s="119"/>
      <c r="K135" s="119"/>
    </row>
    <row r="136" spans="1:16" ht="15.75" customHeight="1" outlineLevel="1" x14ac:dyDescent="0.25">
      <c r="A136" s="108" t="s">
        <v>1123</v>
      </c>
      <c r="B136" s="108" t="s">
        <v>1124</v>
      </c>
      <c r="C136" s="111" t="s">
        <v>1778</v>
      </c>
      <c r="D136" s="7" t="s">
        <v>8</v>
      </c>
      <c r="E136" s="8">
        <f t="shared" si="18"/>
        <v>41210.526319999997</v>
      </c>
      <c r="F136" s="8">
        <f>SUM(F137:F142)</f>
        <v>36000</v>
      </c>
      <c r="G136" s="8">
        <f>SUM(G137:G141)</f>
        <v>0</v>
      </c>
      <c r="H136" s="8">
        <f>SUM(H137:H141)</f>
        <v>5210.5263199999999</v>
      </c>
      <c r="I136" s="8">
        <f>SUM(I137:I141)</f>
        <v>0</v>
      </c>
      <c r="J136" s="135" t="s">
        <v>1764</v>
      </c>
      <c r="K136" s="108" t="s">
        <v>515</v>
      </c>
    </row>
    <row r="137" spans="1:16" ht="15.75" customHeight="1" outlineLevel="1" x14ac:dyDescent="0.25">
      <c r="A137" s="109"/>
      <c r="B137" s="109"/>
      <c r="C137" s="112"/>
      <c r="D137" s="7">
        <v>2021</v>
      </c>
      <c r="E137" s="8">
        <f t="shared" si="18"/>
        <v>0</v>
      </c>
      <c r="F137" s="8">
        <v>0</v>
      </c>
      <c r="G137" s="8">
        <v>0</v>
      </c>
      <c r="H137" s="8">
        <v>0</v>
      </c>
      <c r="I137" s="8">
        <v>0</v>
      </c>
      <c r="J137" s="136"/>
      <c r="K137" s="109"/>
    </row>
    <row r="138" spans="1:16" ht="15.75" customHeight="1" outlineLevel="1" x14ac:dyDescent="0.25">
      <c r="A138" s="109"/>
      <c r="B138" s="109"/>
      <c r="C138" s="112"/>
      <c r="D138" s="7">
        <v>2022</v>
      </c>
      <c r="E138" s="8">
        <f t="shared" ref="E138:E215" si="19">SUM(F138:I138)</f>
        <v>0</v>
      </c>
      <c r="F138" s="8">
        <v>0</v>
      </c>
      <c r="G138" s="8">
        <v>0</v>
      </c>
      <c r="H138" s="8">
        <v>0</v>
      </c>
      <c r="I138" s="8">
        <v>0</v>
      </c>
      <c r="J138" s="136"/>
      <c r="K138" s="109"/>
    </row>
    <row r="139" spans="1:16" ht="15.75" customHeight="1" outlineLevel="1" x14ac:dyDescent="0.25">
      <c r="A139" s="109"/>
      <c r="B139" s="109"/>
      <c r="C139" s="112"/>
      <c r="D139" s="7">
        <v>2023</v>
      </c>
      <c r="E139" s="8">
        <f t="shared" si="19"/>
        <v>14210.526320000001</v>
      </c>
      <c r="F139" s="8">
        <v>9000</v>
      </c>
      <c r="G139" s="8">
        <v>0</v>
      </c>
      <c r="H139" s="8">
        <v>5210.5263199999999</v>
      </c>
      <c r="I139" s="8">
        <v>0</v>
      </c>
      <c r="J139" s="136"/>
      <c r="K139" s="109"/>
    </row>
    <row r="140" spans="1:16" ht="15.75" customHeight="1" outlineLevel="1" x14ac:dyDescent="0.25">
      <c r="A140" s="109"/>
      <c r="B140" s="109"/>
      <c r="C140" s="112"/>
      <c r="D140" s="7">
        <v>2024</v>
      </c>
      <c r="E140" s="8">
        <f t="shared" si="19"/>
        <v>9000</v>
      </c>
      <c r="F140" s="32">
        <v>9000</v>
      </c>
      <c r="G140" s="8">
        <v>0</v>
      </c>
      <c r="H140" s="8">
        <v>0</v>
      </c>
      <c r="I140" s="8">
        <v>0</v>
      </c>
      <c r="J140" s="136"/>
      <c r="K140" s="109"/>
    </row>
    <row r="141" spans="1:16" ht="15.75" customHeight="1" outlineLevel="1" x14ac:dyDescent="0.25">
      <c r="A141" s="109"/>
      <c r="B141" s="109"/>
      <c r="C141" s="112"/>
      <c r="D141" s="7">
        <v>2025</v>
      </c>
      <c r="E141" s="8">
        <f t="shared" si="19"/>
        <v>9000</v>
      </c>
      <c r="F141" s="32">
        <v>9000</v>
      </c>
      <c r="G141" s="8">
        <v>0</v>
      </c>
      <c r="H141" s="8">
        <v>0</v>
      </c>
      <c r="I141" s="8">
        <v>0</v>
      </c>
      <c r="J141" s="136"/>
      <c r="K141" s="109"/>
    </row>
    <row r="142" spans="1:16" s="43" customFormat="1" ht="15.75" customHeight="1" outlineLevel="1" x14ac:dyDescent="0.25">
      <c r="A142" s="110"/>
      <c r="B142" s="110"/>
      <c r="C142" s="113"/>
      <c r="D142" s="40">
        <v>2026</v>
      </c>
      <c r="E142" s="41">
        <f>SUM(F142:I142)</f>
        <v>9000</v>
      </c>
      <c r="F142" s="41">
        <v>9000</v>
      </c>
      <c r="G142" s="41"/>
      <c r="H142" s="41"/>
      <c r="I142" s="41"/>
      <c r="J142" s="137"/>
      <c r="K142" s="110"/>
      <c r="M142" s="55"/>
      <c r="N142" s="55"/>
      <c r="O142" s="55"/>
      <c r="P142" s="55"/>
    </row>
    <row r="143" spans="1:16" ht="15.75" customHeight="1" outlineLevel="1" x14ac:dyDescent="0.25">
      <c r="A143" s="108" t="s">
        <v>1126</v>
      </c>
      <c r="B143" s="108" t="s">
        <v>1127</v>
      </c>
      <c r="C143" s="111" t="s">
        <v>1778</v>
      </c>
      <c r="D143" s="7" t="s">
        <v>8</v>
      </c>
      <c r="E143" s="8">
        <f t="shared" si="19"/>
        <v>250275.26501999999</v>
      </c>
      <c r="F143" s="8">
        <f>SUM(F144:F149)</f>
        <v>243000</v>
      </c>
      <c r="G143" s="8">
        <f>SUM(G144:G148)</f>
        <v>0</v>
      </c>
      <c r="H143" s="8">
        <f>SUM(H144:H148)</f>
        <v>7275.2650199999998</v>
      </c>
      <c r="I143" s="8">
        <f>SUM(I144:I148)</f>
        <v>0</v>
      </c>
      <c r="J143" s="135" t="s">
        <v>1765</v>
      </c>
      <c r="K143" s="108" t="s">
        <v>515</v>
      </c>
    </row>
    <row r="144" spans="1:16" ht="15.75" customHeight="1" outlineLevel="1" x14ac:dyDescent="0.25">
      <c r="A144" s="109"/>
      <c r="B144" s="109"/>
      <c r="C144" s="112"/>
      <c r="D144" s="7">
        <v>2021</v>
      </c>
      <c r="E144" s="8">
        <f t="shared" si="19"/>
        <v>0</v>
      </c>
      <c r="F144" s="8">
        <v>0</v>
      </c>
      <c r="G144" s="8">
        <f t="shared" ref="G144:H148" si="20">SUM(H144:K144)</f>
        <v>0</v>
      </c>
      <c r="H144" s="8">
        <f t="shared" si="20"/>
        <v>0</v>
      </c>
      <c r="I144" s="8">
        <v>0</v>
      </c>
      <c r="J144" s="136"/>
      <c r="K144" s="109"/>
    </row>
    <row r="145" spans="1:16" ht="15.75" customHeight="1" outlineLevel="1" x14ac:dyDescent="0.25">
      <c r="A145" s="109"/>
      <c r="B145" s="109"/>
      <c r="C145" s="112"/>
      <c r="D145" s="7">
        <v>2022</v>
      </c>
      <c r="E145" s="8">
        <f t="shared" si="19"/>
        <v>0</v>
      </c>
      <c r="F145" s="8">
        <v>0</v>
      </c>
      <c r="G145" s="8">
        <f t="shared" si="20"/>
        <v>0</v>
      </c>
      <c r="H145" s="8">
        <f t="shared" si="20"/>
        <v>0</v>
      </c>
      <c r="I145" s="8">
        <v>0</v>
      </c>
      <c r="J145" s="136"/>
      <c r="K145" s="109"/>
    </row>
    <row r="146" spans="1:16" ht="15.75" customHeight="1" outlineLevel="1" x14ac:dyDescent="0.25">
      <c r="A146" s="109"/>
      <c r="B146" s="109"/>
      <c r="C146" s="112"/>
      <c r="D146" s="7">
        <v>2023</v>
      </c>
      <c r="E146" s="8">
        <f t="shared" si="19"/>
        <v>42275.265019999999</v>
      </c>
      <c r="F146" s="8">
        <v>35000</v>
      </c>
      <c r="G146" s="8"/>
      <c r="H146" s="8">
        <v>7275.2650199999998</v>
      </c>
      <c r="I146" s="8">
        <v>0</v>
      </c>
      <c r="J146" s="136"/>
      <c r="K146" s="109"/>
    </row>
    <row r="147" spans="1:16" ht="15.75" customHeight="1" outlineLevel="1" x14ac:dyDescent="0.25">
      <c r="A147" s="109"/>
      <c r="B147" s="109"/>
      <c r="C147" s="112"/>
      <c r="D147" s="7">
        <v>2024</v>
      </c>
      <c r="E147" s="8">
        <f t="shared" si="19"/>
        <v>138000</v>
      </c>
      <c r="F147" s="32">
        <v>138000</v>
      </c>
      <c r="G147" s="8">
        <f t="shared" si="20"/>
        <v>0</v>
      </c>
      <c r="H147" s="8">
        <f t="shared" si="20"/>
        <v>0</v>
      </c>
      <c r="I147" s="8">
        <v>0</v>
      </c>
      <c r="J147" s="136"/>
      <c r="K147" s="109"/>
    </row>
    <row r="148" spans="1:16" ht="15.75" customHeight="1" outlineLevel="1" x14ac:dyDescent="0.25">
      <c r="A148" s="109"/>
      <c r="B148" s="109"/>
      <c r="C148" s="112"/>
      <c r="D148" s="7">
        <v>2025</v>
      </c>
      <c r="E148" s="8">
        <f t="shared" si="19"/>
        <v>35000</v>
      </c>
      <c r="F148" s="32">
        <v>35000</v>
      </c>
      <c r="G148" s="8">
        <f t="shared" si="20"/>
        <v>0</v>
      </c>
      <c r="H148" s="8">
        <f t="shared" si="20"/>
        <v>0</v>
      </c>
      <c r="I148" s="8">
        <v>0</v>
      </c>
      <c r="J148" s="136"/>
      <c r="K148" s="109"/>
    </row>
    <row r="149" spans="1:16" s="43" customFormat="1" ht="15.75" customHeight="1" outlineLevel="1" x14ac:dyDescent="0.25">
      <c r="A149" s="110"/>
      <c r="B149" s="110"/>
      <c r="C149" s="113"/>
      <c r="D149" s="40"/>
      <c r="E149" s="41">
        <f>SUM(F149:I149)</f>
        <v>35000</v>
      </c>
      <c r="F149" s="41">
        <v>35000</v>
      </c>
      <c r="G149" s="41"/>
      <c r="H149" s="41"/>
      <c r="I149" s="41"/>
      <c r="J149" s="137"/>
      <c r="K149" s="110"/>
      <c r="M149" s="55"/>
      <c r="N149" s="55"/>
      <c r="O149" s="55"/>
      <c r="P149" s="55"/>
    </row>
    <row r="150" spans="1:16" ht="15.75" customHeight="1" outlineLevel="1" x14ac:dyDescent="0.25">
      <c r="A150" s="108" t="s">
        <v>1128</v>
      </c>
      <c r="B150" s="108" t="s">
        <v>1129</v>
      </c>
      <c r="C150" s="111" t="s">
        <v>1778</v>
      </c>
      <c r="D150" s="7" t="s">
        <v>8</v>
      </c>
      <c r="E150" s="8">
        <f t="shared" si="19"/>
        <v>42730.001000000004</v>
      </c>
      <c r="F150" s="8">
        <f>SUM(F151:F156)</f>
        <v>42730.001000000004</v>
      </c>
      <c r="G150" s="8">
        <f t="shared" ref="G150:H163" si="21">SUM(G151:G155)</f>
        <v>0</v>
      </c>
      <c r="H150" s="8">
        <f t="shared" si="21"/>
        <v>0</v>
      </c>
      <c r="I150" s="8">
        <f>SUM(I151:I155)</f>
        <v>0</v>
      </c>
      <c r="J150" s="108" t="s">
        <v>1130</v>
      </c>
      <c r="K150" s="108" t="s">
        <v>484</v>
      </c>
    </row>
    <row r="151" spans="1:16" ht="15.75" customHeight="1" outlineLevel="1" x14ac:dyDescent="0.25">
      <c r="A151" s="109"/>
      <c r="B151" s="109"/>
      <c r="C151" s="112"/>
      <c r="D151" s="7">
        <v>2021</v>
      </c>
      <c r="E151" s="8">
        <f t="shared" si="19"/>
        <v>0</v>
      </c>
      <c r="F151" s="8">
        <v>0</v>
      </c>
      <c r="G151" s="8">
        <v>0</v>
      </c>
      <c r="H151" s="8">
        <v>0</v>
      </c>
      <c r="I151" s="8">
        <v>0</v>
      </c>
      <c r="J151" s="109"/>
      <c r="K151" s="109"/>
    </row>
    <row r="152" spans="1:16" ht="15.75" customHeight="1" outlineLevel="1" x14ac:dyDescent="0.25">
      <c r="A152" s="109"/>
      <c r="B152" s="109"/>
      <c r="C152" s="112"/>
      <c r="D152" s="7">
        <v>2022</v>
      </c>
      <c r="E152" s="8">
        <f t="shared" si="19"/>
        <v>0</v>
      </c>
      <c r="F152" s="8">
        <v>0</v>
      </c>
      <c r="G152" s="8">
        <v>0</v>
      </c>
      <c r="H152" s="8">
        <v>0</v>
      </c>
      <c r="I152" s="8">
        <v>0</v>
      </c>
      <c r="J152" s="109"/>
      <c r="K152" s="109"/>
    </row>
    <row r="153" spans="1:16" ht="15.75" customHeight="1" outlineLevel="1" x14ac:dyDescent="0.25">
      <c r="A153" s="109"/>
      <c r="B153" s="109"/>
      <c r="C153" s="112"/>
      <c r="D153" s="7">
        <v>2023</v>
      </c>
      <c r="E153" s="8">
        <f t="shared" si="19"/>
        <v>730.00100000000009</v>
      </c>
      <c r="F153" s="8">
        <f>14000-5000-8105.321-164.678</f>
        <v>730.00100000000009</v>
      </c>
      <c r="G153" s="8">
        <v>0</v>
      </c>
      <c r="H153" s="8">
        <v>0</v>
      </c>
      <c r="I153" s="8">
        <v>0</v>
      </c>
      <c r="J153" s="109"/>
      <c r="K153" s="109"/>
    </row>
    <row r="154" spans="1:16" ht="15.75" customHeight="1" outlineLevel="1" x14ac:dyDescent="0.25">
      <c r="A154" s="109"/>
      <c r="B154" s="109"/>
      <c r="C154" s="112"/>
      <c r="D154" s="7">
        <v>2024</v>
      </c>
      <c r="E154" s="8">
        <f t="shared" si="19"/>
        <v>14000</v>
      </c>
      <c r="F154" s="32">
        <v>14000</v>
      </c>
      <c r="G154" s="8">
        <v>0</v>
      </c>
      <c r="H154" s="8">
        <v>0</v>
      </c>
      <c r="I154" s="8">
        <v>0</v>
      </c>
      <c r="J154" s="109"/>
      <c r="K154" s="109"/>
    </row>
    <row r="155" spans="1:16" ht="15.75" customHeight="1" outlineLevel="1" x14ac:dyDescent="0.25">
      <c r="A155" s="109"/>
      <c r="B155" s="109"/>
      <c r="C155" s="112"/>
      <c r="D155" s="7">
        <v>2025</v>
      </c>
      <c r="E155" s="8">
        <f t="shared" si="19"/>
        <v>14000</v>
      </c>
      <c r="F155" s="32">
        <v>14000</v>
      </c>
      <c r="G155" s="8">
        <v>0</v>
      </c>
      <c r="H155" s="8">
        <v>0</v>
      </c>
      <c r="I155" s="8">
        <v>0</v>
      </c>
      <c r="J155" s="109"/>
      <c r="K155" s="109"/>
    </row>
    <row r="156" spans="1:16" s="43" customFormat="1" ht="15.75" customHeight="1" outlineLevel="1" x14ac:dyDescent="0.25">
      <c r="A156" s="110"/>
      <c r="B156" s="110"/>
      <c r="C156" s="113"/>
      <c r="D156" s="40">
        <v>2026</v>
      </c>
      <c r="E156" s="41">
        <f>SUM(F156:I156)</f>
        <v>14000</v>
      </c>
      <c r="F156" s="41">
        <v>14000</v>
      </c>
      <c r="G156" s="41"/>
      <c r="H156" s="41"/>
      <c r="I156" s="41"/>
      <c r="J156" s="110"/>
      <c r="K156" s="110"/>
      <c r="M156" s="55"/>
      <c r="N156" s="55"/>
      <c r="O156" s="55"/>
      <c r="P156" s="55"/>
    </row>
    <row r="157" spans="1:16" ht="15.75" customHeight="1" outlineLevel="1" x14ac:dyDescent="0.25">
      <c r="A157" s="117" t="s">
        <v>1738</v>
      </c>
      <c r="B157" s="118" t="s">
        <v>1744</v>
      </c>
      <c r="C157" s="119" t="s">
        <v>1125</v>
      </c>
      <c r="D157" s="7" t="s">
        <v>8</v>
      </c>
      <c r="E157" s="8">
        <f>SUM(E158:E162)</f>
        <v>0</v>
      </c>
      <c r="F157" s="8">
        <v>0</v>
      </c>
      <c r="G157" s="8">
        <v>0</v>
      </c>
      <c r="H157" s="8">
        <v>0</v>
      </c>
      <c r="I157" s="8">
        <v>0</v>
      </c>
      <c r="J157" s="119" t="s">
        <v>1739</v>
      </c>
      <c r="K157" s="119" t="s">
        <v>484</v>
      </c>
    </row>
    <row r="158" spans="1:16" ht="15.75" customHeight="1" outlineLevel="1" x14ac:dyDescent="0.25">
      <c r="A158" s="117"/>
      <c r="B158" s="118"/>
      <c r="C158" s="119"/>
      <c r="D158" s="7">
        <v>2021</v>
      </c>
      <c r="E158" s="8">
        <f>SUM(F158:I158)</f>
        <v>0</v>
      </c>
      <c r="F158" s="8">
        <v>0</v>
      </c>
      <c r="G158" s="8">
        <v>0</v>
      </c>
      <c r="H158" s="8">
        <v>0</v>
      </c>
      <c r="I158" s="8">
        <v>0</v>
      </c>
      <c r="J158" s="119"/>
      <c r="K158" s="119"/>
    </row>
    <row r="159" spans="1:16" ht="15.75" customHeight="1" outlineLevel="1" x14ac:dyDescent="0.25">
      <c r="A159" s="117"/>
      <c r="B159" s="118"/>
      <c r="C159" s="119"/>
      <c r="D159" s="7">
        <v>2022</v>
      </c>
      <c r="E159" s="8">
        <f>SUM(F159:I159)</f>
        <v>0</v>
      </c>
      <c r="F159" s="8">
        <v>0</v>
      </c>
      <c r="G159" s="8">
        <v>0</v>
      </c>
      <c r="H159" s="8">
        <v>0</v>
      </c>
      <c r="I159" s="8">
        <v>0</v>
      </c>
      <c r="J159" s="119"/>
      <c r="K159" s="119"/>
    </row>
    <row r="160" spans="1:16" ht="15.75" customHeight="1" outlineLevel="1" x14ac:dyDescent="0.25">
      <c r="A160" s="117"/>
      <c r="B160" s="118"/>
      <c r="C160" s="119"/>
      <c r="D160" s="7">
        <v>2023</v>
      </c>
      <c r="E160" s="8">
        <f>SUM(F160:I160)</f>
        <v>0</v>
      </c>
      <c r="F160" s="8">
        <v>0</v>
      </c>
      <c r="G160" s="8">
        <v>0</v>
      </c>
      <c r="H160" s="8"/>
      <c r="I160" s="8">
        <v>0</v>
      </c>
      <c r="J160" s="119"/>
      <c r="K160" s="119"/>
    </row>
    <row r="161" spans="1:16" ht="15.75" customHeight="1" outlineLevel="1" x14ac:dyDescent="0.25">
      <c r="A161" s="117"/>
      <c r="B161" s="118"/>
      <c r="C161" s="119"/>
      <c r="D161" s="7">
        <v>2024</v>
      </c>
      <c r="E161" s="8">
        <f>SUM(F161:I161)</f>
        <v>0</v>
      </c>
      <c r="F161" s="8">
        <v>0</v>
      </c>
      <c r="G161" s="8">
        <v>0</v>
      </c>
      <c r="H161" s="8">
        <v>0</v>
      </c>
      <c r="I161" s="8">
        <v>0</v>
      </c>
      <c r="J161" s="119"/>
      <c r="K161" s="119"/>
    </row>
    <row r="162" spans="1:16" ht="15.75" customHeight="1" outlineLevel="1" x14ac:dyDescent="0.25">
      <c r="A162" s="117"/>
      <c r="B162" s="118"/>
      <c r="C162" s="119"/>
      <c r="D162" s="7">
        <v>2025</v>
      </c>
      <c r="E162" s="8">
        <f>SUM(F162:I162)</f>
        <v>0</v>
      </c>
      <c r="F162" s="8">
        <v>0</v>
      </c>
      <c r="G162" s="8">
        <v>0</v>
      </c>
      <c r="H162" s="8">
        <v>0</v>
      </c>
      <c r="I162" s="8">
        <v>0</v>
      </c>
      <c r="J162" s="119"/>
      <c r="K162" s="119"/>
    </row>
    <row r="163" spans="1:16" ht="15" customHeight="1" outlineLevel="1" x14ac:dyDescent="0.25">
      <c r="A163" s="108" t="s">
        <v>39</v>
      </c>
      <c r="B163" s="108" t="s">
        <v>40</v>
      </c>
      <c r="C163" s="111" t="s">
        <v>828</v>
      </c>
      <c r="D163" s="7" t="s">
        <v>8</v>
      </c>
      <c r="E163" s="8">
        <f t="shared" si="19"/>
        <v>77554.284749999992</v>
      </c>
      <c r="F163" s="8">
        <f>SUM(F164:F169)</f>
        <v>53870.977269999996</v>
      </c>
      <c r="G163" s="8">
        <f t="shared" si="21"/>
        <v>23683.307479999996</v>
      </c>
      <c r="H163" s="8">
        <f>SUM(H164:H168)</f>
        <v>0</v>
      </c>
      <c r="I163" s="8">
        <f>SUM(I164:I168)</f>
        <v>0</v>
      </c>
      <c r="J163" s="114" t="s">
        <v>1791</v>
      </c>
      <c r="K163" s="114" t="s">
        <v>510</v>
      </c>
    </row>
    <row r="164" spans="1:16" outlineLevel="1" x14ac:dyDescent="0.25">
      <c r="A164" s="109"/>
      <c r="B164" s="109"/>
      <c r="C164" s="112"/>
      <c r="D164" s="7">
        <v>2021</v>
      </c>
      <c r="E164" s="8">
        <f t="shared" si="19"/>
        <v>27116.562749999997</v>
      </c>
      <c r="F164" s="8">
        <f t="shared" ref="F164:I168" si="22">F177+F191+F171+F184</f>
        <v>6916.3637500000004</v>
      </c>
      <c r="G164" s="8">
        <f t="shared" si="22"/>
        <v>20200.198999999997</v>
      </c>
      <c r="H164" s="8">
        <f t="shared" si="22"/>
        <v>0</v>
      </c>
      <c r="I164" s="8">
        <f t="shared" si="22"/>
        <v>0</v>
      </c>
      <c r="J164" s="115"/>
      <c r="K164" s="115"/>
    </row>
    <row r="165" spans="1:16" outlineLevel="1" x14ac:dyDescent="0.25">
      <c r="A165" s="109"/>
      <c r="B165" s="109"/>
      <c r="C165" s="112"/>
      <c r="D165" s="7">
        <v>2022</v>
      </c>
      <c r="E165" s="8">
        <f t="shared" si="19"/>
        <v>9977.7219999999998</v>
      </c>
      <c r="F165" s="8">
        <f t="shared" si="22"/>
        <v>7610.2449999999999</v>
      </c>
      <c r="G165" s="8">
        <f t="shared" si="22"/>
        <v>2367.4769999999999</v>
      </c>
      <c r="H165" s="8">
        <f t="shared" si="22"/>
        <v>0</v>
      </c>
      <c r="I165" s="8">
        <f t="shared" si="22"/>
        <v>0</v>
      </c>
      <c r="J165" s="115"/>
      <c r="K165" s="115"/>
    </row>
    <row r="166" spans="1:16" outlineLevel="1" x14ac:dyDescent="0.25">
      <c r="A166" s="109"/>
      <c r="B166" s="109"/>
      <c r="C166" s="112"/>
      <c r="D166" s="7">
        <v>2023</v>
      </c>
      <c r="E166" s="8">
        <f t="shared" si="19"/>
        <v>10141.799999999999</v>
      </c>
      <c r="F166" s="8">
        <f t="shared" si="22"/>
        <v>9026.1685199999993</v>
      </c>
      <c r="G166" s="8">
        <f t="shared" si="22"/>
        <v>1115.63148</v>
      </c>
      <c r="H166" s="8">
        <f t="shared" si="22"/>
        <v>0</v>
      </c>
      <c r="I166" s="8">
        <f t="shared" si="22"/>
        <v>0</v>
      </c>
      <c r="J166" s="115"/>
      <c r="K166" s="115"/>
    </row>
    <row r="167" spans="1:16" outlineLevel="1" x14ac:dyDescent="0.25">
      <c r="A167" s="109"/>
      <c r="B167" s="109"/>
      <c r="C167" s="112"/>
      <c r="D167" s="7">
        <v>2024</v>
      </c>
      <c r="E167" s="8">
        <f t="shared" si="19"/>
        <v>16000</v>
      </c>
      <c r="F167" s="8">
        <f t="shared" si="22"/>
        <v>16000</v>
      </c>
      <c r="G167" s="8">
        <f t="shared" si="22"/>
        <v>0</v>
      </c>
      <c r="H167" s="8">
        <f t="shared" si="22"/>
        <v>0</v>
      </c>
      <c r="I167" s="8">
        <f t="shared" si="22"/>
        <v>0</v>
      </c>
      <c r="J167" s="115"/>
      <c r="K167" s="115"/>
    </row>
    <row r="168" spans="1:16" outlineLevel="1" x14ac:dyDescent="0.25">
      <c r="A168" s="109"/>
      <c r="B168" s="109"/>
      <c r="C168" s="112"/>
      <c r="D168" s="7">
        <v>2025</v>
      </c>
      <c r="E168" s="8">
        <f t="shared" si="19"/>
        <v>7159.1</v>
      </c>
      <c r="F168" s="8">
        <f t="shared" si="22"/>
        <v>7159.1</v>
      </c>
      <c r="G168" s="8">
        <f t="shared" si="22"/>
        <v>0</v>
      </c>
      <c r="H168" s="8">
        <f t="shared" si="22"/>
        <v>0</v>
      </c>
      <c r="I168" s="8">
        <f t="shared" si="22"/>
        <v>0</v>
      </c>
      <c r="J168" s="115"/>
      <c r="K168" s="115"/>
    </row>
    <row r="169" spans="1:16" s="45" customFormat="1" outlineLevel="1" x14ac:dyDescent="0.25">
      <c r="A169" s="110"/>
      <c r="B169" s="110"/>
      <c r="C169" s="113"/>
      <c r="D169" s="48">
        <v>2026</v>
      </c>
      <c r="E169" s="49">
        <f>SUM(F169:I169)</f>
        <v>7159.1</v>
      </c>
      <c r="F169" s="49">
        <f>SUM(F182,F189)</f>
        <v>7159.1</v>
      </c>
      <c r="G169" s="49">
        <f t="shared" ref="G169:I169" si="23">SUM(G182,G189)</f>
        <v>0</v>
      </c>
      <c r="H169" s="49">
        <f t="shared" si="23"/>
        <v>0</v>
      </c>
      <c r="I169" s="49">
        <f t="shared" si="23"/>
        <v>0</v>
      </c>
      <c r="J169" s="116"/>
      <c r="K169" s="116"/>
      <c r="M169" s="55"/>
      <c r="N169" s="55"/>
      <c r="O169" s="55"/>
      <c r="P169" s="55"/>
    </row>
    <row r="170" spans="1:16" outlineLevel="1" x14ac:dyDescent="0.25">
      <c r="A170" s="117" t="s">
        <v>44</v>
      </c>
      <c r="B170" s="118" t="s">
        <v>45</v>
      </c>
      <c r="C170" s="119" t="s">
        <v>41</v>
      </c>
      <c r="D170" s="7" t="s">
        <v>8</v>
      </c>
      <c r="E170" s="8">
        <f t="shared" si="19"/>
        <v>5045.5297499999997</v>
      </c>
      <c r="F170" s="8">
        <f>SUM(F171:F175)</f>
        <v>302.73126999999999</v>
      </c>
      <c r="G170" s="8">
        <f>SUM(G171:G175)</f>
        <v>4742.7984799999995</v>
      </c>
      <c r="H170" s="8">
        <f>SUM(H171:H175)</f>
        <v>0</v>
      </c>
      <c r="I170" s="8">
        <f>SUM(I171:I175)</f>
        <v>0</v>
      </c>
      <c r="J170" s="119" t="s">
        <v>1740</v>
      </c>
      <c r="K170" s="119" t="s">
        <v>512</v>
      </c>
    </row>
    <row r="171" spans="1:16" outlineLevel="1" x14ac:dyDescent="0.25">
      <c r="A171" s="117"/>
      <c r="B171" s="118"/>
      <c r="C171" s="119"/>
      <c r="D171" s="7">
        <v>2021</v>
      </c>
      <c r="E171" s="8">
        <f t="shared" si="19"/>
        <v>1340.09575</v>
      </c>
      <c r="F171" s="8">
        <v>80.405749999999998</v>
      </c>
      <c r="G171" s="8">
        <v>1259.69</v>
      </c>
      <c r="H171" s="8">
        <v>0</v>
      </c>
      <c r="I171" s="8">
        <v>0</v>
      </c>
      <c r="J171" s="119"/>
      <c r="K171" s="119"/>
    </row>
    <row r="172" spans="1:16" outlineLevel="1" x14ac:dyDescent="0.25">
      <c r="A172" s="117"/>
      <c r="B172" s="118"/>
      <c r="C172" s="119"/>
      <c r="D172" s="7">
        <v>2022</v>
      </c>
      <c r="E172" s="8">
        <f t="shared" si="19"/>
        <v>2518.5919999999996</v>
      </c>
      <c r="F172" s="8">
        <v>151.11500000000001</v>
      </c>
      <c r="G172" s="8">
        <v>2367.4769999999999</v>
      </c>
      <c r="H172" s="8">
        <v>0</v>
      </c>
      <c r="I172" s="8">
        <v>0</v>
      </c>
      <c r="J172" s="119"/>
      <c r="K172" s="119"/>
    </row>
    <row r="173" spans="1:16" outlineLevel="1" x14ac:dyDescent="0.25">
      <c r="A173" s="117"/>
      <c r="B173" s="118"/>
      <c r="C173" s="119"/>
      <c r="D173" s="7">
        <v>2023</v>
      </c>
      <c r="E173" s="8">
        <f t="shared" si="19"/>
        <v>1186.8420000000001</v>
      </c>
      <c r="F173" s="8">
        <v>71.210520000000002</v>
      </c>
      <c r="G173" s="8">
        <v>1115.63148</v>
      </c>
      <c r="H173" s="8">
        <v>0</v>
      </c>
      <c r="I173" s="8">
        <v>0</v>
      </c>
      <c r="J173" s="119"/>
      <c r="K173" s="119"/>
    </row>
    <row r="174" spans="1:16" outlineLevel="1" x14ac:dyDescent="0.25">
      <c r="A174" s="117"/>
      <c r="B174" s="118"/>
      <c r="C174" s="119"/>
      <c r="D174" s="7">
        <v>2024</v>
      </c>
      <c r="E174" s="8">
        <f t="shared" si="19"/>
        <v>0</v>
      </c>
      <c r="F174" s="8">
        <v>0</v>
      </c>
      <c r="G174" s="8">
        <v>0</v>
      </c>
      <c r="H174" s="8">
        <v>0</v>
      </c>
      <c r="I174" s="8">
        <v>0</v>
      </c>
      <c r="J174" s="119"/>
      <c r="K174" s="119"/>
    </row>
    <row r="175" spans="1:16" outlineLevel="1" x14ac:dyDescent="0.25">
      <c r="A175" s="117"/>
      <c r="B175" s="118"/>
      <c r="C175" s="119"/>
      <c r="D175" s="7">
        <v>2025</v>
      </c>
      <c r="E175" s="8">
        <f t="shared" si="19"/>
        <v>0</v>
      </c>
      <c r="F175" s="8">
        <v>0</v>
      </c>
      <c r="G175" s="8">
        <v>0</v>
      </c>
      <c r="H175" s="8">
        <v>0</v>
      </c>
      <c r="I175" s="8">
        <v>0</v>
      </c>
      <c r="J175" s="119"/>
      <c r="K175" s="119"/>
    </row>
    <row r="176" spans="1:16" ht="15" customHeight="1" outlineLevel="1" x14ac:dyDescent="0.25">
      <c r="A176" s="108" t="s">
        <v>48</v>
      </c>
      <c r="B176" s="108" t="s">
        <v>1131</v>
      </c>
      <c r="C176" s="111" t="s">
        <v>828</v>
      </c>
      <c r="D176" s="7" t="s">
        <v>8</v>
      </c>
      <c r="E176" s="8">
        <f t="shared" si="19"/>
        <v>22562.968999999997</v>
      </c>
      <c r="F176" s="8">
        <f>SUM(F177:F182)</f>
        <v>22562.968999999997</v>
      </c>
      <c r="G176" s="8">
        <f>SUM(G177:G181)</f>
        <v>0</v>
      </c>
      <c r="H176" s="8">
        <f>SUM(H177:H181)</f>
        <v>0</v>
      </c>
      <c r="I176" s="8">
        <f>SUM(I177:I181)</f>
        <v>0</v>
      </c>
      <c r="J176" s="108" t="s">
        <v>50</v>
      </c>
      <c r="K176" s="108" t="s">
        <v>484</v>
      </c>
      <c r="L176" s="124"/>
    </row>
    <row r="177" spans="1:16" outlineLevel="1" x14ac:dyDescent="0.25">
      <c r="A177" s="109"/>
      <c r="B177" s="109"/>
      <c r="C177" s="112"/>
      <c r="D177" s="7">
        <v>2021</v>
      </c>
      <c r="E177" s="8">
        <f t="shared" si="19"/>
        <v>1631.52</v>
      </c>
      <c r="F177" s="8">
        <v>1631.52</v>
      </c>
      <c r="G177" s="8">
        <v>0</v>
      </c>
      <c r="H177" s="8">
        <v>0</v>
      </c>
      <c r="I177" s="8">
        <v>0</v>
      </c>
      <c r="J177" s="109"/>
      <c r="K177" s="109"/>
      <c r="L177" s="124"/>
    </row>
    <row r="178" spans="1:16" outlineLevel="1" x14ac:dyDescent="0.25">
      <c r="A178" s="109"/>
      <c r="B178" s="109"/>
      <c r="C178" s="112"/>
      <c r="D178" s="7">
        <v>2022</v>
      </c>
      <c r="E178" s="8">
        <f t="shared" si="19"/>
        <v>3459.13</v>
      </c>
      <c r="F178" s="8">
        <v>3459.13</v>
      </c>
      <c r="G178" s="8">
        <v>0</v>
      </c>
      <c r="H178" s="8">
        <v>0</v>
      </c>
      <c r="I178" s="8">
        <v>0</v>
      </c>
      <c r="J178" s="109"/>
      <c r="K178" s="109"/>
      <c r="L178" s="124"/>
    </row>
    <row r="179" spans="1:16" outlineLevel="1" x14ac:dyDescent="0.25">
      <c r="A179" s="109"/>
      <c r="B179" s="109"/>
      <c r="C179" s="112"/>
      <c r="D179" s="7">
        <v>2023</v>
      </c>
      <c r="E179" s="8">
        <f t="shared" si="19"/>
        <v>3154.1189999999997</v>
      </c>
      <c r="F179" s="39">
        <f>3159.1-4.981</f>
        <v>3154.1189999999997</v>
      </c>
      <c r="G179" s="8">
        <v>0</v>
      </c>
      <c r="H179" s="8">
        <v>0</v>
      </c>
      <c r="I179" s="8">
        <v>0</v>
      </c>
      <c r="J179" s="109"/>
      <c r="K179" s="109"/>
      <c r="L179" s="124"/>
    </row>
    <row r="180" spans="1:16" outlineLevel="1" x14ac:dyDescent="0.25">
      <c r="A180" s="109"/>
      <c r="B180" s="109"/>
      <c r="C180" s="112"/>
      <c r="D180" s="7">
        <v>2024</v>
      </c>
      <c r="E180" s="8">
        <f t="shared" si="19"/>
        <v>8000</v>
      </c>
      <c r="F180" s="32">
        <v>8000</v>
      </c>
      <c r="G180" s="8">
        <v>0</v>
      </c>
      <c r="H180" s="8">
        <v>0</v>
      </c>
      <c r="I180" s="8">
        <v>0</v>
      </c>
      <c r="J180" s="109"/>
      <c r="K180" s="109"/>
      <c r="L180" s="124"/>
    </row>
    <row r="181" spans="1:16" outlineLevel="1" x14ac:dyDescent="0.25">
      <c r="A181" s="109"/>
      <c r="B181" s="109"/>
      <c r="C181" s="112"/>
      <c r="D181" s="7">
        <v>2025</v>
      </c>
      <c r="E181" s="8">
        <f t="shared" si="19"/>
        <v>3159.1</v>
      </c>
      <c r="F181" s="32">
        <v>3159.1</v>
      </c>
      <c r="G181" s="8">
        <v>0</v>
      </c>
      <c r="H181" s="8">
        <v>0</v>
      </c>
      <c r="I181" s="8">
        <v>0</v>
      </c>
      <c r="J181" s="109"/>
      <c r="K181" s="109"/>
      <c r="L181" s="124"/>
    </row>
    <row r="182" spans="1:16" s="43" customFormat="1" outlineLevel="1" x14ac:dyDescent="0.25">
      <c r="A182" s="110"/>
      <c r="B182" s="110"/>
      <c r="C182" s="113"/>
      <c r="D182" s="40">
        <v>2026</v>
      </c>
      <c r="E182" s="41">
        <f>SUM(F182:I182)</f>
        <v>3159.1</v>
      </c>
      <c r="F182" s="41">
        <v>3159.1</v>
      </c>
      <c r="G182" s="41"/>
      <c r="H182" s="41"/>
      <c r="I182" s="41"/>
      <c r="J182" s="110"/>
      <c r="K182" s="110"/>
      <c r="M182" s="55"/>
      <c r="N182" s="55"/>
      <c r="O182" s="55"/>
      <c r="P182" s="55"/>
    </row>
    <row r="183" spans="1:16" ht="18" customHeight="1" outlineLevel="1" x14ac:dyDescent="0.25">
      <c r="A183" s="108" t="s">
        <v>51</v>
      </c>
      <c r="B183" s="108" t="s">
        <v>52</v>
      </c>
      <c r="C183" s="111" t="s">
        <v>828</v>
      </c>
      <c r="D183" s="7" t="s">
        <v>8</v>
      </c>
      <c r="E183" s="8">
        <f t="shared" si="19"/>
        <v>29796.309000000001</v>
      </c>
      <c r="F183" s="8">
        <f>SUM(F184:F189)</f>
        <v>29796.309000000001</v>
      </c>
      <c r="G183" s="8">
        <f>SUM(G184:G188)</f>
        <v>0</v>
      </c>
      <c r="H183" s="8">
        <f>SUM(H184:H188)</f>
        <v>0</v>
      </c>
      <c r="I183" s="8">
        <f>SUM(I184:I188)</f>
        <v>0</v>
      </c>
      <c r="J183" s="108" t="s">
        <v>514</v>
      </c>
      <c r="K183" s="108" t="s">
        <v>515</v>
      </c>
    </row>
    <row r="184" spans="1:16" ht="18" customHeight="1" outlineLevel="1" x14ac:dyDescent="0.25">
      <c r="A184" s="109"/>
      <c r="B184" s="109"/>
      <c r="C184" s="112"/>
      <c r="D184" s="7">
        <v>2021</v>
      </c>
      <c r="E184" s="8">
        <f t="shared" si="19"/>
        <v>3995.47</v>
      </c>
      <c r="F184" s="8">
        <v>3995.47</v>
      </c>
      <c r="G184" s="8">
        <v>0</v>
      </c>
      <c r="H184" s="8">
        <v>0</v>
      </c>
      <c r="I184" s="8">
        <v>0</v>
      </c>
      <c r="J184" s="109"/>
      <c r="K184" s="109"/>
    </row>
    <row r="185" spans="1:16" ht="18" customHeight="1" outlineLevel="1" x14ac:dyDescent="0.25">
      <c r="A185" s="109"/>
      <c r="B185" s="109"/>
      <c r="C185" s="112"/>
      <c r="D185" s="7">
        <v>2022</v>
      </c>
      <c r="E185" s="8">
        <f t="shared" si="19"/>
        <v>4000</v>
      </c>
      <c r="F185" s="8">
        <v>4000</v>
      </c>
      <c r="G185" s="8">
        <v>0</v>
      </c>
      <c r="H185" s="8">
        <v>0</v>
      </c>
      <c r="I185" s="8">
        <v>0</v>
      </c>
      <c r="J185" s="109"/>
      <c r="K185" s="109"/>
    </row>
    <row r="186" spans="1:16" ht="18" customHeight="1" outlineLevel="1" x14ac:dyDescent="0.25">
      <c r="A186" s="109"/>
      <c r="B186" s="109"/>
      <c r="C186" s="112"/>
      <c r="D186" s="7">
        <v>2023</v>
      </c>
      <c r="E186" s="8">
        <f t="shared" si="19"/>
        <v>5800.8389999999999</v>
      </c>
      <c r="F186" s="8">
        <f>4000+164.678+1500+136.161</f>
        <v>5800.8389999999999</v>
      </c>
      <c r="G186" s="8">
        <v>0</v>
      </c>
      <c r="H186" s="8">
        <v>0</v>
      </c>
      <c r="I186" s="8">
        <v>0</v>
      </c>
      <c r="J186" s="109"/>
      <c r="K186" s="109"/>
    </row>
    <row r="187" spans="1:16" ht="18" customHeight="1" outlineLevel="1" x14ac:dyDescent="0.25">
      <c r="A187" s="109"/>
      <c r="B187" s="109"/>
      <c r="C187" s="112"/>
      <c r="D187" s="7">
        <v>2024</v>
      </c>
      <c r="E187" s="8">
        <f t="shared" si="19"/>
        <v>8000</v>
      </c>
      <c r="F187" s="32">
        <v>8000</v>
      </c>
      <c r="G187" s="8">
        <v>0</v>
      </c>
      <c r="H187" s="8">
        <v>0</v>
      </c>
      <c r="I187" s="8">
        <v>0</v>
      </c>
      <c r="J187" s="109"/>
      <c r="K187" s="109"/>
    </row>
    <row r="188" spans="1:16" ht="18" customHeight="1" outlineLevel="1" x14ac:dyDescent="0.25">
      <c r="A188" s="109"/>
      <c r="B188" s="109"/>
      <c r="C188" s="112"/>
      <c r="D188" s="7">
        <v>2025</v>
      </c>
      <c r="E188" s="8">
        <f t="shared" si="19"/>
        <v>4000</v>
      </c>
      <c r="F188" s="32">
        <v>4000</v>
      </c>
      <c r="G188" s="8">
        <v>0</v>
      </c>
      <c r="H188" s="8">
        <v>0</v>
      </c>
      <c r="I188" s="8">
        <v>0</v>
      </c>
      <c r="J188" s="109"/>
      <c r="K188" s="109"/>
    </row>
    <row r="189" spans="1:16" s="43" customFormat="1" ht="18" customHeight="1" outlineLevel="1" x14ac:dyDescent="0.25">
      <c r="A189" s="110"/>
      <c r="B189" s="110"/>
      <c r="C189" s="113"/>
      <c r="D189" s="40">
        <v>2026</v>
      </c>
      <c r="E189" s="41">
        <f>SUM(F189:I189)</f>
        <v>4000</v>
      </c>
      <c r="F189" s="41">
        <v>4000</v>
      </c>
      <c r="G189" s="41"/>
      <c r="H189" s="41"/>
      <c r="I189" s="41"/>
      <c r="J189" s="110"/>
      <c r="K189" s="110"/>
      <c r="M189" s="55"/>
      <c r="N189" s="55"/>
      <c r="O189" s="55"/>
      <c r="P189" s="55"/>
    </row>
    <row r="190" spans="1:16" ht="13.5" customHeight="1" outlineLevel="1" x14ac:dyDescent="0.25">
      <c r="A190" s="117" t="s">
        <v>516</v>
      </c>
      <c r="B190" s="118" t="s">
        <v>45</v>
      </c>
      <c r="C190" s="119" t="s">
        <v>41</v>
      </c>
      <c r="D190" s="7" t="s">
        <v>8</v>
      </c>
      <c r="E190" s="8">
        <f t="shared" si="19"/>
        <v>20149.476999999999</v>
      </c>
      <c r="F190" s="8">
        <f>SUM(F191:F195)</f>
        <v>1208.9680000000001</v>
      </c>
      <c r="G190" s="8">
        <f>SUM(G191:G195)</f>
        <v>18940.508999999998</v>
      </c>
      <c r="H190" s="8">
        <f>SUM(H191:H195)</f>
        <v>0</v>
      </c>
      <c r="I190" s="8">
        <f>SUM(I191:I195)</f>
        <v>0</v>
      </c>
      <c r="J190" s="119" t="s">
        <v>517</v>
      </c>
      <c r="K190" s="119" t="s">
        <v>515</v>
      </c>
    </row>
    <row r="191" spans="1:16" ht="13.5" customHeight="1" outlineLevel="1" x14ac:dyDescent="0.25">
      <c r="A191" s="117"/>
      <c r="B191" s="118"/>
      <c r="C191" s="119"/>
      <c r="D191" s="7">
        <v>2021</v>
      </c>
      <c r="E191" s="8">
        <f t="shared" si="19"/>
        <v>20149.476999999999</v>
      </c>
      <c r="F191" s="8">
        <v>1208.9680000000001</v>
      </c>
      <c r="G191" s="8">
        <v>18940.508999999998</v>
      </c>
      <c r="H191" s="8">
        <v>0</v>
      </c>
      <c r="I191" s="8">
        <v>0</v>
      </c>
      <c r="J191" s="119"/>
      <c r="K191" s="119"/>
    </row>
    <row r="192" spans="1:16" ht="13.5" customHeight="1" outlineLevel="1" x14ac:dyDescent="0.25">
      <c r="A192" s="117"/>
      <c r="B192" s="118"/>
      <c r="C192" s="119"/>
      <c r="D192" s="7">
        <v>2022</v>
      </c>
      <c r="E192" s="8">
        <f t="shared" si="19"/>
        <v>0</v>
      </c>
      <c r="F192" s="8">
        <v>0</v>
      </c>
      <c r="G192" s="8">
        <v>0</v>
      </c>
      <c r="H192" s="8">
        <v>0</v>
      </c>
      <c r="I192" s="8">
        <v>0</v>
      </c>
      <c r="J192" s="119"/>
      <c r="K192" s="119"/>
    </row>
    <row r="193" spans="1:16" ht="13.5" customHeight="1" outlineLevel="1" x14ac:dyDescent="0.25">
      <c r="A193" s="117"/>
      <c r="B193" s="118"/>
      <c r="C193" s="119"/>
      <c r="D193" s="7">
        <v>2023</v>
      </c>
      <c r="E193" s="8">
        <f t="shared" si="19"/>
        <v>0</v>
      </c>
      <c r="F193" s="8">
        <v>0</v>
      </c>
      <c r="G193" s="8">
        <v>0</v>
      </c>
      <c r="H193" s="8">
        <v>0</v>
      </c>
      <c r="I193" s="8">
        <v>0</v>
      </c>
      <c r="J193" s="119"/>
      <c r="K193" s="119"/>
    </row>
    <row r="194" spans="1:16" ht="13.5" customHeight="1" outlineLevel="1" x14ac:dyDescent="0.25">
      <c r="A194" s="117"/>
      <c r="B194" s="118"/>
      <c r="C194" s="119"/>
      <c r="D194" s="7">
        <v>2024</v>
      </c>
      <c r="E194" s="8">
        <f t="shared" si="19"/>
        <v>0</v>
      </c>
      <c r="F194" s="8">
        <v>0</v>
      </c>
      <c r="G194" s="8">
        <v>0</v>
      </c>
      <c r="H194" s="8">
        <v>0</v>
      </c>
      <c r="I194" s="8">
        <v>0</v>
      </c>
      <c r="J194" s="119"/>
      <c r="K194" s="119"/>
    </row>
    <row r="195" spans="1:16" ht="13.5" customHeight="1" outlineLevel="1" x14ac:dyDescent="0.25">
      <c r="A195" s="117"/>
      <c r="B195" s="118"/>
      <c r="C195" s="119"/>
      <c r="D195" s="7">
        <v>2025</v>
      </c>
      <c r="E195" s="8">
        <f t="shared" si="19"/>
        <v>0</v>
      </c>
      <c r="F195" s="8">
        <v>0</v>
      </c>
      <c r="G195" s="8">
        <v>0</v>
      </c>
      <c r="H195" s="8">
        <v>0</v>
      </c>
      <c r="I195" s="8">
        <v>0</v>
      </c>
      <c r="J195" s="119"/>
      <c r="K195" s="119"/>
    </row>
    <row r="196" spans="1:16" ht="15" customHeight="1" x14ac:dyDescent="0.25">
      <c r="A196" s="108" t="s">
        <v>54</v>
      </c>
      <c r="B196" s="111" t="s">
        <v>55</v>
      </c>
      <c r="C196" s="111" t="s">
        <v>828</v>
      </c>
      <c r="D196" s="7" t="s">
        <v>8</v>
      </c>
      <c r="E196" s="8">
        <f t="shared" si="19"/>
        <v>6910243.3069599997</v>
      </c>
      <c r="F196" s="8">
        <f>SUM(F197:F202)</f>
        <v>6743793.1767499996</v>
      </c>
      <c r="G196" s="8">
        <f>SUM(G197:G201)</f>
        <v>59542.783369999997</v>
      </c>
      <c r="H196" s="8">
        <f>SUM(H197:H202)</f>
        <v>106907.34684</v>
      </c>
      <c r="I196" s="8">
        <f>SUM(I197:I201)</f>
        <v>0</v>
      </c>
      <c r="J196" s="114"/>
      <c r="K196" s="108" t="s">
        <v>510</v>
      </c>
      <c r="L196" s="1" t="s">
        <v>1132</v>
      </c>
    </row>
    <row r="197" spans="1:16" x14ac:dyDescent="0.25">
      <c r="A197" s="109"/>
      <c r="B197" s="112"/>
      <c r="C197" s="112"/>
      <c r="D197" s="7">
        <v>2021</v>
      </c>
      <c r="E197" s="8">
        <f t="shared" si="19"/>
        <v>891879.98959000001</v>
      </c>
      <c r="F197" s="8">
        <f t="shared" ref="F197:I201" si="24">F204+F349+F369</f>
        <v>854371.18938</v>
      </c>
      <c r="G197" s="8">
        <f t="shared" si="24"/>
        <v>24191.1</v>
      </c>
      <c r="H197" s="8">
        <f t="shared" si="24"/>
        <v>13317.700210000001</v>
      </c>
      <c r="I197" s="8">
        <f t="shared" si="24"/>
        <v>0</v>
      </c>
      <c r="J197" s="115"/>
      <c r="K197" s="109"/>
    </row>
    <row r="198" spans="1:16" x14ac:dyDescent="0.25">
      <c r="A198" s="109"/>
      <c r="B198" s="112"/>
      <c r="C198" s="112"/>
      <c r="D198" s="7">
        <v>2022</v>
      </c>
      <c r="E198" s="8">
        <f t="shared" si="19"/>
        <v>1227311.4540000001</v>
      </c>
      <c r="F198" s="8">
        <f t="shared" si="24"/>
        <v>1191344.9740000002</v>
      </c>
      <c r="G198" s="8">
        <f t="shared" si="24"/>
        <v>16189.3</v>
      </c>
      <c r="H198" s="8">
        <f t="shared" si="24"/>
        <v>19777.18</v>
      </c>
      <c r="I198" s="8">
        <f t="shared" si="24"/>
        <v>0</v>
      </c>
      <c r="J198" s="115"/>
      <c r="K198" s="109"/>
    </row>
    <row r="199" spans="1:16" x14ac:dyDescent="0.25">
      <c r="A199" s="109"/>
      <c r="B199" s="112"/>
      <c r="C199" s="112"/>
      <c r="D199" s="7">
        <v>2023</v>
      </c>
      <c r="E199" s="8">
        <f t="shared" si="19"/>
        <v>1113485.8361899999</v>
      </c>
      <c r="F199" s="8">
        <f t="shared" si="24"/>
        <v>1082614.0228200001</v>
      </c>
      <c r="G199" s="8">
        <f t="shared" si="24"/>
        <v>11094.58337</v>
      </c>
      <c r="H199" s="8">
        <f t="shared" si="24"/>
        <v>19777.23</v>
      </c>
      <c r="I199" s="8">
        <f t="shared" si="24"/>
        <v>0</v>
      </c>
      <c r="J199" s="115"/>
      <c r="K199" s="109"/>
    </row>
    <row r="200" spans="1:16" x14ac:dyDescent="0.25">
      <c r="A200" s="109"/>
      <c r="B200" s="112"/>
      <c r="C200" s="112"/>
      <c r="D200" s="7">
        <v>2024</v>
      </c>
      <c r="E200" s="8">
        <f t="shared" si="19"/>
        <v>1429592.2854599999</v>
      </c>
      <c r="F200" s="8">
        <f t="shared" si="24"/>
        <v>1400668.2954599999</v>
      </c>
      <c r="G200" s="8">
        <f t="shared" si="24"/>
        <v>8067.8</v>
      </c>
      <c r="H200" s="8">
        <f t="shared" si="24"/>
        <v>20856.189999999999</v>
      </c>
      <c r="I200" s="8">
        <f t="shared" si="24"/>
        <v>0</v>
      </c>
      <c r="J200" s="115"/>
      <c r="K200" s="109"/>
    </row>
    <row r="201" spans="1:16" x14ac:dyDescent="0.25">
      <c r="A201" s="109"/>
      <c r="B201" s="112"/>
      <c r="C201" s="112"/>
      <c r="D201" s="7">
        <v>2025</v>
      </c>
      <c r="E201" s="8">
        <f t="shared" si="19"/>
        <v>1146360.4516799999</v>
      </c>
      <c r="F201" s="8">
        <f>F208+F353+F373</f>
        <v>1129770.9283499999</v>
      </c>
      <c r="G201" s="8">
        <f t="shared" si="24"/>
        <v>0</v>
      </c>
      <c r="H201" s="8">
        <f t="shared" si="24"/>
        <v>16589.52333</v>
      </c>
      <c r="I201" s="8">
        <f t="shared" si="24"/>
        <v>0</v>
      </c>
      <c r="J201" s="115"/>
      <c r="K201" s="109"/>
    </row>
    <row r="202" spans="1:16" s="45" customFormat="1" x14ac:dyDescent="0.25">
      <c r="A202" s="110"/>
      <c r="B202" s="113"/>
      <c r="C202" s="113"/>
      <c r="D202" s="40">
        <v>2026</v>
      </c>
      <c r="E202" s="41">
        <f>SUM(F202:I202)</f>
        <v>1101613.2900400001</v>
      </c>
      <c r="F202" s="41">
        <f>SUM(F209,F354)</f>
        <v>1085023.7667400001</v>
      </c>
      <c r="G202" s="41">
        <f>SUM(G209,G354)</f>
        <v>0</v>
      </c>
      <c r="H202" s="41">
        <f>SUM(H209,H354)</f>
        <v>16589.523300000001</v>
      </c>
      <c r="I202" s="41">
        <f>SUM(I209,I354)</f>
        <v>0</v>
      </c>
      <c r="J202" s="116"/>
      <c r="K202" s="110"/>
      <c r="M202" s="55"/>
      <c r="N202" s="55"/>
      <c r="O202" s="55"/>
      <c r="P202" s="55"/>
    </row>
    <row r="203" spans="1:16" ht="13.5" customHeight="1" outlineLevel="1" x14ac:dyDescent="0.25">
      <c r="A203" s="108" t="s">
        <v>56</v>
      </c>
      <c r="B203" s="108" t="s">
        <v>518</v>
      </c>
      <c r="C203" s="111" t="s">
        <v>828</v>
      </c>
      <c r="D203" s="7" t="s">
        <v>8</v>
      </c>
      <c r="E203" s="8">
        <f t="shared" si="19"/>
        <v>6469153.3562299991</v>
      </c>
      <c r="F203" s="8">
        <f>SUM(F204:F209)</f>
        <v>6469153.3562299991</v>
      </c>
      <c r="G203" s="8">
        <f>SUM(G204:G208)</f>
        <v>0</v>
      </c>
      <c r="H203" s="8">
        <f>SUM(H204:H208)</f>
        <v>0</v>
      </c>
      <c r="I203" s="8">
        <f>SUM(I204:I208)</f>
        <v>0</v>
      </c>
      <c r="J203" s="108" t="s">
        <v>519</v>
      </c>
      <c r="K203" s="108" t="s">
        <v>486</v>
      </c>
      <c r="L203" s="124"/>
    </row>
    <row r="204" spans="1:16" ht="13.5" customHeight="1" outlineLevel="1" x14ac:dyDescent="0.25">
      <c r="A204" s="109"/>
      <c r="B204" s="109"/>
      <c r="C204" s="112"/>
      <c r="D204" s="7">
        <v>2021</v>
      </c>
      <c r="E204" s="8">
        <f t="shared" si="19"/>
        <v>809865.57669999998</v>
      </c>
      <c r="F204" s="8">
        <f>F211+F218+F225+F232+F239+F246++F252+F258+F264+F270+F276+F282+F288+F294+F300+F307+F313+F319+F331+F325</f>
        <v>809865.57669999998</v>
      </c>
      <c r="G204" s="8">
        <f t="shared" ref="G204:I208" si="25">G211+G218+G225+G232+G239+G246++G252+G258+G264+G270+G276+G282+G288+G294+G300+G307+G313+G319+G331</f>
        <v>0</v>
      </c>
      <c r="H204" s="8">
        <f t="shared" si="25"/>
        <v>0</v>
      </c>
      <c r="I204" s="8">
        <f t="shared" si="25"/>
        <v>0</v>
      </c>
      <c r="J204" s="109"/>
      <c r="K204" s="109"/>
      <c r="L204" s="124"/>
    </row>
    <row r="205" spans="1:16" ht="13.5" customHeight="1" outlineLevel="1" x14ac:dyDescent="0.25">
      <c r="A205" s="109"/>
      <c r="B205" s="109"/>
      <c r="C205" s="112"/>
      <c r="D205" s="7">
        <v>2022</v>
      </c>
      <c r="E205" s="8">
        <f t="shared" si="19"/>
        <v>1140833.8970000001</v>
      </c>
      <c r="F205" s="8">
        <f>F212+F219+F226+F233+F240+F247++F253+F259+F265+F271+F277+F283+F289+F295+F301+F308+F314+F320+F332</f>
        <v>1140833.8970000001</v>
      </c>
      <c r="G205" s="8">
        <f t="shared" si="25"/>
        <v>0</v>
      </c>
      <c r="H205" s="8">
        <f t="shared" si="25"/>
        <v>0</v>
      </c>
      <c r="I205" s="8">
        <f t="shared" si="25"/>
        <v>0</v>
      </c>
      <c r="J205" s="109"/>
      <c r="K205" s="109"/>
      <c r="L205" s="124"/>
    </row>
    <row r="206" spans="1:16" ht="13.5" customHeight="1" outlineLevel="1" x14ac:dyDescent="0.25">
      <c r="A206" s="109"/>
      <c r="B206" s="109"/>
      <c r="C206" s="112"/>
      <c r="D206" s="7">
        <v>2023</v>
      </c>
      <c r="E206" s="8">
        <f t="shared" si="19"/>
        <v>1034105.8579300002</v>
      </c>
      <c r="F206" s="8">
        <f>F213+F220+F227+F234+F241+F248++F254+F260+F266+F272+F278+F284+F290+F296+F302+F309+F315+F321+F333+F339</f>
        <v>1034105.8579300002</v>
      </c>
      <c r="G206" s="8">
        <f t="shared" si="25"/>
        <v>0</v>
      </c>
      <c r="H206" s="8">
        <f t="shared" si="25"/>
        <v>0</v>
      </c>
      <c r="I206" s="8">
        <f t="shared" si="25"/>
        <v>0</v>
      </c>
      <c r="J206" s="109"/>
      <c r="K206" s="109"/>
      <c r="L206" s="124"/>
    </row>
    <row r="207" spans="1:16" ht="13.5" customHeight="1" outlineLevel="1" x14ac:dyDescent="0.25">
      <c r="A207" s="109"/>
      <c r="B207" s="109"/>
      <c r="C207" s="112"/>
      <c r="D207" s="7">
        <v>2024</v>
      </c>
      <c r="E207" s="8">
        <f t="shared" si="19"/>
        <v>1352353.3295099998</v>
      </c>
      <c r="F207" s="8">
        <f>F214+F221+F228+F235+F242+F249++F255+F261+F267+F273+F279+F285+F291+F297+F303+F310+F316+F322+F334+F340+F346</f>
        <v>1352353.3295099998</v>
      </c>
      <c r="G207" s="8">
        <f t="shared" si="25"/>
        <v>0</v>
      </c>
      <c r="H207" s="8">
        <f t="shared" si="25"/>
        <v>0</v>
      </c>
      <c r="I207" s="8">
        <f t="shared" si="25"/>
        <v>0</v>
      </c>
      <c r="J207" s="109"/>
      <c r="K207" s="109"/>
      <c r="L207" s="124"/>
    </row>
    <row r="208" spans="1:16" ht="28.5" customHeight="1" outlineLevel="1" x14ac:dyDescent="0.25">
      <c r="A208" s="109"/>
      <c r="B208" s="109"/>
      <c r="C208" s="112"/>
      <c r="D208" s="7">
        <v>2025</v>
      </c>
      <c r="E208" s="8">
        <f t="shared" si="19"/>
        <v>1088370.9283499999</v>
      </c>
      <c r="F208" s="8">
        <f t="shared" ref="F208" si="26">F215+F222+F229+F236+F243+F250++F256+F262+F268+F274+F280+F286+F292+F298+F304+F311+F317+F323+F335</f>
        <v>1088370.9283499999</v>
      </c>
      <c r="G208" s="8">
        <f t="shared" si="25"/>
        <v>0</v>
      </c>
      <c r="H208" s="8">
        <f t="shared" si="25"/>
        <v>0</v>
      </c>
      <c r="I208" s="8">
        <f t="shared" si="25"/>
        <v>0</v>
      </c>
      <c r="J208" s="109"/>
      <c r="K208" s="109"/>
      <c r="L208" s="124"/>
    </row>
    <row r="209" spans="1:16" s="45" customFormat="1" ht="28.5" customHeight="1" outlineLevel="1" x14ac:dyDescent="0.25">
      <c r="A209" s="110"/>
      <c r="B209" s="110"/>
      <c r="C209" s="113"/>
      <c r="D209" s="48">
        <v>2026</v>
      </c>
      <c r="E209" s="49">
        <f>SUM(F209:I209)</f>
        <v>1043623.7667400001</v>
      </c>
      <c r="F209" s="49">
        <f>SUM(F216,F223,F230,F237,F244,F305)</f>
        <v>1043623.7667400001</v>
      </c>
      <c r="G209" s="49">
        <f t="shared" ref="G209:I209" si="27">SUM(G216,G223,G230,G237,G244,G305)</f>
        <v>0</v>
      </c>
      <c r="H209" s="49">
        <f t="shared" si="27"/>
        <v>0</v>
      </c>
      <c r="I209" s="49">
        <f t="shared" si="27"/>
        <v>0</v>
      </c>
      <c r="J209" s="110"/>
      <c r="K209" s="110"/>
      <c r="M209" s="55"/>
      <c r="N209" s="55"/>
      <c r="O209" s="55"/>
      <c r="P209" s="55"/>
    </row>
    <row r="210" spans="1:16" ht="13.5" customHeight="1" outlineLevel="1" x14ac:dyDescent="0.25">
      <c r="A210" s="108" t="s">
        <v>60</v>
      </c>
      <c r="B210" s="108" t="s">
        <v>835</v>
      </c>
      <c r="C210" s="111" t="s">
        <v>828</v>
      </c>
      <c r="D210" s="7" t="s">
        <v>8</v>
      </c>
      <c r="E210" s="8">
        <f t="shared" si="19"/>
        <v>15007.20577</v>
      </c>
      <c r="F210" s="8">
        <f>SUM(F211:F216)</f>
        <v>15007.20577</v>
      </c>
      <c r="G210" s="8">
        <f>SUM(G211:G215)</f>
        <v>0</v>
      </c>
      <c r="H210" s="8">
        <f>SUM(H211:H215)</f>
        <v>0</v>
      </c>
      <c r="I210" s="8">
        <f>SUM(I211:I215)</f>
        <v>0</v>
      </c>
      <c r="J210" s="108" t="s">
        <v>62</v>
      </c>
      <c r="K210" s="108" t="s">
        <v>484</v>
      </c>
      <c r="L210" s="124"/>
    </row>
    <row r="211" spans="1:16" ht="13.5" customHeight="1" outlineLevel="1" x14ac:dyDescent="0.25">
      <c r="A211" s="109"/>
      <c r="B211" s="109"/>
      <c r="C211" s="112"/>
      <c r="D211" s="7">
        <v>2021</v>
      </c>
      <c r="E211" s="8">
        <f t="shared" si="19"/>
        <v>2106.6577000000002</v>
      </c>
      <c r="F211" s="8">
        <f>2106.6577</f>
        <v>2106.6577000000002</v>
      </c>
      <c r="G211" s="8">
        <v>0</v>
      </c>
      <c r="H211" s="8">
        <v>0</v>
      </c>
      <c r="I211" s="8">
        <v>0</v>
      </c>
      <c r="J211" s="109"/>
      <c r="K211" s="109"/>
      <c r="L211" s="124"/>
    </row>
    <row r="212" spans="1:16" ht="13.5" customHeight="1" outlineLevel="1" x14ac:dyDescent="0.25">
      <c r="A212" s="109"/>
      <c r="B212" s="109"/>
      <c r="C212" s="112"/>
      <c r="D212" s="7">
        <v>2022</v>
      </c>
      <c r="E212" s="8">
        <f t="shared" si="19"/>
        <v>5343.0770000000002</v>
      </c>
      <c r="F212" s="8">
        <f>5912.957-569.88</f>
        <v>5343.0770000000002</v>
      </c>
      <c r="G212" s="8">
        <v>0</v>
      </c>
      <c r="H212" s="8">
        <v>0</v>
      </c>
      <c r="I212" s="8">
        <v>0</v>
      </c>
      <c r="J212" s="109"/>
      <c r="K212" s="109"/>
      <c r="L212" s="124"/>
    </row>
    <row r="213" spans="1:16" ht="13.5" customHeight="1" outlineLevel="1" x14ac:dyDescent="0.25">
      <c r="A213" s="109"/>
      <c r="B213" s="109"/>
      <c r="C213" s="112"/>
      <c r="D213" s="7">
        <v>2023</v>
      </c>
      <c r="E213" s="8">
        <f t="shared" si="19"/>
        <v>1237.58797</v>
      </c>
      <c r="F213" s="8">
        <f>2106.657+(30930.97/1000)-900</f>
        <v>1237.58797</v>
      </c>
      <c r="G213" s="8">
        <v>0</v>
      </c>
      <c r="H213" s="8">
        <v>0</v>
      </c>
      <c r="I213" s="8">
        <v>0</v>
      </c>
      <c r="J213" s="109"/>
      <c r="K213" s="109"/>
      <c r="L213" s="124"/>
      <c r="M213" s="55" t="s">
        <v>1741</v>
      </c>
    </row>
    <row r="214" spans="1:16" ht="13.5" customHeight="1" outlineLevel="1" x14ac:dyDescent="0.25">
      <c r="A214" s="109"/>
      <c r="B214" s="109"/>
      <c r="C214" s="112"/>
      <c r="D214" s="7">
        <v>2024</v>
      </c>
      <c r="E214" s="8">
        <f t="shared" si="19"/>
        <v>2106.6577000000002</v>
      </c>
      <c r="F214" s="32">
        <v>2106.6577000000002</v>
      </c>
      <c r="G214" s="8">
        <v>0</v>
      </c>
      <c r="H214" s="8">
        <v>0</v>
      </c>
      <c r="I214" s="8">
        <v>0</v>
      </c>
      <c r="J214" s="109"/>
      <c r="K214" s="109"/>
      <c r="L214" s="124"/>
    </row>
    <row r="215" spans="1:16" ht="13.5" customHeight="1" outlineLevel="1" x14ac:dyDescent="0.25">
      <c r="A215" s="109"/>
      <c r="B215" s="109"/>
      <c r="C215" s="112"/>
      <c r="D215" s="7">
        <v>2025</v>
      </c>
      <c r="E215" s="8">
        <f t="shared" si="19"/>
        <v>2106.5677000000001</v>
      </c>
      <c r="F215" s="32">
        <v>2106.5677000000001</v>
      </c>
      <c r="G215" s="8">
        <f>+G222+G229+G236+G262</f>
        <v>0</v>
      </c>
      <c r="H215" s="8">
        <v>0</v>
      </c>
      <c r="I215" s="8">
        <v>0</v>
      </c>
      <c r="J215" s="109"/>
      <c r="K215" s="109"/>
      <c r="L215" s="124"/>
    </row>
    <row r="216" spans="1:16" s="43" customFormat="1" ht="13.5" customHeight="1" outlineLevel="1" x14ac:dyDescent="0.25">
      <c r="A216" s="110"/>
      <c r="B216" s="110"/>
      <c r="C216" s="113"/>
      <c r="D216" s="40">
        <v>2026</v>
      </c>
      <c r="E216" s="41">
        <f>SUM(F216:I216)</f>
        <v>2106.6577000000002</v>
      </c>
      <c r="F216" s="41">
        <v>2106.6577000000002</v>
      </c>
      <c r="G216" s="41"/>
      <c r="H216" s="41"/>
      <c r="I216" s="41"/>
      <c r="J216" s="110"/>
      <c r="K216" s="110"/>
      <c r="M216" s="55"/>
      <c r="N216" s="55"/>
      <c r="O216" s="55"/>
      <c r="P216" s="55"/>
    </row>
    <row r="217" spans="1:16" ht="26.25" customHeight="1" outlineLevel="1" x14ac:dyDescent="0.25">
      <c r="A217" s="108" t="s">
        <v>63</v>
      </c>
      <c r="B217" s="108" t="s">
        <v>1133</v>
      </c>
      <c r="C217" s="111" t="s">
        <v>828</v>
      </c>
      <c r="D217" s="7" t="s">
        <v>8</v>
      </c>
      <c r="E217" s="8">
        <f t="shared" ref="E217:E284" si="28">SUM(F217:I217)</f>
        <v>276767.99965999997</v>
      </c>
      <c r="F217" s="8">
        <f>SUM(F218:F223)</f>
        <v>276767.99965999997</v>
      </c>
      <c r="G217" s="8">
        <f>SUM(G218:G222)</f>
        <v>0</v>
      </c>
      <c r="H217" s="8">
        <f>SUM(H218:H222)</f>
        <v>0</v>
      </c>
      <c r="I217" s="8">
        <f>SUM(I218:I222)</f>
        <v>0</v>
      </c>
      <c r="J217" s="108" t="s">
        <v>521</v>
      </c>
      <c r="K217" s="108" t="s">
        <v>484</v>
      </c>
    </row>
    <row r="218" spans="1:16" ht="22.5" customHeight="1" outlineLevel="1" x14ac:dyDescent="0.25">
      <c r="A218" s="109"/>
      <c r="B218" s="109"/>
      <c r="C218" s="112"/>
      <c r="D218" s="7">
        <v>2021</v>
      </c>
      <c r="E218" s="8">
        <f t="shared" si="28"/>
        <v>456</v>
      </c>
      <c r="F218" s="8">
        <v>456</v>
      </c>
      <c r="G218" s="8">
        <v>0</v>
      </c>
      <c r="H218" s="8">
        <v>0</v>
      </c>
      <c r="I218" s="8">
        <v>0</v>
      </c>
      <c r="J218" s="109"/>
      <c r="K218" s="109"/>
    </row>
    <row r="219" spans="1:16" ht="21.75" customHeight="1" outlineLevel="1" x14ac:dyDescent="0.25">
      <c r="A219" s="109"/>
      <c r="B219" s="109"/>
      <c r="C219" s="112"/>
      <c r="D219" s="7">
        <v>2022</v>
      </c>
      <c r="E219" s="8">
        <f t="shared" si="28"/>
        <v>52700</v>
      </c>
      <c r="F219" s="8">
        <v>52700</v>
      </c>
      <c r="G219" s="8">
        <v>0</v>
      </c>
      <c r="H219" s="8">
        <v>0</v>
      </c>
      <c r="I219" s="8">
        <v>0</v>
      </c>
      <c r="J219" s="109"/>
      <c r="K219" s="109"/>
    </row>
    <row r="220" spans="1:16" ht="24" customHeight="1" outlineLevel="1" x14ac:dyDescent="0.25">
      <c r="A220" s="109"/>
      <c r="B220" s="109"/>
      <c r="C220" s="112"/>
      <c r="D220" s="7">
        <v>2023</v>
      </c>
      <c r="E220" s="8">
        <f t="shared" si="28"/>
        <v>67599.999660000001</v>
      </c>
      <c r="F220" s="8">
        <f>52004+7490.67866+8105.321</f>
        <v>67599.999660000001</v>
      </c>
      <c r="G220" s="8">
        <v>0</v>
      </c>
      <c r="H220" s="8">
        <v>0</v>
      </c>
      <c r="I220" s="8">
        <v>0</v>
      </c>
      <c r="J220" s="109"/>
      <c r="K220" s="109"/>
    </row>
    <row r="221" spans="1:16" ht="24.75" customHeight="1" outlineLevel="1" x14ac:dyDescent="0.25">
      <c r="A221" s="109"/>
      <c r="B221" s="109"/>
      <c r="C221" s="112"/>
      <c r="D221" s="7">
        <v>2024</v>
      </c>
      <c r="E221" s="8">
        <f t="shared" si="28"/>
        <v>52004</v>
      </c>
      <c r="F221" s="32">
        <v>52004</v>
      </c>
      <c r="G221" s="8">
        <v>0</v>
      </c>
      <c r="H221" s="8">
        <v>0</v>
      </c>
      <c r="I221" s="8">
        <v>0</v>
      </c>
      <c r="J221" s="109"/>
      <c r="K221" s="109"/>
    </row>
    <row r="222" spans="1:16" ht="24" customHeight="1" outlineLevel="1" x14ac:dyDescent="0.25">
      <c r="A222" s="109"/>
      <c r="B222" s="109"/>
      <c r="C222" s="112"/>
      <c r="D222" s="7">
        <v>2025</v>
      </c>
      <c r="E222" s="8">
        <f t="shared" si="28"/>
        <v>52004</v>
      </c>
      <c r="F222" s="32">
        <v>52004</v>
      </c>
      <c r="G222" s="8">
        <v>0</v>
      </c>
      <c r="H222" s="8">
        <v>0</v>
      </c>
      <c r="I222" s="8">
        <v>0</v>
      </c>
      <c r="J222" s="109"/>
      <c r="K222" s="109"/>
    </row>
    <row r="223" spans="1:16" s="43" customFormat="1" ht="24" customHeight="1" outlineLevel="1" x14ac:dyDescent="0.25">
      <c r="A223" s="110"/>
      <c r="B223" s="110"/>
      <c r="C223" s="113"/>
      <c r="D223" s="40">
        <v>2026</v>
      </c>
      <c r="E223" s="41">
        <f>SUM(F223:I223)</f>
        <v>52004</v>
      </c>
      <c r="F223" s="41">
        <v>52004</v>
      </c>
      <c r="G223" s="41"/>
      <c r="H223" s="41"/>
      <c r="I223" s="41"/>
      <c r="J223" s="110"/>
      <c r="K223" s="110"/>
      <c r="M223" s="55"/>
      <c r="N223" s="55"/>
      <c r="O223" s="55"/>
      <c r="P223" s="55"/>
    </row>
    <row r="224" spans="1:16" ht="15.75" customHeight="1" outlineLevel="1" x14ac:dyDescent="0.25">
      <c r="A224" s="108" t="s">
        <v>66</v>
      </c>
      <c r="B224" s="108" t="s">
        <v>67</v>
      </c>
      <c r="C224" s="111" t="s">
        <v>828</v>
      </c>
      <c r="D224" s="7" t="s">
        <v>8</v>
      </c>
      <c r="E224" s="8">
        <f t="shared" si="28"/>
        <v>136.72999999999999</v>
      </c>
      <c r="F224" s="8">
        <f>SUM(F225:F229)</f>
        <v>136.72999999999999</v>
      </c>
      <c r="G224" s="8">
        <f>SUM(G225:G229)</f>
        <v>0</v>
      </c>
      <c r="H224" s="8">
        <f>SUM(H225:H229)</f>
        <v>0</v>
      </c>
      <c r="I224" s="8">
        <f>SUM(I225:I229)</f>
        <v>0</v>
      </c>
      <c r="J224" s="108" t="s">
        <v>522</v>
      </c>
      <c r="K224" s="108" t="s">
        <v>484</v>
      </c>
    </row>
    <row r="225" spans="1:16" ht="15.75" customHeight="1" outlineLevel="1" x14ac:dyDescent="0.25">
      <c r="A225" s="109"/>
      <c r="B225" s="109"/>
      <c r="C225" s="112"/>
      <c r="D225" s="7">
        <v>2021</v>
      </c>
      <c r="E225" s="8">
        <f t="shared" si="28"/>
        <v>27.77</v>
      </c>
      <c r="F225" s="8">
        <f>27770/1000</f>
        <v>27.77</v>
      </c>
      <c r="G225" s="8">
        <v>0</v>
      </c>
      <c r="H225" s="8">
        <v>0</v>
      </c>
      <c r="I225" s="8">
        <v>0</v>
      </c>
      <c r="J225" s="109"/>
      <c r="K225" s="109"/>
    </row>
    <row r="226" spans="1:16" ht="15.75" customHeight="1" outlineLevel="1" x14ac:dyDescent="0.25">
      <c r="A226" s="109"/>
      <c r="B226" s="109"/>
      <c r="C226" s="112"/>
      <c r="D226" s="7">
        <v>2022</v>
      </c>
      <c r="E226" s="8">
        <f t="shared" si="28"/>
        <v>0</v>
      </c>
      <c r="F226" s="8">
        <v>0</v>
      </c>
      <c r="G226" s="8">
        <v>0</v>
      </c>
      <c r="H226" s="8">
        <v>0</v>
      </c>
      <c r="I226" s="8">
        <v>0</v>
      </c>
      <c r="J226" s="109"/>
      <c r="K226" s="109"/>
    </row>
    <row r="227" spans="1:16" ht="15.75" customHeight="1" outlineLevel="1" x14ac:dyDescent="0.25">
      <c r="A227" s="109"/>
      <c r="B227" s="109"/>
      <c r="C227" s="112"/>
      <c r="D227" s="7">
        <v>2023</v>
      </c>
      <c r="E227" s="8">
        <f t="shared" si="28"/>
        <v>32.07</v>
      </c>
      <c r="F227" s="8">
        <v>32.07</v>
      </c>
      <c r="G227" s="8">
        <v>0</v>
      </c>
      <c r="H227" s="8">
        <v>0</v>
      </c>
      <c r="I227" s="8">
        <v>0</v>
      </c>
      <c r="J227" s="109"/>
      <c r="K227" s="109"/>
    </row>
    <row r="228" spans="1:16" ht="15.75" customHeight="1" outlineLevel="1" x14ac:dyDescent="0.25">
      <c r="A228" s="109"/>
      <c r="B228" s="109"/>
      <c r="C228" s="112"/>
      <c r="D228" s="7">
        <v>2024</v>
      </c>
      <c r="E228" s="8">
        <f t="shared" si="28"/>
        <v>44.82</v>
      </c>
      <c r="F228" s="32">
        <v>44.82</v>
      </c>
      <c r="G228" s="8">
        <v>0</v>
      </c>
      <c r="H228" s="8">
        <v>0</v>
      </c>
      <c r="I228" s="8">
        <v>0</v>
      </c>
      <c r="J228" s="109"/>
      <c r="K228" s="109"/>
    </row>
    <row r="229" spans="1:16" ht="15.75" customHeight="1" outlineLevel="1" x14ac:dyDescent="0.25">
      <c r="A229" s="109"/>
      <c r="B229" s="109"/>
      <c r="C229" s="112"/>
      <c r="D229" s="7">
        <v>2025</v>
      </c>
      <c r="E229" s="8">
        <f t="shared" si="28"/>
        <v>32.07</v>
      </c>
      <c r="F229" s="32">
        <v>32.07</v>
      </c>
      <c r="G229" s="8">
        <v>0</v>
      </c>
      <c r="H229" s="8">
        <v>0</v>
      </c>
      <c r="I229" s="8">
        <v>0</v>
      </c>
      <c r="J229" s="109"/>
      <c r="K229" s="109"/>
    </row>
    <row r="230" spans="1:16" s="43" customFormat="1" ht="15.75" customHeight="1" outlineLevel="1" x14ac:dyDescent="0.25">
      <c r="A230" s="110"/>
      <c r="B230" s="110"/>
      <c r="C230" s="113"/>
      <c r="D230" s="40">
        <v>2026</v>
      </c>
      <c r="E230" s="41">
        <f>SUM(F230:I230)</f>
        <v>32.07</v>
      </c>
      <c r="F230" s="41">
        <v>32.07</v>
      </c>
      <c r="G230" s="41"/>
      <c r="H230" s="41"/>
      <c r="I230" s="41"/>
      <c r="J230" s="110"/>
      <c r="K230" s="110"/>
      <c r="M230" s="55"/>
      <c r="N230" s="55"/>
      <c r="O230" s="55"/>
      <c r="P230" s="55"/>
    </row>
    <row r="231" spans="1:16" ht="13.5" customHeight="1" outlineLevel="1" x14ac:dyDescent="0.25">
      <c r="A231" s="108" t="s">
        <v>70</v>
      </c>
      <c r="B231" s="108" t="s">
        <v>71</v>
      </c>
      <c r="C231" s="111" t="s">
        <v>828</v>
      </c>
      <c r="D231" s="7" t="s">
        <v>8</v>
      </c>
      <c r="E231" s="8">
        <f t="shared" si="28"/>
        <v>5706489.5432699993</v>
      </c>
      <c r="F231" s="8">
        <f>SUM(F232:F237)</f>
        <v>5706489.5432699993</v>
      </c>
      <c r="G231" s="8">
        <f>SUM(G232:G236)</f>
        <v>0</v>
      </c>
      <c r="H231" s="8">
        <f>SUM(H232:H236)</f>
        <v>0</v>
      </c>
      <c r="I231" s="8">
        <f>SUM(I232:I236)</f>
        <v>0</v>
      </c>
      <c r="J231" s="108" t="s">
        <v>72</v>
      </c>
      <c r="K231" s="114" t="s">
        <v>836</v>
      </c>
    </row>
    <row r="232" spans="1:16" ht="13.5" customHeight="1" outlineLevel="1" x14ac:dyDescent="0.25">
      <c r="A232" s="109"/>
      <c r="B232" s="109"/>
      <c r="C232" s="112"/>
      <c r="D232" s="7">
        <v>2021</v>
      </c>
      <c r="E232" s="8">
        <f t="shared" si="28"/>
        <v>766375.9</v>
      </c>
      <c r="F232" s="8">
        <v>766375.9</v>
      </c>
      <c r="G232" s="8">
        <v>0</v>
      </c>
      <c r="H232" s="8">
        <v>0</v>
      </c>
      <c r="I232" s="8">
        <v>0</v>
      </c>
      <c r="J232" s="109"/>
      <c r="K232" s="115"/>
    </row>
    <row r="233" spans="1:16" ht="13.5" customHeight="1" outlineLevel="1" x14ac:dyDescent="0.25">
      <c r="A233" s="109"/>
      <c r="B233" s="109"/>
      <c r="C233" s="112"/>
      <c r="D233" s="7">
        <v>2022</v>
      </c>
      <c r="E233" s="8">
        <f t="shared" si="28"/>
        <v>914197.98699999996</v>
      </c>
      <c r="F233" s="8">
        <f>879682.2+21426+13089.787</f>
        <v>914197.98699999996</v>
      </c>
      <c r="G233" s="8">
        <v>0</v>
      </c>
      <c r="H233" s="8">
        <v>0</v>
      </c>
      <c r="I233" s="8">
        <v>0</v>
      </c>
      <c r="J233" s="109"/>
      <c r="K233" s="115"/>
    </row>
    <row r="234" spans="1:16" ht="13.5" customHeight="1" outlineLevel="1" x14ac:dyDescent="0.25">
      <c r="A234" s="109"/>
      <c r="B234" s="109"/>
      <c r="C234" s="112"/>
      <c r="D234" s="7">
        <v>2023</v>
      </c>
      <c r="E234" s="8">
        <f t="shared" si="28"/>
        <v>905061.93929999997</v>
      </c>
      <c r="F234" s="8">
        <f>850537.551+27982.345+11890.5953+14651.448</f>
        <v>905061.93929999997</v>
      </c>
      <c r="G234" s="8">
        <v>0</v>
      </c>
      <c r="H234" s="8">
        <v>0</v>
      </c>
      <c r="I234" s="8">
        <v>0</v>
      </c>
      <c r="J234" s="109"/>
      <c r="K234" s="115"/>
    </row>
    <row r="235" spans="1:16" ht="13.5" customHeight="1" outlineLevel="1" x14ac:dyDescent="0.25">
      <c r="A235" s="109"/>
      <c r="B235" s="109"/>
      <c r="C235" s="112"/>
      <c r="D235" s="7">
        <v>2024</v>
      </c>
      <c r="E235" s="8">
        <f t="shared" si="28"/>
        <v>1165558.7260199999</v>
      </c>
      <c r="F235" s="32">
        <v>1165558.7260199999</v>
      </c>
      <c r="G235" s="8">
        <v>0</v>
      </c>
      <c r="H235" s="8">
        <v>0</v>
      </c>
      <c r="I235" s="8">
        <v>0</v>
      </c>
      <c r="J235" s="109"/>
      <c r="K235" s="115"/>
    </row>
    <row r="236" spans="1:16" ht="13.5" customHeight="1" outlineLevel="1" x14ac:dyDescent="0.25">
      <c r="A236" s="109"/>
      <c r="B236" s="109"/>
      <c r="C236" s="112"/>
      <c r="D236" s="7">
        <v>2025</v>
      </c>
      <c r="E236" s="8">
        <f t="shared" si="28"/>
        <v>1000021.12128</v>
      </c>
      <c r="F236" s="32">
        <v>1000021.12128</v>
      </c>
      <c r="G236" s="8">
        <v>0</v>
      </c>
      <c r="H236" s="8">
        <v>0</v>
      </c>
      <c r="I236" s="8">
        <v>0</v>
      </c>
      <c r="J236" s="109"/>
      <c r="K236" s="115"/>
    </row>
    <row r="237" spans="1:16" s="43" customFormat="1" ht="13.5" customHeight="1" outlineLevel="1" x14ac:dyDescent="0.25">
      <c r="A237" s="110"/>
      <c r="B237" s="110"/>
      <c r="C237" s="113"/>
      <c r="D237" s="40">
        <v>2026</v>
      </c>
      <c r="E237" s="41">
        <f>SUM(F237:I237)</f>
        <v>955273.86967000004</v>
      </c>
      <c r="F237" s="41">
        <v>955273.86967000004</v>
      </c>
      <c r="G237" s="41"/>
      <c r="H237" s="41"/>
      <c r="I237" s="41"/>
      <c r="J237" s="110"/>
      <c r="K237" s="116"/>
      <c r="M237" s="55"/>
      <c r="N237" s="55"/>
      <c r="O237" s="55"/>
      <c r="P237" s="55"/>
    </row>
    <row r="238" spans="1:16" ht="18.75" customHeight="1" outlineLevel="1" x14ac:dyDescent="0.25">
      <c r="A238" s="108" t="s">
        <v>74</v>
      </c>
      <c r="B238" s="108" t="s">
        <v>75</v>
      </c>
      <c r="C238" s="111" t="s">
        <v>828</v>
      </c>
      <c r="D238" s="7" t="s">
        <v>8</v>
      </c>
      <c r="E238" s="8">
        <f t="shared" si="28"/>
        <v>29648.741000000002</v>
      </c>
      <c r="F238" s="8">
        <f>SUM(F239:F244)</f>
        <v>29648.741000000002</v>
      </c>
      <c r="G238" s="8">
        <f>SUM(G239:G243)</f>
        <v>0</v>
      </c>
      <c r="H238" s="8">
        <f>SUM(H239:H243)</f>
        <v>0</v>
      </c>
      <c r="I238" s="8">
        <f>SUM(I239:I243)</f>
        <v>0</v>
      </c>
      <c r="J238" s="108" t="s">
        <v>1135</v>
      </c>
      <c r="K238" s="108" t="s">
        <v>836</v>
      </c>
    </row>
    <row r="239" spans="1:16" ht="18.75" customHeight="1" outlineLevel="1" x14ac:dyDescent="0.25">
      <c r="A239" s="109"/>
      <c r="B239" s="109"/>
      <c r="C239" s="112"/>
      <c r="D239" s="7">
        <v>2021</v>
      </c>
      <c r="E239" s="8">
        <f t="shared" si="28"/>
        <v>3811.2820000000002</v>
      </c>
      <c r="F239" s="8">
        <v>3811.2820000000002</v>
      </c>
      <c r="G239" s="8">
        <v>0</v>
      </c>
      <c r="H239" s="8">
        <v>0</v>
      </c>
      <c r="I239" s="8">
        <v>0</v>
      </c>
      <c r="J239" s="109"/>
      <c r="K239" s="109"/>
    </row>
    <row r="240" spans="1:16" ht="18.75" customHeight="1" outlineLevel="1" x14ac:dyDescent="0.25">
      <c r="A240" s="109"/>
      <c r="B240" s="109"/>
      <c r="C240" s="112"/>
      <c r="D240" s="7">
        <v>2022</v>
      </c>
      <c r="E240" s="8">
        <f t="shared" si="28"/>
        <v>3588.2230000000004</v>
      </c>
      <c r="F240" s="8">
        <f>3561.3+109.88-82.957</f>
        <v>3588.2230000000004</v>
      </c>
      <c r="G240" s="8">
        <v>0</v>
      </c>
      <c r="H240" s="8">
        <v>0</v>
      </c>
      <c r="I240" s="8">
        <v>0</v>
      </c>
      <c r="J240" s="109"/>
      <c r="K240" s="109"/>
    </row>
    <row r="241" spans="1:16" ht="18.75" customHeight="1" outlineLevel="1" x14ac:dyDescent="0.25">
      <c r="A241" s="109"/>
      <c r="B241" s="109"/>
      <c r="C241" s="112"/>
      <c r="D241" s="7">
        <v>2023</v>
      </c>
      <c r="E241" s="8">
        <f t="shared" si="28"/>
        <v>6067.2359999999999</v>
      </c>
      <c r="F241" s="8">
        <f>3561.3+2000+118.878+82.077+300+4.981</f>
        <v>6067.2359999999999</v>
      </c>
      <c r="G241" s="8">
        <v>0</v>
      </c>
      <c r="H241" s="8">
        <v>0</v>
      </c>
      <c r="I241" s="8">
        <v>0</v>
      </c>
      <c r="J241" s="109"/>
      <c r="K241" s="109"/>
    </row>
    <row r="242" spans="1:16" ht="18.75" customHeight="1" outlineLevel="1" x14ac:dyDescent="0.25">
      <c r="A242" s="109"/>
      <c r="B242" s="109"/>
      <c r="C242" s="112"/>
      <c r="D242" s="7">
        <v>2024</v>
      </c>
      <c r="E242" s="8">
        <f t="shared" si="28"/>
        <v>5394</v>
      </c>
      <c r="F242" s="32">
        <v>5394</v>
      </c>
      <c r="G242" s="8">
        <v>0</v>
      </c>
      <c r="H242" s="8">
        <v>0</v>
      </c>
      <c r="I242" s="8">
        <v>0</v>
      </c>
      <c r="J242" s="109"/>
      <c r="K242" s="109"/>
    </row>
    <row r="243" spans="1:16" ht="18.75" customHeight="1" outlineLevel="1" x14ac:dyDescent="0.25">
      <c r="A243" s="109"/>
      <c r="B243" s="109"/>
      <c r="C243" s="112"/>
      <c r="D243" s="7">
        <v>2025</v>
      </c>
      <c r="E243" s="8">
        <f t="shared" si="28"/>
        <v>5394</v>
      </c>
      <c r="F243" s="32">
        <v>5394</v>
      </c>
      <c r="G243" s="8">
        <v>0</v>
      </c>
      <c r="H243" s="8">
        <v>0</v>
      </c>
      <c r="I243" s="8">
        <v>0</v>
      </c>
      <c r="J243" s="109"/>
      <c r="K243" s="109"/>
    </row>
    <row r="244" spans="1:16" s="43" customFormat="1" ht="18.75" customHeight="1" outlineLevel="1" x14ac:dyDescent="0.25">
      <c r="A244" s="110"/>
      <c r="B244" s="110"/>
      <c r="C244" s="113"/>
      <c r="D244" s="40">
        <v>2026</v>
      </c>
      <c r="E244" s="41">
        <f>SUM(F244:I244)</f>
        <v>5394</v>
      </c>
      <c r="F244" s="41">
        <v>5394</v>
      </c>
      <c r="G244" s="41"/>
      <c r="H244" s="41"/>
      <c r="I244" s="41"/>
      <c r="J244" s="110"/>
      <c r="K244" s="110"/>
      <c r="M244" s="55"/>
      <c r="N244" s="55"/>
      <c r="O244" s="55"/>
      <c r="P244" s="55"/>
    </row>
    <row r="245" spans="1:16" ht="14.25" customHeight="1" outlineLevel="1" x14ac:dyDescent="0.25">
      <c r="A245" s="117" t="s">
        <v>524</v>
      </c>
      <c r="B245" s="118" t="s">
        <v>525</v>
      </c>
      <c r="C245" s="119" t="s">
        <v>14</v>
      </c>
      <c r="D245" s="7" t="s">
        <v>8</v>
      </c>
      <c r="E245" s="8">
        <f t="shared" si="28"/>
        <v>26988.080000000002</v>
      </c>
      <c r="F245" s="8">
        <f>SUM(F246:F250)</f>
        <v>26988.080000000002</v>
      </c>
      <c r="G245" s="8">
        <f>SUM(G246:G250)</f>
        <v>0</v>
      </c>
      <c r="H245" s="8">
        <f>SUM(H246:H250)</f>
        <v>0</v>
      </c>
      <c r="I245" s="8">
        <f>SUM(I246:I250)</f>
        <v>0</v>
      </c>
      <c r="J245" s="119" t="s">
        <v>526</v>
      </c>
      <c r="K245" s="119" t="s">
        <v>837</v>
      </c>
    </row>
    <row r="246" spans="1:16" ht="13.5" customHeight="1" outlineLevel="1" x14ac:dyDescent="0.25">
      <c r="A246" s="117"/>
      <c r="B246" s="118"/>
      <c r="C246" s="119"/>
      <c r="D246" s="7">
        <v>2021</v>
      </c>
      <c r="E246" s="8">
        <f t="shared" si="28"/>
        <v>26988.080000000002</v>
      </c>
      <c r="F246" s="8">
        <v>26988.080000000002</v>
      </c>
      <c r="G246" s="8">
        <v>0</v>
      </c>
      <c r="H246" s="8">
        <v>0</v>
      </c>
      <c r="I246" s="8">
        <v>0</v>
      </c>
      <c r="J246" s="119"/>
      <c r="K246" s="119"/>
    </row>
    <row r="247" spans="1:16" ht="13.5" customHeight="1" outlineLevel="1" x14ac:dyDescent="0.25">
      <c r="A247" s="117"/>
      <c r="B247" s="118"/>
      <c r="C247" s="119"/>
      <c r="D247" s="7">
        <v>2022</v>
      </c>
      <c r="E247" s="8">
        <f t="shared" si="28"/>
        <v>0</v>
      </c>
      <c r="F247" s="8">
        <v>0</v>
      </c>
      <c r="G247" s="8">
        <v>0</v>
      </c>
      <c r="H247" s="8">
        <v>0</v>
      </c>
      <c r="I247" s="8">
        <v>0</v>
      </c>
      <c r="J247" s="119"/>
      <c r="K247" s="119"/>
    </row>
    <row r="248" spans="1:16" ht="13.5" customHeight="1" outlineLevel="1" x14ac:dyDescent="0.25">
      <c r="A248" s="117"/>
      <c r="B248" s="118"/>
      <c r="C248" s="119"/>
      <c r="D248" s="7">
        <v>2023</v>
      </c>
      <c r="E248" s="8">
        <f t="shared" si="28"/>
        <v>0</v>
      </c>
      <c r="F248" s="8">
        <v>0</v>
      </c>
      <c r="G248" s="8">
        <v>0</v>
      </c>
      <c r="H248" s="8">
        <v>0</v>
      </c>
      <c r="I248" s="8">
        <v>0</v>
      </c>
      <c r="J248" s="119"/>
      <c r="K248" s="119"/>
    </row>
    <row r="249" spans="1:16" ht="13.5" customHeight="1" outlineLevel="1" x14ac:dyDescent="0.25">
      <c r="A249" s="117"/>
      <c r="B249" s="118"/>
      <c r="C249" s="119"/>
      <c r="D249" s="7">
        <v>2024</v>
      </c>
      <c r="E249" s="8">
        <f t="shared" si="28"/>
        <v>0</v>
      </c>
      <c r="F249" s="8">
        <v>0</v>
      </c>
      <c r="G249" s="8">
        <v>0</v>
      </c>
      <c r="H249" s="8">
        <v>0</v>
      </c>
      <c r="I249" s="8">
        <v>0</v>
      </c>
      <c r="J249" s="119"/>
      <c r="K249" s="119"/>
    </row>
    <row r="250" spans="1:16" ht="19.5" customHeight="1" outlineLevel="1" x14ac:dyDescent="0.25">
      <c r="A250" s="117"/>
      <c r="B250" s="118"/>
      <c r="C250" s="119"/>
      <c r="D250" s="7">
        <v>2025</v>
      </c>
      <c r="E250" s="8">
        <f t="shared" si="28"/>
        <v>0</v>
      </c>
      <c r="F250" s="8">
        <v>0</v>
      </c>
      <c r="G250" s="8">
        <v>0</v>
      </c>
      <c r="H250" s="8">
        <v>0</v>
      </c>
      <c r="I250" s="8">
        <v>0</v>
      </c>
      <c r="J250" s="119"/>
      <c r="K250" s="119"/>
    </row>
    <row r="251" spans="1:16" ht="14.25" customHeight="1" outlineLevel="1" x14ac:dyDescent="0.25">
      <c r="A251" s="117" t="s">
        <v>528</v>
      </c>
      <c r="B251" s="118" t="s">
        <v>1136</v>
      </c>
      <c r="C251" s="119" t="s">
        <v>14</v>
      </c>
      <c r="D251" s="7" t="s">
        <v>8</v>
      </c>
      <c r="E251" s="8">
        <f t="shared" si="28"/>
        <v>0</v>
      </c>
      <c r="F251" s="8">
        <f>SUM(F252:F256)</f>
        <v>0</v>
      </c>
      <c r="G251" s="8">
        <f>SUM(G252:G256)</f>
        <v>0</v>
      </c>
      <c r="H251" s="8">
        <f>SUM(H252:H256)</f>
        <v>0</v>
      </c>
      <c r="I251" s="8">
        <f>SUM(I252:I256)</f>
        <v>0</v>
      </c>
      <c r="J251" s="119" t="s">
        <v>530</v>
      </c>
      <c r="K251" s="119" t="s">
        <v>531</v>
      </c>
    </row>
    <row r="252" spans="1:16" ht="13.5" customHeight="1" outlineLevel="1" x14ac:dyDescent="0.25">
      <c r="A252" s="117"/>
      <c r="B252" s="118"/>
      <c r="C252" s="119"/>
      <c r="D252" s="7">
        <v>2021</v>
      </c>
      <c r="E252" s="8">
        <f t="shared" si="28"/>
        <v>0</v>
      </c>
      <c r="F252" s="8">
        <v>0</v>
      </c>
      <c r="G252" s="8">
        <v>0</v>
      </c>
      <c r="H252" s="8">
        <v>0</v>
      </c>
      <c r="I252" s="8">
        <v>0</v>
      </c>
      <c r="J252" s="119"/>
      <c r="K252" s="119"/>
    </row>
    <row r="253" spans="1:16" ht="13.5" customHeight="1" outlineLevel="1" x14ac:dyDescent="0.25">
      <c r="A253" s="117"/>
      <c r="B253" s="118"/>
      <c r="C253" s="119"/>
      <c r="D253" s="7">
        <v>2022</v>
      </c>
      <c r="E253" s="8">
        <f t="shared" si="28"/>
        <v>0</v>
      </c>
      <c r="F253" s="8">
        <v>0</v>
      </c>
      <c r="G253" s="8">
        <v>0</v>
      </c>
      <c r="H253" s="8">
        <v>0</v>
      </c>
      <c r="I253" s="8">
        <v>0</v>
      </c>
      <c r="J253" s="119"/>
      <c r="K253" s="119"/>
    </row>
    <row r="254" spans="1:16" ht="13.5" customHeight="1" outlineLevel="1" x14ac:dyDescent="0.25">
      <c r="A254" s="117"/>
      <c r="B254" s="118"/>
      <c r="C254" s="119"/>
      <c r="D254" s="7">
        <v>2023</v>
      </c>
      <c r="E254" s="8">
        <f t="shared" si="28"/>
        <v>0</v>
      </c>
      <c r="F254" s="8">
        <v>0</v>
      </c>
      <c r="G254" s="8">
        <v>0</v>
      </c>
      <c r="H254" s="8">
        <v>0</v>
      </c>
      <c r="I254" s="8">
        <v>0</v>
      </c>
      <c r="J254" s="119"/>
      <c r="K254" s="119"/>
    </row>
    <row r="255" spans="1:16" ht="13.5" customHeight="1" outlineLevel="1" x14ac:dyDescent="0.25">
      <c r="A255" s="117"/>
      <c r="B255" s="118"/>
      <c r="C255" s="119"/>
      <c r="D255" s="7">
        <v>2024</v>
      </c>
      <c r="E255" s="8">
        <f t="shared" si="28"/>
        <v>0</v>
      </c>
      <c r="F255" s="8">
        <v>0</v>
      </c>
      <c r="G255" s="8">
        <v>0</v>
      </c>
      <c r="H255" s="8">
        <v>0</v>
      </c>
      <c r="I255" s="8">
        <v>0</v>
      </c>
      <c r="J255" s="119"/>
      <c r="K255" s="119"/>
    </row>
    <row r="256" spans="1:16" ht="19.5" customHeight="1" outlineLevel="1" x14ac:dyDescent="0.25">
      <c r="A256" s="117"/>
      <c r="B256" s="118"/>
      <c r="C256" s="119"/>
      <c r="D256" s="7">
        <v>2025</v>
      </c>
      <c r="E256" s="8">
        <f t="shared" si="28"/>
        <v>0</v>
      </c>
      <c r="F256" s="8">
        <v>0</v>
      </c>
      <c r="G256" s="8">
        <v>0</v>
      </c>
      <c r="H256" s="8">
        <v>0</v>
      </c>
      <c r="I256" s="8">
        <v>0</v>
      </c>
      <c r="J256" s="119"/>
      <c r="K256" s="119"/>
    </row>
    <row r="257" spans="1:13" ht="14.25" customHeight="1" outlineLevel="1" x14ac:dyDescent="0.25">
      <c r="A257" s="117" t="s">
        <v>532</v>
      </c>
      <c r="B257" s="118" t="s">
        <v>533</v>
      </c>
      <c r="C257" s="119" t="s">
        <v>14</v>
      </c>
      <c r="D257" s="7" t="s">
        <v>8</v>
      </c>
      <c r="E257" s="8">
        <f t="shared" si="28"/>
        <v>368.27599999999995</v>
      </c>
      <c r="F257" s="8">
        <f>SUM(F258:F262)</f>
        <v>368.27599999999995</v>
      </c>
      <c r="G257" s="8">
        <f>SUM(G258:G262)</f>
        <v>0</v>
      </c>
      <c r="H257" s="8">
        <f>SUM(H258:H262)</f>
        <v>0</v>
      </c>
      <c r="I257" s="8">
        <f>SUM(I258:I262)</f>
        <v>0</v>
      </c>
      <c r="J257" s="119" t="s">
        <v>534</v>
      </c>
      <c r="K257" s="119" t="s">
        <v>92</v>
      </c>
    </row>
    <row r="258" spans="1:13" ht="13.5" customHeight="1" outlineLevel="1" x14ac:dyDescent="0.25">
      <c r="A258" s="117"/>
      <c r="B258" s="118"/>
      <c r="C258" s="119"/>
      <c r="D258" s="7">
        <v>2021</v>
      </c>
      <c r="E258" s="8">
        <f t="shared" si="28"/>
        <v>150.887</v>
      </c>
      <c r="F258" s="8">
        <v>150.887</v>
      </c>
      <c r="G258" s="8">
        <v>0</v>
      </c>
      <c r="H258" s="8">
        <v>0</v>
      </c>
      <c r="I258" s="8">
        <v>0</v>
      </c>
      <c r="J258" s="119"/>
      <c r="K258" s="119"/>
    </row>
    <row r="259" spans="1:13" ht="13.5" customHeight="1" outlineLevel="1" x14ac:dyDescent="0.25">
      <c r="A259" s="117"/>
      <c r="B259" s="118"/>
      <c r="C259" s="119"/>
      <c r="D259" s="7">
        <v>2022</v>
      </c>
      <c r="E259" s="8">
        <f t="shared" si="28"/>
        <v>82.956999999999994</v>
      </c>
      <c r="F259" s="8">
        <v>82.956999999999994</v>
      </c>
      <c r="G259" s="8">
        <v>0</v>
      </c>
      <c r="H259" s="8">
        <v>0</v>
      </c>
      <c r="I259" s="8">
        <v>0</v>
      </c>
      <c r="J259" s="119"/>
      <c r="K259" s="119"/>
    </row>
    <row r="260" spans="1:13" ht="13.5" customHeight="1" outlineLevel="1" x14ac:dyDescent="0.25">
      <c r="A260" s="117"/>
      <c r="B260" s="118"/>
      <c r="C260" s="119"/>
      <c r="D260" s="7">
        <v>2023</v>
      </c>
      <c r="E260" s="8">
        <f t="shared" si="28"/>
        <v>134.43199999999999</v>
      </c>
      <c r="F260" s="8">
        <v>134.43199999999999</v>
      </c>
      <c r="G260" s="8">
        <v>0</v>
      </c>
      <c r="H260" s="8">
        <v>0</v>
      </c>
      <c r="I260" s="8">
        <v>0</v>
      </c>
      <c r="J260" s="119"/>
      <c r="K260" s="119"/>
      <c r="M260" s="55" t="s">
        <v>1742</v>
      </c>
    </row>
    <row r="261" spans="1:13" ht="13.5" customHeight="1" outlineLevel="1" x14ac:dyDescent="0.25">
      <c r="A261" s="117"/>
      <c r="B261" s="118"/>
      <c r="C261" s="119"/>
      <c r="D261" s="7">
        <v>2024</v>
      </c>
      <c r="E261" s="8">
        <f t="shared" si="28"/>
        <v>0</v>
      </c>
      <c r="F261" s="8">
        <v>0</v>
      </c>
      <c r="G261" s="8">
        <v>0</v>
      </c>
      <c r="H261" s="8">
        <v>0</v>
      </c>
      <c r="I261" s="8">
        <v>0</v>
      </c>
      <c r="J261" s="119"/>
      <c r="K261" s="119"/>
    </row>
    <row r="262" spans="1:13" ht="19.5" customHeight="1" outlineLevel="1" x14ac:dyDescent="0.25">
      <c r="A262" s="117"/>
      <c r="B262" s="118"/>
      <c r="C262" s="119"/>
      <c r="D262" s="7">
        <v>2025</v>
      </c>
      <c r="E262" s="8">
        <f t="shared" si="28"/>
        <v>0</v>
      </c>
      <c r="F262" s="8">
        <v>0</v>
      </c>
      <c r="G262" s="8">
        <v>0</v>
      </c>
      <c r="H262" s="8">
        <v>0</v>
      </c>
      <c r="I262" s="8">
        <v>0</v>
      </c>
      <c r="J262" s="119"/>
      <c r="K262" s="119"/>
    </row>
    <row r="263" spans="1:13" ht="16.5" customHeight="1" outlineLevel="1" x14ac:dyDescent="0.25">
      <c r="A263" s="117" t="s">
        <v>535</v>
      </c>
      <c r="B263" s="118" t="s">
        <v>536</v>
      </c>
      <c r="C263" s="119" t="s">
        <v>14</v>
      </c>
      <c r="D263" s="7" t="s">
        <v>8</v>
      </c>
      <c r="E263" s="8">
        <f t="shared" si="28"/>
        <v>595</v>
      </c>
      <c r="F263" s="8">
        <f>SUM(F264:F268)</f>
        <v>595</v>
      </c>
      <c r="G263" s="8">
        <f>SUM(G264:G268)</f>
        <v>0</v>
      </c>
      <c r="H263" s="8">
        <f>SUM(H264:H268)</f>
        <v>0</v>
      </c>
      <c r="I263" s="8">
        <f>SUM(I264:I268)</f>
        <v>0</v>
      </c>
      <c r="J263" s="119" t="s">
        <v>838</v>
      </c>
      <c r="K263" s="119" t="s">
        <v>531</v>
      </c>
    </row>
    <row r="264" spans="1:13" ht="16.5" customHeight="1" outlineLevel="1" x14ac:dyDescent="0.25">
      <c r="A264" s="117"/>
      <c r="B264" s="118"/>
      <c r="C264" s="119"/>
      <c r="D264" s="7">
        <v>2021</v>
      </c>
      <c r="E264" s="8">
        <f t="shared" si="28"/>
        <v>595</v>
      </c>
      <c r="F264" s="8">
        <v>595</v>
      </c>
      <c r="G264" s="8">
        <v>0</v>
      </c>
      <c r="H264" s="8">
        <v>0</v>
      </c>
      <c r="I264" s="8">
        <v>0</v>
      </c>
      <c r="J264" s="119"/>
      <c r="K264" s="119"/>
    </row>
    <row r="265" spans="1:13" ht="16.5" customHeight="1" outlineLevel="1" x14ac:dyDescent="0.25">
      <c r="A265" s="117"/>
      <c r="B265" s="118"/>
      <c r="C265" s="119"/>
      <c r="D265" s="7">
        <v>2022</v>
      </c>
      <c r="E265" s="8">
        <f t="shared" si="28"/>
        <v>0</v>
      </c>
      <c r="F265" s="8">
        <v>0</v>
      </c>
      <c r="G265" s="8">
        <v>0</v>
      </c>
      <c r="H265" s="8">
        <v>0</v>
      </c>
      <c r="I265" s="8">
        <v>0</v>
      </c>
      <c r="J265" s="119"/>
      <c r="K265" s="119"/>
    </row>
    <row r="266" spans="1:13" ht="16.5" customHeight="1" outlineLevel="1" x14ac:dyDescent="0.25">
      <c r="A266" s="117"/>
      <c r="B266" s="118"/>
      <c r="C266" s="119"/>
      <c r="D266" s="7">
        <v>2023</v>
      </c>
      <c r="E266" s="8">
        <f t="shared" si="28"/>
        <v>0</v>
      </c>
      <c r="F266" s="8">
        <v>0</v>
      </c>
      <c r="G266" s="8">
        <v>0</v>
      </c>
      <c r="H266" s="8">
        <v>0</v>
      </c>
      <c r="I266" s="8">
        <v>0</v>
      </c>
      <c r="J266" s="119"/>
      <c r="K266" s="119"/>
    </row>
    <row r="267" spans="1:13" ht="16.5" customHeight="1" outlineLevel="1" x14ac:dyDescent="0.25">
      <c r="A267" s="117"/>
      <c r="B267" s="118"/>
      <c r="C267" s="119"/>
      <c r="D267" s="7">
        <v>2024</v>
      </c>
      <c r="E267" s="8">
        <f t="shared" si="28"/>
        <v>0</v>
      </c>
      <c r="F267" s="8">
        <v>0</v>
      </c>
      <c r="G267" s="8">
        <v>0</v>
      </c>
      <c r="H267" s="8">
        <v>0</v>
      </c>
      <c r="I267" s="8">
        <v>0</v>
      </c>
      <c r="J267" s="119"/>
      <c r="K267" s="119"/>
    </row>
    <row r="268" spans="1:13" ht="16.5" customHeight="1" outlineLevel="1" x14ac:dyDescent="0.25">
      <c r="A268" s="117"/>
      <c r="B268" s="118"/>
      <c r="C268" s="119"/>
      <c r="D268" s="7">
        <v>2025</v>
      </c>
      <c r="E268" s="8">
        <f t="shared" si="28"/>
        <v>0</v>
      </c>
      <c r="F268" s="8">
        <v>0</v>
      </c>
      <c r="G268" s="8">
        <v>0</v>
      </c>
      <c r="H268" s="8">
        <v>0</v>
      </c>
      <c r="I268" s="8">
        <v>0</v>
      </c>
      <c r="J268" s="119"/>
      <c r="K268" s="119"/>
    </row>
    <row r="269" spans="1:13" ht="16.5" customHeight="1" outlineLevel="1" x14ac:dyDescent="0.25">
      <c r="A269" s="117" t="s">
        <v>609</v>
      </c>
      <c r="B269" s="118" t="s">
        <v>610</v>
      </c>
      <c r="C269" s="119" t="s">
        <v>14</v>
      </c>
      <c r="D269" s="7" t="s">
        <v>8</v>
      </c>
      <c r="E269" s="8">
        <f t="shared" si="28"/>
        <v>8626</v>
      </c>
      <c r="F269" s="8">
        <f>SUM(F270:F274)</f>
        <v>8626</v>
      </c>
      <c r="G269" s="8">
        <f>SUM(G270:G274)</f>
        <v>0</v>
      </c>
      <c r="H269" s="8">
        <f>SUM(H270:H274)</f>
        <v>0</v>
      </c>
      <c r="I269" s="8">
        <f>SUM(I270:I274)</f>
        <v>0</v>
      </c>
      <c r="J269" s="119" t="s">
        <v>611</v>
      </c>
      <c r="K269" s="119" t="s">
        <v>563</v>
      </c>
    </row>
    <row r="270" spans="1:13" ht="16.5" customHeight="1" outlineLevel="1" x14ac:dyDescent="0.25">
      <c r="A270" s="117"/>
      <c r="B270" s="118"/>
      <c r="C270" s="119"/>
      <c r="D270" s="7">
        <v>2021</v>
      </c>
      <c r="E270" s="8">
        <f t="shared" si="28"/>
        <v>8626</v>
      </c>
      <c r="F270" s="8">
        <v>8626</v>
      </c>
      <c r="G270" s="8">
        <v>0</v>
      </c>
      <c r="H270" s="8">
        <v>0</v>
      </c>
      <c r="I270" s="8">
        <v>0</v>
      </c>
      <c r="J270" s="119"/>
      <c r="K270" s="119"/>
    </row>
    <row r="271" spans="1:13" ht="16.5" customHeight="1" outlineLevel="1" x14ac:dyDescent="0.25">
      <c r="A271" s="117"/>
      <c r="B271" s="118"/>
      <c r="C271" s="119"/>
      <c r="D271" s="7">
        <v>2022</v>
      </c>
      <c r="E271" s="8">
        <f t="shared" si="28"/>
        <v>0</v>
      </c>
      <c r="F271" s="8">
        <v>0</v>
      </c>
      <c r="G271" s="8">
        <v>0</v>
      </c>
      <c r="H271" s="8">
        <v>0</v>
      </c>
      <c r="I271" s="8">
        <v>0</v>
      </c>
      <c r="J271" s="119"/>
      <c r="K271" s="119"/>
    </row>
    <row r="272" spans="1:13" ht="16.5" customHeight="1" outlineLevel="1" x14ac:dyDescent="0.25">
      <c r="A272" s="117"/>
      <c r="B272" s="118"/>
      <c r="C272" s="119"/>
      <c r="D272" s="7">
        <v>2023</v>
      </c>
      <c r="E272" s="8">
        <f t="shared" si="28"/>
        <v>0</v>
      </c>
      <c r="F272" s="8">
        <v>0</v>
      </c>
      <c r="G272" s="8">
        <v>0</v>
      </c>
      <c r="H272" s="8">
        <v>0</v>
      </c>
      <c r="I272" s="8">
        <v>0</v>
      </c>
      <c r="J272" s="119"/>
      <c r="K272" s="119"/>
    </row>
    <row r="273" spans="1:14" ht="16.5" customHeight="1" outlineLevel="1" x14ac:dyDescent="0.25">
      <c r="A273" s="117"/>
      <c r="B273" s="118"/>
      <c r="C273" s="119"/>
      <c r="D273" s="7">
        <v>2024</v>
      </c>
      <c r="E273" s="8">
        <f t="shared" si="28"/>
        <v>0</v>
      </c>
      <c r="F273" s="8">
        <v>0</v>
      </c>
      <c r="G273" s="8">
        <v>0</v>
      </c>
      <c r="H273" s="8">
        <v>0</v>
      </c>
      <c r="I273" s="8">
        <v>0</v>
      </c>
      <c r="J273" s="119"/>
      <c r="K273" s="119"/>
    </row>
    <row r="274" spans="1:14" ht="16.5" customHeight="1" outlineLevel="1" x14ac:dyDescent="0.25">
      <c r="A274" s="117"/>
      <c r="B274" s="118"/>
      <c r="C274" s="119"/>
      <c r="D274" s="7">
        <v>2025</v>
      </c>
      <c r="E274" s="8">
        <f t="shared" si="28"/>
        <v>0</v>
      </c>
      <c r="F274" s="8">
        <v>0</v>
      </c>
      <c r="G274" s="8">
        <v>0</v>
      </c>
      <c r="H274" s="8">
        <v>0</v>
      </c>
      <c r="I274" s="8">
        <v>0</v>
      </c>
      <c r="J274" s="119"/>
      <c r="K274" s="119"/>
    </row>
    <row r="275" spans="1:14" ht="16.5" customHeight="1" outlineLevel="1" x14ac:dyDescent="0.25">
      <c r="A275" s="117" t="s">
        <v>839</v>
      </c>
      <c r="B275" s="118" t="s">
        <v>1137</v>
      </c>
      <c r="C275" s="119" t="s">
        <v>14</v>
      </c>
      <c r="D275" s="7" t="s">
        <v>8</v>
      </c>
      <c r="E275" s="8">
        <f t="shared" si="28"/>
        <v>35337.443999999996</v>
      </c>
      <c r="F275" s="8">
        <f>SUM(F276:F280)</f>
        <v>35337.443999999996</v>
      </c>
      <c r="G275" s="8">
        <f>SUM(G276:G280)</f>
        <v>0</v>
      </c>
      <c r="H275" s="8">
        <f>SUM(H276:H280)</f>
        <v>0</v>
      </c>
      <c r="I275" s="8">
        <f>SUM(I276:I280)</f>
        <v>0</v>
      </c>
      <c r="J275" s="119" t="s">
        <v>1138</v>
      </c>
      <c r="K275" s="119" t="s">
        <v>1139</v>
      </c>
    </row>
    <row r="276" spans="1:14" ht="16.5" customHeight="1" outlineLevel="1" x14ac:dyDescent="0.25">
      <c r="A276" s="117"/>
      <c r="B276" s="118"/>
      <c r="C276" s="119"/>
      <c r="D276" s="7">
        <v>2021</v>
      </c>
      <c r="E276" s="8">
        <f t="shared" si="28"/>
        <v>0</v>
      </c>
      <c r="F276" s="8">
        <v>0</v>
      </c>
      <c r="G276" s="8">
        <v>0</v>
      </c>
      <c r="H276" s="8">
        <v>0</v>
      </c>
      <c r="I276" s="8">
        <v>0</v>
      </c>
      <c r="J276" s="119"/>
      <c r="K276" s="119"/>
    </row>
    <row r="277" spans="1:14" ht="16.5" customHeight="1" outlineLevel="1" x14ac:dyDescent="0.25">
      <c r="A277" s="117"/>
      <c r="B277" s="118"/>
      <c r="C277" s="119"/>
      <c r="D277" s="7">
        <v>2022</v>
      </c>
      <c r="E277" s="8">
        <f t="shared" si="28"/>
        <v>35337.442999999999</v>
      </c>
      <c r="F277" s="8">
        <f>22000+1017.443+12000+13089.787+320-13089.787</f>
        <v>35337.442999999999</v>
      </c>
      <c r="G277" s="8">
        <v>0</v>
      </c>
      <c r="H277" s="8">
        <v>0</v>
      </c>
      <c r="I277" s="8">
        <v>0</v>
      </c>
      <c r="J277" s="119"/>
      <c r="K277" s="119"/>
    </row>
    <row r="278" spans="1:14" ht="16.5" customHeight="1" outlineLevel="1" x14ac:dyDescent="0.25">
      <c r="A278" s="117"/>
      <c r="B278" s="118"/>
      <c r="C278" s="119"/>
      <c r="D278" s="7">
        <v>2023</v>
      </c>
      <c r="E278" s="8">
        <f t="shared" si="28"/>
        <v>9.9999999991950972E-4</v>
      </c>
      <c r="F278" s="8">
        <f>5000-4863.17-136.829</f>
        <v>9.9999999991950972E-4</v>
      </c>
      <c r="G278" s="8">
        <v>0</v>
      </c>
      <c r="H278" s="8">
        <v>0</v>
      </c>
      <c r="I278" s="8">
        <v>0</v>
      </c>
      <c r="J278" s="119"/>
      <c r="K278" s="119"/>
    </row>
    <row r="279" spans="1:14" ht="16.5" customHeight="1" outlineLevel="1" x14ac:dyDescent="0.25">
      <c r="A279" s="117"/>
      <c r="B279" s="118"/>
      <c r="C279" s="119"/>
      <c r="D279" s="7">
        <v>2024</v>
      </c>
      <c r="E279" s="8">
        <f t="shared" si="28"/>
        <v>0</v>
      </c>
      <c r="F279" s="8">
        <v>0</v>
      </c>
      <c r="G279" s="8">
        <v>0</v>
      </c>
      <c r="H279" s="8">
        <v>0</v>
      </c>
      <c r="I279" s="8">
        <v>0</v>
      </c>
      <c r="J279" s="119"/>
      <c r="K279" s="119"/>
    </row>
    <row r="280" spans="1:14" ht="16.5" customHeight="1" outlineLevel="1" x14ac:dyDescent="0.25">
      <c r="A280" s="117"/>
      <c r="B280" s="118"/>
      <c r="C280" s="119"/>
      <c r="D280" s="7">
        <v>2025</v>
      </c>
      <c r="E280" s="8">
        <f t="shared" si="28"/>
        <v>0</v>
      </c>
      <c r="F280" s="8">
        <v>0</v>
      </c>
      <c r="G280" s="8">
        <v>0</v>
      </c>
      <c r="H280" s="8">
        <v>0</v>
      </c>
      <c r="I280" s="8">
        <v>0</v>
      </c>
      <c r="J280" s="119"/>
      <c r="K280" s="119"/>
    </row>
    <row r="281" spans="1:14" ht="16.5" customHeight="1" outlineLevel="1" x14ac:dyDescent="0.25">
      <c r="A281" s="117" t="s">
        <v>843</v>
      </c>
      <c r="B281" s="118" t="s">
        <v>844</v>
      </c>
      <c r="C281" s="119" t="s">
        <v>14</v>
      </c>
      <c r="D281" s="7" t="s">
        <v>8</v>
      </c>
      <c r="E281" s="8">
        <f t="shared" si="28"/>
        <v>534</v>
      </c>
      <c r="F281" s="8">
        <f>SUM(F282:F286)</f>
        <v>534</v>
      </c>
      <c r="G281" s="8">
        <f>SUM(G282:G286)</f>
        <v>0</v>
      </c>
      <c r="H281" s="8">
        <f>SUM(H282:H286)</f>
        <v>0</v>
      </c>
      <c r="I281" s="8">
        <f>SUM(I282:I286)</f>
        <v>0</v>
      </c>
      <c r="J281" s="119" t="s">
        <v>845</v>
      </c>
      <c r="K281" s="119" t="s">
        <v>1140</v>
      </c>
    </row>
    <row r="282" spans="1:14" ht="16.5" customHeight="1" outlineLevel="1" x14ac:dyDescent="0.25">
      <c r="A282" s="117"/>
      <c r="B282" s="118"/>
      <c r="C282" s="119"/>
      <c r="D282" s="7">
        <v>2021</v>
      </c>
      <c r="E282" s="8">
        <f t="shared" si="28"/>
        <v>534</v>
      </c>
      <c r="F282" s="8">
        <v>534</v>
      </c>
      <c r="G282" s="8">
        <v>0</v>
      </c>
      <c r="H282" s="8">
        <v>0</v>
      </c>
      <c r="I282" s="8">
        <v>0</v>
      </c>
      <c r="J282" s="119"/>
      <c r="K282" s="119"/>
    </row>
    <row r="283" spans="1:14" ht="16.5" customHeight="1" outlineLevel="1" x14ac:dyDescent="0.25">
      <c r="A283" s="117"/>
      <c r="B283" s="118"/>
      <c r="C283" s="119"/>
      <c r="D283" s="7">
        <v>2022</v>
      </c>
      <c r="E283" s="8">
        <f t="shared" si="28"/>
        <v>0</v>
      </c>
      <c r="F283" s="8">
        <v>0</v>
      </c>
      <c r="G283" s="8">
        <v>0</v>
      </c>
      <c r="H283" s="8">
        <v>0</v>
      </c>
      <c r="I283" s="8">
        <v>0</v>
      </c>
      <c r="J283" s="119"/>
      <c r="K283" s="119"/>
      <c r="N283" s="55" t="s">
        <v>1053</v>
      </c>
    </row>
    <row r="284" spans="1:14" ht="16.5" customHeight="1" outlineLevel="1" x14ac:dyDescent="0.25">
      <c r="A284" s="117"/>
      <c r="B284" s="118"/>
      <c r="C284" s="119"/>
      <c r="D284" s="7">
        <v>2023</v>
      </c>
      <c r="E284" s="8">
        <f t="shared" si="28"/>
        <v>0</v>
      </c>
      <c r="F284" s="8">
        <v>0</v>
      </c>
      <c r="G284" s="8">
        <v>0</v>
      </c>
      <c r="H284" s="8">
        <v>0</v>
      </c>
      <c r="I284" s="8">
        <v>0</v>
      </c>
      <c r="J284" s="119"/>
      <c r="K284" s="119"/>
    </row>
    <row r="285" spans="1:14" ht="16.5" customHeight="1" outlineLevel="1" x14ac:dyDescent="0.25">
      <c r="A285" s="117"/>
      <c r="B285" s="118"/>
      <c r="C285" s="119"/>
      <c r="D285" s="7">
        <v>2024</v>
      </c>
      <c r="E285" s="8">
        <f t="shared" ref="E285:E353" si="29">SUM(F285:I285)</f>
        <v>0</v>
      </c>
      <c r="F285" s="8">
        <v>0</v>
      </c>
      <c r="G285" s="8">
        <v>0</v>
      </c>
      <c r="H285" s="8">
        <v>0</v>
      </c>
      <c r="I285" s="8">
        <v>0</v>
      </c>
      <c r="J285" s="119"/>
      <c r="K285" s="119"/>
    </row>
    <row r="286" spans="1:14" ht="16.5" customHeight="1" outlineLevel="1" x14ac:dyDescent="0.25">
      <c r="A286" s="117"/>
      <c r="B286" s="118"/>
      <c r="C286" s="119"/>
      <c r="D286" s="7">
        <v>2025</v>
      </c>
      <c r="E286" s="8">
        <f t="shared" si="29"/>
        <v>0</v>
      </c>
      <c r="F286" s="8">
        <v>0</v>
      </c>
      <c r="G286" s="8">
        <v>0</v>
      </c>
      <c r="H286" s="8">
        <v>0</v>
      </c>
      <c r="I286" s="8">
        <v>0</v>
      </c>
      <c r="J286" s="119"/>
      <c r="K286" s="119"/>
    </row>
    <row r="287" spans="1:14" ht="16.5" customHeight="1" outlineLevel="1" x14ac:dyDescent="0.25">
      <c r="A287" s="117" t="s">
        <v>846</v>
      </c>
      <c r="B287" s="118" t="s">
        <v>847</v>
      </c>
      <c r="C287" s="119" t="s">
        <v>14</v>
      </c>
      <c r="D287" s="7" t="s">
        <v>8</v>
      </c>
      <c r="E287" s="8">
        <f t="shared" si="29"/>
        <v>194</v>
      </c>
      <c r="F287" s="8">
        <f>SUM(F288:F292)</f>
        <v>194</v>
      </c>
      <c r="G287" s="8">
        <f>SUM(G288:G292)</f>
        <v>0</v>
      </c>
      <c r="H287" s="8">
        <f>SUM(H288:H292)</f>
        <v>0</v>
      </c>
      <c r="I287" s="8">
        <f>SUM(I288:I292)</f>
        <v>0</v>
      </c>
      <c r="J287" s="119" t="s">
        <v>848</v>
      </c>
      <c r="K287" s="119" t="s">
        <v>484</v>
      </c>
    </row>
    <row r="288" spans="1:14" ht="16.5" customHeight="1" outlineLevel="1" x14ac:dyDescent="0.25">
      <c r="A288" s="117"/>
      <c r="B288" s="118"/>
      <c r="C288" s="119"/>
      <c r="D288" s="7">
        <v>2021</v>
      </c>
      <c r="E288" s="8">
        <f t="shared" si="29"/>
        <v>194</v>
      </c>
      <c r="F288" s="8">
        <v>194</v>
      </c>
      <c r="G288" s="8">
        <v>0</v>
      </c>
      <c r="H288" s="8">
        <v>0</v>
      </c>
      <c r="I288" s="8">
        <v>0</v>
      </c>
      <c r="J288" s="119"/>
      <c r="K288" s="119"/>
    </row>
    <row r="289" spans="1:11" ht="16.5" customHeight="1" outlineLevel="1" x14ac:dyDescent="0.25">
      <c r="A289" s="117"/>
      <c r="B289" s="118"/>
      <c r="C289" s="119"/>
      <c r="D289" s="7">
        <v>2022</v>
      </c>
      <c r="E289" s="8">
        <f t="shared" si="29"/>
        <v>0</v>
      </c>
      <c r="F289" s="8">
        <v>0</v>
      </c>
      <c r="G289" s="8">
        <v>0</v>
      </c>
      <c r="H289" s="8">
        <v>0</v>
      </c>
      <c r="I289" s="8">
        <v>0</v>
      </c>
      <c r="J289" s="119"/>
      <c r="K289" s="119"/>
    </row>
    <row r="290" spans="1:11" ht="16.5" customHeight="1" outlineLevel="1" x14ac:dyDescent="0.25">
      <c r="A290" s="117"/>
      <c r="B290" s="118"/>
      <c r="C290" s="119"/>
      <c r="D290" s="7">
        <v>2023</v>
      </c>
      <c r="E290" s="8">
        <f t="shared" si="29"/>
        <v>0</v>
      </c>
      <c r="F290" s="8">
        <v>0</v>
      </c>
      <c r="G290" s="8">
        <v>0</v>
      </c>
      <c r="H290" s="8">
        <v>0</v>
      </c>
      <c r="I290" s="8">
        <v>0</v>
      </c>
      <c r="J290" s="119"/>
      <c r="K290" s="119"/>
    </row>
    <row r="291" spans="1:11" ht="16.5" customHeight="1" outlineLevel="1" x14ac:dyDescent="0.25">
      <c r="A291" s="117"/>
      <c r="B291" s="118"/>
      <c r="C291" s="119"/>
      <c r="D291" s="7">
        <v>2024</v>
      </c>
      <c r="E291" s="8">
        <f t="shared" si="29"/>
        <v>0</v>
      </c>
      <c r="F291" s="8">
        <v>0</v>
      </c>
      <c r="G291" s="8">
        <v>0</v>
      </c>
      <c r="H291" s="8">
        <v>0</v>
      </c>
      <c r="I291" s="8">
        <v>0</v>
      </c>
      <c r="J291" s="119"/>
      <c r="K291" s="119"/>
    </row>
    <row r="292" spans="1:11" ht="16.5" customHeight="1" outlineLevel="1" x14ac:dyDescent="0.25">
      <c r="A292" s="117"/>
      <c r="B292" s="118"/>
      <c r="C292" s="119"/>
      <c r="D292" s="7">
        <v>2025</v>
      </c>
      <c r="E292" s="8">
        <f t="shared" si="29"/>
        <v>0</v>
      </c>
      <c r="F292" s="8">
        <v>0</v>
      </c>
      <c r="G292" s="8">
        <v>0</v>
      </c>
      <c r="H292" s="8">
        <v>0</v>
      </c>
      <c r="I292" s="8">
        <v>0</v>
      </c>
      <c r="J292" s="119"/>
      <c r="K292" s="119"/>
    </row>
    <row r="293" spans="1:11" ht="16.5" customHeight="1" outlineLevel="1" x14ac:dyDescent="0.25">
      <c r="A293" s="117" t="s">
        <v>849</v>
      </c>
      <c r="B293" s="118" t="s">
        <v>850</v>
      </c>
      <c r="C293" s="119" t="s">
        <v>1113</v>
      </c>
      <c r="D293" s="7" t="s">
        <v>8</v>
      </c>
      <c r="E293" s="8">
        <f t="shared" si="29"/>
        <v>1800</v>
      </c>
      <c r="F293" s="8">
        <f>SUM(F294:F298)</f>
        <v>1800</v>
      </c>
      <c r="G293" s="8">
        <f>SUM(G294:G298)</f>
        <v>0</v>
      </c>
      <c r="H293" s="8">
        <f>SUM(H294:H298)</f>
        <v>0</v>
      </c>
      <c r="I293" s="8">
        <f>SUM(I294:I298)</f>
        <v>0</v>
      </c>
      <c r="J293" s="119" t="s">
        <v>1141</v>
      </c>
      <c r="K293" s="119" t="s">
        <v>484</v>
      </c>
    </row>
    <row r="294" spans="1:11" ht="16.5" customHeight="1" outlineLevel="1" x14ac:dyDescent="0.25">
      <c r="A294" s="117"/>
      <c r="B294" s="118"/>
      <c r="C294" s="119"/>
      <c r="D294" s="7">
        <v>2021</v>
      </c>
      <c r="E294" s="8">
        <f t="shared" si="29"/>
        <v>0</v>
      </c>
      <c r="F294" s="8">
        <v>0</v>
      </c>
      <c r="G294" s="8">
        <v>0</v>
      </c>
      <c r="H294" s="8">
        <v>0</v>
      </c>
      <c r="I294" s="8">
        <v>0</v>
      </c>
      <c r="J294" s="119"/>
      <c r="K294" s="119"/>
    </row>
    <row r="295" spans="1:11" ht="16.5" customHeight="1" outlineLevel="1" x14ac:dyDescent="0.25">
      <c r="A295" s="117"/>
      <c r="B295" s="118"/>
      <c r="C295" s="119"/>
      <c r="D295" s="7">
        <v>2022</v>
      </c>
      <c r="E295" s="8">
        <v>900</v>
      </c>
      <c r="F295" s="8">
        <v>900</v>
      </c>
      <c r="G295" s="8">
        <v>0</v>
      </c>
      <c r="H295" s="8">
        <v>0</v>
      </c>
      <c r="I295" s="8">
        <v>0</v>
      </c>
      <c r="J295" s="119"/>
      <c r="K295" s="119"/>
    </row>
    <row r="296" spans="1:11" ht="16.5" customHeight="1" outlineLevel="1" x14ac:dyDescent="0.25">
      <c r="A296" s="117"/>
      <c r="B296" s="118"/>
      <c r="C296" s="119"/>
      <c r="D296" s="7">
        <v>2023</v>
      </c>
      <c r="E296" s="8">
        <f t="shared" si="29"/>
        <v>900</v>
      </c>
      <c r="F296" s="8">
        <v>900</v>
      </c>
      <c r="G296" s="8">
        <v>0</v>
      </c>
      <c r="H296" s="8">
        <v>0</v>
      </c>
      <c r="I296" s="8">
        <v>0</v>
      </c>
      <c r="J296" s="119"/>
      <c r="K296" s="119"/>
    </row>
    <row r="297" spans="1:11" ht="16.5" customHeight="1" outlineLevel="1" x14ac:dyDescent="0.25">
      <c r="A297" s="117"/>
      <c r="B297" s="118"/>
      <c r="C297" s="119"/>
      <c r="D297" s="7">
        <v>2024</v>
      </c>
      <c r="E297" s="8">
        <f t="shared" si="29"/>
        <v>0</v>
      </c>
      <c r="F297" s="8">
        <v>0</v>
      </c>
      <c r="G297" s="8">
        <v>0</v>
      </c>
      <c r="H297" s="8">
        <v>0</v>
      </c>
      <c r="I297" s="8">
        <v>0</v>
      </c>
      <c r="J297" s="119"/>
      <c r="K297" s="119"/>
    </row>
    <row r="298" spans="1:11" ht="16.5" customHeight="1" outlineLevel="1" x14ac:dyDescent="0.25">
      <c r="A298" s="117"/>
      <c r="B298" s="118"/>
      <c r="C298" s="119"/>
      <c r="D298" s="7">
        <v>2025</v>
      </c>
      <c r="E298" s="8">
        <f t="shared" si="29"/>
        <v>0</v>
      </c>
      <c r="F298" s="8">
        <v>0</v>
      </c>
      <c r="G298" s="8">
        <v>0</v>
      </c>
      <c r="H298" s="8">
        <v>0</v>
      </c>
      <c r="I298" s="8">
        <v>0</v>
      </c>
      <c r="J298" s="119"/>
      <c r="K298" s="119"/>
    </row>
    <row r="299" spans="1:11" ht="16.5" customHeight="1" outlineLevel="1" x14ac:dyDescent="0.25">
      <c r="A299" s="108" t="s">
        <v>852</v>
      </c>
      <c r="B299" s="108" t="s">
        <v>1142</v>
      </c>
      <c r="C299" s="111" t="s">
        <v>1777</v>
      </c>
      <c r="D299" s="7" t="s">
        <v>8</v>
      </c>
      <c r="E299" s="8">
        <f t="shared" si="29"/>
        <v>156751.31353000001</v>
      </c>
      <c r="F299" s="8">
        <f>SUM(F301:F305)</f>
        <v>156751.31353000001</v>
      </c>
      <c r="G299" s="8">
        <f>SUM(G300:G304)</f>
        <v>0</v>
      </c>
      <c r="H299" s="8">
        <f>SUM(H300:H304)</f>
        <v>0</v>
      </c>
      <c r="I299" s="8">
        <f>SUM(I300:I304)</f>
        <v>0</v>
      </c>
      <c r="J299" s="108" t="s">
        <v>1142</v>
      </c>
      <c r="K299" s="108" t="s">
        <v>597</v>
      </c>
    </row>
    <row r="300" spans="1:11" ht="16.5" customHeight="1" outlineLevel="1" x14ac:dyDescent="0.25">
      <c r="A300" s="109"/>
      <c r="B300" s="109"/>
      <c r="C300" s="112"/>
      <c r="D300" s="7">
        <v>2021</v>
      </c>
      <c r="E300" s="8">
        <f t="shared" si="29"/>
        <v>0</v>
      </c>
      <c r="F300" s="8">
        <v>0</v>
      </c>
      <c r="G300" s="8">
        <v>0</v>
      </c>
      <c r="H300" s="8">
        <v>0</v>
      </c>
      <c r="I300" s="8">
        <v>0</v>
      </c>
      <c r="J300" s="109"/>
      <c r="K300" s="109"/>
    </row>
    <row r="301" spans="1:11" ht="16.5" customHeight="1" outlineLevel="1" x14ac:dyDescent="0.25">
      <c r="A301" s="109"/>
      <c r="B301" s="109"/>
      <c r="C301" s="112"/>
      <c r="D301" s="7">
        <v>2022</v>
      </c>
      <c r="E301" s="8">
        <f t="shared" si="29"/>
        <v>24779.228999999999</v>
      </c>
      <c r="F301" s="8">
        <v>24779.228999999999</v>
      </c>
      <c r="G301" s="8">
        <v>0</v>
      </c>
      <c r="H301" s="8">
        <v>0</v>
      </c>
      <c r="I301" s="8">
        <v>0</v>
      </c>
      <c r="J301" s="109"/>
      <c r="K301" s="109"/>
    </row>
    <row r="302" spans="1:11" ht="16.5" customHeight="1" outlineLevel="1" x14ac:dyDescent="0.25">
      <c r="A302" s="109"/>
      <c r="B302" s="109"/>
      <c r="C302" s="112"/>
      <c r="D302" s="7">
        <v>2023</v>
      </c>
      <c r="E302" s="8">
        <f t="shared" si="29"/>
        <v>35051.025000000001</v>
      </c>
      <c r="F302" s="8">
        <f>25184.8+5003.055+4863.17</f>
        <v>35051.025000000001</v>
      </c>
      <c r="G302" s="8">
        <v>0</v>
      </c>
      <c r="H302" s="8">
        <v>0</v>
      </c>
      <c r="I302" s="8">
        <v>0</v>
      </c>
      <c r="J302" s="109"/>
      <c r="K302" s="109"/>
    </row>
    <row r="303" spans="1:11" ht="16.5" customHeight="1" outlineLevel="1" x14ac:dyDescent="0.25">
      <c r="A303" s="109"/>
      <c r="B303" s="109"/>
      <c r="C303" s="112"/>
      <c r="D303" s="7">
        <v>2024</v>
      </c>
      <c r="E303" s="8">
        <f t="shared" si="29"/>
        <v>39294.720789999999</v>
      </c>
      <c r="F303" s="32">
        <v>39294.720789999999</v>
      </c>
      <c r="G303" s="8">
        <v>0</v>
      </c>
      <c r="H303" s="8">
        <v>0</v>
      </c>
      <c r="I303" s="8">
        <v>0</v>
      </c>
      <c r="J303" s="109"/>
      <c r="K303" s="109"/>
    </row>
    <row r="304" spans="1:11" ht="16.5" customHeight="1" outlineLevel="1" x14ac:dyDescent="0.25">
      <c r="A304" s="109"/>
      <c r="B304" s="109"/>
      <c r="C304" s="112"/>
      <c r="D304" s="7">
        <v>2025</v>
      </c>
      <c r="E304" s="8">
        <f t="shared" si="29"/>
        <v>28813.16937</v>
      </c>
      <c r="F304" s="32">
        <v>28813.16937</v>
      </c>
      <c r="G304" s="8">
        <v>0</v>
      </c>
      <c r="H304" s="8">
        <v>0</v>
      </c>
      <c r="I304" s="8">
        <v>0</v>
      </c>
      <c r="J304" s="109"/>
      <c r="K304" s="109"/>
    </row>
    <row r="305" spans="1:16" s="45" customFormat="1" ht="16.5" customHeight="1" outlineLevel="1" x14ac:dyDescent="0.25">
      <c r="A305" s="110"/>
      <c r="B305" s="110"/>
      <c r="C305" s="113"/>
      <c r="D305" s="40">
        <v>2026</v>
      </c>
      <c r="E305" s="41">
        <f>SUM(F305:I305)</f>
        <v>28813.16937</v>
      </c>
      <c r="F305" s="41">
        <v>28813.16937</v>
      </c>
      <c r="G305" s="41"/>
      <c r="H305" s="41"/>
      <c r="I305" s="41"/>
      <c r="J305" s="110"/>
      <c r="K305" s="110"/>
      <c r="M305" s="55"/>
      <c r="N305" s="55"/>
      <c r="O305" s="55"/>
      <c r="P305" s="55"/>
    </row>
    <row r="306" spans="1:16" ht="16.5" customHeight="1" outlineLevel="1" x14ac:dyDescent="0.25">
      <c r="A306" s="117" t="s">
        <v>1143</v>
      </c>
      <c r="B306" s="118" t="s">
        <v>1144</v>
      </c>
      <c r="C306" s="119">
        <v>2022</v>
      </c>
      <c r="D306" s="7" t="s">
        <v>8</v>
      </c>
      <c r="E306" s="8">
        <f t="shared" si="29"/>
        <v>0</v>
      </c>
      <c r="F306" s="8">
        <f>SUM(F307:F311)</f>
        <v>0</v>
      </c>
      <c r="G306" s="8">
        <f>SUM(G307:G311)</f>
        <v>0</v>
      </c>
      <c r="H306" s="8">
        <f>SUM(H307:H311)</f>
        <v>0</v>
      </c>
      <c r="I306" s="8">
        <f>SUM(I307:I311)</f>
        <v>0</v>
      </c>
      <c r="J306" s="119" t="s">
        <v>1145</v>
      </c>
      <c r="K306" s="119" t="s">
        <v>1146</v>
      </c>
    </row>
    <row r="307" spans="1:16" ht="16.5" customHeight="1" outlineLevel="1" x14ac:dyDescent="0.25">
      <c r="A307" s="117"/>
      <c r="B307" s="118"/>
      <c r="C307" s="119"/>
      <c r="D307" s="7">
        <v>2021</v>
      </c>
      <c r="E307" s="8">
        <f t="shared" si="29"/>
        <v>0</v>
      </c>
      <c r="F307" s="8">
        <v>0</v>
      </c>
      <c r="G307" s="8">
        <v>0</v>
      </c>
      <c r="H307" s="8">
        <v>0</v>
      </c>
      <c r="I307" s="8">
        <v>0</v>
      </c>
      <c r="J307" s="119"/>
      <c r="K307" s="119"/>
    </row>
    <row r="308" spans="1:16" ht="16.5" customHeight="1" outlineLevel="1" x14ac:dyDescent="0.25">
      <c r="A308" s="117"/>
      <c r="B308" s="118"/>
      <c r="C308" s="119"/>
      <c r="D308" s="7">
        <v>2022</v>
      </c>
      <c r="E308" s="8">
        <f t="shared" si="29"/>
        <v>0</v>
      </c>
      <c r="F308" s="8">
        <v>0</v>
      </c>
      <c r="G308" s="8">
        <v>0</v>
      </c>
      <c r="H308" s="8">
        <v>0</v>
      </c>
      <c r="I308" s="8">
        <v>0</v>
      </c>
      <c r="J308" s="119"/>
      <c r="K308" s="119"/>
    </row>
    <row r="309" spans="1:16" ht="16.5" customHeight="1" outlineLevel="1" x14ac:dyDescent="0.25">
      <c r="A309" s="117"/>
      <c r="B309" s="118"/>
      <c r="C309" s="119"/>
      <c r="D309" s="7">
        <v>2023</v>
      </c>
      <c r="E309" s="8">
        <f t="shared" si="29"/>
        <v>0</v>
      </c>
      <c r="F309" s="8">
        <v>0</v>
      </c>
      <c r="G309" s="8">
        <v>0</v>
      </c>
      <c r="H309" s="8">
        <v>0</v>
      </c>
      <c r="I309" s="8">
        <v>0</v>
      </c>
      <c r="J309" s="119"/>
      <c r="K309" s="119"/>
    </row>
    <row r="310" spans="1:16" ht="16.5" customHeight="1" outlineLevel="1" x14ac:dyDescent="0.25">
      <c r="A310" s="117"/>
      <c r="B310" s="118"/>
      <c r="C310" s="119"/>
      <c r="D310" s="7">
        <v>2024</v>
      </c>
      <c r="E310" s="8">
        <f t="shared" si="29"/>
        <v>0</v>
      </c>
      <c r="F310" s="8">
        <v>0</v>
      </c>
      <c r="G310" s="8">
        <v>0</v>
      </c>
      <c r="H310" s="8">
        <v>0</v>
      </c>
      <c r="I310" s="8">
        <v>0</v>
      </c>
      <c r="J310" s="119"/>
      <c r="K310" s="119"/>
    </row>
    <row r="311" spans="1:16" ht="16.5" customHeight="1" outlineLevel="1" x14ac:dyDescent="0.25">
      <c r="A311" s="117"/>
      <c r="B311" s="118"/>
      <c r="C311" s="119"/>
      <c r="D311" s="7">
        <v>2025</v>
      </c>
      <c r="E311" s="8">
        <f t="shared" si="29"/>
        <v>0</v>
      </c>
      <c r="F311" s="8">
        <v>0</v>
      </c>
      <c r="G311" s="8">
        <v>0</v>
      </c>
      <c r="H311" s="8">
        <v>0</v>
      </c>
      <c r="I311" s="8">
        <v>0</v>
      </c>
      <c r="J311" s="119"/>
      <c r="K311" s="119"/>
    </row>
    <row r="312" spans="1:16" ht="15.75" customHeight="1" outlineLevel="1" x14ac:dyDescent="0.25">
      <c r="A312" s="117" t="s">
        <v>1147</v>
      </c>
      <c r="B312" s="118" t="s">
        <v>1148</v>
      </c>
      <c r="C312" s="119">
        <v>2022</v>
      </c>
      <c r="D312" s="7" t="s">
        <v>8</v>
      </c>
      <c r="E312" s="8">
        <f t="shared" si="29"/>
        <v>17927.877</v>
      </c>
      <c r="F312" s="8">
        <f>SUM(F313:F317)</f>
        <v>17927.877</v>
      </c>
      <c r="G312" s="8">
        <f>SUM(G313:G317)</f>
        <v>0</v>
      </c>
      <c r="H312" s="8">
        <f>SUM(H313:H317)</f>
        <v>0</v>
      </c>
      <c r="I312" s="8">
        <f>SUM(I313:I317)</f>
        <v>0</v>
      </c>
      <c r="J312" s="119" t="s">
        <v>1149</v>
      </c>
      <c r="K312" s="119" t="s">
        <v>1150</v>
      </c>
    </row>
    <row r="313" spans="1:16" outlineLevel="1" x14ac:dyDescent="0.25">
      <c r="A313" s="117"/>
      <c r="B313" s="118"/>
      <c r="C313" s="119"/>
      <c r="D313" s="7">
        <v>2021</v>
      </c>
      <c r="E313" s="8">
        <f t="shared" si="29"/>
        <v>0</v>
      </c>
      <c r="F313" s="8">
        <v>0</v>
      </c>
      <c r="G313" s="8">
        <v>0</v>
      </c>
      <c r="H313" s="8">
        <v>0</v>
      </c>
      <c r="I313" s="8">
        <v>0</v>
      </c>
      <c r="J313" s="119"/>
      <c r="K313" s="119"/>
    </row>
    <row r="314" spans="1:16" outlineLevel="1" x14ac:dyDescent="0.25">
      <c r="A314" s="117"/>
      <c r="B314" s="118"/>
      <c r="C314" s="119"/>
      <c r="D314" s="7">
        <v>2022</v>
      </c>
      <c r="E314" s="8">
        <f t="shared" si="29"/>
        <v>17927.877</v>
      </c>
      <c r="F314" s="8">
        <v>17927.877</v>
      </c>
      <c r="G314" s="8">
        <v>0</v>
      </c>
      <c r="H314" s="8">
        <v>0</v>
      </c>
      <c r="I314" s="8">
        <v>0</v>
      </c>
      <c r="J314" s="119"/>
      <c r="K314" s="119"/>
    </row>
    <row r="315" spans="1:16" outlineLevel="1" x14ac:dyDescent="0.25">
      <c r="A315" s="117"/>
      <c r="B315" s="118"/>
      <c r="C315" s="119"/>
      <c r="D315" s="7">
        <v>2023</v>
      </c>
      <c r="E315" s="8">
        <f t="shared" si="29"/>
        <v>0</v>
      </c>
      <c r="F315" s="8">
        <v>0</v>
      </c>
      <c r="G315" s="8">
        <v>0</v>
      </c>
      <c r="H315" s="8">
        <v>0</v>
      </c>
      <c r="I315" s="8">
        <v>0</v>
      </c>
      <c r="J315" s="119"/>
      <c r="K315" s="119"/>
    </row>
    <row r="316" spans="1:16" outlineLevel="1" x14ac:dyDescent="0.25">
      <c r="A316" s="117"/>
      <c r="B316" s="118"/>
      <c r="C316" s="119"/>
      <c r="D316" s="7">
        <v>2024</v>
      </c>
      <c r="E316" s="8">
        <f t="shared" si="29"/>
        <v>0</v>
      </c>
      <c r="F316" s="8">
        <v>0</v>
      </c>
      <c r="G316" s="8">
        <v>0</v>
      </c>
      <c r="H316" s="8">
        <v>0</v>
      </c>
      <c r="I316" s="8">
        <v>0</v>
      </c>
      <c r="J316" s="119"/>
      <c r="K316" s="119"/>
    </row>
    <row r="317" spans="1:16" outlineLevel="1" x14ac:dyDescent="0.25">
      <c r="A317" s="117"/>
      <c r="B317" s="118"/>
      <c r="C317" s="119"/>
      <c r="D317" s="7">
        <v>2025</v>
      </c>
      <c r="E317" s="8">
        <f t="shared" si="29"/>
        <v>0</v>
      </c>
      <c r="F317" s="8">
        <v>0</v>
      </c>
      <c r="G317" s="8">
        <v>0</v>
      </c>
      <c r="H317" s="8">
        <v>0</v>
      </c>
      <c r="I317" s="8">
        <v>0</v>
      </c>
      <c r="J317" s="119"/>
      <c r="K317" s="119"/>
    </row>
    <row r="318" spans="1:16" ht="15.75" customHeight="1" outlineLevel="1" x14ac:dyDescent="0.25">
      <c r="A318" s="117" t="s">
        <v>1151</v>
      </c>
      <c r="B318" s="118" t="s">
        <v>1152</v>
      </c>
      <c r="C318" s="119">
        <v>2022</v>
      </c>
      <c r="D318" s="7" t="s">
        <v>8</v>
      </c>
      <c r="E318" s="8">
        <f t="shared" si="29"/>
        <v>82491</v>
      </c>
      <c r="F318" s="8">
        <f>SUM(F319:F323)</f>
        <v>82491</v>
      </c>
      <c r="G318" s="8">
        <f>SUM(G319:G323)</f>
        <v>0</v>
      </c>
      <c r="H318" s="8">
        <f>SUM(H319:H323)</f>
        <v>0</v>
      </c>
      <c r="I318" s="8">
        <f>SUM(I319:I323)</f>
        <v>0</v>
      </c>
      <c r="J318" s="119" t="s">
        <v>1153</v>
      </c>
      <c r="K318" s="119" t="s">
        <v>597</v>
      </c>
    </row>
    <row r="319" spans="1:16" ht="15" customHeight="1" outlineLevel="1" x14ac:dyDescent="0.25">
      <c r="A319" s="117"/>
      <c r="B319" s="118"/>
      <c r="C319" s="119"/>
      <c r="D319" s="7">
        <v>2021</v>
      </c>
      <c r="E319" s="8">
        <f t="shared" si="29"/>
        <v>0</v>
      </c>
      <c r="F319" s="8">
        <v>0</v>
      </c>
      <c r="G319" s="8">
        <v>0</v>
      </c>
      <c r="H319" s="8">
        <v>0</v>
      </c>
      <c r="I319" s="8">
        <v>0</v>
      </c>
      <c r="J319" s="119"/>
      <c r="K319" s="119"/>
    </row>
    <row r="320" spans="1:16" ht="15" customHeight="1" outlineLevel="1" x14ac:dyDescent="0.25">
      <c r="A320" s="117"/>
      <c r="B320" s="118"/>
      <c r="C320" s="119"/>
      <c r="D320" s="7">
        <v>2022</v>
      </c>
      <c r="E320" s="8">
        <f t="shared" si="29"/>
        <v>82491</v>
      </c>
      <c r="F320" s="8">
        <f>56859.756+25631.244</f>
        <v>82491</v>
      </c>
      <c r="G320" s="8">
        <v>0</v>
      </c>
      <c r="H320" s="8">
        <v>0</v>
      </c>
      <c r="I320" s="8">
        <v>0</v>
      </c>
      <c r="J320" s="119"/>
      <c r="K320" s="119"/>
    </row>
    <row r="321" spans="1:11" ht="15" customHeight="1" outlineLevel="1" x14ac:dyDescent="0.25">
      <c r="A321" s="117"/>
      <c r="B321" s="118"/>
      <c r="C321" s="119"/>
      <c r="D321" s="7">
        <v>2023</v>
      </c>
      <c r="E321" s="8">
        <f t="shared" si="29"/>
        <v>0</v>
      </c>
      <c r="F321" s="8">
        <v>0</v>
      </c>
      <c r="G321" s="8">
        <v>0</v>
      </c>
      <c r="H321" s="8">
        <v>0</v>
      </c>
      <c r="I321" s="8">
        <v>0</v>
      </c>
      <c r="J321" s="119"/>
      <c r="K321" s="119"/>
    </row>
    <row r="322" spans="1:11" ht="15" customHeight="1" outlineLevel="1" x14ac:dyDescent="0.25">
      <c r="A322" s="117"/>
      <c r="B322" s="118"/>
      <c r="C322" s="119"/>
      <c r="D322" s="7">
        <v>2024</v>
      </c>
      <c r="E322" s="8">
        <f t="shared" si="29"/>
        <v>0</v>
      </c>
      <c r="F322" s="8">
        <v>0</v>
      </c>
      <c r="G322" s="8">
        <v>0</v>
      </c>
      <c r="H322" s="8">
        <v>0</v>
      </c>
      <c r="I322" s="8">
        <v>0</v>
      </c>
      <c r="J322" s="119"/>
      <c r="K322" s="119"/>
    </row>
    <row r="323" spans="1:11" ht="15" customHeight="1" outlineLevel="1" x14ac:dyDescent="0.25">
      <c r="A323" s="117"/>
      <c r="B323" s="118"/>
      <c r="C323" s="119"/>
      <c r="D323" s="7">
        <v>2025</v>
      </c>
      <c r="E323" s="8">
        <f t="shared" si="29"/>
        <v>0</v>
      </c>
      <c r="F323" s="8">
        <v>0</v>
      </c>
      <c r="G323" s="8">
        <v>0</v>
      </c>
      <c r="H323" s="8">
        <v>0</v>
      </c>
      <c r="I323" s="8">
        <v>0</v>
      </c>
      <c r="J323" s="119"/>
      <c r="K323" s="119"/>
    </row>
    <row r="324" spans="1:11" outlineLevel="1" x14ac:dyDescent="0.25">
      <c r="A324" s="117" t="s">
        <v>1154</v>
      </c>
      <c r="B324" s="118" t="s">
        <v>1155</v>
      </c>
      <c r="C324" s="119">
        <v>2022</v>
      </c>
      <c r="D324" s="7" t="s">
        <v>8</v>
      </c>
      <c r="E324" s="8">
        <f t="shared" si="29"/>
        <v>0</v>
      </c>
      <c r="F324" s="8">
        <f>SUM(F325:F329)</f>
        <v>0</v>
      </c>
      <c r="G324" s="8">
        <f>SUM(G325:G329)</f>
        <v>0</v>
      </c>
      <c r="H324" s="8">
        <f>SUM(H325:H329)</f>
        <v>0</v>
      </c>
      <c r="I324" s="8">
        <f>SUM(I325:I329)</f>
        <v>0</v>
      </c>
      <c r="J324" s="119" t="s">
        <v>1156</v>
      </c>
      <c r="K324" s="119" t="s">
        <v>597</v>
      </c>
    </row>
    <row r="325" spans="1:11" outlineLevel="1" x14ac:dyDescent="0.25">
      <c r="A325" s="117"/>
      <c r="B325" s="118"/>
      <c r="C325" s="119"/>
      <c r="D325" s="7">
        <v>2021</v>
      </c>
      <c r="E325" s="8">
        <f t="shared" si="29"/>
        <v>0</v>
      </c>
      <c r="F325" s="8">
        <v>0</v>
      </c>
      <c r="G325" s="8">
        <v>0</v>
      </c>
      <c r="H325" s="8">
        <v>0</v>
      </c>
      <c r="I325" s="8">
        <v>0</v>
      </c>
      <c r="J325" s="119"/>
      <c r="K325" s="119"/>
    </row>
    <row r="326" spans="1:11" outlineLevel="1" x14ac:dyDescent="0.25">
      <c r="A326" s="117"/>
      <c r="B326" s="118"/>
      <c r="C326" s="119"/>
      <c r="D326" s="7">
        <v>2022</v>
      </c>
      <c r="E326" s="8">
        <f t="shared" si="29"/>
        <v>0</v>
      </c>
      <c r="F326" s="8">
        <v>0</v>
      </c>
      <c r="G326" s="8">
        <v>0</v>
      </c>
      <c r="H326" s="8">
        <v>0</v>
      </c>
      <c r="I326" s="8">
        <v>0</v>
      </c>
      <c r="J326" s="119"/>
      <c r="K326" s="119"/>
    </row>
    <row r="327" spans="1:11" outlineLevel="1" x14ac:dyDescent="0.25">
      <c r="A327" s="117"/>
      <c r="B327" s="118"/>
      <c r="C327" s="119"/>
      <c r="D327" s="7">
        <v>2023</v>
      </c>
      <c r="E327" s="8">
        <f t="shared" si="29"/>
        <v>0</v>
      </c>
      <c r="F327" s="8">
        <v>0</v>
      </c>
      <c r="G327" s="8">
        <v>0</v>
      </c>
      <c r="H327" s="8">
        <v>0</v>
      </c>
      <c r="I327" s="8">
        <v>0</v>
      </c>
      <c r="J327" s="119"/>
      <c r="K327" s="119"/>
    </row>
    <row r="328" spans="1:11" outlineLevel="1" x14ac:dyDescent="0.25">
      <c r="A328" s="117"/>
      <c r="B328" s="118"/>
      <c r="C328" s="119"/>
      <c r="D328" s="7">
        <v>2024</v>
      </c>
      <c r="E328" s="8">
        <f t="shared" si="29"/>
        <v>0</v>
      </c>
      <c r="F328" s="8">
        <v>0</v>
      </c>
      <c r="G328" s="8">
        <v>0</v>
      </c>
      <c r="H328" s="8">
        <v>0</v>
      </c>
      <c r="I328" s="8">
        <v>0</v>
      </c>
      <c r="J328" s="119"/>
      <c r="K328" s="119"/>
    </row>
    <row r="329" spans="1:11" outlineLevel="1" x14ac:dyDescent="0.25">
      <c r="A329" s="117"/>
      <c r="B329" s="118"/>
      <c r="C329" s="119"/>
      <c r="D329" s="7">
        <v>2025</v>
      </c>
      <c r="E329" s="8">
        <f t="shared" si="29"/>
        <v>0</v>
      </c>
      <c r="F329" s="8">
        <v>0</v>
      </c>
      <c r="G329" s="8">
        <v>0</v>
      </c>
      <c r="H329" s="8">
        <v>0</v>
      </c>
      <c r="I329" s="8">
        <v>0</v>
      </c>
      <c r="J329" s="119"/>
      <c r="K329" s="119"/>
    </row>
    <row r="330" spans="1:11" outlineLevel="1" x14ac:dyDescent="0.25">
      <c r="A330" s="117" t="s">
        <v>1157</v>
      </c>
      <c r="B330" s="118" t="s">
        <v>1158</v>
      </c>
      <c r="C330" s="119" t="s">
        <v>1169</v>
      </c>
      <c r="D330" s="7" t="s">
        <v>8</v>
      </c>
      <c r="E330" s="8">
        <f t="shared" si="29"/>
        <v>8470.5329999999994</v>
      </c>
      <c r="F330" s="8">
        <f>SUM(F331:F335)</f>
        <v>8470.5329999999994</v>
      </c>
      <c r="G330" s="8">
        <f>SUM(G331:G335)</f>
        <v>0</v>
      </c>
      <c r="H330" s="8">
        <f>SUM(H331:H335)</f>
        <v>0</v>
      </c>
      <c r="I330" s="8">
        <f>SUM(I331:I335)</f>
        <v>0</v>
      </c>
      <c r="J330" s="119" t="s">
        <v>1159</v>
      </c>
      <c r="K330" s="119" t="s">
        <v>597</v>
      </c>
    </row>
    <row r="331" spans="1:11" outlineLevel="1" x14ac:dyDescent="0.25">
      <c r="A331" s="117"/>
      <c r="B331" s="118"/>
      <c r="C331" s="119"/>
      <c r="D331" s="7">
        <v>2021</v>
      </c>
      <c r="E331" s="8">
        <f t="shared" si="29"/>
        <v>0</v>
      </c>
      <c r="F331" s="8">
        <v>0</v>
      </c>
      <c r="G331" s="8">
        <v>0</v>
      </c>
      <c r="H331" s="8">
        <v>0</v>
      </c>
      <c r="I331" s="8">
        <v>0</v>
      </c>
      <c r="J331" s="119"/>
      <c r="K331" s="119"/>
    </row>
    <row r="332" spans="1:11" outlineLevel="1" x14ac:dyDescent="0.25">
      <c r="A332" s="117"/>
      <c r="B332" s="118"/>
      <c r="C332" s="119"/>
      <c r="D332" s="7">
        <v>2022</v>
      </c>
      <c r="E332" s="8">
        <f t="shared" si="29"/>
        <v>3486.1039999999998</v>
      </c>
      <c r="F332" s="8">
        <f>1682.37+32.07+1771.664</f>
        <v>3486.1039999999998</v>
      </c>
      <c r="G332" s="8">
        <v>0</v>
      </c>
      <c r="H332" s="8">
        <v>0</v>
      </c>
      <c r="I332" s="8">
        <v>0</v>
      </c>
      <c r="J332" s="119"/>
      <c r="K332" s="119"/>
    </row>
    <row r="333" spans="1:11" outlineLevel="1" x14ac:dyDescent="0.25">
      <c r="A333" s="117"/>
      <c r="B333" s="118"/>
      <c r="C333" s="119"/>
      <c r="D333" s="7">
        <v>2023</v>
      </c>
      <c r="E333" s="8">
        <f t="shared" si="29"/>
        <v>4984.4290000000001</v>
      </c>
      <c r="F333" s="8">
        <f>3628.395+1356.034</f>
        <v>4984.4290000000001</v>
      </c>
      <c r="G333" s="8">
        <v>0</v>
      </c>
      <c r="H333" s="8">
        <v>0</v>
      </c>
      <c r="I333" s="8">
        <v>0</v>
      </c>
      <c r="J333" s="119"/>
      <c r="K333" s="119"/>
    </row>
    <row r="334" spans="1:11" outlineLevel="1" x14ac:dyDescent="0.25">
      <c r="A334" s="117"/>
      <c r="B334" s="118"/>
      <c r="C334" s="119"/>
      <c r="D334" s="7">
        <v>2024</v>
      </c>
      <c r="E334" s="8">
        <f t="shared" si="29"/>
        <v>0</v>
      </c>
      <c r="F334" s="8">
        <v>0</v>
      </c>
      <c r="G334" s="8">
        <v>0</v>
      </c>
      <c r="H334" s="8">
        <v>0</v>
      </c>
      <c r="I334" s="8">
        <v>0</v>
      </c>
      <c r="J334" s="119"/>
      <c r="K334" s="119"/>
    </row>
    <row r="335" spans="1:11" outlineLevel="1" x14ac:dyDescent="0.25">
      <c r="A335" s="117"/>
      <c r="B335" s="118"/>
      <c r="C335" s="119"/>
      <c r="D335" s="7">
        <v>2025</v>
      </c>
      <c r="E335" s="8">
        <f t="shared" si="29"/>
        <v>0</v>
      </c>
      <c r="F335" s="8">
        <v>0</v>
      </c>
      <c r="G335" s="8">
        <v>0</v>
      </c>
      <c r="H335" s="8">
        <v>0</v>
      </c>
      <c r="I335" s="8">
        <v>0</v>
      </c>
      <c r="J335" s="119"/>
      <c r="K335" s="119"/>
    </row>
    <row r="336" spans="1:11" ht="20.100000000000001" customHeight="1" outlineLevel="1" x14ac:dyDescent="0.25">
      <c r="A336" s="146" t="s">
        <v>1160</v>
      </c>
      <c r="B336" s="108" t="s">
        <v>1737</v>
      </c>
      <c r="C336" s="111" t="s">
        <v>828</v>
      </c>
      <c r="D336" s="7" t="s">
        <v>8</v>
      </c>
      <c r="E336" s="8">
        <f>SUM(E337:E341)</f>
        <v>20987.542999999998</v>
      </c>
      <c r="F336" s="8">
        <f>SUM(F337:F341)</f>
        <v>20987.542999999998</v>
      </c>
      <c r="G336" s="8">
        <f>SUM(G337:G341)</f>
        <v>0</v>
      </c>
      <c r="H336" s="8">
        <f>SUM(H337:H341)</f>
        <v>0</v>
      </c>
      <c r="I336" s="8">
        <f>SUM(I337:I341)</f>
        <v>0</v>
      </c>
      <c r="J336" s="108" t="s">
        <v>1161</v>
      </c>
      <c r="K336" s="108" t="s">
        <v>1162</v>
      </c>
    </row>
    <row r="337" spans="1:16" ht="20.100000000000001" customHeight="1" outlineLevel="1" x14ac:dyDescent="0.25">
      <c r="A337" s="147"/>
      <c r="B337" s="109"/>
      <c r="C337" s="112"/>
      <c r="D337" s="7">
        <v>2021</v>
      </c>
      <c r="E337" s="8">
        <f t="shared" ref="E337:E341" si="30">SUM(F337:I337)</f>
        <v>0</v>
      </c>
      <c r="F337" s="8">
        <v>0</v>
      </c>
      <c r="G337" s="8">
        <v>0</v>
      </c>
      <c r="H337" s="8">
        <v>0</v>
      </c>
      <c r="I337" s="8">
        <v>0</v>
      </c>
      <c r="J337" s="109"/>
      <c r="K337" s="109"/>
    </row>
    <row r="338" spans="1:16" ht="20.100000000000001" customHeight="1" outlineLevel="1" x14ac:dyDescent="0.25">
      <c r="A338" s="147"/>
      <c r="B338" s="109"/>
      <c r="C338" s="112"/>
      <c r="D338" s="7">
        <v>2022</v>
      </c>
      <c r="E338" s="8">
        <f t="shared" si="30"/>
        <v>0</v>
      </c>
      <c r="F338" s="8">
        <v>0</v>
      </c>
      <c r="G338" s="8">
        <v>0</v>
      </c>
      <c r="H338" s="8">
        <v>0</v>
      </c>
      <c r="I338" s="8">
        <v>0</v>
      </c>
      <c r="J338" s="109"/>
      <c r="K338" s="109"/>
    </row>
    <row r="339" spans="1:16" ht="20.100000000000001" customHeight="1" outlineLevel="1" x14ac:dyDescent="0.25">
      <c r="A339" s="147"/>
      <c r="B339" s="109"/>
      <c r="C339" s="112"/>
      <c r="D339" s="7">
        <v>2023</v>
      </c>
      <c r="E339" s="8">
        <f t="shared" si="30"/>
        <v>13037.137999999999</v>
      </c>
      <c r="F339" s="8">
        <f>16200.622-1807.45-1356.034</f>
        <v>13037.137999999999</v>
      </c>
      <c r="G339" s="8">
        <v>0</v>
      </c>
      <c r="H339" s="8">
        <v>0</v>
      </c>
      <c r="I339" s="8">
        <v>0</v>
      </c>
      <c r="J339" s="109"/>
      <c r="K339" s="109"/>
    </row>
    <row r="340" spans="1:16" ht="20.100000000000001" customHeight="1" outlineLevel="1" x14ac:dyDescent="0.25">
      <c r="A340" s="147"/>
      <c r="B340" s="109"/>
      <c r="C340" s="112"/>
      <c r="D340" s="7">
        <v>2024</v>
      </c>
      <c r="E340" s="8">
        <f t="shared" si="30"/>
        <v>7950.4049999999997</v>
      </c>
      <c r="F340" s="32">
        <v>7950.4049999999997</v>
      </c>
      <c r="G340" s="8">
        <v>0</v>
      </c>
      <c r="H340" s="8">
        <v>0</v>
      </c>
      <c r="I340" s="8">
        <v>0</v>
      </c>
      <c r="J340" s="109"/>
      <c r="K340" s="109"/>
    </row>
    <row r="341" spans="1:16" ht="20.100000000000001" customHeight="1" outlineLevel="1" x14ac:dyDescent="0.25">
      <c r="A341" s="147"/>
      <c r="B341" s="109"/>
      <c r="C341" s="112"/>
      <c r="D341" s="7">
        <v>2025</v>
      </c>
      <c r="E341" s="8">
        <f t="shared" si="30"/>
        <v>0</v>
      </c>
      <c r="F341" s="8">
        <v>0</v>
      </c>
      <c r="G341" s="8">
        <v>0</v>
      </c>
      <c r="H341" s="8">
        <v>0</v>
      </c>
      <c r="I341" s="8">
        <v>0</v>
      </c>
      <c r="J341" s="109"/>
      <c r="K341" s="109"/>
    </row>
    <row r="342" spans="1:16" s="33" customFormat="1" ht="20.100000000000001" customHeight="1" outlineLevel="1" x14ac:dyDescent="0.25">
      <c r="A342" s="145" t="s">
        <v>1769</v>
      </c>
      <c r="B342" s="144" t="s">
        <v>1770</v>
      </c>
      <c r="C342" s="119" t="s">
        <v>14</v>
      </c>
      <c r="D342" s="34" t="s">
        <v>8</v>
      </c>
      <c r="E342" s="8">
        <f>SUM(E343:E347)</f>
        <v>80000</v>
      </c>
      <c r="F342" s="8">
        <f>SUM(F343:F347)</f>
        <v>80000</v>
      </c>
      <c r="G342" s="8">
        <f>SUM(G343:G347)</f>
        <v>0</v>
      </c>
      <c r="H342" s="8">
        <f>SUM(H343:H347)</f>
        <v>0</v>
      </c>
      <c r="I342" s="8">
        <f>SUM(I343:I347)</f>
        <v>0</v>
      </c>
      <c r="J342" s="119" t="s">
        <v>1771</v>
      </c>
      <c r="K342" s="119" t="s">
        <v>1162</v>
      </c>
      <c r="M342" s="55"/>
      <c r="N342" s="55"/>
      <c r="O342" s="55"/>
      <c r="P342" s="55"/>
    </row>
    <row r="343" spans="1:16" s="33" customFormat="1" ht="20.100000000000001" customHeight="1" outlineLevel="1" x14ac:dyDescent="0.25">
      <c r="A343" s="145"/>
      <c r="B343" s="144"/>
      <c r="C343" s="119"/>
      <c r="D343" s="34">
        <v>2021</v>
      </c>
      <c r="E343" s="8">
        <f t="shared" ref="E343:E347" si="31">SUM(F343:I343)</f>
        <v>0</v>
      </c>
      <c r="F343" s="8">
        <v>0</v>
      </c>
      <c r="G343" s="8">
        <v>0</v>
      </c>
      <c r="H343" s="8">
        <v>0</v>
      </c>
      <c r="I343" s="8">
        <v>0</v>
      </c>
      <c r="J343" s="119"/>
      <c r="K343" s="119"/>
      <c r="M343" s="55"/>
      <c r="N343" s="55"/>
      <c r="O343" s="55"/>
      <c r="P343" s="55"/>
    </row>
    <row r="344" spans="1:16" s="33" customFormat="1" ht="20.100000000000001" customHeight="1" outlineLevel="1" x14ac:dyDescent="0.25">
      <c r="A344" s="145"/>
      <c r="B344" s="144"/>
      <c r="C344" s="119"/>
      <c r="D344" s="34">
        <v>2022</v>
      </c>
      <c r="E344" s="8">
        <f t="shared" si="31"/>
        <v>0</v>
      </c>
      <c r="F344" s="8">
        <v>0</v>
      </c>
      <c r="G344" s="8">
        <v>0</v>
      </c>
      <c r="H344" s="8">
        <v>0</v>
      </c>
      <c r="I344" s="8">
        <v>0</v>
      </c>
      <c r="J344" s="119"/>
      <c r="K344" s="119"/>
      <c r="M344" s="55"/>
      <c r="N344" s="55"/>
      <c r="O344" s="55"/>
      <c r="P344" s="55"/>
    </row>
    <row r="345" spans="1:16" s="33" customFormat="1" ht="20.100000000000001" customHeight="1" outlineLevel="1" x14ac:dyDescent="0.25">
      <c r="A345" s="145"/>
      <c r="B345" s="144"/>
      <c r="C345" s="119"/>
      <c r="D345" s="34">
        <v>2023</v>
      </c>
      <c r="E345" s="8">
        <f t="shared" si="31"/>
        <v>0</v>
      </c>
      <c r="F345" s="12">
        <v>0</v>
      </c>
      <c r="G345" s="8">
        <v>0</v>
      </c>
      <c r="H345" s="8">
        <v>0</v>
      </c>
      <c r="I345" s="8">
        <v>0</v>
      </c>
      <c r="J345" s="119"/>
      <c r="K345" s="119"/>
      <c r="M345" s="55"/>
      <c r="N345" s="55"/>
      <c r="O345" s="55"/>
      <c r="P345" s="55"/>
    </row>
    <row r="346" spans="1:16" s="33" customFormat="1" ht="20.100000000000001" customHeight="1" outlineLevel="1" x14ac:dyDescent="0.25">
      <c r="A346" s="145"/>
      <c r="B346" s="144"/>
      <c r="C346" s="119"/>
      <c r="D346" s="34">
        <v>2024</v>
      </c>
      <c r="E346" s="8">
        <f t="shared" si="31"/>
        <v>80000</v>
      </c>
      <c r="F346" s="32">
        <v>80000</v>
      </c>
      <c r="G346" s="8">
        <v>0</v>
      </c>
      <c r="H346" s="8">
        <v>0</v>
      </c>
      <c r="I346" s="8">
        <v>0</v>
      </c>
      <c r="J346" s="119"/>
      <c r="K346" s="119"/>
      <c r="M346" s="55"/>
      <c r="N346" s="55"/>
      <c r="O346" s="55"/>
      <c r="P346" s="55"/>
    </row>
    <row r="347" spans="1:16" s="33" customFormat="1" ht="20.100000000000001" customHeight="1" outlineLevel="1" x14ac:dyDescent="0.25">
      <c r="A347" s="145"/>
      <c r="B347" s="144"/>
      <c r="C347" s="119"/>
      <c r="D347" s="34">
        <v>2025</v>
      </c>
      <c r="E347" s="8">
        <f t="shared" si="31"/>
        <v>0</v>
      </c>
      <c r="F347" s="8">
        <v>0</v>
      </c>
      <c r="G347" s="8">
        <v>0</v>
      </c>
      <c r="H347" s="8">
        <v>0</v>
      </c>
      <c r="I347" s="8">
        <v>0</v>
      </c>
      <c r="J347" s="119"/>
      <c r="K347" s="119"/>
      <c r="M347" s="55"/>
      <c r="N347" s="55"/>
      <c r="O347" s="55"/>
      <c r="P347" s="55"/>
    </row>
    <row r="348" spans="1:16" ht="36.75" customHeight="1" outlineLevel="1" x14ac:dyDescent="0.25">
      <c r="A348" s="108" t="s">
        <v>78</v>
      </c>
      <c r="B348" s="108" t="s">
        <v>538</v>
      </c>
      <c r="C348" s="111" t="s">
        <v>828</v>
      </c>
      <c r="D348" s="7" t="s">
        <v>8</v>
      </c>
      <c r="E348" s="8">
        <f t="shared" si="29"/>
        <v>374507.34684000001</v>
      </c>
      <c r="F348" s="8">
        <f>SUM(F349:F354)</f>
        <v>267600</v>
      </c>
      <c r="G348" s="8">
        <f>SUM(G349:G353)</f>
        <v>0</v>
      </c>
      <c r="H348" s="8">
        <f>SUM(H349:H354)</f>
        <v>106907.34684</v>
      </c>
      <c r="I348" s="8">
        <f>SUM(I349:I353)</f>
        <v>0</v>
      </c>
      <c r="J348" s="114" t="s">
        <v>539</v>
      </c>
      <c r="K348" s="108" t="s">
        <v>515</v>
      </c>
    </row>
    <row r="349" spans="1:16" ht="30.75" customHeight="1" outlineLevel="1" x14ac:dyDescent="0.25">
      <c r="A349" s="109"/>
      <c r="B349" s="109"/>
      <c r="C349" s="112"/>
      <c r="D349" s="7">
        <v>2021</v>
      </c>
      <c r="E349" s="8">
        <f t="shared" si="29"/>
        <v>54717.700210000003</v>
      </c>
      <c r="F349" s="8">
        <f t="shared" ref="F349:I353" si="32">F362+F356</f>
        <v>41400</v>
      </c>
      <c r="G349" s="8">
        <f t="shared" si="32"/>
        <v>0</v>
      </c>
      <c r="H349" s="8">
        <f t="shared" si="32"/>
        <v>13317.700210000001</v>
      </c>
      <c r="I349" s="8">
        <f t="shared" si="32"/>
        <v>0</v>
      </c>
      <c r="J349" s="115"/>
      <c r="K349" s="109"/>
    </row>
    <row r="350" spans="1:16" ht="40.5" customHeight="1" outlineLevel="1" x14ac:dyDescent="0.25">
      <c r="A350" s="109"/>
      <c r="B350" s="109"/>
      <c r="C350" s="112"/>
      <c r="D350" s="7">
        <v>2022</v>
      </c>
      <c r="E350" s="8">
        <f t="shared" si="29"/>
        <v>67577.179999999993</v>
      </c>
      <c r="F350" s="8">
        <f t="shared" si="32"/>
        <v>47800</v>
      </c>
      <c r="G350" s="8">
        <f t="shared" si="32"/>
        <v>0</v>
      </c>
      <c r="H350" s="8">
        <f t="shared" si="32"/>
        <v>19777.18</v>
      </c>
      <c r="I350" s="8">
        <f t="shared" si="32"/>
        <v>0</v>
      </c>
      <c r="J350" s="115"/>
      <c r="K350" s="109"/>
    </row>
    <row r="351" spans="1:16" ht="35.25" customHeight="1" outlineLevel="1" x14ac:dyDescent="0.25">
      <c r="A351" s="109"/>
      <c r="B351" s="109"/>
      <c r="C351" s="112"/>
      <c r="D351" s="7">
        <v>2023</v>
      </c>
      <c r="E351" s="8">
        <f t="shared" si="29"/>
        <v>67577.23</v>
      </c>
      <c r="F351" s="8">
        <f t="shared" si="32"/>
        <v>47800</v>
      </c>
      <c r="G351" s="8">
        <f t="shared" si="32"/>
        <v>0</v>
      </c>
      <c r="H351" s="8">
        <f t="shared" si="32"/>
        <v>19777.23</v>
      </c>
      <c r="I351" s="8">
        <f t="shared" si="32"/>
        <v>0</v>
      </c>
      <c r="J351" s="115"/>
      <c r="K351" s="109"/>
    </row>
    <row r="352" spans="1:16" ht="30" customHeight="1" outlineLevel="1" x14ac:dyDescent="0.25">
      <c r="A352" s="109"/>
      <c r="B352" s="109"/>
      <c r="C352" s="112"/>
      <c r="D352" s="7">
        <v>2024</v>
      </c>
      <c r="E352" s="8">
        <f t="shared" si="29"/>
        <v>68656.19</v>
      </c>
      <c r="F352" s="8">
        <f t="shared" si="32"/>
        <v>47800</v>
      </c>
      <c r="G352" s="8">
        <f t="shared" si="32"/>
        <v>0</v>
      </c>
      <c r="H352" s="8">
        <f t="shared" si="32"/>
        <v>20856.189999999999</v>
      </c>
      <c r="I352" s="8">
        <f t="shared" si="32"/>
        <v>0</v>
      </c>
      <c r="J352" s="115"/>
      <c r="K352" s="109"/>
    </row>
    <row r="353" spans="1:16" ht="33.75" customHeight="1" outlineLevel="1" x14ac:dyDescent="0.25">
      <c r="A353" s="109"/>
      <c r="B353" s="109"/>
      <c r="C353" s="112"/>
      <c r="D353" s="7">
        <v>2025</v>
      </c>
      <c r="E353" s="8">
        <f t="shared" si="29"/>
        <v>57989.523329999996</v>
      </c>
      <c r="F353" s="8">
        <f t="shared" si="32"/>
        <v>41400</v>
      </c>
      <c r="G353" s="8">
        <f t="shared" si="32"/>
        <v>0</v>
      </c>
      <c r="H353" s="8">
        <f t="shared" si="32"/>
        <v>16589.52333</v>
      </c>
      <c r="I353" s="8">
        <f t="shared" si="32"/>
        <v>0</v>
      </c>
      <c r="J353" s="115"/>
      <c r="K353" s="109"/>
    </row>
    <row r="354" spans="1:16" s="45" customFormat="1" ht="21" customHeight="1" outlineLevel="1" x14ac:dyDescent="0.25">
      <c r="A354" s="110"/>
      <c r="B354" s="110"/>
      <c r="C354" s="113"/>
      <c r="D354" s="48">
        <v>2026</v>
      </c>
      <c r="E354" s="49">
        <f>SUM(F354:I354)</f>
        <v>57989.523300000001</v>
      </c>
      <c r="F354" s="49">
        <f>SUM(F367)</f>
        <v>41400</v>
      </c>
      <c r="G354" s="49">
        <f t="shared" ref="G354:I354" si="33">SUM(G367)</f>
        <v>0</v>
      </c>
      <c r="H354" s="49">
        <f t="shared" si="33"/>
        <v>16589.523300000001</v>
      </c>
      <c r="I354" s="49">
        <f t="shared" si="33"/>
        <v>0</v>
      </c>
      <c r="J354" s="116"/>
      <c r="K354" s="110"/>
      <c r="M354" s="55"/>
      <c r="N354" s="55"/>
      <c r="O354" s="55"/>
      <c r="P354" s="55"/>
    </row>
    <row r="355" spans="1:16" ht="17.100000000000001" customHeight="1" outlineLevel="1" x14ac:dyDescent="0.25">
      <c r="A355" s="108" t="s">
        <v>81</v>
      </c>
      <c r="B355" s="108" t="s">
        <v>82</v>
      </c>
      <c r="C355" s="111" t="s">
        <v>14</v>
      </c>
      <c r="D355" s="7" t="s">
        <v>8</v>
      </c>
      <c r="E355" s="8">
        <f>SUM(E356:E360)</f>
        <v>40159.935509999996</v>
      </c>
      <c r="F355" s="8">
        <f>SUM(F356:F360)</f>
        <v>25600</v>
      </c>
      <c r="G355" s="8">
        <f>SUM(G356:G360)</f>
        <v>0</v>
      </c>
      <c r="H355" s="8">
        <f>SUM(H356:H360)</f>
        <v>14559.935509999999</v>
      </c>
      <c r="I355" s="8">
        <f>SUM(I356:I360)</f>
        <v>0</v>
      </c>
      <c r="J355" s="108" t="s">
        <v>83</v>
      </c>
      <c r="K355" s="108" t="s">
        <v>515</v>
      </c>
    </row>
    <row r="356" spans="1:16" ht="27" customHeight="1" outlineLevel="1" x14ac:dyDescent="0.25">
      <c r="A356" s="109"/>
      <c r="B356" s="109"/>
      <c r="C356" s="112"/>
      <c r="D356" s="7">
        <v>2021</v>
      </c>
      <c r="E356" s="8">
        <f t="shared" ref="E356:E360" si="34">SUM(F356:I356)</f>
        <v>9800.9188400000003</v>
      </c>
      <c r="F356" s="8">
        <v>6400</v>
      </c>
      <c r="G356" s="8">
        <v>0</v>
      </c>
      <c r="H356" s="8">
        <v>3400.9188399999998</v>
      </c>
      <c r="I356" s="8">
        <v>0</v>
      </c>
      <c r="J356" s="109"/>
      <c r="K356" s="109"/>
    </row>
    <row r="357" spans="1:16" ht="23.25" customHeight="1" outlineLevel="1" x14ac:dyDescent="0.25">
      <c r="A357" s="109"/>
      <c r="B357" s="109"/>
      <c r="C357" s="112"/>
      <c r="D357" s="7">
        <v>2022</v>
      </c>
      <c r="E357" s="8">
        <f t="shared" si="34"/>
        <v>9846.15</v>
      </c>
      <c r="F357" s="8">
        <v>6400</v>
      </c>
      <c r="G357" s="8">
        <v>0</v>
      </c>
      <c r="H357" s="8">
        <v>3446.15</v>
      </c>
      <c r="I357" s="8">
        <v>0</v>
      </c>
      <c r="J357" s="109"/>
      <c r="K357" s="109"/>
    </row>
    <row r="358" spans="1:16" ht="25.5" customHeight="1" outlineLevel="1" x14ac:dyDescent="0.25">
      <c r="A358" s="109"/>
      <c r="B358" s="109"/>
      <c r="C358" s="112"/>
      <c r="D358" s="7">
        <v>2023</v>
      </c>
      <c r="E358" s="8">
        <f t="shared" si="34"/>
        <v>9846.2000000000007</v>
      </c>
      <c r="F358" s="8">
        <v>6400</v>
      </c>
      <c r="G358" s="8">
        <v>0</v>
      </c>
      <c r="H358" s="8">
        <v>3446.2</v>
      </c>
      <c r="I358" s="8">
        <v>0</v>
      </c>
      <c r="J358" s="109"/>
      <c r="K358" s="109"/>
    </row>
    <row r="359" spans="1:16" ht="25.5" customHeight="1" outlineLevel="1" x14ac:dyDescent="0.25">
      <c r="A359" s="109"/>
      <c r="B359" s="109"/>
      <c r="C359" s="112"/>
      <c r="D359" s="7">
        <v>2024</v>
      </c>
      <c r="E359" s="8">
        <f t="shared" si="34"/>
        <v>10666.666669999999</v>
      </c>
      <c r="F359" s="32">
        <v>6400</v>
      </c>
      <c r="G359" s="8">
        <v>0</v>
      </c>
      <c r="H359" s="8">
        <v>4266.6666699999996</v>
      </c>
      <c r="I359" s="8">
        <v>0</v>
      </c>
      <c r="J359" s="109"/>
      <c r="K359" s="109"/>
    </row>
    <row r="360" spans="1:16" ht="21.75" customHeight="1" outlineLevel="1" x14ac:dyDescent="0.25">
      <c r="A360" s="109"/>
      <c r="B360" s="109"/>
      <c r="C360" s="112"/>
      <c r="D360" s="7">
        <v>2025</v>
      </c>
      <c r="E360" s="8">
        <f t="shared" si="34"/>
        <v>0</v>
      </c>
      <c r="F360" s="8">
        <v>0</v>
      </c>
      <c r="G360" s="8">
        <v>0</v>
      </c>
      <c r="H360" s="8">
        <v>0</v>
      </c>
      <c r="I360" s="8">
        <v>0</v>
      </c>
      <c r="J360" s="109"/>
      <c r="K360" s="109"/>
    </row>
    <row r="361" spans="1:16" ht="20.100000000000001" customHeight="1" outlineLevel="1" x14ac:dyDescent="0.25">
      <c r="A361" s="108" t="s">
        <v>540</v>
      </c>
      <c r="B361" s="108" t="s">
        <v>541</v>
      </c>
      <c r="C361" s="111" t="s">
        <v>828</v>
      </c>
      <c r="D361" s="7" t="s">
        <v>8</v>
      </c>
      <c r="E361" s="8">
        <f>SUM(E362:E366)</f>
        <v>276357.88802999997</v>
      </c>
      <c r="F361" s="8">
        <f>SUM(F362:F366)</f>
        <v>200600</v>
      </c>
      <c r="G361" s="8">
        <f>SUM(G362:G366)</f>
        <v>0</v>
      </c>
      <c r="H361" s="8">
        <f>SUM(H362:H366)</f>
        <v>75757.888030000002</v>
      </c>
      <c r="I361" s="8">
        <f>SUM(I362:I366)</f>
        <v>0</v>
      </c>
      <c r="J361" s="108" t="s">
        <v>542</v>
      </c>
      <c r="K361" s="108" t="s">
        <v>515</v>
      </c>
    </row>
    <row r="362" spans="1:16" ht="20.100000000000001" customHeight="1" outlineLevel="1" x14ac:dyDescent="0.25">
      <c r="A362" s="109"/>
      <c r="B362" s="109"/>
      <c r="C362" s="112"/>
      <c r="D362" s="7">
        <v>2021</v>
      </c>
      <c r="E362" s="8">
        <f t="shared" ref="E362:E398" si="35">SUM(F362:I362)</f>
        <v>44916.781369999997</v>
      </c>
      <c r="F362" s="8">
        <v>35000</v>
      </c>
      <c r="G362" s="8">
        <v>0</v>
      </c>
      <c r="H362" s="8">
        <v>9916.7813700000006</v>
      </c>
      <c r="I362" s="8">
        <v>0</v>
      </c>
      <c r="J362" s="109"/>
      <c r="K362" s="109"/>
    </row>
    <row r="363" spans="1:16" ht="20.100000000000001" customHeight="1" outlineLevel="1" x14ac:dyDescent="0.25">
      <c r="A363" s="109"/>
      <c r="B363" s="109"/>
      <c r="C363" s="112"/>
      <c r="D363" s="7">
        <v>2022</v>
      </c>
      <c r="E363" s="8">
        <f t="shared" si="35"/>
        <v>57731.03</v>
      </c>
      <c r="F363" s="8">
        <v>41400</v>
      </c>
      <c r="G363" s="8">
        <v>0</v>
      </c>
      <c r="H363" s="8">
        <v>16331.03</v>
      </c>
      <c r="I363" s="8">
        <v>0</v>
      </c>
      <c r="J363" s="109"/>
      <c r="K363" s="109"/>
    </row>
    <row r="364" spans="1:16" ht="20.100000000000001" customHeight="1" outlineLevel="1" x14ac:dyDescent="0.25">
      <c r="A364" s="109"/>
      <c r="B364" s="109"/>
      <c r="C364" s="112"/>
      <c r="D364" s="7">
        <v>2023</v>
      </c>
      <c r="E364" s="8">
        <f t="shared" si="35"/>
        <v>57731.03</v>
      </c>
      <c r="F364" s="8">
        <v>41400</v>
      </c>
      <c r="G364" s="8">
        <v>0</v>
      </c>
      <c r="H364" s="8">
        <v>16331.03</v>
      </c>
      <c r="I364" s="8">
        <v>0</v>
      </c>
      <c r="J364" s="109"/>
      <c r="K364" s="109"/>
    </row>
    <row r="365" spans="1:16" ht="20.100000000000001" customHeight="1" outlineLevel="1" x14ac:dyDescent="0.25">
      <c r="A365" s="109"/>
      <c r="B365" s="109"/>
      <c r="C365" s="112"/>
      <c r="D365" s="7">
        <v>2024</v>
      </c>
      <c r="E365" s="8">
        <f t="shared" si="35"/>
        <v>57989.523329999996</v>
      </c>
      <c r="F365" s="32">
        <v>41400</v>
      </c>
      <c r="G365" s="32">
        <v>0</v>
      </c>
      <c r="H365" s="32">
        <v>16589.52333</v>
      </c>
      <c r="I365" s="8">
        <v>0</v>
      </c>
      <c r="J365" s="109"/>
      <c r="K365" s="109"/>
    </row>
    <row r="366" spans="1:16" ht="20.100000000000001" customHeight="1" outlineLevel="1" x14ac:dyDescent="0.25">
      <c r="A366" s="109"/>
      <c r="B366" s="109"/>
      <c r="C366" s="112"/>
      <c r="D366" s="7">
        <v>2025</v>
      </c>
      <c r="E366" s="8">
        <f t="shared" si="35"/>
        <v>57989.523329999996</v>
      </c>
      <c r="F366" s="32">
        <v>41400</v>
      </c>
      <c r="G366" s="32">
        <v>0</v>
      </c>
      <c r="H366" s="32">
        <v>16589.52333</v>
      </c>
      <c r="I366" s="8">
        <v>0</v>
      </c>
      <c r="J366" s="109"/>
      <c r="K366" s="109"/>
    </row>
    <row r="367" spans="1:16" s="45" customFormat="1" ht="20.100000000000001" customHeight="1" outlineLevel="1" x14ac:dyDescent="0.25">
      <c r="A367" s="110"/>
      <c r="B367" s="110"/>
      <c r="C367" s="113"/>
      <c r="D367" s="40">
        <v>2026</v>
      </c>
      <c r="E367" s="41">
        <f>SUM(F367:I367)</f>
        <v>57989.523300000001</v>
      </c>
      <c r="F367" s="41">
        <v>41400</v>
      </c>
      <c r="G367" s="41"/>
      <c r="H367" s="41">
        <v>16589.523300000001</v>
      </c>
      <c r="I367" s="41"/>
      <c r="J367" s="110"/>
      <c r="K367" s="110"/>
      <c r="M367" s="55"/>
      <c r="N367" s="55"/>
      <c r="O367" s="55"/>
      <c r="P367" s="55"/>
    </row>
    <row r="368" spans="1:16" ht="15.75" customHeight="1" outlineLevel="1" x14ac:dyDescent="0.25">
      <c r="A368" s="117" t="s">
        <v>84</v>
      </c>
      <c r="B368" s="118" t="s">
        <v>40</v>
      </c>
      <c r="C368" s="119" t="s">
        <v>41</v>
      </c>
      <c r="D368" s="7" t="s">
        <v>8</v>
      </c>
      <c r="E368" s="8">
        <f t="shared" si="35"/>
        <v>66582.603889999999</v>
      </c>
      <c r="F368" s="8">
        <f>SUM(F369:F373)</f>
        <v>7039.8205200000002</v>
      </c>
      <c r="G368" s="8">
        <f>SUM(G369:G373)</f>
        <v>59542.783369999997</v>
      </c>
      <c r="H368" s="8">
        <f>SUM(H369:H373)</f>
        <v>0</v>
      </c>
      <c r="I368" s="8">
        <f>SUM(I369:I373)</f>
        <v>0</v>
      </c>
      <c r="J368" s="119" t="s">
        <v>85</v>
      </c>
      <c r="K368" s="119" t="s">
        <v>486</v>
      </c>
    </row>
    <row r="369" spans="1:11" outlineLevel="1" x14ac:dyDescent="0.25">
      <c r="A369" s="117"/>
      <c r="B369" s="118"/>
      <c r="C369" s="119"/>
      <c r="D369" s="7">
        <v>2021</v>
      </c>
      <c r="E369" s="8">
        <f t="shared" si="35"/>
        <v>27296.712679999997</v>
      </c>
      <c r="F369" s="8">
        <f t="shared" ref="F369:I373" si="36">F375+F381</f>
        <v>3105.6126800000002</v>
      </c>
      <c r="G369" s="8">
        <f t="shared" si="36"/>
        <v>24191.1</v>
      </c>
      <c r="H369" s="8">
        <f t="shared" si="36"/>
        <v>0</v>
      </c>
      <c r="I369" s="8">
        <f t="shared" si="36"/>
        <v>0</v>
      </c>
      <c r="J369" s="119"/>
      <c r="K369" s="119"/>
    </row>
    <row r="370" spans="1:11" outlineLevel="1" x14ac:dyDescent="0.25">
      <c r="A370" s="117"/>
      <c r="B370" s="118"/>
      <c r="C370" s="119"/>
      <c r="D370" s="7">
        <v>2022</v>
      </c>
      <c r="E370" s="8">
        <f t="shared" si="35"/>
        <v>18900.377</v>
      </c>
      <c r="F370" s="8">
        <f t="shared" si="36"/>
        <v>2711.0770000000002</v>
      </c>
      <c r="G370" s="8">
        <f t="shared" si="36"/>
        <v>16189.3</v>
      </c>
      <c r="H370" s="8">
        <f t="shared" si="36"/>
        <v>0</v>
      </c>
      <c r="I370" s="8">
        <f t="shared" si="36"/>
        <v>0</v>
      </c>
      <c r="J370" s="119"/>
      <c r="K370" s="119"/>
    </row>
    <row r="371" spans="1:11" outlineLevel="1" x14ac:dyDescent="0.25">
      <c r="A371" s="117"/>
      <c r="B371" s="118"/>
      <c r="C371" s="119"/>
      <c r="D371" s="7">
        <v>2023</v>
      </c>
      <c r="E371" s="8">
        <f t="shared" si="35"/>
        <v>11802.74826</v>
      </c>
      <c r="F371" s="8">
        <f t="shared" si="36"/>
        <v>708.16489000000001</v>
      </c>
      <c r="G371" s="8">
        <f t="shared" si="36"/>
        <v>11094.58337</v>
      </c>
      <c r="H371" s="8">
        <f t="shared" si="36"/>
        <v>0</v>
      </c>
      <c r="I371" s="8">
        <f t="shared" si="36"/>
        <v>0</v>
      </c>
      <c r="J371" s="119"/>
      <c r="K371" s="119"/>
    </row>
    <row r="372" spans="1:11" outlineLevel="1" x14ac:dyDescent="0.25">
      <c r="A372" s="117"/>
      <c r="B372" s="118"/>
      <c r="C372" s="119"/>
      <c r="D372" s="7">
        <v>2024</v>
      </c>
      <c r="E372" s="41">
        <f t="shared" si="35"/>
        <v>8582.7659500000009</v>
      </c>
      <c r="F372" s="41">
        <f>F378+F384</f>
        <v>514.96595000000002</v>
      </c>
      <c r="G372" s="41">
        <f t="shared" si="36"/>
        <v>8067.8</v>
      </c>
      <c r="H372" s="41">
        <f t="shared" si="36"/>
        <v>0</v>
      </c>
      <c r="I372" s="41">
        <f t="shared" si="36"/>
        <v>0</v>
      </c>
      <c r="J372" s="119"/>
      <c r="K372" s="119"/>
    </row>
    <row r="373" spans="1:11" outlineLevel="1" x14ac:dyDescent="0.25">
      <c r="A373" s="117"/>
      <c r="B373" s="118"/>
      <c r="C373" s="119"/>
      <c r="D373" s="7">
        <v>2025</v>
      </c>
      <c r="E373" s="8">
        <f t="shared" si="35"/>
        <v>0</v>
      </c>
      <c r="F373" s="8">
        <f t="shared" si="36"/>
        <v>0</v>
      </c>
      <c r="G373" s="8">
        <f t="shared" si="36"/>
        <v>0</v>
      </c>
      <c r="H373" s="8">
        <f t="shared" si="36"/>
        <v>0</v>
      </c>
      <c r="I373" s="8">
        <f t="shared" si="36"/>
        <v>0</v>
      </c>
      <c r="J373" s="119"/>
      <c r="K373" s="119"/>
    </row>
    <row r="374" spans="1:11" ht="19.5" customHeight="1" outlineLevel="1" x14ac:dyDescent="0.25">
      <c r="A374" s="117" t="s">
        <v>86</v>
      </c>
      <c r="B374" s="144" t="s">
        <v>87</v>
      </c>
      <c r="C374" s="119" t="s">
        <v>41</v>
      </c>
      <c r="D374" s="7" t="s">
        <v>8</v>
      </c>
      <c r="E374" s="8">
        <f t="shared" si="35"/>
        <v>45585.326959999999</v>
      </c>
      <c r="F374" s="8">
        <f>SUM(F375:F379)</f>
        <v>2735.0435899999998</v>
      </c>
      <c r="G374" s="8">
        <f>SUM(G375:G379)</f>
        <v>42850.283369999997</v>
      </c>
      <c r="H374" s="8">
        <f>SUM(H375:H379)</f>
        <v>0</v>
      </c>
      <c r="I374" s="8">
        <f>SUM(I375:I379)</f>
        <v>0</v>
      </c>
      <c r="J374" s="119" t="s">
        <v>1746</v>
      </c>
      <c r="K374" s="119" t="s">
        <v>515</v>
      </c>
    </row>
    <row r="375" spans="1:11" ht="15" customHeight="1" outlineLevel="1" x14ac:dyDescent="0.25">
      <c r="A375" s="117"/>
      <c r="B375" s="144"/>
      <c r="C375" s="119"/>
      <c r="D375" s="7">
        <v>2021</v>
      </c>
      <c r="E375" s="8">
        <f t="shared" si="35"/>
        <v>20914.599999999999</v>
      </c>
      <c r="F375" s="8">
        <v>1254.8</v>
      </c>
      <c r="G375" s="8">
        <v>19659.8</v>
      </c>
      <c r="H375" s="8">
        <v>0</v>
      </c>
      <c r="I375" s="8">
        <v>0</v>
      </c>
      <c r="J375" s="119"/>
      <c r="K375" s="119"/>
    </row>
    <row r="376" spans="1:11" ht="16.5" customHeight="1" outlineLevel="1" x14ac:dyDescent="0.25">
      <c r="A376" s="117"/>
      <c r="B376" s="144"/>
      <c r="C376" s="119"/>
      <c r="D376" s="7">
        <v>2022</v>
      </c>
      <c r="E376" s="8">
        <f t="shared" si="35"/>
        <v>12043.617</v>
      </c>
      <c r="F376" s="8">
        <v>722.61699999999996</v>
      </c>
      <c r="G376" s="8">
        <v>11321</v>
      </c>
      <c r="H376" s="8">
        <v>0</v>
      </c>
      <c r="I376" s="8">
        <v>0</v>
      </c>
      <c r="J376" s="119"/>
      <c r="K376" s="119"/>
    </row>
    <row r="377" spans="1:11" ht="14.25" customHeight="1" outlineLevel="1" x14ac:dyDescent="0.25">
      <c r="A377" s="117"/>
      <c r="B377" s="144"/>
      <c r="C377" s="119"/>
      <c r="D377" s="7">
        <v>2023</v>
      </c>
      <c r="E377" s="8">
        <f t="shared" si="35"/>
        <v>7674.45039</v>
      </c>
      <c r="F377" s="8">
        <v>460.46701999999999</v>
      </c>
      <c r="G377" s="8">
        <v>7213.9833699999999</v>
      </c>
      <c r="H377" s="8">
        <v>0</v>
      </c>
      <c r="I377" s="8">
        <v>0</v>
      </c>
      <c r="J377" s="119"/>
      <c r="K377" s="119"/>
    </row>
    <row r="378" spans="1:11" ht="12.75" customHeight="1" outlineLevel="1" x14ac:dyDescent="0.25">
      <c r="A378" s="117"/>
      <c r="B378" s="144"/>
      <c r="C378" s="119"/>
      <c r="D378" s="7">
        <v>2024</v>
      </c>
      <c r="E378" s="8">
        <f t="shared" si="35"/>
        <v>4952.6595699999998</v>
      </c>
      <c r="F378" s="32">
        <v>297.15956999999997</v>
      </c>
      <c r="G378" s="32">
        <v>4655.5</v>
      </c>
      <c r="H378" s="8">
        <v>0</v>
      </c>
      <c r="I378" s="8">
        <v>0</v>
      </c>
      <c r="J378" s="119"/>
      <c r="K378" s="119"/>
    </row>
    <row r="379" spans="1:11" ht="14.25" customHeight="1" outlineLevel="1" x14ac:dyDescent="0.25">
      <c r="A379" s="117"/>
      <c r="B379" s="144"/>
      <c r="C379" s="119"/>
      <c r="D379" s="7">
        <v>2025</v>
      </c>
      <c r="E379" s="8">
        <f t="shared" si="35"/>
        <v>0</v>
      </c>
      <c r="F379" s="32">
        <v>0</v>
      </c>
      <c r="G379" s="32">
        <v>0</v>
      </c>
      <c r="H379" s="8">
        <v>0</v>
      </c>
      <c r="I379" s="8">
        <v>0</v>
      </c>
      <c r="J379" s="119"/>
      <c r="K379" s="119"/>
    </row>
    <row r="380" spans="1:11" ht="15.95" customHeight="1" x14ac:dyDescent="0.25">
      <c r="A380" s="117" t="s">
        <v>855</v>
      </c>
      <c r="B380" s="144" t="s">
        <v>90</v>
      </c>
      <c r="C380" s="119" t="s">
        <v>41</v>
      </c>
      <c r="D380" s="7" t="s">
        <v>8</v>
      </c>
      <c r="E380" s="8">
        <f t="shared" si="35"/>
        <v>20997.27693</v>
      </c>
      <c r="F380" s="8">
        <f>SUM(F381:F385)</f>
        <v>4304.77693</v>
      </c>
      <c r="G380" s="8">
        <f>SUM(G381:G385)</f>
        <v>16692.5</v>
      </c>
      <c r="H380" s="8">
        <f>SUM(H381:H385)</f>
        <v>0</v>
      </c>
      <c r="I380" s="8">
        <f>SUM(I381:I385)</f>
        <v>0</v>
      </c>
      <c r="J380" s="119" t="s">
        <v>544</v>
      </c>
      <c r="K380" s="119" t="s">
        <v>486</v>
      </c>
    </row>
    <row r="381" spans="1:11" ht="15.95" customHeight="1" x14ac:dyDescent="0.25">
      <c r="A381" s="117"/>
      <c r="B381" s="144"/>
      <c r="C381" s="119"/>
      <c r="D381" s="7">
        <v>2021</v>
      </c>
      <c r="E381" s="8">
        <f t="shared" si="35"/>
        <v>6382.1126800000002</v>
      </c>
      <c r="F381" s="8">
        <v>1850.81268</v>
      </c>
      <c r="G381" s="8">
        <v>4531.3</v>
      </c>
      <c r="H381" s="8">
        <v>0</v>
      </c>
      <c r="I381" s="8">
        <v>0</v>
      </c>
      <c r="J381" s="119"/>
      <c r="K381" s="119"/>
    </row>
    <row r="382" spans="1:11" ht="15.95" customHeight="1" x14ac:dyDescent="0.25">
      <c r="A382" s="117"/>
      <c r="B382" s="144"/>
      <c r="C382" s="119"/>
      <c r="D382" s="7">
        <v>2022</v>
      </c>
      <c r="E382" s="8">
        <f t="shared" si="35"/>
        <v>6856.76</v>
      </c>
      <c r="F382" s="8">
        <v>1988.46</v>
      </c>
      <c r="G382" s="8">
        <v>4868.3</v>
      </c>
      <c r="H382" s="8">
        <v>0</v>
      </c>
      <c r="I382" s="8">
        <v>0</v>
      </c>
      <c r="J382" s="119"/>
      <c r="K382" s="119"/>
    </row>
    <row r="383" spans="1:11" ht="15.95" customHeight="1" x14ac:dyDescent="0.25">
      <c r="A383" s="117"/>
      <c r="B383" s="144"/>
      <c r="C383" s="119"/>
      <c r="D383" s="7">
        <v>2023</v>
      </c>
      <c r="E383" s="8">
        <f t="shared" si="35"/>
        <v>4128.2978700000003</v>
      </c>
      <c r="F383" s="8">
        <f>1812.41254-1564.71467</f>
        <v>247.69786999999997</v>
      </c>
      <c r="G383" s="8">
        <v>3880.6</v>
      </c>
      <c r="H383" s="8">
        <v>0</v>
      </c>
      <c r="I383" s="8">
        <v>0</v>
      </c>
      <c r="J383" s="119"/>
      <c r="K383" s="119"/>
    </row>
    <row r="384" spans="1:11" ht="15.95" customHeight="1" x14ac:dyDescent="0.25">
      <c r="A384" s="117"/>
      <c r="B384" s="144"/>
      <c r="C384" s="119"/>
      <c r="D384" s="7">
        <v>2024</v>
      </c>
      <c r="E384" s="8">
        <f t="shared" si="35"/>
        <v>3630.1063800000002</v>
      </c>
      <c r="F384" s="32">
        <v>217.80637999999999</v>
      </c>
      <c r="G384" s="32">
        <v>3412.3</v>
      </c>
      <c r="H384" s="8">
        <v>0</v>
      </c>
      <c r="I384" s="8">
        <v>0</v>
      </c>
      <c r="J384" s="119"/>
      <c r="K384" s="119"/>
    </row>
    <row r="385" spans="1:16" ht="15.95" customHeight="1" x14ac:dyDescent="0.25">
      <c r="A385" s="117"/>
      <c r="B385" s="144"/>
      <c r="C385" s="119"/>
      <c r="D385" s="7">
        <v>2025</v>
      </c>
      <c r="E385" s="8">
        <f t="shared" si="35"/>
        <v>0</v>
      </c>
      <c r="F385" s="32">
        <v>0</v>
      </c>
      <c r="G385" s="32">
        <v>0</v>
      </c>
      <c r="H385" s="8">
        <v>0</v>
      </c>
      <c r="I385" s="8">
        <v>0</v>
      </c>
      <c r="J385" s="119"/>
      <c r="K385" s="119"/>
    </row>
    <row r="386" spans="1:16" ht="15" customHeight="1" outlineLevel="1" x14ac:dyDescent="0.25">
      <c r="A386" s="108" t="s">
        <v>93</v>
      </c>
      <c r="B386" s="108" t="s">
        <v>94</v>
      </c>
      <c r="C386" s="111" t="s">
        <v>828</v>
      </c>
      <c r="D386" s="7" t="s">
        <v>8</v>
      </c>
      <c r="E386" s="8">
        <f>SUM(F386:I386)</f>
        <v>5285916.7043147506</v>
      </c>
      <c r="F386" s="8">
        <f>SUM(F387:F392)</f>
        <v>3691931.4916900001</v>
      </c>
      <c r="G386" s="8">
        <f>SUM(G387:G392)</f>
        <v>1481797.0320000001</v>
      </c>
      <c r="H386" s="8">
        <f>SUM(H387:H391)</f>
        <v>112188.18062475088</v>
      </c>
      <c r="I386" s="8">
        <v>0</v>
      </c>
      <c r="J386" s="114"/>
      <c r="K386" s="108" t="s">
        <v>1735</v>
      </c>
    </row>
    <row r="387" spans="1:16" outlineLevel="1" x14ac:dyDescent="0.25">
      <c r="A387" s="109"/>
      <c r="B387" s="109"/>
      <c r="C387" s="112"/>
      <c r="D387" s="7">
        <v>2021</v>
      </c>
      <c r="E387" s="8">
        <f t="shared" si="35"/>
        <v>542284.02945165033</v>
      </c>
      <c r="F387" s="8">
        <f t="shared" ref="F387:H391" si="37">F394+F526+F803+F747+F761+F785</f>
        <v>254674.71701999998</v>
      </c>
      <c r="G387" s="8">
        <f t="shared" si="37"/>
        <v>257488.69899999999</v>
      </c>
      <c r="H387" s="8">
        <f t="shared" si="37"/>
        <v>30120.613431650385</v>
      </c>
      <c r="I387" s="8">
        <f>I394+I526+I803+I747+I761</f>
        <v>0</v>
      </c>
      <c r="J387" s="115"/>
      <c r="K387" s="109"/>
    </row>
    <row r="388" spans="1:16" outlineLevel="1" x14ac:dyDescent="0.25">
      <c r="A388" s="109"/>
      <c r="B388" s="109"/>
      <c r="C388" s="112"/>
      <c r="D388" s="7">
        <v>2022</v>
      </c>
      <c r="E388" s="8">
        <f t="shared" si="35"/>
        <v>1321007.9192131003</v>
      </c>
      <c r="F388" s="8">
        <f t="shared" si="37"/>
        <v>1034922.16776</v>
      </c>
      <c r="G388" s="8">
        <f t="shared" si="37"/>
        <v>225488.99299999999</v>
      </c>
      <c r="H388" s="8">
        <f t="shared" si="37"/>
        <v>60596.75845310052</v>
      </c>
      <c r="I388" s="8">
        <f>I395+I527+I804+I748+I762</f>
        <v>0</v>
      </c>
      <c r="J388" s="115"/>
      <c r="K388" s="109"/>
    </row>
    <row r="389" spans="1:16" outlineLevel="1" x14ac:dyDescent="0.25">
      <c r="A389" s="109"/>
      <c r="B389" s="109"/>
      <c r="C389" s="112"/>
      <c r="D389" s="7">
        <v>2023</v>
      </c>
      <c r="E389" s="8">
        <f t="shared" si="35"/>
        <v>689220.44319999998</v>
      </c>
      <c r="F389" s="8">
        <f t="shared" si="37"/>
        <v>255347.42546</v>
      </c>
      <c r="G389" s="8">
        <f t="shared" si="37"/>
        <v>424710.74</v>
      </c>
      <c r="H389" s="8">
        <f t="shared" si="37"/>
        <v>9162.2777399999759</v>
      </c>
      <c r="I389" s="8">
        <f>I396+I528+I805+I749+I763</f>
        <v>0</v>
      </c>
      <c r="J389" s="115"/>
      <c r="K389" s="109"/>
    </row>
    <row r="390" spans="1:16" outlineLevel="1" x14ac:dyDescent="0.25">
      <c r="A390" s="109"/>
      <c r="B390" s="109"/>
      <c r="C390" s="112"/>
      <c r="D390" s="7">
        <v>2024</v>
      </c>
      <c r="E390" s="8">
        <f t="shared" si="35"/>
        <v>1593502.46374</v>
      </c>
      <c r="F390" s="8">
        <f t="shared" si="37"/>
        <v>1121877.9177399999</v>
      </c>
      <c r="G390" s="8">
        <f t="shared" si="37"/>
        <v>460108.6</v>
      </c>
      <c r="H390" s="8">
        <f t="shared" si="37"/>
        <v>11515.946</v>
      </c>
      <c r="I390" s="8">
        <f>I397+I529+I806+I750+I764</f>
        <v>0</v>
      </c>
      <c r="J390" s="115"/>
      <c r="K390" s="109"/>
    </row>
    <row r="391" spans="1:16" outlineLevel="1" x14ac:dyDescent="0.25">
      <c r="A391" s="109"/>
      <c r="B391" s="109"/>
      <c r="C391" s="112"/>
      <c r="D391" s="7">
        <v>2025</v>
      </c>
      <c r="E391" s="8">
        <f t="shared" si="35"/>
        <v>708502.58260999992</v>
      </c>
      <c r="F391" s="8">
        <f t="shared" si="37"/>
        <v>617709.99760999996</v>
      </c>
      <c r="G391" s="8">
        <f t="shared" si="37"/>
        <v>90000</v>
      </c>
      <c r="H391" s="8">
        <f t="shared" si="37"/>
        <v>792.58500000000004</v>
      </c>
      <c r="I391" s="8">
        <f>I398+I530+I807+I751+I765</f>
        <v>0</v>
      </c>
      <c r="J391" s="115"/>
      <c r="K391" s="109"/>
    </row>
    <row r="392" spans="1:16" s="45" customFormat="1" outlineLevel="1" x14ac:dyDescent="0.25">
      <c r="A392" s="110"/>
      <c r="B392" s="110"/>
      <c r="C392" s="113"/>
      <c r="D392" s="48">
        <v>2026</v>
      </c>
      <c r="E392" s="49">
        <f>SUM(F392:I392)</f>
        <v>431399.26610000007</v>
      </c>
      <c r="F392" s="49">
        <f>SUM(F531,F752,F808)</f>
        <v>407399.26610000007</v>
      </c>
      <c r="G392" s="49">
        <f t="shared" ref="G392:I392" si="38">SUM(G531,G752,G808)</f>
        <v>24000</v>
      </c>
      <c r="H392" s="49">
        <f t="shared" si="38"/>
        <v>0</v>
      </c>
      <c r="I392" s="49">
        <f t="shared" si="38"/>
        <v>0</v>
      </c>
      <c r="J392" s="116"/>
      <c r="K392" s="110"/>
      <c r="M392" s="55"/>
      <c r="N392" s="55"/>
      <c r="O392" s="55"/>
      <c r="P392" s="55"/>
    </row>
    <row r="393" spans="1:16" ht="14.25" customHeight="1" outlineLevel="1" x14ac:dyDescent="0.25">
      <c r="A393" s="117" t="s">
        <v>96</v>
      </c>
      <c r="B393" s="118" t="s">
        <v>97</v>
      </c>
      <c r="C393" s="119" t="s">
        <v>14</v>
      </c>
      <c r="D393" s="7" t="s">
        <v>8</v>
      </c>
      <c r="E393" s="8">
        <f t="shared" si="35"/>
        <v>335724.8688129246</v>
      </c>
      <c r="F393" s="8">
        <f>SUM(F394:F398)</f>
        <v>290978.25190999999</v>
      </c>
      <c r="G393" s="8">
        <f>SUM(G394:G398)</f>
        <v>0</v>
      </c>
      <c r="H393" s="8">
        <f>SUM(H394:H398)</f>
        <v>44746.61690292463</v>
      </c>
      <c r="I393" s="8">
        <v>0</v>
      </c>
      <c r="J393" s="119" t="s">
        <v>98</v>
      </c>
      <c r="K393" s="119" t="s">
        <v>546</v>
      </c>
    </row>
    <row r="394" spans="1:16" ht="14.25" customHeight="1" outlineLevel="1" x14ac:dyDescent="0.25">
      <c r="A394" s="117"/>
      <c r="B394" s="118"/>
      <c r="C394" s="119"/>
      <c r="D394" s="7">
        <v>2021</v>
      </c>
      <c r="E394" s="8">
        <f t="shared" si="35"/>
        <v>69576.494685752899</v>
      </c>
      <c r="F394" s="8">
        <f>F400+F406+F412+F418+F424+F430+F436+F442+F448+F454+F460+F466+F472+F478+F484+F490+F496</f>
        <v>55989.257299999997</v>
      </c>
      <c r="G394" s="8">
        <f t="shared" ref="F394:H398" si="39">G400+G406+G412+G418+G424+G430+G436+G442+G448+G454+G460+G466+G472+G478+G484+G490+G496</f>
        <v>0</v>
      </c>
      <c r="H394" s="8">
        <f t="shared" si="39"/>
        <v>13587.237385752907</v>
      </c>
      <c r="I394" s="8">
        <v>0</v>
      </c>
      <c r="J394" s="119"/>
      <c r="K394" s="119"/>
    </row>
    <row r="395" spans="1:16" ht="14.25" customHeight="1" outlineLevel="1" x14ac:dyDescent="0.25">
      <c r="A395" s="117"/>
      <c r="B395" s="118"/>
      <c r="C395" s="119"/>
      <c r="D395" s="7">
        <v>2022</v>
      </c>
      <c r="E395" s="8">
        <f t="shared" si="35"/>
        <v>199844.44701717171</v>
      </c>
      <c r="F395" s="8">
        <f>F401+F407+F413+F419+F425+F431+F437+F443+F449+F455+F461+F467+F473+F479+F485+F491+F497+F503</f>
        <v>171685.0675</v>
      </c>
      <c r="G395" s="8">
        <f t="shared" si="39"/>
        <v>0</v>
      </c>
      <c r="H395" s="8">
        <f>H401+H407+H413+H419+H425+H431+H437+H443+H449+H455+H461+H467+H473+H479+H485+H491+H497+H503</f>
        <v>28159.379517171721</v>
      </c>
      <c r="I395" s="8">
        <v>0</v>
      </c>
      <c r="J395" s="119"/>
      <c r="K395" s="119"/>
      <c r="L395" s="1" t="s">
        <v>858</v>
      </c>
    </row>
    <row r="396" spans="1:16" ht="14.25" customHeight="1" outlineLevel="1" x14ac:dyDescent="0.25">
      <c r="A396" s="117"/>
      <c r="B396" s="118"/>
      <c r="C396" s="119"/>
      <c r="D396" s="7">
        <v>2023</v>
      </c>
      <c r="E396" s="8">
        <f t="shared" si="35"/>
        <v>12000</v>
      </c>
      <c r="F396" s="8">
        <f t="shared" si="39"/>
        <v>9000</v>
      </c>
      <c r="G396" s="8">
        <f>G402+G408+G414+G420+G426+G432+G438+G444+G450+G456+G462+G468+G474+G480+G486+G492+G498+G510</f>
        <v>0</v>
      </c>
      <c r="H396" s="8">
        <f t="shared" si="39"/>
        <v>3000</v>
      </c>
      <c r="I396" s="8">
        <v>0</v>
      </c>
      <c r="J396" s="119"/>
      <c r="K396" s="119"/>
    </row>
    <row r="397" spans="1:16" ht="14.25" customHeight="1" outlineLevel="1" x14ac:dyDescent="0.25">
      <c r="A397" s="117"/>
      <c r="B397" s="118"/>
      <c r="C397" s="119"/>
      <c r="D397" s="63">
        <v>2024</v>
      </c>
      <c r="E397" s="64">
        <f t="shared" si="35"/>
        <v>54303.927109999997</v>
      </c>
      <c r="F397" s="64">
        <f>F403+F409+F415+F421+F427+F433+F439+F445+F451+F457+F463+F469+F475+F481+F487+F493+F499+F517+F523</f>
        <v>54303.927109999997</v>
      </c>
      <c r="G397" s="64">
        <f t="shared" si="39"/>
        <v>0</v>
      </c>
      <c r="H397" s="64">
        <f t="shared" si="39"/>
        <v>0</v>
      </c>
      <c r="I397" s="64">
        <v>0</v>
      </c>
      <c r="J397" s="119"/>
      <c r="K397" s="119"/>
    </row>
    <row r="398" spans="1:16" ht="14.25" customHeight="1" outlineLevel="1" x14ac:dyDescent="0.25">
      <c r="A398" s="117"/>
      <c r="B398" s="118"/>
      <c r="C398" s="119"/>
      <c r="D398" s="7">
        <v>2025</v>
      </c>
      <c r="E398" s="8">
        <f t="shared" si="35"/>
        <v>0</v>
      </c>
      <c r="F398" s="8">
        <f t="shared" si="39"/>
        <v>0</v>
      </c>
      <c r="G398" s="8">
        <f t="shared" si="39"/>
        <v>0</v>
      </c>
      <c r="H398" s="8">
        <f t="shared" si="39"/>
        <v>0</v>
      </c>
      <c r="I398" s="8">
        <v>0</v>
      </c>
      <c r="J398" s="119"/>
      <c r="K398" s="119"/>
    </row>
    <row r="399" spans="1:16" ht="12" customHeight="1" outlineLevel="1" x14ac:dyDescent="0.25">
      <c r="A399" s="117" t="s">
        <v>100</v>
      </c>
      <c r="B399" s="118" t="s">
        <v>101</v>
      </c>
      <c r="C399" s="119" t="s">
        <v>19</v>
      </c>
      <c r="D399" s="7" t="s">
        <v>8</v>
      </c>
      <c r="E399" s="8">
        <f>SUM(E400:E404)</f>
        <v>6584.2777657004835</v>
      </c>
      <c r="F399" s="8">
        <f>SUM(F400:F404)</f>
        <v>5451.7819900000004</v>
      </c>
      <c r="G399" s="8">
        <f>SUM(G400:G404)</f>
        <v>0</v>
      </c>
      <c r="H399" s="8">
        <f>SUM(H400:H404)</f>
        <v>1132.4957757004834</v>
      </c>
      <c r="I399" s="8">
        <f>SUM(I400:I404)</f>
        <v>0</v>
      </c>
      <c r="J399" s="119" t="s">
        <v>102</v>
      </c>
      <c r="K399" s="119" t="s">
        <v>547</v>
      </c>
    </row>
    <row r="400" spans="1:16" ht="12" customHeight="1" outlineLevel="1" x14ac:dyDescent="0.25">
      <c r="A400" s="117"/>
      <c r="B400" s="118"/>
      <c r="C400" s="119"/>
      <c r="D400" s="7">
        <v>2021</v>
      </c>
      <c r="E400" s="8">
        <f t="shared" ref="E400:E404" si="40">SUM(F400:I400)</f>
        <v>6584.2777657004835</v>
      </c>
      <c r="F400" s="8">
        <v>5451.7819900000004</v>
      </c>
      <c r="G400" s="8">
        <v>0</v>
      </c>
      <c r="H400" s="8">
        <f>F400/82.8*17.2</f>
        <v>1132.4957757004834</v>
      </c>
      <c r="I400" s="8">
        <v>0</v>
      </c>
      <c r="J400" s="119"/>
      <c r="K400" s="119"/>
    </row>
    <row r="401" spans="1:12" ht="12" customHeight="1" outlineLevel="1" x14ac:dyDescent="0.25">
      <c r="A401" s="117"/>
      <c r="B401" s="118"/>
      <c r="C401" s="119"/>
      <c r="D401" s="7">
        <v>2022</v>
      </c>
      <c r="E401" s="8">
        <f t="shared" si="40"/>
        <v>0</v>
      </c>
      <c r="F401" s="8">
        <v>0</v>
      </c>
      <c r="G401" s="8">
        <v>0</v>
      </c>
      <c r="H401" s="8">
        <v>0</v>
      </c>
      <c r="I401" s="8">
        <v>0</v>
      </c>
      <c r="J401" s="119"/>
      <c r="K401" s="119"/>
      <c r="L401" s="1" t="s">
        <v>858</v>
      </c>
    </row>
    <row r="402" spans="1:12" ht="12" customHeight="1" outlineLevel="1" x14ac:dyDescent="0.25">
      <c r="A402" s="117"/>
      <c r="B402" s="118"/>
      <c r="C402" s="119"/>
      <c r="D402" s="7">
        <v>2023</v>
      </c>
      <c r="E402" s="8">
        <f t="shared" si="40"/>
        <v>0</v>
      </c>
      <c r="F402" s="8">
        <v>0</v>
      </c>
      <c r="G402" s="8">
        <v>0</v>
      </c>
      <c r="H402" s="8">
        <v>0</v>
      </c>
      <c r="I402" s="8">
        <v>0</v>
      </c>
      <c r="J402" s="119"/>
      <c r="K402" s="119"/>
    </row>
    <row r="403" spans="1:12" ht="12" customHeight="1" outlineLevel="1" x14ac:dyDescent="0.25">
      <c r="A403" s="117"/>
      <c r="B403" s="118"/>
      <c r="C403" s="119"/>
      <c r="D403" s="7">
        <v>2024</v>
      </c>
      <c r="E403" s="12">
        <f t="shared" si="40"/>
        <v>0</v>
      </c>
      <c r="F403" s="12">
        <v>0</v>
      </c>
      <c r="G403" s="12">
        <v>0</v>
      </c>
      <c r="H403" s="12">
        <v>0</v>
      </c>
      <c r="I403" s="8">
        <v>0</v>
      </c>
      <c r="J403" s="119"/>
      <c r="K403" s="119"/>
    </row>
    <row r="404" spans="1:12" ht="12" customHeight="1" outlineLevel="1" x14ac:dyDescent="0.25">
      <c r="A404" s="117"/>
      <c r="B404" s="118"/>
      <c r="C404" s="119"/>
      <c r="D404" s="7">
        <v>2025</v>
      </c>
      <c r="E404" s="8">
        <f t="shared" si="40"/>
        <v>0</v>
      </c>
      <c r="F404" s="8">
        <v>0</v>
      </c>
      <c r="G404" s="8">
        <v>0</v>
      </c>
      <c r="H404" s="8">
        <v>0</v>
      </c>
      <c r="I404" s="8">
        <v>0</v>
      </c>
      <c r="J404" s="119"/>
      <c r="K404" s="119"/>
    </row>
    <row r="405" spans="1:12" ht="15" customHeight="1" outlineLevel="1" x14ac:dyDescent="0.25">
      <c r="A405" s="117" t="s">
        <v>548</v>
      </c>
      <c r="B405" s="118" t="s">
        <v>442</v>
      </c>
      <c r="C405" s="119">
        <v>2021</v>
      </c>
      <c r="D405" s="7" t="s">
        <v>8</v>
      </c>
      <c r="E405" s="8">
        <f>SUM(E406:E410)</f>
        <v>42104.816920052421</v>
      </c>
      <c r="F405" s="12">
        <f>SUM(F406:F410)</f>
        <v>32125.975309999998</v>
      </c>
      <c r="G405" s="8">
        <f>SUM(G406:G410)</f>
        <v>0</v>
      </c>
      <c r="H405" s="8">
        <f>SUM(H406:H410)</f>
        <v>9978.8416100524246</v>
      </c>
      <c r="I405" s="8">
        <f>SUM(I406:I410)</f>
        <v>0</v>
      </c>
      <c r="J405" s="119" t="s">
        <v>549</v>
      </c>
      <c r="K405" s="119" t="s">
        <v>547</v>
      </c>
    </row>
    <row r="406" spans="1:12" ht="15" customHeight="1" outlineLevel="1" x14ac:dyDescent="0.25">
      <c r="A406" s="117"/>
      <c r="B406" s="118"/>
      <c r="C406" s="119"/>
      <c r="D406" s="7">
        <v>2021</v>
      </c>
      <c r="E406" s="8">
        <f t="shared" ref="E406:E469" si="41">SUM(F406:I406)</f>
        <v>42104.816920052421</v>
      </c>
      <c r="F406" s="8">
        <f>32125975.31/1000</f>
        <v>32125.975309999998</v>
      </c>
      <c r="G406" s="8">
        <v>0</v>
      </c>
      <c r="H406" s="8">
        <f>F406/76.3*23.7</f>
        <v>9978.8416100524246</v>
      </c>
      <c r="I406" s="8">
        <v>0</v>
      </c>
      <c r="J406" s="119"/>
      <c r="K406" s="119"/>
    </row>
    <row r="407" spans="1:12" outlineLevel="1" x14ac:dyDescent="0.25">
      <c r="A407" s="117"/>
      <c r="B407" s="118"/>
      <c r="C407" s="119"/>
      <c r="D407" s="7">
        <v>2022</v>
      </c>
      <c r="E407" s="8">
        <f t="shared" si="41"/>
        <v>0</v>
      </c>
      <c r="F407" s="8">
        <v>0</v>
      </c>
      <c r="G407" s="8">
        <v>0</v>
      </c>
      <c r="H407" s="8">
        <v>0</v>
      </c>
      <c r="I407" s="8">
        <v>0</v>
      </c>
      <c r="J407" s="119"/>
      <c r="K407" s="119"/>
    </row>
    <row r="408" spans="1:12" outlineLevel="1" x14ac:dyDescent="0.25">
      <c r="A408" s="117"/>
      <c r="B408" s="118"/>
      <c r="C408" s="119"/>
      <c r="D408" s="7">
        <v>2023</v>
      </c>
      <c r="E408" s="8">
        <f t="shared" si="41"/>
        <v>0</v>
      </c>
      <c r="F408" s="8">
        <v>0</v>
      </c>
      <c r="G408" s="8">
        <v>0</v>
      </c>
      <c r="H408" s="8">
        <v>0</v>
      </c>
      <c r="I408" s="8">
        <v>0</v>
      </c>
      <c r="J408" s="119"/>
      <c r="K408" s="119"/>
    </row>
    <row r="409" spans="1:12" outlineLevel="1" x14ac:dyDescent="0.25">
      <c r="A409" s="117"/>
      <c r="B409" s="118"/>
      <c r="C409" s="119"/>
      <c r="D409" s="7">
        <v>2024</v>
      </c>
      <c r="E409" s="8">
        <f t="shared" si="41"/>
        <v>0</v>
      </c>
      <c r="F409" s="8">
        <v>0</v>
      </c>
      <c r="G409" s="8">
        <v>0</v>
      </c>
      <c r="H409" s="8">
        <v>0</v>
      </c>
      <c r="I409" s="8">
        <v>0</v>
      </c>
      <c r="J409" s="119"/>
      <c r="K409" s="119"/>
    </row>
    <row r="410" spans="1:12" ht="14.25" customHeight="1" outlineLevel="1" x14ac:dyDescent="0.25">
      <c r="A410" s="117"/>
      <c r="B410" s="118"/>
      <c r="C410" s="119"/>
      <c r="D410" s="7">
        <v>2025</v>
      </c>
      <c r="E410" s="8">
        <f t="shared" si="41"/>
        <v>0</v>
      </c>
      <c r="F410" s="8">
        <v>0</v>
      </c>
      <c r="G410" s="8">
        <v>0</v>
      </c>
      <c r="H410" s="8">
        <v>0</v>
      </c>
      <c r="I410" s="8">
        <v>0</v>
      </c>
      <c r="J410" s="119"/>
      <c r="K410" s="119"/>
    </row>
    <row r="411" spans="1:12" ht="18" customHeight="1" outlineLevel="1" x14ac:dyDescent="0.25">
      <c r="A411" s="117" t="s">
        <v>550</v>
      </c>
      <c r="B411" s="118" t="s">
        <v>766</v>
      </c>
      <c r="C411" s="119">
        <v>2021</v>
      </c>
      <c r="D411" s="7" t="s">
        <v>8</v>
      </c>
      <c r="E411" s="8">
        <f t="shared" si="41"/>
        <v>1505.5</v>
      </c>
      <c r="F411" s="8">
        <f>SUM(F412:F416)</f>
        <v>1505.5</v>
      </c>
      <c r="G411" s="8">
        <f>SUM(G412:G416)</f>
        <v>0</v>
      </c>
      <c r="H411" s="8">
        <f>SUM(H412:H416)</f>
        <v>0</v>
      </c>
      <c r="I411" s="8">
        <f>SUM(I412:I416)</f>
        <v>0</v>
      </c>
      <c r="J411" s="119" t="s">
        <v>552</v>
      </c>
      <c r="K411" s="119" t="s">
        <v>553</v>
      </c>
    </row>
    <row r="412" spans="1:12" ht="16.5" customHeight="1" outlineLevel="1" x14ac:dyDescent="0.25">
      <c r="A412" s="117"/>
      <c r="B412" s="118"/>
      <c r="C412" s="119"/>
      <c r="D412" s="7">
        <v>2021</v>
      </c>
      <c r="E412" s="8">
        <f t="shared" si="41"/>
        <v>1505.5</v>
      </c>
      <c r="F412" s="8">
        <v>1505.5</v>
      </c>
      <c r="G412" s="8">
        <v>0</v>
      </c>
      <c r="H412" s="8">
        <v>0</v>
      </c>
      <c r="I412" s="8">
        <v>0</v>
      </c>
      <c r="J412" s="119"/>
      <c r="K412" s="119"/>
    </row>
    <row r="413" spans="1:12" ht="15.75" customHeight="1" outlineLevel="1" x14ac:dyDescent="0.25">
      <c r="A413" s="117"/>
      <c r="B413" s="118"/>
      <c r="C413" s="119"/>
      <c r="D413" s="7">
        <v>2022</v>
      </c>
      <c r="E413" s="8">
        <f t="shared" si="41"/>
        <v>0</v>
      </c>
      <c r="F413" s="8">
        <v>0</v>
      </c>
      <c r="G413" s="8">
        <v>0</v>
      </c>
      <c r="H413" s="8">
        <v>0</v>
      </c>
      <c r="I413" s="8">
        <v>0</v>
      </c>
      <c r="J413" s="119"/>
      <c r="K413" s="119"/>
    </row>
    <row r="414" spans="1:12" ht="14.25" customHeight="1" outlineLevel="1" x14ac:dyDescent="0.25">
      <c r="A414" s="117"/>
      <c r="B414" s="118"/>
      <c r="C414" s="119"/>
      <c r="D414" s="7">
        <v>2023</v>
      </c>
      <c r="E414" s="8">
        <f t="shared" si="41"/>
        <v>0</v>
      </c>
      <c r="F414" s="8">
        <v>0</v>
      </c>
      <c r="G414" s="8">
        <v>0</v>
      </c>
      <c r="H414" s="8">
        <v>0</v>
      </c>
      <c r="I414" s="8">
        <v>0</v>
      </c>
      <c r="J414" s="119"/>
      <c r="K414" s="119"/>
    </row>
    <row r="415" spans="1:12" ht="15" customHeight="1" outlineLevel="1" x14ac:dyDescent="0.25">
      <c r="A415" s="117"/>
      <c r="B415" s="118"/>
      <c r="C415" s="119"/>
      <c r="D415" s="7">
        <v>2024</v>
      </c>
      <c r="E415" s="8">
        <f t="shared" si="41"/>
        <v>0</v>
      </c>
      <c r="F415" s="8">
        <v>0</v>
      </c>
      <c r="G415" s="8">
        <v>0</v>
      </c>
      <c r="H415" s="8">
        <v>0</v>
      </c>
      <c r="I415" s="8">
        <v>0</v>
      </c>
      <c r="J415" s="119"/>
      <c r="K415" s="119"/>
    </row>
    <row r="416" spans="1:12" ht="15.75" customHeight="1" outlineLevel="1" x14ac:dyDescent="0.25">
      <c r="A416" s="117"/>
      <c r="B416" s="118"/>
      <c r="C416" s="119"/>
      <c r="D416" s="7">
        <v>2025</v>
      </c>
      <c r="E416" s="8">
        <f t="shared" si="41"/>
        <v>0</v>
      </c>
      <c r="F416" s="8">
        <v>0</v>
      </c>
      <c r="G416" s="8">
        <v>0</v>
      </c>
      <c r="H416" s="8">
        <v>0</v>
      </c>
      <c r="I416" s="8">
        <v>0</v>
      </c>
      <c r="J416" s="119"/>
      <c r="K416" s="119"/>
    </row>
    <row r="417" spans="1:12" ht="15" customHeight="1" outlineLevel="1" x14ac:dyDescent="0.25">
      <c r="A417" s="117" t="s">
        <v>554</v>
      </c>
      <c r="B417" s="118" t="s">
        <v>555</v>
      </c>
      <c r="C417" s="119">
        <v>2021</v>
      </c>
      <c r="D417" s="7" t="s">
        <v>8</v>
      </c>
      <c r="E417" s="8">
        <f t="shared" si="41"/>
        <v>0</v>
      </c>
      <c r="F417" s="8">
        <f>SUM(F418:F422)</f>
        <v>0</v>
      </c>
      <c r="G417" s="8">
        <f>SUM(G418:G422)</f>
        <v>0</v>
      </c>
      <c r="H417" s="8">
        <f>SUM(H418:H422)</f>
        <v>0</v>
      </c>
      <c r="I417" s="8">
        <f>SUM(I418:I422)</f>
        <v>0</v>
      </c>
      <c r="J417" s="119" t="s">
        <v>556</v>
      </c>
      <c r="K417" s="119" t="s">
        <v>515</v>
      </c>
      <c r="L417" s="1" t="s">
        <v>860</v>
      </c>
    </row>
    <row r="418" spans="1:12" ht="15" customHeight="1" outlineLevel="1" x14ac:dyDescent="0.25">
      <c r="A418" s="117"/>
      <c r="B418" s="118"/>
      <c r="C418" s="119"/>
      <c r="D418" s="7">
        <v>2021</v>
      </c>
      <c r="E418" s="8">
        <f t="shared" si="41"/>
        <v>0</v>
      </c>
      <c r="F418" s="8">
        <v>0</v>
      </c>
      <c r="G418" s="8">
        <v>0</v>
      </c>
      <c r="H418" s="8">
        <v>0</v>
      </c>
      <c r="I418" s="8">
        <v>0</v>
      </c>
      <c r="J418" s="119"/>
      <c r="K418" s="119"/>
    </row>
    <row r="419" spans="1:12" ht="15" customHeight="1" outlineLevel="1" x14ac:dyDescent="0.25">
      <c r="A419" s="117"/>
      <c r="B419" s="118"/>
      <c r="C419" s="119"/>
      <c r="D419" s="7">
        <v>2022</v>
      </c>
      <c r="E419" s="8">
        <f t="shared" si="41"/>
        <v>0</v>
      </c>
      <c r="F419" s="8">
        <v>0</v>
      </c>
      <c r="G419" s="8">
        <v>0</v>
      </c>
      <c r="H419" s="8">
        <v>0</v>
      </c>
      <c r="I419" s="8">
        <v>0</v>
      </c>
      <c r="J419" s="119"/>
      <c r="K419" s="119"/>
    </row>
    <row r="420" spans="1:12" ht="15" customHeight="1" outlineLevel="1" x14ac:dyDescent="0.25">
      <c r="A420" s="117"/>
      <c r="B420" s="118"/>
      <c r="C420" s="119"/>
      <c r="D420" s="7">
        <v>2023</v>
      </c>
      <c r="E420" s="8">
        <f t="shared" si="41"/>
        <v>0</v>
      </c>
      <c r="F420" s="8">
        <v>0</v>
      </c>
      <c r="G420" s="8">
        <v>0</v>
      </c>
      <c r="H420" s="8">
        <v>0</v>
      </c>
      <c r="I420" s="8">
        <v>0</v>
      </c>
      <c r="J420" s="119"/>
      <c r="K420" s="119"/>
    </row>
    <row r="421" spans="1:12" ht="15" customHeight="1" outlineLevel="1" x14ac:dyDescent="0.25">
      <c r="A421" s="117"/>
      <c r="B421" s="118"/>
      <c r="C421" s="119"/>
      <c r="D421" s="7">
        <v>2024</v>
      </c>
      <c r="E421" s="8">
        <f t="shared" si="41"/>
        <v>0</v>
      </c>
      <c r="F421" s="8">
        <v>0</v>
      </c>
      <c r="G421" s="8">
        <v>0</v>
      </c>
      <c r="H421" s="8">
        <v>0</v>
      </c>
      <c r="I421" s="8">
        <v>0</v>
      </c>
      <c r="J421" s="119"/>
      <c r="K421" s="119"/>
    </row>
    <row r="422" spans="1:12" ht="15" customHeight="1" outlineLevel="1" x14ac:dyDescent="0.25">
      <c r="A422" s="117"/>
      <c r="B422" s="118"/>
      <c r="C422" s="119"/>
      <c r="D422" s="7">
        <v>2025</v>
      </c>
      <c r="E422" s="8">
        <f t="shared" si="41"/>
        <v>0</v>
      </c>
      <c r="F422" s="8">
        <v>0</v>
      </c>
      <c r="G422" s="8">
        <v>0</v>
      </c>
      <c r="H422" s="8">
        <v>0</v>
      </c>
      <c r="I422" s="8">
        <v>0</v>
      </c>
      <c r="J422" s="119"/>
      <c r="K422" s="119"/>
    </row>
    <row r="423" spans="1:12" ht="15" customHeight="1" outlineLevel="1" x14ac:dyDescent="0.25">
      <c r="A423" s="117" t="s">
        <v>557</v>
      </c>
      <c r="B423" s="118" t="s">
        <v>558</v>
      </c>
      <c r="C423" s="119" t="s">
        <v>19</v>
      </c>
      <c r="D423" s="7" t="s">
        <v>8</v>
      </c>
      <c r="E423" s="8">
        <f t="shared" si="41"/>
        <v>131225.81</v>
      </c>
      <c r="F423" s="8">
        <f>SUM(F424:F428)</f>
        <v>98555.157500000001</v>
      </c>
      <c r="G423" s="8">
        <f>SUM(G424:G428)</f>
        <v>0</v>
      </c>
      <c r="H423" s="8">
        <f>SUM(H424:H428)</f>
        <v>32670.652500000004</v>
      </c>
      <c r="I423" s="8">
        <f>SUM(I424:I428)</f>
        <v>0</v>
      </c>
      <c r="J423" s="119" t="s">
        <v>1762</v>
      </c>
      <c r="K423" s="119" t="s">
        <v>547</v>
      </c>
    </row>
    <row r="424" spans="1:12" ht="15" customHeight="1" outlineLevel="1" x14ac:dyDescent="0.25">
      <c r="A424" s="117"/>
      <c r="B424" s="118"/>
      <c r="C424" s="119"/>
      <c r="D424" s="7">
        <v>2021</v>
      </c>
      <c r="E424" s="8">
        <f t="shared" si="41"/>
        <v>10446.799999999999</v>
      </c>
      <c r="F424" s="8">
        <v>7970.9</v>
      </c>
      <c r="G424" s="8">
        <v>0</v>
      </c>
      <c r="H424" s="8">
        <v>2475.9</v>
      </c>
      <c r="I424" s="8">
        <v>0</v>
      </c>
      <c r="J424" s="119"/>
      <c r="K424" s="119"/>
    </row>
    <row r="425" spans="1:12" ht="15" customHeight="1" outlineLevel="1" x14ac:dyDescent="0.25">
      <c r="A425" s="117"/>
      <c r="B425" s="118"/>
      <c r="C425" s="119"/>
      <c r="D425" s="7">
        <v>2022</v>
      </c>
      <c r="E425" s="8">
        <f t="shared" si="41"/>
        <v>108779.01000000001</v>
      </c>
      <c r="F425" s="8">
        <v>81584.257500000007</v>
      </c>
      <c r="G425" s="8">
        <v>0</v>
      </c>
      <c r="H425" s="8">
        <f>F425/75*25</f>
        <v>27194.752500000002</v>
      </c>
      <c r="I425" s="8">
        <v>0</v>
      </c>
      <c r="J425" s="119"/>
      <c r="K425" s="119"/>
    </row>
    <row r="426" spans="1:12" ht="15" customHeight="1" outlineLevel="1" x14ac:dyDescent="0.25">
      <c r="A426" s="117"/>
      <c r="B426" s="118"/>
      <c r="C426" s="119"/>
      <c r="D426" s="7">
        <v>2023</v>
      </c>
      <c r="E426" s="8">
        <f t="shared" si="41"/>
        <v>12000</v>
      </c>
      <c r="F426" s="8">
        <v>9000</v>
      </c>
      <c r="G426" s="8">
        <v>0</v>
      </c>
      <c r="H426" s="8">
        <v>3000</v>
      </c>
      <c r="I426" s="8">
        <v>0</v>
      </c>
      <c r="J426" s="119"/>
      <c r="K426" s="119"/>
    </row>
    <row r="427" spans="1:12" ht="15" customHeight="1" outlineLevel="1" x14ac:dyDescent="0.25">
      <c r="A427" s="117"/>
      <c r="B427" s="118"/>
      <c r="C427" s="119"/>
      <c r="D427" s="7">
        <v>2024</v>
      </c>
      <c r="E427" s="8">
        <f t="shared" si="41"/>
        <v>0</v>
      </c>
      <c r="F427" s="8">
        <v>0</v>
      </c>
      <c r="G427" s="8">
        <v>0</v>
      </c>
      <c r="H427" s="8">
        <v>0</v>
      </c>
      <c r="I427" s="8">
        <v>0</v>
      </c>
      <c r="J427" s="119"/>
      <c r="K427" s="119"/>
    </row>
    <row r="428" spans="1:12" ht="15" customHeight="1" outlineLevel="1" x14ac:dyDescent="0.25">
      <c r="A428" s="117"/>
      <c r="B428" s="118"/>
      <c r="C428" s="119"/>
      <c r="D428" s="7">
        <v>2025</v>
      </c>
      <c r="E428" s="8">
        <f t="shared" si="41"/>
        <v>0</v>
      </c>
      <c r="F428" s="8">
        <v>0</v>
      </c>
      <c r="G428" s="8">
        <v>0</v>
      </c>
      <c r="H428" s="8">
        <v>0</v>
      </c>
      <c r="I428" s="8">
        <v>0</v>
      </c>
      <c r="J428" s="119"/>
      <c r="K428" s="119"/>
    </row>
    <row r="429" spans="1:12" ht="15" customHeight="1" outlineLevel="1" x14ac:dyDescent="0.25">
      <c r="A429" s="117" t="s">
        <v>560</v>
      </c>
      <c r="B429" s="118" t="s">
        <v>561</v>
      </c>
      <c r="C429" s="119">
        <v>2021</v>
      </c>
      <c r="D429" s="7" t="s">
        <v>8</v>
      </c>
      <c r="E429" s="8">
        <f t="shared" si="41"/>
        <v>8935.1</v>
      </c>
      <c r="F429" s="8">
        <f>SUM(F430:F434)</f>
        <v>8935.1</v>
      </c>
      <c r="G429" s="8">
        <f>SUM(G430:G434)</f>
        <v>0</v>
      </c>
      <c r="H429" s="8">
        <f>SUM(H430:H434)</f>
        <v>0</v>
      </c>
      <c r="I429" s="8">
        <f>SUM(I430:I434)</f>
        <v>0</v>
      </c>
      <c r="J429" s="119" t="s">
        <v>562</v>
      </c>
      <c r="K429" s="119" t="s">
        <v>563</v>
      </c>
      <c r="L429" s="124" t="s">
        <v>865</v>
      </c>
    </row>
    <row r="430" spans="1:12" ht="15" customHeight="1" outlineLevel="1" x14ac:dyDescent="0.25">
      <c r="A430" s="117"/>
      <c r="B430" s="118"/>
      <c r="C430" s="119"/>
      <c r="D430" s="7">
        <v>2021</v>
      </c>
      <c r="E430" s="8">
        <f t="shared" si="41"/>
        <v>8935.1</v>
      </c>
      <c r="F430" s="8">
        <v>8935.1</v>
      </c>
      <c r="G430" s="8">
        <v>0</v>
      </c>
      <c r="H430" s="8">
        <v>0</v>
      </c>
      <c r="I430" s="8">
        <v>0</v>
      </c>
      <c r="J430" s="119"/>
      <c r="K430" s="119"/>
      <c r="L430" s="124"/>
    </row>
    <row r="431" spans="1:12" ht="15" customHeight="1" outlineLevel="1" x14ac:dyDescent="0.25">
      <c r="A431" s="117"/>
      <c r="B431" s="118"/>
      <c r="C431" s="119"/>
      <c r="D431" s="7">
        <v>2022</v>
      </c>
      <c r="E431" s="8">
        <f t="shared" si="41"/>
        <v>0</v>
      </c>
      <c r="F431" s="8">
        <v>0</v>
      </c>
      <c r="G431" s="8">
        <v>0</v>
      </c>
      <c r="H431" s="8">
        <v>0</v>
      </c>
      <c r="I431" s="8">
        <v>0</v>
      </c>
      <c r="J431" s="119"/>
      <c r="K431" s="119"/>
      <c r="L431" s="124"/>
    </row>
    <row r="432" spans="1:12" ht="15" customHeight="1" outlineLevel="1" x14ac:dyDescent="0.25">
      <c r="A432" s="117"/>
      <c r="B432" s="118"/>
      <c r="C432" s="119"/>
      <c r="D432" s="7">
        <v>2023</v>
      </c>
      <c r="E432" s="8">
        <f t="shared" si="41"/>
        <v>0</v>
      </c>
      <c r="F432" s="8">
        <v>0</v>
      </c>
      <c r="G432" s="8">
        <v>0</v>
      </c>
      <c r="H432" s="8">
        <v>0</v>
      </c>
      <c r="I432" s="8">
        <v>0</v>
      </c>
      <c r="J432" s="119"/>
      <c r="K432" s="119"/>
      <c r="L432" s="124"/>
    </row>
    <row r="433" spans="1:12" ht="15" customHeight="1" outlineLevel="1" x14ac:dyDescent="0.25">
      <c r="A433" s="117"/>
      <c r="B433" s="118"/>
      <c r="C433" s="119"/>
      <c r="D433" s="7">
        <v>2024</v>
      </c>
      <c r="E433" s="8">
        <f t="shared" si="41"/>
        <v>0</v>
      </c>
      <c r="F433" s="8">
        <v>0</v>
      </c>
      <c r="G433" s="8">
        <v>0</v>
      </c>
      <c r="H433" s="8">
        <v>0</v>
      </c>
      <c r="I433" s="8">
        <v>0</v>
      </c>
      <c r="J433" s="119"/>
      <c r="K433" s="119"/>
      <c r="L433" s="124"/>
    </row>
    <row r="434" spans="1:12" ht="15" customHeight="1" outlineLevel="1" x14ac:dyDescent="0.25">
      <c r="A434" s="117"/>
      <c r="B434" s="118"/>
      <c r="C434" s="119"/>
      <c r="D434" s="7">
        <v>2025</v>
      </c>
      <c r="E434" s="8">
        <f t="shared" si="41"/>
        <v>0</v>
      </c>
      <c r="F434" s="8">
        <v>0</v>
      </c>
      <c r="G434" s="8">
        <v>0</v>
      </c>
      <c r="H434" s="8">
        <v>0</v>
      </c>
      <c r="I434" s="8">
        <v>0</v>
      </c>
      <c r="J434" s="119"/>
      <c r="K434" s="119"/>
      <c r="L434" s="124"/>
    </row>
    <row r="435" spans="1:12" ht="15" customHeight="1" outlineLevel="1" x14ac:dyDescent="0.25">
      <c r="A435" s="117" t="s">
        <v>861</v>
      </c>
      <c r="B435" s="118" t="s">
        <v>862</v>
      </c>
      <c r="C435" s="119">
        <v>2022</v>
      </c>
      <c r="D435" s="7" t="s">
        <v>8</v>
      </c>
      <c r="E435" s="8">
        <f t="shared" si="41"/>
        <v>0</v>
      </c>
      <c r="F435" s="8">
        <f>SUM(F436:F440)</f>
        <v>0</v>
      </c>
      <c r="G435" s="8">
        <f>SUM(G436:G440)</f>
        <v>0</v>
      </c>
      <c r="H435" s="8">
        <f>SUM(H436:H440)</f>
        <v>0</v>
      </c>
      <c r="I435" s="8">
        <f>SUM(I436:I440)</f>
        <v>0</v>
      </c>
      <c r="J435" s="119" t="s">
        <v>863</v>
      </c>
      <c r="K435" s="119" t="s">
        <v>547</v>
      </c>
      <c r="L435" s="124" t="s">
        <v>871</v>
      </c>
    </row>
    <row r="436" spans="1:12" ht="15" customHeight="1" outlineLevel="1" x14ac:dyDescent="0.25">
      <c r="A436" s="117"/>
      <c r="B436" s="118"/>
      <c r="C436" s="119"/>
      <c r="D436" s="7">
        <v>2021</v>
      </c>
      <c r="E436" s="8">
        <f t="shared" si="41"/>
        <v>0</v>
      </c>
      <c r="F436" s="8">
        <v>0</v>
      </c>
      <c r="G436" s="8">
        <v>0</v>
      </c>
      <c r="H436" s="8">
        <v>0</v>
      </c>
      <c r="I436" s="8">
        <v>0</v>
      </c>
      <c r="J436" s="119"/>
      <c r="K436" s="119"/>
      <c r="L436" s="124"/>
    </row>
    <row r="437" spans="1:12" ht="15" customHeight="1" outlineLevel="1" x14ac:dyDescent="0.25">
      <c r="A437" s="117"/>
      <c r="B437" s="118"/>
      <c r="C437" s="119"/>
      <c r="D437" s="7">
        <v>2022</v>
      </c>
      <c r="E437" s="8">
        <f t="shared" si="41"/>
        <v>0</v>
      </c>
      <c r="F437" s="8">
        <v>0</v>
      </c>
      <c r="G437" s="8">
        <v>0</v>
      </c>
      <c r="H437" s="8">
        <v>0</v>
      </c>
      <c r="I437" s="8">
        <v>0</v>
      </c>
      <c r="J437" s="119"/>
      <c r="K437" s="119"/>
      <c r="L437" s="124"/>
    </row>
    <row r="438" spans="1:12" ht="15" customHeight="1" outlineLevel="1" x14ac:dyDescent="0.25">
      <c r="A438" s="117"/>
      <c r="B438" s="118"/>
      <c r="C438" s="119"/>
      <c r="D438" s="7">
        <v>2023</v>
      </c>
      <c r="E438" s="8">
        <f t="shared" si="41"/>
        <v>0</v>
      </c>
      <c r="F438" s="8">
        <v>0</v>
      </c>
      <c r="G438" s="8">
        <v>0</v>
      </c>
      <c r="H438" s="8">
        <v>0</v>
      </c>
      <c r="I438" s="8">
        <v>0</v>
      </c>
      <c r="J438" s="119"/>
      <c r="K438" s="119"/>
      <c r="L438" s="124"/>
    </row>
    <row r="439" spans="1:12" ht="15" customHeight="1" outlineLevel="1" x14ac:dyDescent="0.25">
      <c r="A439" s="117"/>
      <c r="B439" s="118"/>
      <c r="C439" s="119"/>
      <c r="D439" s="7">
        <v>2024</v>
      </c>
      <c r="E439" s="8">
        <f t="shared" si="41"/>
        <v>0</v>
      </c>
      <c r="F439" s="8">
        <v>0</v>
      </c>
      <c r="G439" s="8">
        <v>0</v>
      </c>
      <c r="H439" s="8">
        <v>0</v>
      </c>
      <c r="I439" s="8">
        <v>0</v>
      </c>
      <c r="J439" s="119"/>
      <c r="K439" s="119"/>
      <c r="L439" s="124"/>
    </row>
    <row r="440" spans="1:12" ht="15" customHeight="1" outlineLevel="1" x14ac:dyDescent="0.25">
      <c r="A440" s="117"/>
      <c r="B440" s="118"/>
      <c r="C440" s="119"/>
      <c r="D440" s="7">
        <v>2025</v>
      </c>
      <c r="E440" s="8">
        <f t="shared" si="41"/>
        <v>0</v>
      </c>
      <c r="F440" s="8">
        <v>0</v>
      </c>
      <c r="G440" s="8">
        <v>0</v>
      </c>
      <c r="H440" s="8">
        <v>0</v>
      </c>
      <c r="I440" s="8">
        <v>0</v>
      </c>
      <c r="J440" s="119"/>
      <c r="K440" s="119"/>
      <c r="L440" s="124"/>
    </row>
    <row r="441" spans="1:12" ht="15" customHeight="1" outlineLevel="1" x14ac:dyDescent="0.25">
      <c r="A441" s="117" t="s">
        <v>868</v>
      </c>
      <c r="B441" s="118" t="s">
        <v>1163</v>
      </c>
      <c r="C441" s="119">
        <v>2023</v>
      </c>
      <c r="D441" s="7" t="s">
        <v>8</v>
      </c>
      <c r="E441" s="8">
        <f t="shared" si="41"/>
        <v>0</v>
      </c>
      <c r="F441" s="8">
        <f>SUM(F442:F446)</f>
        <v>0</v>
      </c>
      <c r="G441" s="8">
        <f>SUM(G442:G446)</f>
        <v>0</v>
      </c>
      <c r="H441" s="8">
        <f>SUM(H442:H446)</f>
        <v>0</v>
      </c>
      <c r="I441" s="8">
        <f>SUM(I442:I446)</f>
        <v>0</v>
      </c>
      <c r="J441" s="119" t="s">
        <v>1164</v>
      </c>
      <c r="K441" s="119" t="s">
        <v>907</v>
      </c>
      <c r="L441" s="124" t="s">
        <v>871</v>
      </c>
    </row>
    <row r="442" spans="1:12" ht="15" customHeight="1" outlineLevel="1" x14ac:dyDescent="0.25">
      <c r="A442" s="117"/>
      <c r="B442" s="118"/>
      <c r="C442" s="119"/>
      <c r="D442" s="7">
        <v>2021</v>
      </c>
      <c r="E442" s="8">
        <f t="shared" si="41"/>
        <v>0</v>
      </c>
      <c r="F442" s="8">
        <v>0</v>
      </c>
      <c r="G442" s="8">
        <v>0</v>
      </c>
      <c r="H442" s="8">
        <v>0</v>
      </c>
      <c r="I442" s="8">
        <v>0</v>
      </c>
      <c r="J442" s="119"/>
      <c r="K442" s="119"/>
      <c r="L442" s="124"/>
    </row>
    <row r="443" spans="1:12" ht="15" customHeight="1" outlineLevel="1" x14ac:dyDescent="0.25">
      <c r="A443" s="117"/>
      <c r="B443" s="118"/>
      <c r="C443" s="119"/>
      <c r="D443" s="7">
        <v>2022</v>
      </c>
      <c r="E443" s="8">
        <f t="shared" si="41"/>
        <v>0</v>
      </c>
      <c r="F443" s="8">
        <v>0</v>
      </c>
      <c r="G443" s="8">
        <v>0</v>
      </c>
      <c r="H443" s="8">
        <v>0</v>
      </c>
      <c r="I443" s="8">
        <v>0</v>
      </c>
      <c r="J443" s="119"/>
      <c r="K443" s="119"/>
      <c r="L443" s="124"/>
    </row>
    <row r="444" spans="1:12" ht="15" customHeight="1" outlineLevel="1" x14ac:dyDescent="0.25">
      <c r="A444" s="117"/>
      <c r="B444" s="118"/>
      <c r="C444" s="119"/>
      <c r="D444" s="7">
        <v>2023</v>
      </c>
      <c r="E444" s="8">
        <f t="shared" si="41"/>
        <v>0</v>
      </c>
      <c r="F444" s="8">
        <v>0</v>
      </c>
      <c r="G444" s="8">
        <v>0</v>
      </c>
      <c r="H444" s="8">
        <v>0</v>
      </c>
      <c r="I444" s="8">
        <v>0</v>
      </c>
      <c r="J444" s="119"/>
      <c r="K444" s="119"/>
      <c r="L444" s="124"/>
    </row>
    <row r="445" spans="1:12" ht="15" customHeight="1" outlineLevel="1" x14ac:dyDescent="0.25">
      <c r="A445" s="117"/>
      <c r="B445" s="118"/>
      <c r="C445" s="119"/>
      <c r="D445" s="7">
        <v>2024</v>
      </c>
      <c r="E445" s="8">
        <f t="shared" si="41"/>
        <v>0</v>
      </c>
      <c r="F445" s="8">
        <v>0</v>
      </c>
      <c r="G445" s="8">
        <v>0</v>
      </c>
      <c r="H445" s="8">
        <v>0</v>
      </c>
      <c r="I445" s="8">
        <v>0</v>
      </c>
      <c r="J445" s="119"/>
      <c r="K445" s="119"/>
      <c r="L445" s="124"/>
    </row>
    <row r="446" spans="1:12" ht="15" customHeight="1" outlineLevel="1" x14ac:dyDescent="0.25">
      <c r="A446" s="117"/>
      <c r="B446" s="118"/>
      <c r="C446" s="119"/>
      <c r="D446" s="7">
        <v>2025</v>
      </c>
      <c r="E446" s="8">
        <f t="shared" si="41"/>
        <v>0</v>
      </c>
      <c r="F446" s="8">
        <v>0</v>
      </c>
      <c r="G446" s="8">
        <v>0</v>
      </c>
      <c r="H446" s="8">
        <v>0</v>
      </c>
      <c r="I446" s="8">
        <v>0</v>
      </c>
      <c r="J446" s="119"/>
      <c r="K446" s="119"/>
      <c r="L446" s="124"/>
    </row>
    <row r="447" spans="1:12" ht="15" customHeight="1" outlineLevel="1" x14ac:dyDescent="0.25">
      <c r="A447" s="117" t="s">
        <v>873</v>
      </c>
      <c r="B447" s="118" t="s">
        <v>874</v>
      </c>
      <c r="C447" s="119">
        <v>2022</v>
      </c>
      <c r="D447" s="7" t="s">
        <v>8</v>
      </c>
      <c r="E447" s="8">
        <f t="shared" si="41"/>
        <v>0</v>
      </c>
      <c r="F447" s="8">
        <f>SUM(F448:F452)</f>
        <v>0</v>
      </c>
      <c r="G447" s="8">
        <f>SUM(G448:G452)</f>
        <v>0</v>
      </c>
      <c r="H447" s="8">
        <f>SUM(H448:H452)</f>
        <v>0</v>
      </c>
      <c r="I447" s="8">
        <f>SUM(I448:I452)</f>
        <v>0</v>
      </c>
      <c r="J447" s="119" t="s">
        <v>875</v>
      </c>
      <c r="K447" s="119" t="s">
        <v>955</v>
      </c>
    </row>
    <row r="448" spans="1:12" ht="15" customHeight="1" outlineLevel="1" x14ac:dyDescent="0.25">
      <c r="A448" s="117"/>
      <c r="B448" s="118"/>
      <c r="C448" s="119"/>
      <c r="D448" s="7">
        <v>2021</v>
      </c>
      <c r="E448" s="8">
        <f t="shared" si="41"/>
        <v>0</v>
      </c>
      <c r="F448" s="8">
        <v>0</v>
      </c>
      <c r="G448" s="8">
        <v>0</v>
      </c>
      <c r="H448" s="8">
        <v>0</v>
      </c>
      <c r="I448" s="8">
        <v>0</v>
      </c>
      <c r="J448" s="119"/>
      <c r="K448" s="119"/>
    </row>
    <row r="449" spans="1:11" ht="15" customHeight="1" outlineLevel="1" x14ac:dyDescent="0.25">
      <c r="A449" s="117"/>
      <c r="B449" s="118"/>
      <c r="C449" s="119"/>
      <c r="D449" s="7">
        <v>2022</v>
      </c>
      <c r="E449" s="8">
        <f t="shared" si="41"/>
        <v>0</v>
      </c>
      <c r="F449" s="8">
        <f>6000-6000</f>
        <v>0</v>
      </c>
      <c r="G449" s="8">
        <v>0</v>
      </c>
      <c r="H449" s="8">
        <v>0</v>
      </c>
      <c r="I449" s="8">
        <v>0</v>
      </c>
      <c r="J449" s="119"/>
      <c r="K449" s="119"/>
    </row>
    <row r="450" spans="1:11" ht="15" customHeight="1" outlineLevel="1" x14ac:dyDescent="0.25">
      <c r="A450" s="117"/>
      <c r="B450" s="118"/>
      <c r="C450" s="119"/>
      <c r="D450" s="7">
        <v>2023</v>
      </c>
      <c r="E450" s="8">
        <f t="shared" si="41"/>
        <v>0</v>
      </c>
      <c r="F450" s="8">
        <v>0</v>
      </c>
      <c r="G450" s="8">
        <v>0</v>
      </c>
      <c r="H450" s="8">
        <v>0</v>
      </c>
      <c r="I450" s="8">
        <v>0</v>
      </c>
      <c r="J450" s="119"/>
      <c r="K450" s="119"/>
    </row>
    <row r="451" spans="1:11" ht="15" customHeight="1" outlineLevel="1" x14ac:dyDescent="0.25">
      <c r="A451" s="117"/>
      <c r="B451" s="118"/>
      <c r="C451" s="119"/>
      <c r="D451" s="7">
        <v>2024</v>
      </c>
      <c r="E451" s="8">
        <f t="shared" si="41"/>
        <v>0</v>
      </c>
      <c r="F451" s="8">
        <v>0</v>
      </c>
      <c r="G451" s="8">
        <v>0</v>
      </c>
      <c r="H451" s="8">
        <v>0</v>
      </c>
      <c r="I451" s="8">
        <v>0</v>
      </c>
      <c r="J451" s="119"/>
      <c r="K451" s="119"/>
    </row>
    <row r="452" spans="1:11" ht="15" customHeight="1" outlineLevel="1" x14ac:dyDescent="0.25">
      <c r="A452" s="117"/>
      <c r="B452" s="118"/>
      <c r="C452" s="119"/>
      <c r="D452" s="7">
        <v>2025</v>
      </c>
      <c r="E452" s="8">
        <f t="shared" si="41"/>
        <v>0</v>
      </c>
      <c r="F452" s="8">
        <v>0</v>
      </c>
      <c r="G452" s="8">
        <v>0</v>
      </c>
      <c r="H452" s="8">
        <v>0</v>
      </c>
      <c r="I452" s="8">
        <v>0</v>
      </c>
      <c r="J452" s="119"/>
      <c r="K452" s="119"/>
    </row>
    <row r="453" spans="1:11" ht="15" customHeight="1" outlineLevel="1" x14ac:dyDescent="0.25">
      <c r="A453" s="117" t="s">
        <v>879</v>
      </c>
      <c r="B453" s="118" t="s">
        <v>880</v>
      </c>
      <c r="C453" s="119">
        <v>2022</v>
      </c>
      <c r="D453" s="7" t="s">
        <v>8</v>
      </c>
      <c r="E453" s="8">
        <f t="shared" si="41"/>
        <v>5000</v>
      </c>
      <c r="F453" s="8">
        <f>SUM(F454:F458)</f>
        <v>4750</v>
      </c>
      <c r="G453" s="8">
        <f>SUM(G454:G458)</f>
        <v>0</v>
      </c>
      <c r="H453" s="8">
        <f>SUM(H454:H458)</f>
        <v>250</v>
      </c>
      <c r="I453" s="8">
        <f>SUM(I454:I458)</f>
        <v>0</v>
      </c>
      <c r="J453" s="119" t="s">
        <v>881</v>
      </c>
      <c r="K453" s="119" t="s">
        <v>547</v>
      </c>
    </row>
    <row r="454" spans="1:11" ht="15" customHeight="1" outlineLevel="1" x14ac:dyDescent="0.25">
      <c r="A454" s="117"/>
      <c r="B454" s="118"/>
      <c r="C454" s="119"/>
      <c r="D454" s="7">
        <v>2021</v>
      </c>
      <c r="E454" s="8">
        <f t="shared" si="41"/>
        <v>0</v>
      </c>
      <c r="F454" s="8">
        <v>0</v>
      </c>
      <c r="G454" s="8">
        <v>0</v>
      </c>
      <c r="H454" s="8">
        <v>0</v>
      </c>
      <c r="I454" s="8">
        <v>0</v>
      </c>
      <c r="J454" s="119"/>
      <c r="K454" s="119"/>
    </row>
    <row r="455" spans="1:11" ht="15" customHeight="1" outlineLevel="1" x14ac:dyDescent="0.25">
      <c r="A455" s="117"/>
      <c r="B455" s="118"/>
      <c r="C455" s="119"/>
      <c r="D455" s="7">
        <v>2022</v>
      </c>
      <c r="E455" s="8">
        <f t="shared" si="41"/>
        <v>5000</v>
      </c>
      <c r="F455" s="8">
        <f>4750000/1000</f>
        <v>4750</v>
      </c>
      <c r="G455" s="8">
        <v>0</v>
      </c>
      <c r="H455" s="8">
        <f>F455*5%/95%</f>
        <v>250</v>
      </c>
      <c r="I455" s="8">
        <v>0</v>
      </c>
      <c r="J455" s="119"/>
      <c r="K455" s="119"/>
    </row>
    <row r="456" spans="1:11" ht="15" customHeight="1" outlineLevel="1" x14ac:dyDescent="0.25">
      <c r="A456" s="117"/>
      <c r="B456" s="118"/>
      <c r="C456" s="119"/>
      <c r="D456" s="7">
        <v>2023</v>
      </c>
      <c r="E456" s="8">
        <f t="shared" si="41"/>
        <v>0</v>
      </c>
      <c r="F456" s="8">
        <v>0</v>
      </c>
      <c r="G456" s="8">
        <v>0</v>
      </c>
      <c r="H456" s="8">
        <v>0</v>
      </c>
      <c r="I456" s="8">
        <v>0</v>
      </c>
      <c r="J456" s="119"/>
      <c r="K456" s="119"/>
    </row>
    <row r="457" spans="1:11" ht="15" customHeight="1" outlineLevel="1" x14ac:dyDescent="0.25">
      <c r="A457" s="117"/>
      <c r="B457" s="118"/>
      <c r="C457" s="119"/>
      <c r="D457" s="7">
        <v>2024</v>
      </c>
      <c r="E457" s="8">
        <f t="shared" si="41"/>
        <v>0</v>
      </c>
      <c r="F457" s="8">
        <v>0</v>
      </c>
      <c r="G457" s="8">
        <v>0</v>
      </c>
      <c r="H457" s="8">
        <v>0</v>
      </c>
      <c r="I457" s="8">
        <v>0</v>
      </c>
      <c r="J457" s="119"/>
      <c r="K457" s="119"/>
    </row>
    <row r="458" spans="1:11" ht="15" customHeight="1" outlineLevel="1" x14ac:dyDescent="0.25">
      <c r="A458" s="117"/>
      <c r="B458" s="118"/>
      <c r="C458" s="119"/>
      <c r="D458" s="7">
        <v>2025</v>
      </c>
      <c r="E458" s="8">
        <f t="shared" si="41"/>
        <v>0</v>
      </c>
      <c r="F458" s="8">
        <v>0</v>
      </c>
      <c r="G458" s="8">
        <v>0</v>
      </c>
      <c r="H458" s="8">
        <v>0</v>
      </c>
      <c r="I458" s="8">
        <v>0</v>
      </c>
      <c r="J458" s="119"/>
      <c r="K458" s="119"/>
    </row>
    <row r="459" spans="1:11" ht="15" customHeight="1" outlineLevel="1" x14ac:dyDescent="0.25">
      <c r="A459" s="117" t="s">
        <v>882</v>
      </c>
      <c r="B459" s="118" t="s">
        <v>1165</v>
      </c>
      <c r="C459" s="119">
        <v>2022</v>
      </c>
      <c r="D459" s="7" t="s">
        <v>8</v>
      </c>
      <c r="E459" s="8">
        <f t="shared" si="41"/>
        <v>0</v>
      </c>
      <c r="F459" s="8">
        <f>SUM(F460:F464)</f>
        <v>0</v>
      </c>
      <c r="G459" s="8">
        <f t="shared" ref="G459:G489" si="42">SUM(G460:G464)</f>
        <v>0</v>
      </c>
      <c r="H459" s="8">
        <f>SUM(H460:H464)</f>
        <v>0</v>
      </c>
      <c r="I459" s="8">
        <f t="shared" ref="I459:I507" si="43">SUM(I460:I464)</f>
        <v>0</v>
      </c>
      <c r="J459" s="119" t="s">
        <v>884</v>
      </c>
      <c r="K459" s="119" t="s">
        <v>547</v>
      </c>
    </row>
    <row r="460" spans="1:11" ht="15" customHeight="1" outlineLevel="1" x14ac:dyDescent="0.25">
      <c r="A460" s="117"/>
      <c r="B460" s="118"/>
      <c r="C460" s="119"/>
      <c r="D460" s="7">
        <v>2021</v>
      </c>
      <c r="E460" s="8">
        <f t="shared" si="41"/>
        <v>0</v>
      </c>
      <c r="F460" s="8">
        <v>0</v>
      </c>
      <c r="G460" s="8">
        <f t="shared" si="42"/>
        <v>0</v>
      </c>
      <c r="H460" s="8">
        <v>0</v>
      </c>
      <c r="I460" s="8">
        <f t="shared" si="43"/>
        <v>0</v>
      </c>
      <c r="J460" s="119"/>
      <c r="K460" s="119"/>
    </row>
    <row r="461" spans="1:11" ht="15" customHeight="1" outlineLevel="1" x14ac:dyDescent="0.25">
      <c r="A461" s="117"/>
      <c r="B461" s="118"/>
      <c r="C461" s="119"/>
      <c r="D461" s="7">
        <v>2022</v>
      </c>
      <c r="E461" s="8">
        <f t="shared" si="41"/>
        <v>0</v>
      </c>
      <c r="F461" s="8">
        <v>0</v>
      </c>
      <c r="G461" s="8">
        <f t="shared" si="42"/>
        <v>0</v>
      </c>
      <c r="H461" s="8">
        <v>0</v>
      </c>
      <c r="I461" s="8">
        <f t="shared" si="43"/>
        <v>0</v>
      </c>
      <c r="J461" s="119"/>
      <c r="K461" s="119"/>
    </row>
    <row r="462" spans="1:11" ht="15" customHeight="1" outlineLevel="1" x14ac:dyDescent="0.25">
      <c r="A462" s="117"/>
      <c r="B462" s="118"/>
      <c r="C462" s="119"/>
      <c r="D462" s="7">
        <v>2023</v>
      </c>
      <c r="E462" s="8">
        <f t="shared" si="41"/>
        <v>0</v>
      </c>
      <c r="F462" s="8">
        <v>0</v>
      </c>
      <c r="G462" s="8">
        <f t="shared" si="42"/>
        <v>0</v>
      </c>
      <c r="H462" s="8">
        <v>0</v>
      </c>
      <c r="I462" s="8">
        <f t="shared" si="43"/>
        <v>0</v>
      </c>
      <c r="J462" s="119"/>
      <c r="K462" s="119"/>
    </row>
    <row r="463" spans="1:11" ht="15" customHeight="1" outlineLevel="1" x14ac:dyDescent="0.25">
      <c r="A463" s="117"/>
      <c r="B463" s="118"/>
      <c r="C463" s="119"/>
      <c r="D463" s="7">
        <v>2024</v>
      </c>
      <c r="E463" s="8">
        <f t="shared" si="41"/>
        <v>0</v>
      </c>
      <c r="F463" s="8">
        <v>0</v>
      </c>
      <c r="G463" s="8">
        <f t="shared" si="42"/>
        <v>0</v>
      </c>
      <c r="H463" s="8">
        <v>0</v>
      </c>
      <c r="I463" s="8">
        <f t="shared" si="43"/>
        <v>0</v>
      </c>
      <c r="J463" s="119"/>
      <c r="K463" s="119"/>
    </row>
    <row r="464" spans="1:11" ht="15" customHeight="1" outlineLevel="1" x14ac:dyDescent="0.25">
      <c r="A464" s="117"/>
      <c r="B464" s="118"/>
      <c r="C464" s="119"/>
      <c r="D464" s="7">
        <v>2025</v>
      </c>
      <c r="E464" s="8">
        <f t="shared" si="41"/>
        <v>0</v>
      </c>
      <c r="F464" s="8">
        <v>0</v>
      </c>
      <c r="G464" s="8">
        <f t="shared" si="42"/>
        <v>0</v>
      </c>
      <c r="H464" s="8">
        <v>0</v>
      </c>
      <c r="I464" s="8">
        <f t="shared" si="43"/>
        <v>0</v>
      </c>
      <c r="J464" s="119"/>
      <c r="K464" s="119"/>
    </row>
    <row r="465" spans="1:12" ht="15" customHeight="1" outlineLevel="1" x14ac:dyDescent="0.25">
      <c r="A465" s="117" t="s">
        <v>885</v>
      </c>
      <c r="B465" s="118" t="s">
        <v>1166</v>
      </c>
      <c r="C465" s="119">
        <v>2022</v>
      </c>
      <c r="D465" s="7" t="s">
        <v>8</v>
      </c>
      <c r="E465" s="8">
        <f t="shared" si="41"/>
        <v>6815.7889999999998</v>
      </c>
      <c r="F465" s="8">
        <f>SUM(F466:F470)</f>
        <v>6475</v>
      </c>
      <c r="G465" s="8">
        <f t="shared" si="42"/>
        <v>0</v>
      </c>
      <c r="H465" s="8">
        <f>SUM(H466:H470)</f>
        <v>340.78899999999999</v>
      </c>
      <c r="I465" s="8">
        <f t="shared" si="43"/>
        <v>0</v>
      </c>
      <c r="J465" s="119" t="s">
        <v>1167</v>
      </c>
      <c r="K465" s="119" t="s">
        <v>547</v>
      </c>
    </row>
    <row r="466" spans="1:12" ht="15" customHeight="1" outlineLevel="1" x14ac:dyDescent="0.25">
      <c r="A466" s="117"/>
      <c r="B466" s="118"/>
      <c r="C466" s="119"/>
      <c r="D466" s="7">
        <v>2021</v>
      </c>
      <c r="E466" s="8">
        <f t="shared" si="41"/>
        <v>0</v>
      </c>
      <c r="F466" s="8">
        <v>0</v>
      </c>
      <c r="G466" s="8">
        <v>0</v>
      </c>
      <c r="H466" s="8">
        <v>0</v>
      </c>
      <c r="I466" s="8">
        <f t="shared" si="43"/>
        <v>0</v>
      </c>
      <c r="J466" s="119"/>
      <c r="K466" s="119"/>
    </row>
    <row r="467" spans="1:12" ht="15" customHeight="1" outlineLevel="1" x14ac:dyDescent="0.25">
      <c r="A467" s="117"/>
      <c r="B467" s="118"/>
      <c r="C467" s="119"/>
      <c r="D467" s="7">
        <v>2022</v>
      </c>
      <c r="E467" s="8">
        <f t="shared" si="41"/>
        <v>6815.7889999999998</v>
      </c>
      <c r="F467" s="8">
        <v>6475</v>
      </c>
      <c r="G467" s="8">
        <v>0</v>
      </c>
      <c r="H467" s="8">
        <v>340.78899999999999</v>
      </c>
      <c r="I467" s="8">
        <f t="shared" si="43"/>
        <v>0</v>
      </c>
      <c r="J467" s="119"/>
      <c r="K467" s="119"/>
    </row>
    <row r="468" spans="1:12" ht="15" customHeight="1" outlineLevel="1" x14ac:dyDescent="0.25">
      <c r="A468" s="117"/>
      <c r="B468" s="118"/>
      <c r="C468" s="119"/>
      <c r="D468" s="7">
        <v>2023</v>
      </c>
      <c r="E468" s="8">
        <f t="shared" si="41"/>
        <v>0</v>
      </c>
      <c r="F468" s="8">
        <v>0</v>
      </c>
      <c r="G468" s="8">
        <v>0</v>
      </c>
      <c r="H468" s="8">
        <v>0</v>
      </c>
      <c r="I468" s="8">
        <f t="shared" si="43"/>
        <v>0</v>
      </c>
      <c r="J468" s="119"/>
      <c r="K468" s="119"/>
    </row>
    <row r="469" spans="1:12" ht="15" customHeight="1" outlineLevel="1" x14ac:dyDescent="0.25">
      <c r="A469" s="117"/>
      <c r="B469" s="118"/>
      <c r="C469" s="119"/>
      <c r="D469" s="7">
        <v>2024</v>
      </c>
      <c r="E469" s="8">
        <f t="shared" si="41"/>
        <v>0</v>
      </c>
      <c r="F469" s="8">
        <v>0</v>
      </c>
      <c r="G469" s="8">
        <v>0</v>
      </c>
      <c r="H469" s="8">
        <v>0</v>
      </c>
      <c r="I469" s="8">
        <f t="shared" si="43"/>
        <v>0</v>
      </c>
      <c r="J469" s="119"/>
      <c r="K469" s="119"/>
    </row>
    <row r="470" spans="1:12" ht="15" customHeight="1" outlineLevel="1" x14ac:dyDescent="0.25">
      <c r="A470" s="117"/>
      <c r="B470" s="118"/>
      <c r="C470" s="119"/>
      <c r="D470" s="7">
        <v>2025</v>
      </c>
      <c r="E470" s="8">
        <f t="shared" ref="E470:E547" si="44">SUM(F470:I470)</f>
        <v>0</v>
      </c>
      <c r="F470" s="8">
        <v>0</v>
      </c>
      <c r="G470" s="8">
        <v>0</v>
      </c>
      <c r="H470" s="8">
        <v>0</v>
      </c>
      <c r="I470" s="8">
        <f t="shared" si="43"/>
        <v>0</v>
      </c>
      <c r="J470" s="119"/>
      <c r="K470" s="119"/>
    </row>
    <row r="471" spans="1:12" ht="15" customHeight="1" outlineLevel="1" x14ac:dyDescent="0.25">
      <c r="A471" s="117" t="s">
        <v>888</v>
      </c>
      <c r="B471" s="118" t="s">
        <v>889</v>
      </c>
      <c r="C471" s="119">
        <v>2022</v>
      </c>
      <c r="D471" s="7" t="s">
        <v>8</v>
      </c>
      <c r="E471" s="8">
        <f t="shared" si="44"/>
        <v>6717.1717171717173</v>
      </c>
      <c r="F471" s="8">
        <f>SUM(F472:F476)</f>
        <v>6650</v>
      </c>
      <c r="G471" s="8">
        <v>0</v>
      </c>
      <c r="H471" s="8">
        <f>SUM(H472:H476)</f>
        <v>67.171717171717177</v>
      </c>
      <c r="I471" s="8">
        <f t="shared" si="43"/>
        <v>0</v>
      </c>
      <c r="J471" s="119" t="s">
        <v>890</v>
      </c>
      <c r="K471" s="119" t="s">
        <v>547</v>
      </c>
      <c r="L471" s="124" t="s">
        <v>871</v>
      </c>
    </row>
    <row r="472" spans="1:12" ht="15" customHeight="1" outlineLevel="1" x14ac:dyDescent="0.25">
      <c r="A472" s="117"/>
      <c r="B472" s="118"/>
      <c r="C472" s="119"/>
      <c r="D472" s="7">
        <v>2021</v>
      </c>
      <c r="E472" s="8">
        <f t="shared" si="44"/>
        <v>0</v>
      </c>
      <c r="F472" s="8">
        <v>0</v>
      </c>
      <c r="G472" s="8">
        <v>0</v>
      </c>
      <c r="H472" s="8">
        <v>0</v>
      </c>
      <c r="I472" s="8">
        <f t="shared" si="43"/>
        <v>0</v>
      </c>
      <c r="J472" s="119"/>
      <c r="K472" s="119"/>
      <c r="L472" s="124"/>
    </row>
    <row r="473" spans="1:12" ht="15" customHeight="1" outlineLevel="1" x14ac:dyDescent="0.25">
      <c r="A473" s="117"/>
      <c r="B473" s="118"/>
      <c r="C473" s="119"/>
      <c r="D473" s="7">
        <v>2022</v>
      </c>
      <c r="E473" s="8">
        <f t="shared" si="44"/>
        <v>6717.1717171717173</v>
      </c>
      <c r="F473" s="8">
        <v>6650</v>
      </c>
      <c r="G473" s="8">
        <v>0</v>
      </c>
      <c r="H473" s="8">
        <f>F473/99*1</f>
        <v>67.171717171717177</v>
      </c>
      <c r="I473" s="8">
        <f t="shared" si="43"/>
        <v>0</v>
      </c>
      <c r="J473" s="119"/>
      <c r="K473" s="119"/>
      <c r="L473" s="124"/>
    </row>
    <row r="474" spans="1:12" ht="15" customHeight="1" outlineLevel="1" x14ac:dyDescent="0.25">
      <c r="A474" s="117"/>
      <c r="B474" s="118"/>
      <c r="C474" s="119"/>
      <c r="D474" s="7">
        <v>2023</v>
      </c>
      <c r="E474" s="8">
        <f t="shared" si="44"/>
        <v>0</v>
      </c>
      <c r="F474" s="8">
        <v>0</v>
      </c>
      <c r="G474" s="8">
        <v>0</v>
      </c>
      <c r="H474" s="8">
        <v>0</v>
      </c>
      <c r="I474" s="8">
        <f t="shared" si="43"/>
        <v>0</v>
      </c>
      <c r="J474" s="119"/>
      <c r="K474" s="119"/>
      <c r="L474" s="124"/>
    </row>
    <row r="475" spans="1:12" ht="15" customHeight="1" outlineLevel="1" x14ac:dyDescent="0.25">
      <c r="A475" s="117"/>
      <c r="B475" s="118"/>
      <c r="C475" s="119"/>
      <c r="D475" s="7">
        <v>2024</v>
      </c>
      <c r="E475" s="8">
        <f t="shared" si="44"/>
        <v>0</v>
      </c>
      <c r="F475" s="8">
        <v>0</v>
      </c>
      <c r="G475" s="8">
        <v>0</v>
      </c>
      <c r="H475" s="8">
        <v>0</v>
      </c>
      <c r="I475" s="8">
        <f t="shared" si="43"/>
        <v>0</v>
      </c>
      <c r="J475" s="119"/>
      <c r="K475" s="119"/>
      <c r="L475" s="124"/>
    </row>
    <row r="476" spans="1:12" ht="15" customHeight="1" outlineLevel="1" x14ac:dyDescent="0.25">
      <c r="A476" s="117"/>
      <c r="B476" s="118"/>
      <c r="C476" s="119"/>
      <c r="D476" s="7">
        <v>2025</v>
      </c>
      <c r="E476" s="8">
        <f t="shared" si="44"/>
        <v>0</v>
      </c>
      <c r="F476" s="8">
        <v>0</v>
      </c>
      <c r="G476" s="8">
        <v>0</v>
      </c>
      <c r="H476" s="8">
        <v>0</v>
      </c>
      <c r="I476" s="8">
        <f t="shared" si="43"/>
        <v>0</v>
      </c>
      <c r="J476" s="119"/>
      <c r="K476" s="119"/>
      <c r="L476" s="124"/>
    </row>
    <row r="477" spans="1:12" ht="17.25" customHeight="1" outlineLevel="1" x14ac:dyDescent="0.25">
      <c r="A477" s="117" t="s">
        <v>891</v>
      </c>
      <c r="B477" s="118" t="s">
        <v>892</v>
      </c>
      <c r="C477" s="119">
        <v>2023</v>
      </c>
      <c r="D477" s="7" t="s">
        <v>8</v>
      </c>
      <c r="E477" s="8">
        <f t="shared" si="44"/>
        <v>0</v>
      </c>
      <c r="F477" s="8">
        <f>SUM(F478:F482)</f>
        <v>0</v>
      </c>
      <c r="G477" s="8">
        <v>0</v>
      </c>
      <c r="H477" s="8">
        <f>SUM(H478:H482)</f>
        <v>0</v>
      </c>
      <c r="I477" s="8">
        <f t="shared" si="43"/>
        <v>0</v>
      </c>
      <c r="J477" s="119" t="s">
        <v>1168</v>
      </c>
      <c r="K477" s="119" t="s">
        <v>907</v>
      </c>
    </row>
    <row r="478" spans="1:12" ht="17.25" customHeight="1" outlineLevel="1" x14ac:dyDescent="0.25">
      <c r="A478" s="117"/>
      <c r="B478" s="118"/>
      <c r="C478" s="119"/>
      <c r="D478" s="7">
        <v>2021</v>
      </c>
      <c r="E478" s="8">
        <f t="shared" si="44"/>
        <v>0</v>
      </c>
      <c r="F478" s="8">
        <v>0</v>
      </c>
      <c r="G478" s="8">
        <v>0</v>
      </c>
      <c r="H478" s="8">
        <v>0</v>
      </c>
      <c r="I478" s="8">
        <v>0</v>
      </c>
      <c r="J478" s="119"/>
      <c r="K478" s="119"/>
    </row>
    <row r="479" spans="1:12" ht="17.25" customHeight="1" outlineLevel="1" x14ac:dyDescent="0.25">
      <c r="A479" s="117"/>
      <c r="B479" s="118"/>
      <c r="C479" s="119"/>
      <c r="D479" s="7">
        <v>2022</v>
      </c>
      <c r="E479" s="8">
        <f t="shared" si="44"/>
        <v>0</v>
      </c>
      <c r="F479" s="8">
        <v>0</v>
      </c>
      <c r="G479" s="8">
        <v>0</v>
      </c>
      <c r="H479" s="8">
        <v>0</v>
      </c>
      <c r="I479" s="8">
        <v>0</v>
      </c>
      <c r="J479" s="119"/>
      <c r="K479" s="119"/>
    </row>
    <row r="480" spans="1:12" ht="17.25" customHeight="1" outlineLevel="1" x14ac:dyDescent="0.25">
      <c r="A480" s="117"/>
      <c r="B480" s="118"/>
      <c r="C480" s="119"/>
      <c r="D480" s="7">
        <v>2023</v>
      </c>
      <c r="E480" s="8">
        <f t="shared" si="44"/>
        <v>0</v>
      </c>
      <c r="F480" s="8">
        <v>0</v>
      </c>
      <c r="G480" s="8">
        <v>0</v>
      </c>
      <c r="H480" s="8">
        <v>0</v>
      </c>
      <c r="I480" s="8">
        <v>0</v>
      </c>
      <c r="J480" s="119"/>
      <c r="K480" s="119"/>
    </row>
    <row r="481" spans="1:12" ht="17.25" customHeight="1" outlineLevel="1" x14ac:dyDescent="0.25">
      <c r="A481" s="117"/>
      <c r="B481" s="118"/>
      <c r="C481" s="119"/>
      <c r="D481" s="7">
        <v>2024</v>
      </c>
      <c r="E481" s="8">
        <f t="shared" si="44"/>
        <v>0</v>
      </c>
      <c r="F481" s="8">
        <v>0</v>
      </c>
      <c r="G481" s="8">
        <v>0</v>
      </c>
      <c r="H481" s="8">
        <v>0</v>
      </c>
      <c r="I481" s="8">
        <v>0</v>
      </c>
      <c r="J481" s="119"/>
      <c r="K481" s="119"/>
    </row>
    <row r="482" spans="1:12" ht="17.25" customHeight="1" outlineLevel="1" x14ac:dyDescent="0.25">
      <c r="A482" s="117"/>
      <c r="B482" s="118"/>
      <c r="C482" s="119"/>
      <c r="D482" s="7">
        <v>2025</v>
      </c>
      <c r="E482" s="8">
        <f t="shared" si="44"/>
        <v>0</v>
      </c>
      <c r="F482" s="8">
        <v>0</v>
      </c>
      <c r="G482" s="8">
        <v>0</v>
      </c>
      <c r="H482" s="8">
        <v>0</v>
      </c>
      <c r="I482" s="8">
        <v>0</v>
      </c>
      <c r="J482" s="119"/>
      <c r="K482" s="119"/>
    </row>
    <row r="483" spans="1:12" ht="15" customHeight="1" outlineLevel="1" x14ac:dyDescent="0.25">
      <c r="A483" s="117" t="s">
        <v>894</v>
      </c>
      <c r="B483" s="118" t="s">
        <v>793</v>
      </c>
      <c r="C483" s="119">
        <v>2022</v>
      </c>
      <c r="D483" s="7" t="s">
        <v>8</v>
      </c>
      <c r="E483" s="8">
        <f t="shared" si="44"/>
        <v>0</v>
      </c>
      <c r="F483" s="8">
        <f>SUM(F484:F488)</f>
        <v>0</v>
      </c>
      <c r="G483" s="8">
        <f t="shared" si="42"/>
        <v>0</v>
      </c>
      <c r="H483" s="8">
        <f>SUM(H484:H488)</f>
        <v>0</v>
      </c>
      <c r="I483" s="8">
        <f t="shared" si="43"/>
        <v>0</v>
      </c>
      <c r="J483" s="119" t="s">
        <v>895</v>
      </c>
      <c r="K483" s="119" t="s">
        <v>547</v>
      </c>
      <c r="L483" s="124"/>
    </row>
    <row r="484" spans="1:12" ht="15" customHeight="1" outlineLevel="1" x14ac:dyDescent="0.25">
      <c r="A484" s="117"/>
      <c r="B484" s="118"/>
      <c r="C484" s="119"/>
      <c r="D484" s="7">
        <v>2021</v>
      </c>
      <c r="E484" s="8">
        <f t="shared" si="44"/>
        <v>0</v>
      </c>
      <c r="F484" s="8">
        <v>0</v>
      </c>
      <c r="G484" s="8">
        <v>0</v>
      </c>
      <c r="H484" s="8">
        <v>0</v>
      </c>
      <c r="I484" s="8">
        <v>0</v>
      </c>
      <c r="J484" s="119"/>
      <c r="K484" s="119"/>
      <c r="L484" s="124"/>
    </row>
    <row r="485" spans="1:12" ht="15" customHeight="1" outlineLevel="1" x14ac:dyDescent="0.25">
      <c r="A485" s="117"/>
      <c r="B485" s="118"/>
      <c r="C485" s="119"/>
      <c r="D485" s="7">
        <v>2022</v>
      </c>
      <c r="E485" s="8">
        <f t="shared" si="44"/>
        <v>0</v>
      </c>
      <c r="F485" s="8">
        <v>0</v>
      </c>
      <c r="G485" s="8">
        <v>0</v>
      </c>
      <c r="H485" s="8">
        <v>0</v>
      </c>
      <c r="I485" s="8">
        <v>0</v>
      </c>
      <c r="J485" s="119"/>
      <c r="K485" s="119"/>
      <c r="L485" s="124"/>
    </row>
    <row r="486" spans="1:12" ht="15" customHeight="1" outlineLevel="1" x14ac:dyDescent="0.25">
      <c r="A486" s="117"/>
      <c r="B486" s="118"/>
      <c r="C486" s="119"/>
      <c r="D486" s="7">
        <v>2023</v>
      </c>
      <c r="E486" s="8">
        <f t="shared" si="44"/>
        <v>0</v>
      </c>
      <c r="F486" s="8">
        <v>0</v>
      </c>
      <c r="G486" s="8">
        <v>0</v>
      </c>
      <c r="H486" s="8">
        <v>0</v>
      </c>
      <c r="I486" s="8">
        <v>0</v>
      </c>
      <c r="J486" s="119"/>
      <c r="K486" s="119"/>
      <c r="L486" s="124"/>
    </row>
    <row r="487" spans="1:12" ht="15" customHeight="1" outlineLevel="1" x14ac:dyDescent="0.25">
      <c r="A487" s="117"/>
      <c r="B487" s="118"/>
      <c r="C487" s="119"/>
      <c r="D487" s="7">
        <v>2024</v>
      </c>
      <c r="E487" s="8">
        <f t="shared" si="44"/>
        <v>0</v>
      </c>
      <c r="F487" s="8">
        <v>0</v>
      </c>
      <c r="G487" s="8">
        <v>0</v>
      </c>
      <c r="H487" s="8">
        <v>0</v>
      </c>
      <c r="I487" s="8">
        <v>0</v>
      </c>
      <c r="J487" s="119"/>
      <c r="K487" s="119"/>
      <c r="L487" s="124"/>
    </row>
    <row r="488" spans="1:12" ht="15" customHeight="1" outlineLevel="1" x14ac:dyDescent="0.25">
      <c r="A488" s="117"/>
      <c r="B488" s="118"/>
      <c r="C488" s="119"/>
      <c r="D488" s="7">
        <v>2025</v>
      </c>
      <c r="E488" s="8">
        <f t="shared" si="44"/>
        <v>0</v>
      </c>
      <c r="F488" s="8">
        <v>0</v>
      </c>
      <c r="G488" s="8">
        <v>0</v>
      </c>
      <c r="H488" s="8">
        <v>0</v>
      </c>
      <c r="I488" s="8">
        <v>0</v>
      </c>
      <c r="J488" s="119"/>
      <c r="K488" s="119"/>
      <c r="L488" s="124"/>
    </row>
    <row r="489" spans="1:12" ht="15" customHeight="1" outlineLevel="1" x14ac:dyDescent="0.25">
      <c r="A489" s="117" t="s">
        <v>904</v>
      </c>
      <c r="B489" s="118" t="s">
        <v>905</v>
      </c>
      <c r="C489" s="119" t="s">
        <v>1169</v>
      </c>
      <c r="D489" s="7" t="s">
        <v>8</v>
      </c>
      <c r="E489" s="8">
        <f t="shared" si="44"/>
        <v>66399.149999999994</v>
      </c>
      <c r="F489" s="8">
        <f>SUM(F490:F494)</f>
        <v>66399.149999999994</v>
      </c>
      <c r="G489" s="8">
        <f t="shared" si="42"/>
        <v>0</v>
      </c>
      <c r="H489" s="8">
        <f>SUM(H490:H494)</f>
        <v>0</v>
      </c>
      <c r="I489" s="8">
        <f t="shared" si="43"/>
        <v>0</v>
      </c>
      <c r="J489" s="119" t="s">
        <v>906</v>
      </c>
      <c r="K489" s="119" t="s">
        <v>907</v>
      </c>
    </row>
    <row r="490" spans="1:12" ht="15" customHeight="1" outlineLevel="1" x14ac:dyDescent="0.25">
      <c r="A490" s="117"/>
      <c r="B490" s="118"/>
      <c r="C490" s="119"/>
      <c r="D490" s="7">
        <v>2021</v>
      </c>
      <c r="E490" s="8">
        <f t="shared" si="44"/>
        <v>0</v>
      </c>
      <c r="F490" s="8">
        <v>0</v>
      </c>
      <c r="G490" s="8">
        <v>0</v>
      </c>
      <c r="H490" s="8">
        <v>0</v>
      </c>
      <c r="I490" s="8">
        <v>0</v>
      </c>
      <c r="J490" s="119"/>
      <c r="K490" s="119"/>
    </row>
    <row r="491" spans="1:12" ht="15" customHeight="1" outlineLevel="1" x14ac:dyDescent="0.25">
      <c r="A491" s="117"/>
      <c r="B491" s="118"/>
      <c r="C491" s="119"/>
      <c r="D491" s="7">
        <v>2022</v>
      </c>
      <c r="E491" s="8">
        <f t="shared" si="44"/>
        <v>66399.149999999994</v>
      </c>
      <c r="F491" s="8">
        <f>200000-21582.6-112018.25</f>
        <v>66399.149999999994</v>
      </c>
      <c r="G491" s="8">
        <v>0</v>
      </c>
      <c r="H491" s="8">
        <v>0</v>
      </c>
      <c r="I491" s="8">
        <v>0</v>
      </c>
      <c r="J491" s="119"/>
      <c r="K491" s="119"/>
    </row>
    <row r="492" spans="1:12" ht="15" customHeight="1" outlineLevel="1" x14ac:dyDescent="0.25">
      <c r="A492" s="117"/>
      <c r="B492" s="118"/>
      <c r="C492" s="119"/>
      <c r="D492" s="7">
        <v>2023</v>
      </c>
      <c r="E492" s="8">
        <f t="shared" si="44"/>
        <v>0</v>
      </c>
      <c r="F492" s="8">
        <v>0</v>
      </c>
      <c r="G492" s="8">
        <v>0</v>
      </c>
      <c r="H492" s="8">
        <v>0</v>
      </c>
      <c r="I492" s="8">
        <v>0</v>
      </c>
      <c r="J492" s="119"/>
      <c r="K492" s="119"/>
    </row>
    <row r="493" spans="1:12" ht="15" customHeight="1" outlineLevel="1" x14ac:dyDescent="0.25">
      <c r="A493" s="117"/>
      <c r="B493" s="118"/>
      <c r="C493" s="119"/>
      <c r="D493" s="7">
        <v>2024</v>
      </c>
      <c r="E493" s="8">
        <f t="shared" si="44"/>
        <v>0</v>
      </c>
      <c r="F493" s="8">
        <v>0</v>
      </c>
      <c r="G493" s="8">
        <v>0</v>
      </c>
      <c r="H493" s="8">
        <v>0</v>
      </c>
      <c r="I493" s="8">
        <v>0</v>
      </c>
      <c r="J493" s="119"/>
      <c r="K493" s="119"/>
    </row>
    <row r="494" spans="1:12" ht="15" customHeight="1" outlineLevel="1" x14ac:dyDescent="0.25">
      <c r="A494" s="117"/>
      <c r="B494" s="118"/>
      <c r="C494" s="119"/>
      <c r="D494" s="7">
        <v>2025</v>
      </c>
      <c r="E494" s="8">
        <f t="shared" si="44"/>
        <v>0</v>
      </c>
      <c r="F494" s="8">
        <v>0</v>
      </c>
      <c r="G494" s="8">
        <v>0</v>
      </c>
      <c r="H494" s="8">
        <v>0</v>
      </c>
      <c r="I494" s="8">
        <v>0</v>
      </c>
      <c r="J494" s="119"/>
      <c r="K494" s="119"/>
    </row>
    <row r="495" spans="1:12" ht="15" customHeight="1" outlineLevel="1" x14ac:dyDescent="0.25">
      <c r="A495" s="117" t="s">
        <v>909</v>
      </c>
      <c r="B495" s="118" t="s">
        <v>910</v>
      </c>
      <c r="C495" s="119">
        <v>2022</v>
      </c>
      <c r="D495" s="7" t="s">
        <v>8</v>
      </c>
      <c r="E495" s="8">
        <f t="shared" si="44"/>
        <v>0</v>
      </c>
      <c r="F495" s="8">
        <f t="shared" ref="F495:H507" si="45">SUM(F496:F500)</f>
        <v>0</v>
      </c>
      <c r="G495" s="8">
        <f t="shared" si="45"/>
        <v>0</v>
      </c>
      <c r="H495" s="8">
        <f t="shared" si="45"/>
        <v>0</v>
      </c>
      <c r="I495" s="8">
        <f t="shared" si="43"/>
        <v>0</v>
      </c>
      <c r="J495" s="119" t="s">
        <v>911</v>
      </c>
      <c r="K495" s="119" t="s">
        <v>547</v>
      </c>
    </row>
    <row r="496" spans="1:12" ht="15" customHeight="1" outlineLevel="1" x14ac:dyDescent="0.25">
      <c r="A496" s="117"/>
      <c r="B496" s="118"/>
      <c r="C496" s="119"/>
      <c r="D496" s="7">
        <v>2021</v>
      </c>
      <c r="E496" s="8">
        <f t="shared" si="44"/>
        <v>0</v>
      </c>
      <c r="F496" s="8">
        <v>0</v>
      </c>
      <c r="G496" s="8">
        <v>0</v>
      </c>
      <c r="H496" s="8">
        <v>0</v>
      </c>
      <c r="I496" s="8">
        <v>0</v>
      </c>
      <c r="J496" s="119"/>
      <c r="K496" s="119"/>
    </row>
    <row r="497" spans="1:12" ht="15" customHeight="1" outlineLevel="1" x14ac:dyDescent="0.25">
      <c r="A497" s="117"/>
      <c r="B497" s="118"/>
      <c r="C497" s="119"/>
      <c r="D497" s="7">
        <v>2022</v>
      </c>
      <c r="E497" s="8">
        <f t="shared" si="44"/>
        <v>0</v>
      </c>
      <c r="F497" s="8">
        <v>0</v>
      </c>
      <c r="G497" s="8">
        <v>0</v>
      </c>
      <c r="H497" s="8">
        <v>0</v>
      </c>
      <c r="I497" s="8">
        <v>0</v>
      </c>
      <c r="J497" s="119"/>
      <c r="K497" s="119"/>
    </row>
    <row r="498" spans="1:12" ht="15" customHeight="1" outlineLevel="1" x14ac:dyDescent="0.25">
      <c r="A498" s="117"/>
      <c r="B498" s="118"/>
      <c r="C498" s="119"/>
      <c r="D498" s="7">
        <v>2023</v>
      </c>
      <c r="E498" s="8">
        <f t="shared" si="44"/>
        <v>0</v>
      </c>
      <c r="F498" s="8">
        <v>0</v>
      </c>
      <c r="G498" s="8">
        <v>0</v>
      </c>
      <c r="H498" s="8">
        <v>0</v>
      </c>
      <c r="I498" s="8">
        <v>0</v>
      </c>
      <c r="J498" s="119"/>
      <c r="K498" s="119"/>
    </row>
    <row r="499" spans="1:12" ht="15" customHeight="1" outlineLevel="1" x14ac:dyDescent="0.25">
      <c r="A499" s="117"/>
      <c r="B499" s="118"/>
      <c r="C499" s="119"/>
      <c r="D499" s="7">
        <v>2024</v>
      </c>
      <c r="E499" s="8">
        <f t="shared" si="44"/>
        <v>0</v>
      </c>
      <c r="F499" s="8">
        <v>0</v>
      </c>
      <c r="G499" s="8">
        <v>0</v>
      </c>
      <c r="H499" s="8">
        <v>0</v>
      </c>
      <c r="I499" s="8">
        <v>0</v>
      </c>
      <c r="J499" s="119"/>
      <c r="K499" s="119"/>
    </row>
    <row r="500" spans="1:12" ht="15" customHeight="1" outlineLevel="1" x14ac:dyDescent="0.25">
      <c r="A500" s="117"/>
      <c r="B500" s="118"/>
      <c r="C500" s="119"/>
      <c r="D500" s="7">
        <v>2025</v>
      </c>
      <c r="E500" s="8">
        <f t="shared" si="44"/>
        <v>0</v>
      </c>
      <c r="F500" s="8">
        <v>0</v>
      </c>
      <c r="G500" s="8">
        <v>0</v>
      </c>
      <c r="H500" s="8">
        <v>0</v>
      </c>
      <c r="I500" s="8">
        <v>0</v>
      </c>
      <c r="J500" s="119"/>
      <c r="K500" s="119"/>
    </row>
    <row r="501" spans="1:12" ht="15" customHeight="1" outlineLevel="1" x14ac:dyDescent="0.25">
      <c r="A501" s="117" t="s">
        <v>1170</v>
      </c>
      <c r="B501" s="118" t="s">
        <v>1171</v>
      </c>
      <c r="C501" s="119">
        <v>2022</v>
      </c>
      <c r="D501" s="7" t="s">
        <v>8</v>
      </c>
      <c r="E501" s="8">
        <f t="shared" si="44"/>
        <v>6133.3262999999997</v>
      </c>
      <c r="F501" s="8">
        <f t="shared" si="45"/>
        <v>5826.66</v>
      </c>
      <c r="G501" s="8">
        <v>0</v>
      </c>
      <c r="H501" s="8">
        <f t="shared" si="45"/>
        <v>306.66629999999998</v>
      </c>
      <c r="I501" s="8">
        <f t="shared" si="43"/>
        <v>0</v>
      </c>
      <c r="J501" s="119" t="s">
        <v>1172</v>
      </c>
      <c r="K501" s="119" t="s">
        <v>547</v>
      </c>
      <c r="L501" s="124"/>
    </row>
    <row r="502" spans="1:12" outlineLevel="1" x14ac:dyDescent="0.25">
      <c r="A502" s="117"/>
      <c r="B502" s="118"/>
      <c r="C502" s="119"/>
      <c r="D502" s="7">
        <v>2021</v>
      </c>
      <c r="E502" s="8">
        <f t="shared" si="44"/>
        <v>0</v>
      </c>
      <c r="F502" s="8">
        <v>0</v>
      </c>
      <c r="G502" s="8">
        <v>0</v>
      </c>
      <c r="H502" s="8">
        <v>0</v>
      </c>
      <c r="I502" s="8">
        <v>0</v>
      </c>
      <c r="J502" s="119"/>
      <c r="K502" s="119"/>
      <c r="L502" s="124"/>
    </row>
    <row r="503" spans="1:12" outlineLevel="1" x14ac:dyDescent="0.25">
      <c r="A503" s="117"/>
      <c r="B503" s="118"/>
      <c r="C503" s="119"/>
      <c r="D503" s="7">
        <v>2022</v>
      </c>
      <c r="E503" s="8">
        <f t="shared" si="44"/>
        <v>6133.3262999999997</v>
      </c>
      <c r="F503" s="8">
        <v>5826.66</v>
      </c>
      <c r="G503" s="8">
        <v>0</v>
      </c>
      <c r="H503" s="8">
        <v>306.66629999999998</v>
      </c>
      <c r="I503" s="8">
        <v>0</v>
      </c>
      <c r="J503" s="119"/>
      <c r="K503" s="119"/>
      <c r="L503" s="124"/>
    </row>
    <row r="504" spans="1:12" outlineLevel="1" x14ac:dyDescent="0.25">
      <c r="A504" s="117"/>
      <c r="B504" s="118"/>
      <c r="C504" s="119"/>
      <c r="D504" s="7">
        <v>2023</v>
      </c>
      <c r="E504" s="8">
        <f t="shared" si="44"/>
        <v>0</v>
      </c>
      <c r="F504" s="8">
        <v>0</v>
      </c>
      <c r="G504" s="8">
        <v>0</v>
      </c>
      <c r="H504" s="8">
        <v>0</v>
      </c>
      <c r="I504" s="8">
        <v>0</v>
      </c>
      <c r="J504" s="119"/>
      <c r="K504" s="119"/>
    </row>
    <row r="505" spans="1:12" outlineLevel="1" x14ac:dyDescent="0.25">
      <c r="A505" s="117"/>
      <c r="B505" s="118"/>
      <c r="C505" s="119"/>
      <c r="D505" s="7">
        <v>2024</v>
      </c>
      <c r="E505" s="8">
        <f t="shared" si="44"/>
        <v>0</v>
      </c>
      <c r="F505" s="8">
        <v>0</v>
      </c>
      <c r="G505" s="8">
        <v>0</v>
      </c>
      <c r="H505" s="8">
        <v>0</v>
      </c>
      <c r="I505" s="8">
        <v>0</v>
      </c>
      <c r="J505" s="119"/>
      <c r="K505" s="119"/>
    </row>
    <row r="506" spans="1:12" outlineLevel="1" x14ac:dyDescent="0.25">
      <c r="A506" s="117"/>
      <c r="B506" s="118"/>
      <c r="C506" s="119"/>
      <c r="D506" s="7">
        <v>2025</v>
      </c>
      <c r="E506" s="8">
        <f t="shared" si="44"/>
        <v>0</v>
      </c>
      <c r="F506" s="8">
        <v>0</v>
      </c>
      <c r="G506" s="8">
        <v>0</v>
      </c>
      <c r="H506" s="8">
        <v>0</v>
      </c>
      <c r="I506" s="8">
        <v>0</v>
      </c>
      <c r="J506" s="119"/>
      <c r="K506" s="119"/>
    </row>
    <row r="507" spans="1:12" outlineLevel="1" x14ac:dyDescent="0.25">
      <c r="A507" s="117" t="s">
        <v>1173</v>
      </c>
      <c r="B507" s="118" t="s">
        <v>1174</v>
      </c>
      <c r="C507" s="119">
        <v>2023</v>
      </c>
      <c r="D507" s="7" t="s">
        <v>8</v>
      </c>
      <c r="E507" s="8">
        <f t="shared" si="44"/>
        <v>0</v>
      </c>
      <c r="F507" s="8">
        <f t="shared" si="45"/>
        <v>0</v>
      </c>
      <c r="G507" s="8">
        <f t="shared" si="45"/>
        <v>0</v>
      </c>
      <c r="H507" s="8">
        <f t="shared" si="45"/>
        <v>0</v>
      </c>
      <c r="I507" s="8">
        <f t="shared" si="43"/>
        <v>0</v>
      </c>
      <c r="J507" s="119" t="s">
        <v>1175</v>
      </c>
      <c r="K507" s="119" t="s">
        <v>484</v>
      </c>
    </row>
    <row r="508" spans="1:12" outlineLevel="1" x14ac:dyDescent="0.25">
      <c r="A508" s="117"/>
      <c r="B508" s="118"/>
      <c r="C508" s="119"/>
      <c r="D508" s="7">
        <v>2021</v>
      </c>
      <c r="E508" s="8">
        <f t="shared" si="44"/>
        <v>0</v>
      </c>
      <c r="F508" s="8">
        <v>0</v>
      </c>
      <c r="G508" s="8">
        <v>0</v>
      </c>
      <c r="H508" s="8">
        <v>0</v>
      </c>
      <c r="I508" s="8">
        <v>0</v>
      </c>
      <c r="J508" s="119"/>
      <c r="K508" s="119"/>
    </row>
    <row r="509" spans="1:12" outlineLevel="1" x14ac:dyDescent="0.25">
      <c r="A509" s="117"/>
      <c r="B509" s="118"/>
      <c r="C509" s="119"/>
      <c r="D509" s="7">
        <v>2022</v>
      </c>
      <c r="E509" s="8">
        <f t="shared" si="44"/>
        <v>0</v>
      </c>
      <c r="F509" s="8">
        <v>0</v>
      </c>
      <c r="G509" s="8">
        <v>0</v>
      </c>
      <c r="H509" s="8">
        <v>0</v>
      </c>
      <c r="I509" s="8">
        <v>0</v>
      </c>
      <c r="J509" s="119"/>
      <c r="K509" s="119"/>
    </row>
    <row r="510" spans="1:12" outlineLevel="1" x14ac:dyDescent="0.25">
      <c r="A510" s="117"/>
      <c r="B510" s="118"/>
      <c r="C510" s="119"/>
      <c r="D510" s="7">
        <v>2023</v>
      </c>
      <c r="E510" s="8">
        <f t="shared" si="44"/>
        <v>0</v>
      </c>
      <c r="F510" s="8">
        <v>0</v>
      </c>
      <c r="G510" s="8">
        <v>0</v>
      </c>
      <c r="H510" s="8">
        <v>0</v>
      </c>
      <c r="I510" s="8">
        <v>0</v>
      </c>
      <c r="J510" s="119"/>
      <c r="K510" s="119"/>
    </row>
    <row r="511" spans="1:12" outlineLevel="1" x14ac:dyDescent="0.25">
      <c r="A511" s="117"/>
      <c r="B511" s="118"/>
      <c r="C511" s="119"/>
      <c r="D511" s="7">
        <v>2024</v>
      </c>
      <c r="E511" s="8">
        <f t="shared" si="44"/>
        <v>0</v>
      </c>
      <c r="F511" s="8">
        <v>0</v>
      </c>
      <c r="G511" s="8">
        <v>0</v>
      </c>
      <c r="H511" s="8">
        <v>0</v>
      </c>
      <c r="I511" s="8">
        <v>0</v>
      </c>
      <c r="J511" s="119"/>
      <c r="K511" s="119"/>
    </row>
    <row r="512" spans="1:12" outlineLevel="1" x14ac:dyDescent="0.25">
      <c r="A512" s="117"/>
      <c r="B512" s="118"/>
      <c r="C512" s="119"/>
      <c r="D512" s="7">
        <v>2025</v>
      </c>
      <c r="E512" s="8">
        <f t="shared" si="44"/>
        <v>0</v>
      </c>
      <c r="F512" s="8">
        <v>0</v>
      </c>
      <c r="G512" s="8">
        <v>0</v>
      </c>
      <c r="H512" s="8">
        <v>0</v>
      </c>
      <c r="I512" s="8">
        <v>0</v>
      </c>
      <c r="J512" s="119"/>
      <c r="K512" s="119"/>
    </row>
    <row r="513" spans="1:16" s="61" customFormat="1" outlineLevel="1" x14ac:dyDescent="0.25">
      <c r="A513" s="138" t="s">
        <v>1783</v>
      </c>
      <c r="B513" s="140" t="s">
        <v>1784</v>
      </c>
      <c r="C513" s="191">
        <v>2024</v>
      </c>
      <c r="D513" s="48" t="s">
        <v>8</v>
      </c>
      <c r="E513" s="49">
        <f>НОВЫЙ_МИНСТРОЙ!E515</f>
        <v>17927</v>
      </c>
      <c r="F513" s="49">
        <f>НОВЫЙ_МИНСТРОЙ!F515</f>
        <v>17927</v>
      </c>
      <c r="G513" s="49">
        <f>НОВЫЙ_МИНСТРОЙ!G515</f>
        <v>0</v>
      </c>
      <c r="H513" s="49">
        <f>НОВЫЙ_МИНСТРОЙ!H515</f>
        <v>0</v>
      </c>
      <c r="I513" s="49">
        <f>НОВЫЙ_МИНСТРОЙ!I515</f>
        <v>0</v>
      </c>
      <c r="J513" s="142" t="s">
        <v>1785</v>
      </c>
      <c r="K513" s="142" t="s">
        <v>1786</v>
      </c>
      <c r="M513" s="55"/>
      <c r="N513" s="55"/>
      <c r="O513" s="55"/>
      <c r="P513" s="55"/>
    </row>
    <row r="514" spans="1:16" s="61" customFormat="1" outlineLevel="1" x14ac:dyDescent="0.25">
      <c r="A514" s="139"/>
      <c r="B514" s="141"/>
      <c r="C514" s="192"/>
      <c r="D514" s="48">
        <v>2021</v>
      </c>
      <c r="E514" s="49">
        <f>НОВЫЙ_МИНСТРОЙ!E516</f>
        <v>0</v>
      </c>
      <c r="F514" s="49">
        <f>НОВЫЙ_МИНСТРОЙ!F516</f>
        <v>0</v>
      </c>
      <c r="G514" s="49">
        <f>НОВЫЙ_МИНСТРОЙ!G516</f>
        <v>0</v>
      </c>
      <c r="H514" s="49">
        <f>НОВЫЙ_МИНСТРОЙ!H516</f>
        <v>0</v>
      </c>
      <c r="I514" s="49">
        <f>НОВЫЙ_МИНСТРОЙ!I516</f>
        <v>0</v>
      </c>
      <c r="J514" s="143"/>
      <c r="K514" s="143"/>
      <c r="M514" s="55"/>
      <c r="N514" s="55"/>
      <c r="O514" s="55"/>
      <c r="P514" s="55"/>
    </row>
    <row r="515" spans="1:16" s="61" customFormat="1" outlineLevel="1" x14ac:dyDescent="0.25">
      <c r="A515" s="139"/>
      <c r="B515" s="141"/>
      <c r="C515" s="192"/>
      <c r="D515" s="48">
        <v>2022</v>
      </c>
      <c r="E515" s="49">
        <f>НОВЫЙ_МИНСТРОЙ!E517</f>
        <v>0</v>
      </c>
      <c r="F515" s="49">
        <f>НОВЫЙ_МИНСТРОЙ!F517</f>
        <v>0</v>
      </c>
      <c r="G515" s="49">
        <f>НОВЫЙ_МИНСТРОЙ!G517</f>
        <v>0</v>
      </c>
      <c r="H515" s="49">
        <f>НОВЫЙ_МИНСТРОЙ!H517</f>
        <v>0</v>
      </c>
      <c r="I515" s="49">
        <f>НОВЫЙ_МИНСТРОЙ!I517</f>
        <v>0</v>
      </c>
      <c r="J515" s="143"/>
      <c r="K515" s="143"/>
      <c r="M515" s="55"/>
      <c r="N515" s="55"/>
      <c r="O515" s="55"/>
      <c r="P515" s="55"/>
    </row>
    <row r="516" spans="1:16" s="61" customFormat="1" outlineLevel="1" x14ac:dyDescent="0.25">
      <c r="A516" s="139"/>
      <c r="B516" s="141"/>
      <c r="C516" s="192"/>
      <c r="D516" s="48">
        <v>2023</v>
      </c>
      <c r="E516" s="49">
        <f>НОВЫЙ_МИНСТРОЙ!E518</f>
        <v>0</v>
      </c>
      <c r="F516" s="49">
        <f>НОВЫЙ_МИНСТРОЙ!F518</f>
        <v>0</v>
      </c>
      <c r="G516" s="49">
        <f>НОВЫЙ_МИНСТРОЙ!G518</f>
        <v>0</v>
      </c>
      <c r="H516" s="49">
        <f>НОВЫЙ_МИНСТРОЙ!H518</f>
        <v>0</v>
      </c>
      <c r="I516" s="49">
        <f>НОВЫЙ_МИНСТРОЙ!I518</f>
        <v>0</v>
      </c>
      <c r="J516" s="143"/>
      <c r="K516" s="143"/>
      <c r="M516" s="55"/>
      <c r="N516" s="55"/>
      <c r="O516" s="55"/>
      <c r="P516" s="55"/>
    </row>
    <row r="517" spans="1:16" s="61" customFormat="1" outlineLevel="1" x14ac:dyDescent="0.25">
      <c r="A517" s="139"/>
      <c r="B517" s="141"/>
      <c r="C517" s="192"/>
      <c r="D517" s="48">
        <v>2024</v>
      </c>
      <c r="E517" s="49">
        <f>НОВЫЙ_МИНСТРОЙ!E519</f>
        <v>17927</v>
      </c>
      <c r="F517" s="49">
        <f>НОВЫЙ_МИНСТРОЙ!F519</f>
        <v>17927</v>
      </c>
      <c r="G517" s="49">
        <f>НОВЫЙ_МИНСТРОЙ!G519</f>
        <v>0</v>
      </c>
      <c r="H517" s="49">
        <f>НОВЫЙ_МИНСТРОЙ!H519</f>
        <v>0</v>
      </c>
      <c r="I517" s="49">
        <f>НОВЫЙ_МИНСТРОЙ!I519</f>
        <v>0</v>
      </c>
      <c r="J517" s="143"/>
      <c r="K517" s="143"/>
      <c r="M517" s="55"/>
      <c r="N517" s="55"/>
      <c r="O517" s="55"/>
      <c r="P517" s="55"/>
    </row>
    <row r="518" spans="1:16" s="61" customFormat="1" outlineLevel="1" x14ac:dyDescent="0.25">
      <c r="A518" s="139"/>
      <c r="B518" s="141"/>
      <c r="C518" s="193"/>
      <c r="D518" s="48">
        <v>2025</v>
      </c>
      <c r="E518" s="49">
        <f>НОВЫЙ_МИНСТРОЙ!E520</f>
        <v>0</v>
      </c>
      <c r="F518" s="49">
        <f>НОВЫЙ_МИНСТРОЙ!F520</f>
        <v>0</v>
      </c>
      <c r="G518" s="49">
        <f>НОВЫЙ_МИНСТРОЙ!G520</f>
        <v>0</v>
      </c>
      <c r="H518" s="49">
        <f>НОВЫЙ_МИНСТРОЙ!H520</f>
        <v>0</v>
      </c>
      <c r="I518" s="49">
        <f>НОВЫЙ_МИНСТРОЙ!I520</f>
        <v>0</v>
      </c>
      <c r="J518" s="143"/>
      <c r="K518" s="143"/>
      <c r="M518" s="55"/>
      <c r="N518" s="55"/>
      <c r="O518" s="55"/>
      <c r="P518" s="55"/>
    </row>
    <row r="519" spans="1:16" s="61" customFormat="1" outlineLevel="1" x14ac:dyDescent="0.25">
      <c r="A519" s="138" t="s">
        <v>1787</v>
      </c>
      <c r="B519" s="140" t="s">
        <v>1788</v>
      </c>
      <c r="C519" s="191">
        <v>2024</v>
      </c>
      <c r="D519" s="48" t="s">
        <v>8</v>
      </c>
      <c r="E519" s="49">
        <f>НОВЫЙ_МИНСТРОЙ!E521</f>
        <v>36376.927109999997</v>
      </c>
      <c r="F519" s="49">
        <f>НОВЫЙ_МИНСТРОЙ!F521</f>
        <v>36376.927109999997</v>
      </c>
      <c r="G519" s="49">
        <f>НОВЫЙ_МИНСТРОЙ!G521</f>
        <v>0</v>
      </c>
      <c r="H519" s="49">
        <f>НОВЫЙ_МИНСТРОЙ!H521</f>
        <v>0</v>
      </c>
      <c r="I519" s="49">
        <f>НОВЫЙ_МИНСТРОЙ!I521</f>
        <v>0</v>
      </c>
      <c r="J519" s="142" t="s">
        <v>1789</v>
      </c>
      <c r="K519" s="142" t="s">
        <v>1786</v>
      </c>
      <c r="M519" s="55"/>
      <c r="N519" s="55"/>
      <c r="O519" s="55"/>
      <c r="P519" s="55"/>
    </row>
    <row r="520" spans="1:16" s="61" customFormat="1" outlineLevel="1" x14ac:dyDescent="0.25">
      <c r="A520" s="139"/>
      <c r="B520" s="141"/>
      <c r="C520" s="192"/>
      <c r="D520" s="48">
        <v>2021</v>
      </c>
      <c r="E520" s="49">
        <f>НОВЫЙ_МИНСТРОЙ!E522</f>
        <v>0</v>
      </c>
      <c r="F520" s="49">
        <f>НОВЫЙ_МИНСТРОЙ!F522</f>
        <v>0</v>
      </c>
      <c r="G520" s="49">
        <f>НОВЫЙ_МИНСТРОЙ!G522</f>
        <v>0</v>
      </c>
      <c r="H520" s="49">
        <f>НОВЫЙ_МИНСТРОЙ!H522</f>
        <v>0</v>
      </c>
      <c r="I520" s="49">
        <f>НОВЫЙ_МИНСТРОЙ!I522</f>
        <v>0</v>
      </c>
      <c r="J520" s="143"/>
      <c r="K520" s="143"/>
      <c r="M520" s="55"/>
      <c r="N520" s="55"/>
      <c r="O520" s="55"/>
      <c r="P520" s="55"/>
    </row>
    <row r="521" spans="1:16" s="61" customFormat="1" outlineLevel="1" x14ac:dyDescent="0.25">
      <c r="A521" s="139"/>
      <c r="B521" s="141"/>
      <c r="C521" s="192"/>
      <c r="D521" s="48">
        <v>2022</v>
      </c>
      <c r="E521" s="49">
        <f>НОВЫЙ_МИНСТРОЙ!E523</f>
        <v>0</v>
      </c>
      <c r="F521" s="49">
        <f>НОВЫЙ_МИНСТРОЙ!F523</f>
        <v>0</v>
      </c>
      <c r="G521" s="49">
        <f>НОВЫЙ_МИНСТРОЙ!G523</f>
        <v>0</v>
      </c>
      <c r="H521" s="49">
        <f>НОВЫЙ_МИНСТРОЙ!H523</f>
        <v>0</v>
      </c>
      <c r="I521" s="49">
        <f>НОВЫЙ_МИНСТРОЙ!I523</f>
        <v>0</v>
      </c>
      <c r="J521" s="143"/>
      <c r="K521" s="143"/>
      <c r="M521" s="55"/>
      <c r="N521" s="55"/>
      <c r="O521" s="55"/>
      <c r="P521" s="55"/>
    </row>
    <row r="522" spans="1:16" s="61" customFormat="1" outlineLevel="1" x14ac:dyDescent="0.25">
      <c r="A522" s="139"/>
      <c r="B522" s="141"/>
      <c r="C522" s="192"/>
      <c r="D522" s="48">
        <v>2023</v>
      </c>
      <c r="E522" s="49">
        <f>НОВЫЙ_МИНСТРОЙ!E524</f>
        <v>0</v>
      </c>
      <c r="F522" s="49">
        <f>НОВЫЙ_МИНСТРОЙ!F524</f>
        <v>0</v>
      </c>
      <c r="G522" s="49">
        <f>НОВЫЙ_МИНСТРОЙ!G524</f>
        <v>0</v>
      </c>
      <c r="H522" s="49">
        <f>НОВЫЙ_МИНСТРОЙ!H524</f>
        <v>0</v>
      </c>
      <c r="I522" s="49">
        <f>НОВЫЙ_МИНСТРОЙ!I524</f>
        <v>0</v>
      </c>
      <c r="J522" s="143"/>
      <c r="K522" s="143"/>
      <c r="M522" s="55"/>
      <c r="N522" s="55"/>
      <c r="O522" s="55"/>
      <c r="P522" s="55"/>
    </row>
    <row r="523" spans="1:16" s="61" customFormat="1" outlineLevel="1" x14ac:dyDescent="0.25">
      <c r="A523" s="139"/>
      <c r="B523" s="141"/>
      <c r="C523" s="192"/>
      <c r="D523" s="48">
        <v>2024</v>
      </c>
      <c r="E523" s="49">
        <f>НОВЫЙ_МИНСТРОЙ!E525</f>
        <v>36376.927109999997</v>
      </c>
      <c r="F523" s="49">
        <f>НОВЫЙ_МИНСТРОЙ!F525</f>
        <v>36376.927109999997</v>
      </c>
      <c r="G523" s="49">
        <f>НОВЫЙ_МИНСТРОЙ!G525</f>
        <v>0</v>
      </c>
      <c r="H523" s="49">
        <f>НОВЫЙ_МИНСТРОЙ!H525</f>
        <v>0</v>
      </c>
      <c r="I523" s="49">
        <f>НОВЫЙ_МИНСТРОЙ!I525</f>
        <v>0</v>
      </c>
      <c r="J523" s="143"/>
      <c r="K523" s="143"/>
      <c r="M523" s="55"/>
      <c r="N523" s="55"/>
      <c r="O523" s="55"/>
      <c r="P523" s="55"/>
    </row>
    <row r="524" spans="1:16" s="61" customFormat="1" outlineLevel="1" x14ac:dyDescent="0.25">
      <c r="A524" s="139"/>
      <c r="B524" s="141"/>
      <c r="C524" s="193"/>
      <c r="D524" s="48">
        <v>2025</v>
      </c>
      <c r="E524" s="49">
        <f>НОВЫЙ_МИНСТРОЙ!E526</f>
        <v>0</v>
      </c>
      <c r="F524" s="49">
        <f>НОВЫЙ_МИНСТРОЙ!F526</f>
        <v>0</v>
      </c>
      <c r="G524" s="49">
        <f>НОВЫЙ_МИНСТРОЙ!G526</f>
        <v>0</v>
      </c>
      <c r="H524" s="49">
        <f>НОВЫЙ_МИНСТРОЙ!H526</f>
        <v>0</v>
      </c>
      <c r="I524" s="49">
        <f>НОВЫЙ_МИНСТРОЙ!I526</f>
        <v>0</v>
      </c>
      <c r="J524" s="143"/>
      <c r="K524" s="143"/>
      <c r="M524" s="55"/>
      <c r="N524" s="55"/>
      <c r="O524" s="55"/>
      <c r="P524" s="55"/>
    </row>
    <row r="525" spans="1:16" ht="17.100000000000001" customHeight="1" outlineLevel="1" x14ac:dyDescent="0.25">
      <c r="A525" s="108" t="s">
        <v>104</v>
      </c>
      <c r="B525" s="108" t="s">
        <v>105</v>
      </c>
      <c r="C525" s="111" t="s">
        <v>828</v>
      </c>
      <c r="D525" s="7" t="s">
        <v>8</v>
      </c>
      <c r="E525" s="8">
        <f t="shared" si="44"/>
        <v>1097326.8677618264</v>
      </c>
      <c r="F525" s="8">
        <f>SUM(F526:F531)</f>
        <v>1062342.07305</v>
      </c>
      <c r="G525" s="8">
        <f>SUM(G526:G530)</f>
        <v>0</v>
      </c>
      <c r="H525" s="8">
        <f>SUM(H526:H530)</f>
        <v>34984.794711826275</v>
      </c>
      <c r="I525" s="8">
        <f t="shared" ref="I525:I527" si="46">SUM(I533:I537)</f>
        <v>0</v>
      </c>
      <c r="J525" s="108" t="s">
        <v>1792</v>
      </c>
      <c r="K525" s="108" t="s">
        <v>1176</v>
      </c>
    </row>
    <row r="526" spans="1:16" ht="17.100000000000001" customHeight="1" outlineLevel="1" x14ac:dyDescent="0.25">
      <c r="A526" s="109"/>
      <c r="B526" s="109"/>
      <c r="C526" s="112"/>
      <c r="D526" s="7">
        <v>2021</v>
      </c>
      <c r="E526" s="8">
        <f t="shared" si="44"/>
        <v>195224.35576589749</v>
      </c>
      <c r="F526" s="8">
        <f>SUM(F533+F539+F546+F552+F558+F564+F570+F576+F582+F588+F594+F600+F606+F612+F618+F624+F630+F636+F643+F649+F655+F661+F667+F673+F679+F685+F691+F697+F703)</f>
        <v>179524.59972</v>
      </c>
      <c r="G526" s="8">
        <f>SUM(G533+G539+G546+G552+G558+G564+G570+G576+G582+G588+G594+G600+G606+G612+G618+G624+G630+G636+G643+G649+G655+G661+G667+G673+G679+G685+G691+G697+G703)</f>
        <v>0</v>
      </c>
      <c r="H526" s="8">
        <f>SUM(H533+H539+H546+H552+H558+H564+H570+H576+H582+H588+H594+H600+H606+H612+H618+H624+H630+H636+H643+H649+H655+H661+H667+H673+H679+H685+H691+H697+H703)</f>
        <v>15699.756045897479</v>
      </c>
      <c r="I526" s="8">
        <f t="shared" si="46"/>
        <v>0</v>
      </c>
      <c r="J526" s="109"/>
      <c r="K526" s="109"/>
    </row>
    <row r="527" spans="1:16" ht="17.100000000000001" customHeight="1" outlineLevel="1" x14ac:dyDescent="0.25">
      <c r="A527" s="109"/>
      <c r="B527" s="109"/>
      <c r="C527" s="112"/>
      <c r="D527" s="7">
        <v>2022</v>
      </c>
      <c r="E527" s="8">
        <f t="shared" si="44"/>
        <v>369218.75899592874</v>
      </c>
      <c r="F527" s="8">
        <f>SUM(F534+F540+F547+F553+F559+F565+F571+F577+F583+F589+F595+F601+F607+F613+F619+F625+F631+F637+F644+F650+F656+F662+F668+F674+F680+F686+F692+F698+F704+F710+F716+F722+F728)</f>
        <v>355399.40232999995</v>
      </c>
      <c r="G527" s="8">
        <f>SUM(G534+G540+G547+G553+G559+G565+G571+G577+G583+G589+G595+G601+G607+G613+G619+G625+G631+G637+G644+G650+G656+G662+G668+G674+G680+G686+G692+G698+G704)</f>
        <v>0</v>
      </c>
      <c r="H527" s="8">
        <f>SUM(H534+H540+H547+H553+H559+H565+H571+H577+H583+H589+H595+H601+H607+H613+H619+H625+H631+H637+H644+H650+H656+H662+H668+H674+H680+H686+H692+H698+H704+H710+H716+H722+H728)</f>
        <v>13819.356665928797</v>
      </c>
      <c r="I527" s="8">
        <f t="shared" si="46"/>
        <v>0</v>
      </c>
      <c r="J527" s="109"/>
      <c r="K527" s="109"/>
    </row>
    <row r="528" spans="1:16" ht="17.100000000000001" customHeight="1" outlineLevel="1" x14ac:dyDescent="0.25">
      <c r="A528" s="109"/>
      <c r="B528" s="109"/>
      <c r="C528" s="112"/>
      <c r="D528" s="7">
        <v>2023</v>
      </c>
      <c r="E528" s="8">
        <f t="shared" si="44"/>
        <v>127612.45300000001</v>
      </c>
      <c r="F528" s="8">
        <f>SUM(F535+F541+F548+F554+F560+F566+F572+F578+F584+F590+F596+F602+F608+F614+F620+F626+F632+F638+F645+F651+F657+F663+F669+F675+F681+F687+F693+F699+F705)</f>
        <v>122146.77100000001</v>
      </c>
      <c r="G528" s="8">
        <f>SUM(G535+G541+G548+G554+G560+G566+G572+G578+G584+G590+G596+G602+G608+G614+G620+G626+G632+G638+G645+G651+G657+G663+G669+G675+G681+G687+G693+G699+G705)</f>
        <v>0</v>
      </c>
      <c r="H528" s="8">
        <f t="shared" ref="H528:I530" si="47">SUM(H535+H541+H548+H554+H560+H566+H572+H578+H584+H590+H596+H602+H608+H614+H620+H626+H632+H638+H645+H651+H657+H663+H669+H675+H681+H687+H693+H699+H705)</f>
        <v>5465.6819999999998</v>
      </c>
      <c r="I528" s="8">
        <f t="shared" si="47"/>
        <v>0</v>
      </c>
      <c r="J528" s="109"/>
      <c r="K528" s="109"/>
    </row>
    <row r="529" spans="1:16" outlineLevel="1" x14ac:dyDescent="0.25">
      <c r="A529" s="109"/>
      <c r="B529" s="109"/>
      <c r="C529" s="112"/>
      <c r="D529" s="7">
        <v>2024</v>
      </c>
      <c r="E529" s="8">
        <f t="shared" si="44"/>
        <v>10400</v>
      </c>
      <c r="F529" s="8">
        <f>SUM(F536+F542+F549+F555+F561+F567+F573+F579+F585+F591+F597+F603+F609+F615+F621+F627+F633+F639+F646+F652+F658+F664+F670+F676+F682+F688+F694+F700+F706+F736+F743)</f>
        <v>10400</v>
      </c>
      <c r="G529" s="8">
        <f>SUM(G536+G542+G549+G555+G561+G567+G573+G579+G585+G591+G597+G603+G609+G615+G621+G627+G633+G639+G646+G652+G658+G664+G670+G676+G682+G688+G694+G700+G706)</f>
        <v>0</v>
      </c>
      <c r="H529" s="8">
        <f t="shared" si="47"/>
        <v>0</v>
      </c>
      <c r="I529" s="8">
        <f t="shared" si="47"/>
        <v>0</v>
      </c>
      <c r="J529" s="109"/>
      <c r="K529" s="109"/>
    </row>
    <row r="530" spans="1:16" outlineLevel="1" x14ac:dyDescent="0.25">
      <c r="A530" s="109"/>
      <c r="B530" s="109"/>
      <c r="C530" s="112"/>
      <c r="D530" s="7">
        <v>2025</v>
      </c>
      <c r="E530" s="8">
        <f t="shared" si="44"/>
        <v>10400</v>
      </c>
      <c r="F530" s="8">
        <f>SUM(F537+F543+F550+F556+F562+F568+F574+F580+F586+F592+F598+F604+F610+F616+F622+F628+F634+F640+F647+F653+F659+F665+F671+F677+F683+F689+F695+F701+F707+F737+F744)</f>
        <v>10400</v>
      </c>
      <c r="G530" s="8">
        <f>SUM(G537+G543+G550+G556+G562+G568+G574+G580+G586+G592+G598+G604+G610+G616+G622+G628+G634+G640+G647+G653+G659+G665+G671+G677+G683+G689+G695+G701+G707)</f>
        <v>0</v>
      </c>
      <c r="H530" s="8">
        <f t="shared" si="47"/>
        <v>0</v>
      </c>
      <c r="I530" s="8">
        <f t="shared" si="47"/>
        <v>0</v>
      </c>
      <c r="J530" s="109"/>
      <c r="K530" s="109"/>
    </row>
    <row r="531" spans="1:16" s="45" customFormat="1" outlineLevel="1" x14ac:dyDescent="0.25">
      <c r="A531" s="110"/>
      <c r="B531" s="110"/>
      <c r="C531" s="113"/>
      <c r="D531" s="48">
        <v>2026</v>
      </c>
      <c r="E531" s="49">
        <f t="shared" si="44"/>
        <v>384471.30000000005</v>
      </c>
      <c r="F531" s="49">
        <f>SUM(F544,F641,F738,F745)</f>
        <v>384471.30000000005</v>
      </c>
      <c r="G531" s="49">
        <f t="shared" ref="G531:I531" si="48">SUM(G544,G738,G745)</f>
        <v>0</v>
      </c>
      <c r="H531" s="49">
        <f t="shared" si="48"/>
        <v>0</v>
      </c>
      <c r="I531" s="49">
        <f t="shared" si="48"/>
        <v>0</v>
      </c>
      <c r="J531" s="110"/>
      <c r="K531" s="110"/>
      <c r="M531" s="55"/>
      <c r="N531" s="55"/>
      <c r="O531" s="55"/>
      <c r="P531" s="55"/>
    </row>
    <row r="532" spans="1:16" ht="17.100000000000001" customHeight="1" outlineLevel="1" x14ac:dyDescent="0.25">
      <c r="A532" s="117" t="s">
        <v>108</v>
      </c>
      <c r="B532" s="118" t="s">
        <v>109</v>
      </c>
      <c r="C532" s="119" t="s">
        <v>19</v>
      </c>
      <c r="D532" s="7" t="s">
        <v>8</v>
      </c>
      <c r="E532" s="8">
        <f t="shared" si="44"/>
        <v>54408.455999999998</v>
      </c>
      <c r="F532" s="8">
        <f>SUM(F533:F537)</f>
        <v>50810.661</v>
      </c>
      <c r="G532" s="8">
        <f>SUM(G533:G537)</f>
        <v>0</v>
      </c>
      <c r="H532" s="8">
        <f>SUM(H533:H537)</f>
        <v>3597.7950000000001</v>
      </c>
      <c r="I532" s="8">
        <f>SUM(I533:I537)</f>
        <v>0</v>
      </c>
      <c r="J532" s="135" t="s">
        <v>1766</v>
      </c>
      <c r="K532" s="119" t="s">
        <v>566</v>
      </c>
    </row>
    <row r="533" spans="1:16" ht="17.100000000000001" customHeight="1" outlineLevel="1" x14ac:dyDescent="0.25">
      <c r="A533" s="117"/>
      <c r="B533" s="118"/>
      <c r="C533" s="119"/>
      <c r="D533" s="7">
        <v>2021</v>
      </c>
      <c r="E533" s="8">
        <f t="shared" si="44"/>
        <v>27027.03</v>
      </c>
      <c r="F533" s="8">
        <v>25000</v>
      </c>
      <c r="G533" s="8">
        <v>0</v>
      </c>
      <c r="H533" s="8">
        <v>2027.03</v>
      </c>
      <c r="I533" s="8">
        <v>0</v>
      </c>
      <c r="J533" s="136"/>
      <c r="K533" s="119"/>
    </row>
    <row r="534" spans="1:16" ht="17.100000000000001" customHeight="1" outlineLevel="1" x14ac:dyDescent="0.25">
      <c r="A534" s="117"/>
      <c r="B534" s="118"/>
      <c r="C534" s="119"/>
      <c r="D534" s="7">
        <v>2022</v>
      </c>
      <c r="E534" s="8">
        <f t="shared" si="44"/>
        <v>8067.7860000000001</v>
      </c>
      <c r="F534" s="8">
        <v>7462.7030000000004</v>
      </c>
      <c r="G534" s="8">
        <v>0</v>
      </c>
      <c r="H534" s="8">
        <v>605.08299999999997</v>
      </c>
      <c r="I534" s="8">
        <v>0</v>
      </c>
      <c r="J534" s="136"/>
      <c r="K534" s="119"/>
    </row>
    <row r="535" spans="1:16" ht="17.100000000000001" customHeight="1" outlineLevel="1" x14ac:dyDescent="0.25">
      <c r="A535" s="117"/>
      <c r="B535" s="118"/>
      <c r="C535" s="119"/>
      <c r="D535" s="7">
        <v>2023</v>
      </c>
      <c r="E535" s="8">
        <f t="shared" si="44"/>
        <v>19313.64</v>
      </c>
      <c r="F535" s="8">
        <f>24463.944-6115.986</f>
        <v>18347.957999999999</v>
      </c>
      <c r="G535" s="8">
        <v>0</v>
      </c>
      <c r="H535" s="8">
        <v>965.68200000000002</v>
      </c>
      <c r="I535" s="8">
        <v>0</v>
      </c>
      <c r="J535" s="136"/>
      <c r="K535" s="119"/>
    </row>
    <row r="536" spans="1:16" outlineLevel="1" x14ac:dyDescent="0.25">
      <c r="A536" s="117"/>
      <c r="B536" s="118"/>
      <c r="C536" s="119"/>
      <c r="D536" s="7">
        <v>2024</v>
      </c>
      <c r="E536" s="8">
        <f t="shared" si="44"/>
        <v>0</v>
      </c>
      <c r="F536" s="8">
        <v>0</v>
      </c>
      <c r="G536" s="8">
        <v>0</v>
      </c>
      <c r="H536" s="8">
        <v>0</v>
      </c>
      <c r="I536" s="8">
        <f>'80-ПП'!Q106</f>
        <v>0</v>
      </c>
      <c r="J536" s="136"/>
      <c r="K536" s="119"/>
    </row>
    <row r="537" spans="1:16" outlineLevel="1" x14ac:dyDescent="0.25">
      <c r="A537" s="117"/>
      <c r="B537" s="118"/>
      <c r="C537" s="119"/>
      <c r="D537" s="7">
        <v>2025</v>
      </c>
      <c r="E537" s="8">
        <f t="shared" si="44"/>
        <v>0</v>
      </c>
      <c r="F537" s="8">
        <v>0</v>
      </c>
      <c r="G537" s="8">
        <v>0</v>
      </c>
      <c r="H537" s="8">
        <v>0</v>
      </c>
      <c r="I537" s="8">
        <v>0</v>
      </c>
      <c r="J537" s="137"/>
      <c r="K537" s="119"/>
    </row>
    <row r="538" spans="1:16" ht="17.100000000000001" customHeight="1" outlineLevel="1" x14ac:dyDescent="0.25">
      <c r="A538" s="108" t="s">
        <v>112</v>
      </c>
      <c r="B538" s="108" t="s">
        <v>113</v>
      </c>
      <c r="C538" s="111" t="s">
        <v>828</v>
      </c>
      <c r="D538" s="7" t="s">
        <v>8</v>
      </c>
      <c r="E538" s="8">
        <f t="shared" si="44"/>
        <v>78406.856999999989</v>
      </c>
      <c r="F538" s="8">
        <f>SUM(F539:F544)</f>
        <v>78406.856999999989</v>
      </c>
      <c r="G538" s="8">
        <f>SUM(G539:G543)</f>
        <v>0</v>
      </c>
      <c r="H538" s="8">
        <f>SUM(H539:H543)</f>
        <v>0</v>
      </c>
      <c r="I538" s="8">
        <f>SUM(I539:I543)</f>
        <v>0</v>
      </c>
      <c r="J538" s="108" t="s">
        <v>567</v>
      </c>
      <c r="K538" s="108" t="s">
        <v>563</v>
      </c>
    </row>
    <row r="539" spans="1:16" ht="17.100000000000001" customHeight="1" outlineLevel="1" x14ac:dyDescent="0.25">
      <c r="A539" s="109"/>
      <c r="B539" s="109"/>
      <c r="C539" s="112"/>
      <c r="D539" s="7">
        <v>2021</v>
      </c>
      <c r="E539" s="8">
        <f t="shared" si="44"/>
        <v>6000</v>
      </c>
      <c r="F539" s="8">
        <v>6000</v>
      </c>
      <c r="G539" s="8">
        <v>0</v>
      </c>
      <c r="H539" s="8">
        <v>0</v>
      </c>
      <c r="I539" s="8">
        <v>0</v>
      </c>
      <c r="J539" s="109"/>
      <c r="K539" s="109"/>
    </row>
    <row r="540" spans="1:16" ht="17.100000000000001" customHeight="1" outlineLevel="1" x14ac:dyDescent="0.25">
      <c r="A540" s="109"/>
      <c r="B540" s="109"/>
      <c r="C540" s="112"/>
      <c r="D540" s="7">
        <v>2022</v>
      </c>
      <c r="E540" s="8">
        <f t="shared" si="44"/>
        <v>42479.56</v>
      </c>
      <c r="F540" s="8">
        <v>42479.56</v>
      </c>
      <c r="G540" s="8">
        <v>0</v>
      </c>
      <c r="H540" s="8">
        <v>0</v>
      </c>
      <c r="I540" s="8">
        <v>0</v>
      </c>
      <c r="J540" s="109"/>
      <c r="K540" s="109"/>
    </row>
    <row r="541" spans="1:16" ht="17.100000000000001" customHeight="1" outlineLevel="1" x14ac:dyDescent="0.25">
      <c r="A541" s="109"/>
      <c r="B541" s="109"/>
      <c r="C541" s="112"/>
      <c r="D541" s="7">
        <v>2023</v>
      </c>
      <c r="E541" s="8">
        <f t="shared" si="44"/>
        <v>11927.296999999999</v>
      </c>
      <c r="F541" s="8">
        <f>6000+5927.297</f>
        <v>11927.296999999999</v>
      </c>
      <c r="G541" s="8">
        <v>0</v>
      </c>
      <c r="H541" s="8">
        <v>0</v>
      </c>
      <c r="I541" s="8">
        <v>0</v>
      </c>
      <c r="J541" s="109"/>
      <c r="K541" s="109"/>
    </row>
    <row r="542" spans="1:16" outlineLevel="1" x14ac:dyDescent="0.25">
      <c r="A542" s="109"/>
      <c r="B542" s="109"/>
      <c r="C542" s="112"/>
      <c r="D542" s="7">
        <v>2024</v>
      </c>
      <c r="E542" s="8">
        <f t="shared" si="44"/>
        <v>6000</v>
      </c>
      <c r="F542" s="32">
        <f>6000</f>
        <v>6000</v>
      </c>
      <c r="G542" s="8">
        <v>0</v>
      </c>
      <c r="H542" s="8">
        <v>0</v>
      </c>
      <c r="I542" s="8">
        <v>0</v>
      </c>
      <c r="J542" s="109"/>
      <c r="K542" s="109"/>
    </row>
    <row r="543" spans="1:16" outlineLevel="1" x14ac:dyDescent="0.25">
      <c r="A543" s="109"/>
      <c r="B543" s="109"/>
      <c r="C543" s="112"/>
      <c r="D543" s="7">
        <v>2025</v>
      </c>
      <c r="E543" s="8">
        <f t="shared" si="44"/>
        <v>6000</v>
      </c>
      <c r="F543" s="32">
        <v>6000</v>
      </c>
      <c r="G543" s="8">
        <v>0</v>
      </c>
      <c r="H543" s="8">
        <v>0</v>
      </c>
      <c r="I543" s="8">
        <v>0</v>
      </c>
      <c r="J543" s="109"/>
      <c r="K543" s="109"/>
    </row>
    <row r="544" spans="1:16" s="45" customFormat="1" outlineLevel="1" x14ac:dyDescent="0.25">
      <c r="A544" s="110"/>
      <c r="B544" s="110"/>
      <c r="C544" s="113"/>
      <c r="D544" s="40">
        <v>2026</v>
      </c>
      <c r="E544" s="41">
        <f>SUM(F544:I544)</f>
        <v>6000</v>
      </c>
      <c r="F544" s="41">
        <v>6000</v>
      </c>
      <c r="G544" s="41"/>
      <c r="H544" s="41"/>
      <c r="I544" s="41"/>
      <c r="J544" s="110"/>
      <c r="K544" s="110"/>
      <c r="M544" s="55"/>
      <c r="N544" s="55"/>
      <c r="O544" s="55"/>
      <c r="P544" s="55"/>
    </row>
    <row r="545" spans="1:11" ht="17.100000000000001" customHeight="1" outlineLevel="1" x14ac:dyDescent="0.25">
      <c r="A545" s="117" t="s">
        <v>568</v>
      </c>
      <c r="B545" s="118" t="s">
        <v>569</v>
      </c>
      <c r="C545" s="119" t="s">
        <v>19</v>
      </c>
      <c r="D545" s="7" t="s">
        <v>8</v>
      </c>
      <c r="E545" s="8">
        <f t="shared" si="44"/>
        <v>31683.69587</v>
      </c>
      <c r="F545" s="8">
        <f>SUM(F546:F550)</f>
        <v>31683.69587</v>
      </c>
      <c r="G545" s="8">
        <f>SUM(G546:G550)</f>
        <v>0</v>
      </c>
      <c r="H545" s="8">
        <f>SUM(H546:H550)</f>
        <v>0</v>
      </c>
      <c r="I545" s="8">
        <f>SUM(I546:I550)</f>
        <v>0</v>
      </c>
      <c r="J545" s="119" t="s">
        <v>570</v>
      </c>
      <c r="K545" s="119" t="s">
        <v>486</v>
      </c>
    </row>
    <row r="546" spans="1:11" ht="17.100000000000001" customHeight="1" outlineLevel="1" x14ac:dyDescent="0.25">
      <c r="A546" s="117"/>
      <c r="B546" s="118"/>
      <c r="C546" s="119"/>
      <c r="D546" s="7">
        <v>2021</v>
      </c>
      <c r="E546" s="8">
        <f t="shared" si="44"/>
        <v>3963.1770000000001</v>
      </c>
      <c r="F546" s="8">
        <f>3963177/1000</f>
        <v>3963.1770000000001</v>
      </c>
      <c r="G546" s="8">
        <v>0</v>
      </c>
      <c r="H546" s="8">
        <v>0</v>
      </c>
      <c r="I546" s="8">
        <v>0</v>
      </c>
      <c r="J546" s="119"/>
      <c r="K546" s="119"/>
    </row>
    <row r="547" spans="1:11" ht="17.100000000000001" customHeight="1" outlineLevel="1" x14ac:dyDescent="0.25">
      <c r="A547" s="117"/>
      <c r="B547" s="118"/>
      <c r="C547" s="119"/>
      <c r="D547" s="7">
        <v>2022</v>
      </c>
      <c r="E547" s="8">
        <f t="shared" si="44"/>
        <v>25913.068869999999</v>
      </c>
      <c r="F547" s="8">
        <f>32144.3+6312.158-13089.787+546.39787</f>
        <v>25913.068869999999</v>
      </c>
      <c r="G547" s="8">
        <v>0</v>
      </c>
      <c r="H547" s="8">
        <v>0</v>
      </c>
      <c r="I547" s="8">
        <v>0</v>
      </c>
      <c r="J547" s="119"/>
      <c r="K547" s="119"/>
    </row>
    <row r="548" spans="1:11" ht="17.100000000000001" customHeight="1" outlineLevel="1" x14ac:dyDescent="0.25">
      <c r="A548" s="117"/>
      <c r="B548" s="118"/>
      <c r="C548" s="119"/>
      <c r="D548" s="7">
        <v>2023</v>
      </c>
      <c r="E548" s="8">
        <f t="shared" ref="E548:E611" si="49">SUM(F548:I548)</f>
        <v>1807.45</v>
      </c>
      <c r="F548" s="8">
        <v>1807.45</v>
      </c>
      <c r="G548" s="8">
        <v>0</v>
      </c>
      <c r="H548" s="8">
        <v>0</v>
      </c>
      <c r="I548" s="8">
        <v>0</v>
      </c>
      <c r="J548" s="119"/>
      <c r="K548" s="119"/>
    </row>
    <row r="549" spans="1:11" outlineLevel="1" x14ac:dyDescent="0.25">
      <c r="A549" s="117"/>
      <c r="B549" s="118"/>
      <c r="C549" s="119"/>
      <c r="D549" s="7">
        <v>2024</v>
      </c>
      <c r="E549" s="8">
        <f t="shared" si="49"/>
        <v>0</v>
      </c>
      <c r="F549" s="8">
        <v>0</v>
      </c>
      <c r="G549" s="8">
        <v>0</v>
      </c>
      <c r="H549" s="8">
        <v>0</v>
      </c>
      <c r="I549" s="8">
        <v>0</v>
      </c>
      <c r="J549" s="119"/>
      <c r="K549" s="119"/>
    </row>
    <row r="550" spans="1:11" outlineLevel="1" x14ac:dyDescent="0.25">
      <c r="A550" s="117"/>
      <c r="B550" s="118"/>
      <c r="C550" s="119"/>
      <c r="D550" s="7">
        <v>2025</v>
      </c>
      <c r="E550" s="8">
        <f t="shared" si="49"/>
        <v>0</v>
      </c>
      <c r="F550" s="8">
        <v>0</v>
      </c>
      <c r="G550" s="8">
        <v>0</v>
      </c>
      <c r="H550" s="8">
        <v>0</v>
      </c>
      <c r="I550" s="8">
        <v>0</v>
      </c>
      <c r="J550" s="119"/>
      <c r="K550" s="119"/>
    </row>
    <row r="551" spans="1:11" ht="17.100000000000001" customHeight="1" outlineLevel="1" x14ac:dyDescent="0.25">
      <c r="A551" s="117" t="s">
        <v>571</v>
      </c>
      <c r="B551" s="118" t="s">
        <v>572</v>
      </c>
      <c r="C551" s="119">
        <v>2021</v>
      </c>
      <c r="D551" s="7" t="s">
        <v>8</v>
      </c>
      <c r="E551" s="8">
        <f t="shared" si="49"/>
        <v>22778.260870000002</v>
      </c>
      <c r="F551" s="8">
        <f>SUM(F552:F556)</f>
        <v>18860.400000000001</v>
      </c>
      <c r="G551" s="8">
        <f>SUM(G552:G556)</f>
        <v>0</v>
      </c>
      <c r="H551" s="8">
        <f>SUM(H552:H556)</f>
        <v>3917.86087</v>
      </c>
      <c r="I551" s="8">
        <f>SUM(I552:I556)</f>
        <v>0</v>
      </c>
      <c r="J551" s="119" t="s">
        <v>573</v>
      </c>
      <c r="K551" s="119" t="s">
        <v>566</v>
      </c>
    </row>
    <row r="552" spans="1:11" ht="17.100000000000001" customHeight="1" outlineLevel="1" x14ac:dyDescent="0.25">
      <c r="A552" s="117"/>
      <c r="B552" s="118"/>
      <c r="C552" s="119"/>
      <c r="D552" s="7">
        <v>2021</v>
      </c>
      <c r="E552" s="8">
        <f t="shared" si="49"/>
        <v>22778.260870000002</v>
      </c>
      <c r="F552" s="8">
        <v>18860.400000000001</v>
      </c>
      <c r="G552" s="8">
        <v>0</v>
      </c>
      <c r="H552" s="8">
        <v>3917.86087</v>
      </c>
      <c r="I552" s="8">
        <v>0</v>
      </c>
      <c r="J552" s="119"/>
      <c r="K552" s="119"/>
    </row>
    <row r="553" spans="1:11" ht="17.100000000000001" customHeight="1" outlineLevel="1" x14ac:dyDescent="0.25">
      <c r="A553" s="117"/>
      <c r="B553" s="118"/>
      <c r="C553" s="119"/>
      <c r="D553" s="7">
        <v>2022</v>
      </c>
      <c r="E553" s="8">
        <v>0</v>
      </c>
      <c r="F553" s="8">
        <v>0</v>
      </c>
      <c r="G553" s="8">
        <v>0</v>
      </c>
      <c r="H553" s="8">
        <v>0</v>
      </c>
      <c r="I553" s="8">
        <v>0</v>
      </c>
      <c r="J553" s="119"/>
      <c r="K553" s="119"/>
    </row>
    <row r="554" spans="1:11" ht="17.100000000000001" customHeight="1" outlineLevel="1" x14ac:dyDescent="0.25">
      <c r="A554" s="117"/>
      <c r="B554" s="118"/>
      <c r="C554" s="119"/>
      <c r="D554" s="7">
        <v>2023</v>
      </c>
      <c r="E554" s="8">
        <v>0</v>
      </c>
      <c r="F554" s="8">
        <v>0</v>
      </c>
      <c r="G554" s="8">
        <v>0</v>
      </c>
      <c r="H554" s="8">
        <v>0</v>
      </c>
      <c r="I554" s="8">
        <v>0</v>
      </c>
      <c r="J554" s="119"/>
      <c r="K554" s="119"/>
    </row>
    <row r="555" spans="1:11" outlineLevel="1" x14ac:dyDescent="0.25">
      <c r="A555" s="117"/>
      <c r="B555" s="118"/>
      <c r="C555" s="119"/>
      <c r="D555" s="7">
        <v>2024</v>
      </c>
      <c r="E555" s="8">
        <v>0</v>
      </c>
      <c r="F555" s="8">
        <v>0</v>
      </c>
      <c r="G555" s="8">
        <v>0</v>
      </c>
      <c r="H555" s="8">
        <v>0</v>
      </c>
      <c r="I555" s="8">
        <v>0</v>
      </c>
      <c r="J555" s="119"/>
      <c r="K555" s="119"/>
    </row>
    <row r="556" spans="1:11" outlineLevel="1" x14ac:dyDescent="0.25">
      <c r="A556" s="117"/>
      <c r="B556" s="118"/>
      <c r="C556" s="119"/>
      <c r="D556" s="7">
        <v>2025</v>
      </c>
      <c r="E556" s="8">
        <v>0</v>
      </c>
      <c r="F556" s="8">
        <v>0</v>
      </c>
      <c r="G556" s="8">
        <v>0</v>
      </c>
      <c r="H556" s="8">
        <v>0</v>
      </c>
      <c r="I556" s="8">
        <v>0</v>
      </c>
      <c r="J556" s="119"/>
      <c r="K556" s="119"/>
    </row>
    <row r="557" spans="1:11" ht="17.100000000000001" customHeight="1" outlineLevel="1" x14ac:dyDescent="0.25">
      <c r="A557" s="117" t="s">
        <v>574</v>
      </c>
      <c r="B557" s="118" t="s">
        <v>575</v>
      </c>
      <c r="C557" s="119">
        <v>2021</v>
      </c>
      <c r="D557" s="7" t="s">
        <v>8</v>
      </c>
      <c r="E557" s="8">
        <f t="shared" si="49"/>
        <v>13210.697336842104</v>
      </c>
      <c r="F557" s="8">
        <f>SUM(F558:F562)</f>
        <v>12550.162469999999</v>
      </c>
      <c r="G557" s="8">
        <f>SUM(G558:G562)</f>
        <v>0</v>
      </c>
      <c r="H557" s="8">
        <f>SUM(H558:H562)</f>
        <v>660.5348668421052</v>
      </c>
      <c r="I557" s="8">
        <f>SUM(I558:I562)</f>
        <v>0</v>
      </c>
      <c r="J557" s="119" t="s">
        <v>576</v>
      </c>
      <c r="K557" s="119" t="s">
        <v>547</v>
      </c>
    </row>
    <row r="558" spans="1:11" ht="17.100000000000001" customHeight="1" outlineLevel="1" x14ac:dyDescent="0.25">
      <c r="A558" s="117"/>
      <c r="B558" s="118"/>
      <c r="C558" s="119"/>
      <c r="D558" s="7">
        <v>2021</v>
      </c>
      <c r="E558" s="8">
        <f t="shared" si="49"/>
        <v>13210.697336842104</v>
      </c>
      <c r="F558" s="8">
        <v>12550.162469999999</v>
      </c>
      <c r="G558" s="8">
        <v>0</v>
      </c>
      <c r="H558" s="8">
        <f>F558/95*5</f>
        <v>660.5348668421052</v>
      </c>
      <c r="I558" s="8">
        <v>0</v>
      </c>
      <c r="J558" s="119"/>
      <c r="K558" s="119"/>
    </row>
    <row r="559" spans="1:11" ht="17.100000000000001" customHeight="1" outlineLevel="1" x14ac:dyDescent="0.25">
      <c r="A559" s="117"/>
      <c r="B559" s="118"/>
      <c r="C559" s="119"/>
      <c r="D559" s="7">
        <v>2022</v>
      </c>
      <c r="E559" s="8">
        <v>0</v>
      </c>
      <c r="F559" s="8">
        <v>0</v>
      </c>
      <c r="G559" s="8">
        <v>0</v>
      </c>
      <c r="H559" s="8">
        <v>0</v>
      </c>
      <c r="I559" s="8">
        <v>0</v>
      </c>
      <c r="J559" s="119"/>
      <c r="K559" s="119"/>
    </row>
    <row r="560" spans="1:11" ht="17.100000000000001" customHeight="1" outlineLevel="1" x14ac:dyDescent="0.25">
      <c r="A560" s="117"/>
      <c r="B560" s="118"/>
      <c r="C560" s="119"/>
      <c r="D560" s="7">
        <v>2023</v>
      </c>
      <c r="E560" s="8">
        <v>0</v>
      </c>
      <c r="F560" s="8">
        <v>0</v>
      </c>
      <c r="G560" s="8">
        <v>0</v>
      </c>
      <c r="H560" s="8">
        <v>0</v>
      </c>
      <c r="I560" s="8">
        <v>0</v>
      </c>
      <c r="J560" s="119"/>
      <c r="K560" s="119"/>
    </row>
    <row r="561" spans="1:11" outlineLevel="1" x14ac:dyDescent="0.25">
      <c r="A561" s="117"/>
      <c r="B561" s="118"/>
      <c r="C561" s="119"/>
      <c r="D561" s="7">
        <v>2024</v>
      </c>
      <c r="E561" s="8">
        <v>0</v>
      </c>
      <c r="F561" s="8">
        <v>0</v>
      </c>
      <c r="G561" s="8">
        <v>0</v>
      </c>
      <c r="H561" s="8">
        <v>0</v>
      </c>
      <c r="I561" s="8">
        <v>0</v>
      </c>
      <c r="J561" s="119"/>
      <c r="K561" s="119"/>
    </row>
    <row r="562" spans="1:11" outlineLevel="1" x14ac:dyDescent="0.25">
      <c r="A562" s="117"/>
      <c r="B562" s="118"/>
      <c r="C562" s="119"/>
      <c r="D562" s="7">
        <v>2025</v>
      </c>
      <c r="E562" s="8">
        <v>0</v>
      </c>
      <c r="F562" s="8">
        <v>0</v>
      </c>
      <c r="G562" s="8">
        <v>0</v>
      </c>
      <c r="H562" s="8">
        <v>0</v>
      </c>
      <c r="I562" s="8">
        <v>0</v>
      </c>
      <c r="J562" s="119"/>
      <c r="K562" s="119"/>
    </row>
    <row r="563" spans="1:11" ht="17.100000000000001" customHeight="1" outlineLevel="1" x14ac:dyDescent="0.25">
      <c r="A563" s="117" t="s">
        <v>577</v>
      </c>
      <c r="B563" s="118" t="s">
        <v>578</v>
      </c>
      <c r="C563" s="119">
        <v>2021</v>
      </c>
      <c r="D563" s="7" t="s">
        <v>8</v>
      </c>
      <c r="E563" s="8">
        <f t="shared" si="49"/>
        <v>7451.59</v>
      </c>
      <c r="F563" s="8">
        <f>SUM(F564:F568)</f>
        <v>7079.0105000000003</v>
      </c>
      <c r="G563" s="8">
        <f>SUM(G564:G568)</f>
        <v>0</v>
      </c>
      <c r="H563" s="8">
        <f>SUM(H564:H568)</f>
        <v>372.5795</v>
      </c>
      <c r="I563" s="8">
        <f>SUM(I564:I568)</f>
        <v>0</v>
      </c>
      <c r="J563" s="119" t="s">
        <v>579</v>
      </c>
      <c r="K563" s="119" t="s">
        <v>547</v>
      </c>
    </row>
    <row r="564" spans="1:11" ht="17.100000000000001" customHeight="1" outlineLevel="1" x14ac:dyDescent="0.25">
      <c r="A564" s="117"/>
      <c r="B564" s="118"/>
      <c r="C564" s="119"/>
      <c r="D564" s="7">
        <v>2021</v>
      </c>
      <c r="E564" s="8">
        <f t="shared" si="49"/>
        <v>7451.59</v>
      </c>
      <c r="F564" s="8">
        <v>7079.0105000000003</v>
      </c>
      <c r="G564" s="8">
        <v>0</v>
      </c>
      <c r="H564" s="8">
        <f>F564/95*5</f>
        <v>372.5795</v>
      </c>
      <c r="I564" s="8">
        <v>0</v>
      </c>
      <c r="J564" s="119"/>
      <c r="K564" s="119"/>
    </row>
    <row r="565" spans="1:11" ht="17.100000000000001" customHeight="1" outlineLevel="1" x14ac:dyDescent="0.25">
      <c r="A565" s="117"/>
      <c r="B565" s="118"/>
      <c r="C565" s="119"/>
      <c r="D565" s="7">
        <v>2022</v>
      </c>
      <c r="E565" s="8">
        <v>0</v>
      </c>
      <c r="F565" s="8">
        <v>0</v>
      </c>
      <c r="G565" s="8">
        <v>0</v>
      </c>
      <c r="H565" s="8">
        <v>0</v>
      </c>
      <c r="I565" s="8">
        <v>0</v>
      </c>
      <c r="J565" s="119"/>
      <c r="K565" s="119"/>
    </row>
    <row r="566" spans="1:11" ht="17.100000000000001" customHeight="1" outlineLevel="1" x14ac:dyDescent="0.25">
      <c r="A566" s="117"/>
      <c r="B566" s="118"/>
      <c r="C566" s="119"/>
      <c r="D566" s="7">
        <v>2023</v>
      </c>
      <c r="E566" s="8">
        <v>0</v>
      </c>
      <c r="F566" s="8">
        <v>0</v>
      </c>
      <c r="G566" s="8">
        <v>0</v>
      </c>
      <c r="H566" s="8">
        <v>0</v>
      </c>
      <c r="I566" s="8">
        <v>0</v>
      </c>
      <c r="J566" s="119"/>
      <c r="K566" s="119"/>
    </row>
    <row r="567" spans="1:11" outlineLevel="1" x14ac:dyDescent="0.25">
      <c r="A567" s="117"/>
      <c r="B567" s="118"/>
      <c r="C567" s="119"/>
      <c r="D567" s="7">
        <v>2024</v>
      </c>
      <c r="E567" s="8">
        <v>0</v>
      </c>
      <c r="F567" s="8">
        <v>0</v>
      </c>
      <c r="G567" s="8">
        <v>0</v>
      </c>
      <c r="H567" s="8">
        <v>0</v>
      </c>
      <c r="I567" s="8">
        <v>0</v>
      </c>
      <c r="J567" s="119"/>
      <c r="K567" s="119"/>
    </row>
    <row r="568" spans="1:11" outlineLevel="1" x14ac:dyDescent="0.25">
      <c r="A568" s="117"/>
      <c r="B568" s="118"/>
      <c r="C568" s="119"/>
      <c r="D568" s="7">
        <v>2025</v>
      </c>
      <c r="E568" s="8">
        <v>0</v>
      </c>
      <c r="F568" s="8">
        <v>0</v>
      </c>
      <c r="G568" s="8">
        <v>0</v>
      </c>
      <c r="H568" s="8">
        <v>0</v>
      </c>
      <c r="I568" s="8">
        <v>0</v>
      </c>
      <c r="J568" s="119"/>
      <c r="K568" s="119"/>
    </row>
    <row r="569" spans="1:11" ht="17.100000000000001" customHeight="1" outlineLevel="1" x14ac:dyDescent="0.25">
      <c r="A569" s="117" t="s">
        <v>580</v>
      </c>
      <c r="B569" s="118" t="s">
        <v>416</v>
      </c>
      <c r="C569" s="119">
        <v>2021</v>
      </c>
      <c r="D569" s="7" t="s">
        <v>8</v>
      </c>
      <c r="E569" s="8">
        <f t="shared" si="49"/>
        <v>50013.516600000003</v>
      </c>
      <c r="F569" s="8">
        <f>SUM(F570:F574)</f>
        <v>47512.840770000003</v>
      </c>
      <c r="G569" s="8">
        <f>SUM(G570:G574)</f>
        <v>0</v>
      </c>
      <c r="H569" s="8">
        <f>SUM(H570:H574)</f>
        <v>2500.6758300000001</v>
      </c>
      <c r="I569" s="8">
        <f>SUM(I570:I574)</f>
        <v>0</v>
      </c>
      <c r="J569" s="119" t="s">
        <v>581</v>
      </c>
      <c r="K569" s="119" t="s">
        <v>547</v>
      </c>
    </row>
    <row r="570" spans="1:11" ht="17.100000000000001" customHeight="1" outlineLevel="1" x14ac:dyDescent="0.25">
      <c r="A570" s="117"/>
      <c r="B570" s="118"/>
      <c r="C570" s="119"/>
      <c r="D570" s="7">
        <v>2021</v>
      </c>
      <c r="E570" s="8">
        <f t="shared" si="49"/>
        <v>50013.516600000003</v>
      </c>
      <c r="F570" s="8">
        <v>47512.840770000003</v>
      </c>
      <c r="G570" s="8">
        <v>0</v>
      </c>
      <c r="H570" s="8">
        <f>F570/95*5</f>
        <v>2500.6758300000001</v>
      </c>
      <c r="I570" s="8">
        <v>0</v>
      </c>
      <c r="J570" s="119"/>
      <c r="K570" s="119"/>
    </row>
    <row r="571" spans="1:11" ht="17.100000000000001" customHeight="1" outlineLevel="1" x14ac:dyDescent="0.25">
      <c r="A571" s="117"/>
      <c r="B571" s="118"/>
      <c r="C571" s="119"/>
      <c r="D571" s="7">
        <v>2022</v>
      </c>
      <c r="E571" s="8">
        <v>0</v>
      </c>
      <c r="F571" s="8">
        <v>0</v>
      </c>
      <c r="G571" s="8">
        <v>0</v>
      </c>
      <c r="H571" s="8">
        <v>0</v>
      </c>
      <c r="I571" s="8">
        <v>0</v>
      </c>
      <c r="J571" s="119"/>
      <c r="K571" s="119"/>
    </row>
    <row r="572" spans="1:11" ht="17.100000000000001" customHeight="1" outlineLevel="1" x14ac:dyDescent="0.25">
      <c r="A572" s="117"/>
      <c r="B572" s="118"/>
      <c r="C572" s="119"/>
      <c r="D572" s="7">
        <v>2023</v>
      </c>
      <c r="E572" s="8">
        <v>0</v>
      </c>
      <c r="F572" s="8">
        <v>0</v>
      </c>
      <c r="G572" s="8">
        <v>0</v>
      </c>
      <c r="H572" s="8">
        <v>0</v>
      </c>
      <c r="I572" s="8">
        <v>0</v>
      </c>
      <c r="J572" s="119"/>
      <c r="K572" s="119"/>
    </row>
    <row r="573" spans="1:11" outlineLevel="1" x14ac:dyDescent="0.25">
      <c r="A573" s="117"/>
      <c r="B573" s="118"/>
      <c r="C573" s="119"/>
      <c r="D573" s="7">
        <v>2024</v>
      </c>
      <c r="E573" s="8">
        <v>0</v>
      </c>
      <c r="F573" s="8">
        <v>0</v>
      </c>
      <c r="G573" s="8">
        <v>0</v>
      </c>
      <c r="H573" s="8">
        <v>0</v>
      </c>
      <c r="I573" s="8">
        <v>0</v>
      </c>
      <c r="J573" s="119"/>
      <c r="K573" s="119"/>
    </row>
    <row r="574" spans="1:11" ht="20.25" customHeight="1" outlineLevel="1" x14ac:dyDescent="0.25">
      <c r="A574" s="117"/>
      <c r="B574" s="118"/>
      <c r="C574" s="119"/>
      <c r="D574" s="7">
        <v>2025</v>
      </c>
      <c r="E574" s="8">
        <v>0</v>
      </c>
      <c r="F574" s="8">
        <v>0</v>
      </c>
      <c r="G574" s="8">
        <v>0</v>
      </c>
      <c r="H574" s="8">
        <v>0</v>
      </c>
      <c r="I574" s="8">
        <v>0</v>
      </c>
      <c r="J574" s="119"/>
      <c r="K574" s="119"/>
    </row>
    <row r="575" spans="1:11" ht="16.5" customHeight="1" outlineLevel="1" x14ac:dyDescent="0.25">
      <c r="A575" s="117" t="s">
        <v>582</v>
      </c>
      <c r="B575" s="118" t="s">
        <v>419</v>
      </c>
      <c r="C575" s="119">
        <v>2021</v>
      </c>
      <c r="D575" s="7" t="s">
        <v>8</v>
      </c>
      <c r="E575" s="8">
        <f t="shared" si="49"/>
        <v>9928.3460643185299</v>
      </c>
      <c r="F575" s="8">
        <f>SUM(F576:F580)</f>
        <v>6483.2099799999996</v>
      </c>
      <c r="G575" s="8">
        <f>SUM(G576:G580)</f>
        <v>0</v>
      </c>
      <c r="H575" s="8">
        <f>SUM(H576:H580)</f>
        <v>3445.1360843185298</v>
      </c>
      <c r="I575" s="8">
        <f>SUM(I576:I580)</f>
        <v>0</v>
      </c>
      <c r="J575" s="119" t="s">
        <v>583</v>
      </c>
      <c r="K575" s="119" t="s">
        <v>547</v>
      </c>
    </row>
    <row r="576" spans="1:11" ht="21.75" customHeight="1" outlineLevel="1" x14ac:dyDescent="0.25">
      <c r="A576" s="117"/>
      <c r="B576" s="118"/>
      <c r="C576" s="119"/>
      <c r="D576" s="7">
        <v>2021</v>
      </c>
      <c r="E576" s="8">
        <f t="shared" si="49"/>
        <v>9928.3460643185299</v>
      </c>
      <c r="F576" s="8">
        <v>6483.2099799999996</v>
      </c>
      <c r="G576" s="8">
        <v>0</v>
      </c>
      <c r="H576" s="8">
        <f>F576/65.3*34.7</f>
        <v>3445.1360843185298</v>
      </c>
      <c r="I576" s="8">
        <v>0</v>
      </c>
      <c r="J576" s="119"/>
      <c r="K576" s="119"/>
    </row>
    <row r="577" spans="1:11" ht="26.25" customHeight="1" outlineLevel="1" x14ac:dyDescent="0.25">
      <c r="A577" s="117"/>
      <c r="B577" s="118"/>
      <c r="C577" s="119"/>
      <c r="D577" s="7">
        <v>2022</v>
      </c>
      <c r="E577" s="8">
        <v>0</v>
      </c>
      <c r="F577" s="8">
        <v>0</v>
      </c>
      <c r="G577" s="8">
        <v>0</v>
      </c>
      <c r="H577" s="8">
        <v>0</v>
      </c>
      <c r="I577" s="8">
        <v>0</v>
      </c>
      <c r="J577" s="119"/>
      <c r="K577" s="119"/>
    </row>
    <row r="578" spans="1:11" ht="20.25" customHeight="1" outlineLevel="1" x14ac:dyDescent="0.25">
      <c r="A578" s="117"/>
      <c r="B578" s="118"/>
      <c r="C578" s="119"/>
      <c r="D578" s="7">
        <v>2023</v>
      </c>
      <c r="E578" s="8">
        <v>0</v>
      </c>
      <c r="F578" s="8">
        <v>0</v>
      </c>
      <c r="G578" s="8">
        <v>0</v>
      </c>
      <c r="H578" s="8">
        <v>0</v>
      </c>
      <c r="I578" s="8">
        <v>0</v>
      </c>
      <c r="J578" s="119"/>
      <c r="K578" s="119"/>
    </row>
    <row r="579" spans="1:11" ht="20.25" customHeight="1" outlineLevel="1" x14ac:dyDescent="0.25">
      <c r="A579" s="117"/>
      <c r="B579" s="118"/>
      <c r="C579" s="119"/>
      <c r="D579" s="7">
        <v>2024</v>
      </c>
      <c r="E579" s="8">
        <v>0</v>
      </c>
      <c r="F579" s="8">
        <v>0</v>
      </c>
      <c r="G579" s="8">
        <v>0</v>
      </c>
      <c r="H579" s="8">
        <v>0</v>
      </c>
      <c r="I579" s="8">
        <v>0</v>
      </c>
      <c r="J579" s="119"/>
      <c r="K579" s="119"/>
    </row>
    <row r="580" spans="1:11" ht="18.75" customHeight="1" outlineLevel="1" x14ac:dyDescent="0.25">
      <c r="A580" s="117"/>
      <c r="B580" s="118"/>
      <c r="C580" s="119"/>
      <c r="D580" s="7">
        <v>2025</v>
      </c>
      <c r="E580" s="8">
        <v>0</v>
      </c>
      <c r="F580" s="8">
        <v>0</v>
      </c>
      <c r="G580" s="8">
        <v>0</v>
      </c>
      <c r="H580" s="8">
        <v>0</v>
      </c>
      <c r="I580" s="8">
        <v>0</v>
      </c>
      <c r="J580" s="119"/>
      <c r="K580" s="119"/>
    </row>
    <row r="581" spans="1:11" ht="15" customHeight="1" outlineLevel="1" x14ac:dyDescent="0.25">
      <c r="A581" s="117" t="s">
        <v>584</v>
      </c>
      <c r="B581" s="118" t="s">
        <v>424</v>
      </c>
      <c r="C581" s="119">
        <v>2021</v>
      </c>
      <c r="D581" s="7" t="s">
        <v>8</v>
      </c>
      <c r="E581" s="8">
        <f t="shared" si="49"/>
        <v>0</v>
      </c>
      <c r="F581" s="8">
        <f>SUM(F582:F586)</f>
        <v>0</v>
      </c>
      <c r="G581" s="8">
        <f>SUM(G582:G586)</f>
        <v>0</v>
      </c>
      <c r="H581" s="8">
        <f>SUM(H582:H586)</f>
        <v>0</v>
      </c>
      <c r="I581" s="8">
        <f>SUM(I582:I586)</f>
        <v>0</v>
      </c>
      <c r="J581" s="119" t="s">
        <v>585</v>
      </c>
      <c r="K581" s="119" t="s">
        <v>547</v>
      </c>
    </row>
    <row r="582" spans="1:11" ht="15" customHeight="1" outlineLevel="1" x14ac:dyDescent="0.25">
      <c r="A582" s="117"/>
      <c r="B582" s="118"/>
      <c r="C582" s="119"/>
      <c r="D582" s="7">
        <v>2021</v>
      </c>
      <c r="E582" s="8">
        <f t="shared" si="49"/>
        <v>0</v>
      </c>
      <c r="F582" s="8">
        <v>0</v>
      </c>
      <c r="G582" s="8">
        <v>0</v>
      </c>
      <c r="H582" s="8">
        <f>F582/95*5</f>
        <v>0</v>
      </c>
      <c r="I582" s="8">
        <v>0</v>
      </c>
      <c r="J582" s="119"/>
      <c r="K582" s="119"/>
    </row>
    <row r="583" spans="1:11" ht="15" customHeight="1" outlineLevel="1" x14ac:dyDescent="0.25">
      <c r="A583" s="117"/>
      <c r="B583" s="118"/>
      <c r="C583" s="119"/>
      <c r="D583" s="7">
        <v>2022</v>
      </c>
      <c r="E583" s="8">
        <v>0</v>
      </c>
      <c r="F583" s="8">
        <v>0</v>
      </c>
      <c r="G583" s="8">
        <v>0</v>
      </c>
      <c r="H583" s="8">
        <v>0</v>
      </c>
      <c r="I583" s="8">
        <v>0</v>
      </c>
      <c r="J583" s="119"/>
      <c r="K583" s="119"/>
    </row>
    <row r="584" spans="1:11" ht="15" customHeight="1" outlineLevel="1" x14ac:dyDescent="0.25">
      <c r="A584" s="117"/>
      <c r="B584" s="118"/>
      <c r="C584" s="119"/>
      <c r="D584" s="7">
        <v>2023</v>
      </c>
      <c r="E584" s="8">
        <v>0</v>
      </c>
      <c r="F584" s="8">
        <v>0</v>
      </c>
      <c r="G584" s="8">
        <v>0</v>
      </c>
      <c r="H584" s="8">
        <v>0</v>
      </c>
      <c r="I584" s="8">
        <v>0</v>
      </c>
      <c r="J584" s="119"/>
      <c r="K584" s="119"/>
    </row>
    <row r="585" spans="1:11" ht="15" customHeight="1" outlineLevel="1" x14ac:dyDescent="0.25">
      <c r="A585" s="117"/>
      <c r="B585" s="118"/>
      <c r="C585" s="119"/>
      <c r="D585" s="7">
        <v>2024</v>
      </c>
      <c r="E585" s="8">
        <v>0</v>
      </c>
      <c r="F585" s="8">
        <v>0</v>
      </c>
      <c r="G585" s="8">
        <v>0</v>
      </c>
      <c r="H585" s="8">
        <v>0</v>
      </c>
      <c r="I585" s="8">
        <v>0</v>
      </c>
      <c r="J585" s="119"/>
      <c r="K585" s="119"/>
    </row>
    <row r="586" spans="1:11" ht="15" customHeight="1" outlineLevel="1" x14ac:dyDescent="0.25">
      <c r="A586" s="117"/>
      <c r="B586" s="118"/>
      <c r="C586" s="119"/>
      <c r="D586" s="7">
        <v>2025</v>
      </c>
      <c r="E586" s="8">
        <v>0</v>
      </c>
      <c r="F586" s="8">
        <v>0</v>
      </c>
      <c r="G586" s="8">
        <v>0</v>
      </c>
      <c r="H586" s="8">
        <v>0</v>
      </c>
      <c r="I586" s="8">
        <v>0</v>
      </c>
      <c r="J586" s="119"/>
      <c r="K586" s="119"/>
    </row>
    <row r="587" spans="1:11" ht="15" customHeight="1" outlineLevel="1" x14ac:dyDescent="0.25">
      <c r="A587" s="117" t="s">
        <v>586</v>
      </c>
      <c r="B587" s="118" t="s">
        <v>587</v>
      </c>
      <c r="C587" s="119">
        <v>2021</v>
      </c>
      <c r="D587" s="7" t="s">
        <v>8</v>
      </c>
      <c r="E587" s="8">
        <f t="shared" si="49"/>
        <v>28829.676842105262</v>
      </c>
      <c r="F587" s="8">
        <f>SUM(F588:F592)</f>
        <v>27388.192999999999</v>
      </c>
      <c r="G587" s="8">
        <f>SUM(G588:G592)</f>
        <v>0</v>
      </c>
      <c r="H587" s="8">
        <f>SUM(H588:H592)</f>
        <v>1441.483842105263</v>
      </c>
      <c r="I587" s="8">
        <f>SUM(I588:I592)</f>
        <v>0</v>
      </c>
      <c r="J587" s="119" t="s">
        <v>588</v>
      </c>
      <c r="K587" s="119" t="s">
        <v>547</v>
      </c>
    </row>
    <row r="588" spans="1:11" ht="15" customHeight="1" outlineLevel="1" x14ac:dyDescent="0.25">
      <c r="A588" s="117"/>
      <c r="B588" s="118"/>
      <c r="C588" s="119"/>
      <c r="D588" s="7">
        <v>2021</v>
      </c>
      <c r="E588" s="8">
        <f t="shared" si="49"/>
        <v>28829.676842105262</v>
      </c>
      <c r="F588" s="8">
        <v>27388.192999999999</v>
      </c>
      <c r="G588" s="8">
        <v>0</v>
      </c>
      <c r="H588" s="8">
        <f>F588/95*5</f>
        <v>1441.483842105263</v>
      </c>
      <c r="I588" s="8">
        <v>0</v>
      </c>
      <c r="J588" s="119"/>
      <c r="K588" s="119"/>
    </row>
    <row r="589" spans="1:11" ht="15" customHeight="1" outlineLevel="1" x14ac:dyDescent="0.25">
      <c r="A589" s="117"/>
      <c r="B589" s="118"/>
      <c r="C589" s="119"/>
      <c r="D589" s="7">
        <v>2022</v>
      </c>
      <c r="E589" s="8">
        <v>0</v>
      </c>
      <c r="F589" s="8">
        <v>0</v>
      </c>
      <c r="G589" s="8">
        <v>0</v>
      </c>
      <c r="H589" s="8">
        <v>0</v>
      </c>
      <c r="I589" s="8">
        <v>0</v>
      </c>
      <c r="J589" s="119"/>
      <c r="K589" s="119"/>
    </row>
    <row r="590" spans="1:11" ht="15" customHeight="1" outlineLevel="1" x14ac:dyDescent="0.25">
      <c r="A590" s="117"/>
      <c r="B590" s="118"/>
      <c r="C590" s="119"/>
      <c r="D590" s="7">
        <v>2023</v>
      </c>
      <c r="E590" s="8">
        <v>0</v>
      </c>
      <c r="F590" s="8">
        <v>0</v>
      </c>
      <c r="G590" s="8">
        <v>0</v>
      </c>
      <c r="H590" s="8">
        <v>0</v>
      </c>
      <c r="I590" s="8">
        <v>0</v>
      </c>
      <c r="J590" s="119"/>
      <c r="K590" s="119"/>
    </row>
    <row r="591" spans="1:11" ht="15" customHeight="1" outlineLevel="1" x14ac:dyDescent="0.25">
      <c r="A591" s="117"/>
      <c r="B591" s="118"/>
      <c r="C591" s="119"/>
      <c r="D591" s="7">
        <v>2024</v>
      </c>
      <c r="E591" s="8">
        <v>0</v>
      </c>
      <c r="F591" s="8">
        <v>0</v>
      </c>
      <c r="G591" s="8">
        <v>0</v>
      </c>
      <c r="H591" s="8">
        <v>0</v>
      </c>
      <c r="I591" s="8">
        <v>0</v>
      </c>
      <c r="J591" s="119"/>
      <c r="K591" s="119"/>
    </row>
    <row r="592" spans="1:11" ht="13.5" customHeight="1" outlineLevel="1" x14ac:dyDescent="0.25">
      <c r="A592" s="117"/>
      <c r="B592" s="118"/>
      <c r="C592" s="119"/>
      <c r="D592" s="7">
        <v>2025</v>
      </c>
      <c r="E592" s="8">
        <v>0</v>
      </c>
      <c r="F592" s="8">
        <v>0</v>
      </c>
      <c r="G592" s="8">
        <v>0</v>
      </c>
      <c r="H592" s="8">
        <v>0</v>
      </c>
      <c r="I592" s="8">
        <v>0</v>
      </c>
      <c r="J592" s="119"/>
      <c r="K592" s="119"/>
    </row>
    <row r="593" spans="1:11" ht="16.5" customHeight="1" outlineLevel="1" x14ac:dyDescent="0.25">
      <c r="A593" s="117" t="s">
        <v>589</v>
      </c>
      <c r="B593" s="118" t="s">
        <v>590</v>
      </c>
      <c r="C593" s="119" t="s">
        <v>124</v>
      </c>
      <c r="D593" s="7" t="s">
        <v>8</v>
      </c>
      <c r="E593" s="8">
        <f t="shared" si="49"/>
        <v>4724.9217200000003</v>
      </c>
      <c r="F593" s="8">
        <f>SUM(F594:F598)</f>
        <v>4431.9217200000003</v>
      </c>
      <c r="G593" s="8">
        <f>SUM(G594:G598)</f>
        <v>0</v>
      </c>
      <c r="H593" s="8">
        <f>SUM(H594:H598)</f>
        <v>293</v>
      </c>
      <c r="I593" s="8">
        <f>SUM(I594:I598)</f>
        <v>0</v>
      </c>
      <c r="J593" s="119" t="s">
        <v>1178</v>
      </c>
      <c r="K593" s="119" t="s">
        <v>547</v>
      </c>
    </row>
    <row r="594" spans="1:11" ht="15" customHeight="1" outlineLevel="1" x14ac:dyDescent="0.25">
      <c r="A594" s="117"/>
      <c r="B594" s="118"/>
      <c r="C594" s="119"/>
      <c r="D594" s="7">
        <v>2021</v>
      </c>
      <c r="E594" s="8">
        <f t="shared" si="49"/>
        <v>2270.6600000000003</v>
      </c>
      <c r="F594" s="8">
        <v>2100.36</v>
      </c>
      <c r="G594" s="8">
        <v>0</v>
      </c>
      <c r="H594" s="8">
        <v>170.3</v>
      </c>
      <c r="I594" s="8">
        <v>0</v>
      </c>
      <c r="J594" s="119"/>
      <c r="K594" s="119"/>
    </row>
    <row r="595" spans="1:11" ht="18.75" customHeight="1" outlineLevel="1" x14ac:dyDescent="0.25">
      <c r="A595" s="117"/>
      <c r="B595" s="118"/>
      <c r="C595" s="119"/>
      <c r="D595" s="7">
        <v>2022</v>
      </c>
      <c r="E595" s="8">
        <f t="shared" si="49"/>
        <v>2454.26172</v>
      </c>
      <c r="F595" s="8">
        <v>2331.5617200000002</v>
      </c>
      <c r="G595" s="8">
        <v>0</v>
      </c>
      <c r="H595" s="8">
        <v>122.7</v>
      </c>
      <c r="I595" s="8">
        <v>0</v>
      </c>
      <c r="J595" s="119"/>
      <c r="K595" s="119"/>
    </row>
    <row r="596" spans="1:11" ht="17.25" customHeight="1" outlineLevel="1" x14ac:dyDescent="0.25">
      <c r="A596" s="117"/>
      <c r="B596" s="118"/>
      <c r="C596" s="119"/>
      <c r="D596" s="7">
        <v>2023</v>
      </c>
      <c r="E596" s="8">
        <f t="shared" si="49"/>
        <v>0</v>
      </c>
      <c r="F596" s="8">
        <v>0</v>
      </c>
      <c r="G596" s="8">
        <v>0</v>
      </c>
      <c r="H596" s="8">
        <v>0</v>
      </c>
      <c r="I596" s="8">
        <v>0</v>
      </c>
      <c r="J596" s="119"/>
      <c r="K596" s="119"/>
    </row>
    <row r="597" spans="1:11" ht="15" customHeight="1" outlineLevel="1" x14ac:dyDescent="0.25">
      <c r="A597" s="117"/>
      <c r="B597" s="118"/>
      <c r="C597" s="119"/>
      <c r="D597" s="7">
        <v>2024</v>
      </c>
      <c r="E597" s="8">
        <f t="shared" si="49"/>
        <v>0</v>
      </c>
      <c r="F597" s="8">
        <v>0</v>
      </c>
      <c r="G597" s="8">
        <v>0</v>
      </c>
      <c r="H597" s="8">
        <v>0</v>
      </c>
      <c r="I597" s="8">
        <v>0</v>
      </c>
      <c r="J597" s="119"/>
      <c r="K597" s="119"/>
    </row>
    <row r="598" spans="1:11" ht="14.25" customHeight="1" outlineLevel="1" x14ac:dyDescent="0.25">
      <c r="A598" s="117"/>
      <c r="B598" s="118"/>
      <c r="C598" s="119"/>
      <c r="D598" s="7">
        <v>2025</v>
      </c>
      <c r="E598" s="8">
        <f t="shared" si="49"/>
        <v>0</v>
      </c>
      <c r="F598" s="8">
        <v>0</v>
      </c>
      <c r="G598" s="8">
        <v>0</v>
      </c>
      <c r="H598" s="8">
        <v>0</v>
      </c>
      <c r="I598" s="8">
        <v>0</v>
      </c>
      <c r="J598" s="119"/>
      <c r="K598" s="119"/>
    </row>
    <row r="599" spans="1:11" ht="12.75" customHeight="1" outlineLevel="1" x14ac:dyDescent="0.25">
      <c r="A599" s="117" t="s">
        <v>592</v>
      </c>
      <c r="B599" s="118" t="s">
        <v>593</v>
      </c>
      <c r="C599" s="119">
        <v>2021</v>
      </c>
      <c r="D599" s="7" t="s">
        <v>8</v>
      </c>
      <c r="E599" s="8">
        <f t="shared" si="49"/>
        <v>0</v>
      </c>
      <c r="F599" s="8">
        <v>0</v>
      </c>
      <c r="G599" s="8">
        <v>0</v>
      </c>
      <c r="H599" s="8">
        <v>0</v>
      </c>
      <c r="I599" s="8">
        <v>0</v>
      </c>
      <c r="J599" s="119" t="s">
        <v>594</v>
      </c>
      <c r="K599" s="119" t="s">
        <v>103</v>
      </c>
    </row>
    <row r="600" spans="1:11" ht="12.75" customHeight="1" outlineLevel="1" x14ac:dyDescent="0.25">
      <c r="A600" s="117"/>
      <c r="B600" s="118"/>
      <c r="C600" s="119"/>
      <c r="D600" s="7">
        <v>2021</v>
      </c>
      <c r="E600" s="8">
        <f t="shared" si="49"/>
        <v>0</v>
      </c>
      <c r="F600" s="8">
        <v>0</v>
      </c>
      <c r="G600" s="8">
        <v>0</v>
      </c>
      <c r="H600" s="8">
        <v>0</v>
      </c>
      <c r="I600" s="8">
        <v>0</v>
      </c>
      <c r="J600" s="119"/>
      <c r="K600" s="119"/>
    </row>
    <row r="601" spans="1:11" ht="12.75" customHeight="1" outlineLevel="1" x14ac:dyDescent="0.25">
      <c r="A601" s="117"/>
      <c r="B601" s="118"/>
      <c r="C601" s="119"/>
      <c r="D601" s="7">
        <v>2022</v>
      </c>
      <c r="E601" s="8">
        <f t="shared" si="49"/>
        <v>0</v>
      </c>
      <c r="F601" s="8">
        <v>0</v>
      </c>
      <c r="G601" s="8">
        <v>0</v>
      </c>
      <c r="H601" s="8">
        <v>0</v>
      </c>
      <c r="I601" s="8">
        <v>0</v>
      </c>
      <c r="J601" s="119"/>
      <c r="K601" s="119"/>
    </row>
    <row r="602" spans="1:11" ht="12.75" customHeight="1" outlineLevel="1" x14ac:dyDescent="0.25">
      <c r="A602" s="117"/>
      <c r="B602" s="118"/>
      <c r="C602" s="119"/>
      <c r="D602" s="7">
        <v>2023</v>
      </c>
      <c r="E602" s="8">
        <f t="shared" si="49"/>
        <v>0</v>
      </c>
      <c r="F602" s="8">
        <v>0</v>
      </c>
      <c r="G602" s="8">
        <v>0</v>
      </c>
      <c r="H602" s="8">
        <v>0</v>
      </c>
      <c r="I602" s="8">
        <v>0</v>
      </c>
      <c r="J602" s="119"/>
      <c r="K602" s="119"/>
    </row>
    <row r="603" spans="1:11" ht="12.75" customHeight="1" outlineLevel="1" x14ac:dyDescent="0.25">
      <c r="A603" s="117"/>
      <c r="B603" s="118"/>
      <c r="C603" s="119"/>
      <c r="D603" s="7">
        <v>2024</v>
      </c>
      <c r="E603" s="8">
        <f t="shared" si="49"/>
        <v>0</v>
      </c>
      <c r="F603" s="8">
        <v>0</v>
      </c>
      <c r="G603" s="8">
        <v>0</v>
      </c>
      <c r="H603" s="8">
        <v>0</v>
      </c>
      <c r="I603" s="8">
        <v>0</v>
      </c>
      <c r="J603" s="119"/>
      <c r="K603" s="119"/>
    </row>
    <row r="604" spans="1:11" ht="12.75" customHeight="1" outlineLevel="1" x14ac:dyDescent="0.25">
      <c r="A604" s="117"/>
      <c r="B604" s="118"/>
      <c r="C604" s="119"/>
      <c r="D604" s="7">
        <v>2025</v>
      </c>
      <c r="E604" s="8">
        <f t="shared" si="49"/>
        <v>0</v>
      </c>
      <c r="F604" s="8">
        <v>0</v>
      </c>
      <c r="G604" s="8">
        <v>0</v>
      </c>
      <c r="H604" s="8">
        <v>0</v>
      </c>
      <c r="I604" s="8">
        <v>0</v>
      </c>
      <c r="J604" s="119"/>
      <c r="K604" s="119"/>
    </row>
    <row r="605" spans="1:11" ht="12.75" customHeight="1" outlineLevel="1" x14ac:dyDescent="0.25">
      <c r="A605" s="117" t="s">
        <v>722</v>
      </c>
      <c r="B605" s="118" t="s">
        <v>595</v>
      </c>
      <c r="C605" s="119">
        <v>2021</v>
      </c>
      <c r="D605" s="7" t="s">
        <v>8</v>
      </c>
      <c r="E605" s="8">
        <f t="shared" si="49"/>
        <v>468.3</v>
      </c>
      <c r="F605" s="8">
        <f>SUM(F606:F610)</f>
        <v>468.3</v>
      </c>
      <c r="G605" s="8">
        <f>SUM(G606:G610)</f>
        <v>0</v>
      </c>
      <c r="H605" s="8">
        <f>SUM(H606:H610)</f>
        <v>0</v>
      </c>
      <c r="I605" s="8">
        <f>SUM(I606:I610)</f>
        <v>0</v>
      </c>
      <c r="J605" s="119" t="s">
        <v>596</v>
      </c>
      <c r="K605" s="119" t="s">
        <v>597</v>
      </c>
    </row>
    <row r="606" spans="1:11" ht="12.75" customHeight="1" outlineLevel="1" x14ac:dyDescent="0.25">
      <c r="A606" s="117"/>
      <c r="B606" s="118"/>
      <c r="C606" s="119"/>
      <c r="D606" s="7">
        <v>2021</v>
      </c>
      <c r="E606" s="8">
        <f t="shared" si="49"/>
        <v>468.3</v>
      </c>
      <c r="F606" s="8">
        <v>468.3</v>
      </c>
      <c r="G606" s="8">
        <v>0</v>
      </c>
      <c r="H606" s="8">
        <v>0</v>
      </c>
      <c r="I606" s="8">
        <v>0</v>
      </c>
      <c r="J606" s="119"/>
      <c r="K606" s="119"/>
    </row>
    <row r="607" spans="1:11" ht="12.75" customHeight="1" outlineLevel="1" x14ac:dyDescent="0.25">
      <c r="A607" s="117"/>
      <c r="B607" s="118"/>
      <c r="C607" s="119"/>
      <c r="D607" s="7">
        <v>2022</v>
      </c>
      <c r="E607" s="8">
        <f t="shared" si="49"/>
        <v>0</v>
      </c>
      <c r="F607" s="8">
        <v>0</v>
      </c>
      <c r="G607" s="8">
        <v>0</v>
      </c>
      <c r="H607" s="8">
        <v>0</v>
      </c>
      <c r="I607" s="8">
        <v>0</v>
      </c>
      <c r="J607" s="119"/>
      <c r="K607" s="119"/>
    </row>
    <row r="608" spans="1:11" ht="12.75" customHeight="1" outlineLevel="1" x14ac:dyDescent="0.25">
      <c r="A608" s="117"/>
      <c r="B608" s="118"/>
      <c r="C608" s="119"/>
      <c r="D608" s="7">
        <v>2023</v>
      </c>
      <c r="E608" s="8">
        <f t="shared" si="49"/>
        <v>0</v>
      </c>
      <c r="F608" s="8">
        <v>0</v>
      </c>
      <c r="G608" s="8">
        <v>0</v>
      </c>
      <c r="H608" s="8">
        <v>0</v>
      </c>
      <c r="I608" s="8">
        <v>0</v>
      </c>
      <c r="J608" s="119"/>
      <c r="K608" s="119"/>
    </row>
    <row r="609" spans="1:11" ht="12.75" customHeight="1" outlineLevel="1" x14ac:dyDescent="0.25">
      <c r="A609" s="117"/>
      <c r="B609" s="118"/>
      <c r="C609" s="119"/>
      <c r="D609" s="7">
        <v>2024</v>
      </c>
      <c r="E609" s="8">
        <f t="shared" si="49"/>
        <v>0</v>
      </c>
      <c r="F609" s="8">
        <v>0</v>
      </c>
      <c r="G609" s="8">
        <v>0</v>
      </c>
      <c r="H609" s="8">
        <v>0</v>
      </c>
      <c r="I609" s="8">
        <v>0</v>
      </c>
      <c r="J609" s="119"/>
      <c r="K609" s="119"/>
    </row>
    <row r="610" spans="1:11" ht="12.75" customHeight="1" outlineLevel="1" x14ac:dyDescent="0.25">
      <c r="A610" s="117"/>
      <c r="B610" s="118"/>
      <c r="C610" s="119"/>
      <c r="D610" s="7">
        <v>2025</v>
      </c>
      <c r="E610" s="8">
        <f t="shared" si="49"/>
        <v>0</v>
      </c>
      <c r="F610" s="8">
        <v>0</v>
      </c>
      <c r="G610" s="8">
        <v>0</v>
      </c>
      <c r="H610" s="8">
        <v>0</v>
      </c>
      <c r="I610" s="8">
        <v>0</v>
      </c>
      <c r="J610" s="119"/>
      <c r="K610" s="119"/>
    </row>
    <row r="611" spans="1:11" ht="18" customHeight="1" outlineLevel="1" x14ac:dyDescent="0.25">
      <c r="A611" s="117" t="s">
        <v>1179</v>
      </c>
      <c r="B611" s="118" t="s">
        <v>599</v>
      </c>
      <c r="C611" s="119">
        <v>2021</v>
      </c>
      <c r="D611" s="7" t="s">
        <v>8</v>
      </c>
      <c r="E611" s="8">
        <f t="shared" si="49"/>
        <v>8226.4694736842102</v>
      </c>
      <c r="F611" s="8">
        <f>SUM(F612:F616)</f>
        <v>7815.1459999999997</v>
      </c>
      <c r="G611" s="8">
        <f>SUM(G612:G616)</f>
        <v>0</v>
      </c>
      <c r="H611" s="8">
        <f>SUM(H612:H616)</f>
        <v>411.32347368421051</v>
      </c>
      <c r="I611" s="8">
        <f>SUM(I612:I616)</f>
        <v>0</v>
      </c>
      <c r="J611" s="119" t="s">
        <v>600</v>
      </c>
      <c r="K611" s="119" t="s">
        <v>547</v>
      </c>
    </row>
    <row r="612" spans="1:11" ht="18" customHeight="1" outlineLevel="1" x14ac:dyDescent="0.25">
      <c r="A612" s="117"/>
      <c r="B612" s="118"/>
      <c r="C612" s="119"/>
      <c r="D612" s="7">
        <v>2021</v>
      </c>
      <c r="E612" s="8">
        <f t="shared" ref="E612:E676" si="50">SUM(F612:I612)</f>
        <v>8226.4694736842102</v>
      </c>
      <c r="F612" s="8">
        <v>7815.1459999999997</v>
      </c>
      <c r="G612" s="8">
        <v>0</v>
      </c>
      <c r="H612" s="8">
        <f t="shared" ref="H612:H613" si="51">F612/95*5</f>
        <v>411.32347368421051</v>
      </c>
      <c r="I612" s="8">
        <v>0</v>
      </c>
      <c r="J612" s="119"/>
      <c r="K612" s="119"/>
    </row>
    <row r="613" spans="1:11" ht="18" customHeight="1" outlineLevel="1" x14ac:dyDescent="0.25">
      <c r="A613" s="117"/>
      <c r="B613" s="118"/>
      <c r="C613" s="119"/>
      <c r="D613" s="7">
        <v>2022</v>
      </c>
      <c r="E613" s="8">
        <f t="shared" si="50"/>
        <v>0</v>
      </c>
      <c r="F613" s="8">
        <v>0</v>
      </c>
      <c r="G613" s="8">
        <v>0</v>
      </c>
      <c r="H613" s="8">
        <f t="shared" si="51"/>
        <v>0</v>
      </c>
      <c r="I613" s="8">
        <v>0</v>
      </c>
      <c r="J613" s="119"/>
      <c r="K613" s="119"/>
    </row>
    <row r="614" spans="1:11" ht="18" customHeight="1" outlineLevel="1" x14ac:dyDescent="0.25">
      <c r="A614" s="117"/>
      <c r="B614" s="118"/>
      <c r="C614" s="119"/>
      <c r="D614" s="7">
        <v>2023</v>
      </c>
      <c r="E614" s="8">
        <f t="shared" si="50"/>
        <v>0</v>
      </c>
      <c r="F614" s="8">
        <v>0</v>
      </c>
      <c r="G614" s="8">
        <v>0</v>
      </c>
      <c r="H614" s="8">
        <v>0</v>
      </c>
      <c r="I614" s="8">
        <v>0</v>
      </c>
      <c r="J614" s="119"/>
      <c r="K614" s="119"/>
    </row>
    <row r="615" spans="1:11" ht="18" customHeight="1" outlineLevel="1" x14ac:dyDescent="0.25">
      <c r="A615" s="117"/>
      <c r="B615" s="118"/>
      <c r="C615" s="119"/>
      <c r="D615" s="7">
        <v>2024</v>
      </c>
      <c r="E615" s="8">
        <f t="shared" si="50"/>
        <v>0</v>
      </c>
      <c r="F615" s="8">
        <v>0</v>
      </c>
      <c r="G615" s="8">
        <v>0</v>
      </c>
      <c r="H615" s="8">
        <v>0</v>
      </c>
      <c r="I615" s="8">
        <v>0</v>
      </c>
      <c r="J615" s="119"/>
      <c r="K615" s="119"/>
    </row>
    <row r="616" spans="1:11" ht="18" customHeight="1" outlineLevel="1" x14ac:dyDescent="0.25">
      <c r="A616" s="117"/>
      <c r="B616" s="118"/>
      <c r="C616" s="119"/>
      <c r="D616" s="7">
        <v>2025</v>
      </c>
      <c r="E616" s="8">
        <f t="shared" si="50"/>
        <v>0</v>
      </c>
      <c r="F616" s="8">
        <v>0</v>
      </c>
      <c r="G616" s="8">
        <v>0</v>
      </c>
      <c r="H616" s="8">
        <v>0</v>
      </c>
      <c r="I616" s="8">
        <v>0</v>
      </c>
      <c r="J616" s="119"/>
      <c r="K616" s="119"/>
    </row>
    <row r="617" spans="1:11" ht="18" customHeight="1" outlineLevel="1" x14ac:dyDescent="0.25">
      <c r="A617" s="117" t="s">
        <v>1180</v>
      </c>
      <c r="B617" s="118" t="s">
        <v>613</v>
      </c>
      <c r="C617" s="119">
        <v>2021</v>
      </c>
      <c r="D617" s="7" t="s">
        <v>8</v>
      </c>
      <c r="E617" s="8">
        <f t="shared" si="50"/>
        <v>15056.631578947368</v>
      </c>
      <c r="F617" s="8">
        <f>SUM(F618:F622)</f>
        <v>14303.8</v>
      </c>
      <c r="G617" s="8">
        <f>SUM(G618:G622)</f>
        <v>0</v>
      </c>
      <c r="H617" s="8">
        <f>SUM(H618:H622)</f>
        <v>752.83157894736837</v>
      </c>
      <c r="I617" s="8">
        <v>0</v>
      </c>
      <c r="J617" s="119" t="s">
        <v>614</v>
      </c>
      <c r="K617" s="119" t="s">
        <v>547</v>
      </c>
    </row>
    <row r="618" spans="1:11" ht="18" customHeight="1" outlineLevel="1" x14ac:dyDescent="0.25">
      <c r="A618" s="117"/>
      <c r="B618" s="118"/>
      <c r="C618" s="119"/>
      <c r="D618" s="7">
        <v>2021</v>
      </c>
      <c r="E618" s="8">
        <f t="shared" si="50"/>
        <v>15056.631578947368</v>
      </c>
      <c r="F618" s="8">
        <v>14303.8</v>
      </c>
      <c r="G618" s="8">
        <v>0</v>
      </c>
      <c r="H618" s="8">
        <f>F618/95*5</f>
        <v>752.83157894736837</v>
      </c>
      <c r="I618" s="8">
        <v>0</v>
      </c>
      <c r="J618" s="119"/>
      <c r="K618" s="119"/>
    </row>
    <row r="619" spans="1:11" ht="18" customHeight="1" outlineLevel="1" x14ac:dyDescent="0.25">
      <c r="A619" s="117"/>
      <c r="B619" s="118"/>
      <c r="C619" s="119"/>
      <c r="D619" s="7">
        <v>2022</v>
      </c>
      <c r="E619" s="8">
        <f t="shared" si="50"/>
        <v>0</v>
      </c>
      <c r="F619" s="8">
        <v>0</v>
      </c>
      <c r="G619" s="8">
        <v>0</v>
      </c>
      <c r="H619" s="8">
        <v>0</v>
      </c>
      <c r="I619" s="8">
        <v>0</v>
      </c>
      <c r="J619" s="119"/>
      <c r="K619" s="119"/>
    </row>
    <row r="620" spans="1:11" ht="18" customHeight="1" outlineLevel="1" x14ac:dyDescent="0.25">
      <c r="A620" s="117"/>
      <c r="B620" s="118"/>
      <c r="C620" s="119"/>
      <c r="D620" s="7">
        <v>2023</v>
      </c>
      <c r="E620" s="8">
        <f t="shared" si="50"/>
        <v>0</v>
      </c>
      <c r="F620" s="8">
        <v>0</v>
      </c>
      <c r="G620" s="8">
        <v>0</v>
      </c>
      <c r="H620" s="8">
        <v>0</v>
      </c>
      <c r="I620" s="8">
        <v>0</v>
      </c>
      <c r="J620" s="119"/>
      <c r="K620" s="119"/>
    </row>
    <row r="621" spans="1:11" ht="18" customHeight="1" outlineLevel="1" x14ac:dyDescent="0.25">
      <c r="A621" s="117"/>
      <c r="B621" s="118"/>
      <c r="C621" s="119"/>
      <c r="D621" s="7">
        <v>2024</v>
      </c>
      <c r="E621" s="8">
        <f t="shared" si="50"/>
        <v>0</v>
      </c>
      <c r="F621" s="8">
        <v>0</v>
      </c>
      <c r="G621" s="8">
        <v>0</v>
      </c>
      <c r="H621" s="8">
        <v>0</v>
      </c>
      <c r="I621" s="8">
        <v>0</v>
      </c>
      <c r="J621" s="119"/>
      <c r="K621" s="119"/>
    </row>
    <row r="622" spans="1:11" ht="18" customHeight="1" outlineLevel="1" x14ac:dyDescent="0.25">
      <c r="A622" s="117"/>
      <c r="B622" s="118"/>
      <c r="C622" s="119"/>
      <c r="D622" s="7">
        <v>2025</v>
      </c>
      <c r="E622" s="8">
        <f t="shared" si="50"/>
        <v>0</v>
      </c>
      <c r="F622" s="8">
        <v>0</v>
      </c>
      <c r="G622" s="8">
        <v>0</v>
      </c>
      <c r="H622" s="8">
        <v>0</v>
      </c>
      <c r="I622" s="8">
        <v>0</v>
      </c>
      <c r="J622" s="119"/>
      <c r="K622" s="119"/>
    </row>
    <row r="623" spans="1:11" ht="12.75" customHeight="1" outlineLevel="1" x14ac:dyDescent="0.25">
      <c r="A623" s="117" t="s">
        <v>916</v>
      </c>
      <c r="B623" s="118" t="s">
        <v>913</v>
      </c>
      <c r="C623" s="119">
        <v>2022</v>
      </c>
      <c r="D623" s="7" t="s">
        <v>8</v>
      </c>
      <c r="E623" s="8">
        <f t="shared" si="50"/>
        <v>20912.768100000001</v>
      </c>
      <c r="F623" s="8">
        <f>SUM(F624:F628)</f>
        <v>20912.768100000001</v>
      </c>
      <c r="G623" s="8">
        <f>SUM(G624:G628)</f>
        <v>0</v>
      </c>
      <c r="H623" s="8">
        <f>SUM(H624:H628)</f>
        <v>0</v>
      </c>
      <c r="I623" s="8">
        <f>SUM(I624:I628)</f>
        <v>0</v>
      </c>
      <c r="J623" s="119" t="s">
        <v>914</v>
      </c>
      <c r="K623" s="119" t="s">
        <v>915</v>
      </c>
    </row>
    <row r="624" spans="1:11" ht="12.75" customHeight="1" outlineLevel="1" x14ac:dyDescent="0.25">
      <c r="A624" s="117"/>
      <c r="B624" s="118"/>
      <c r="C624" s="119"/>
      <c r="D624" s="7">
        <v>2021</v>
      </c>
      <c r="E624" s="8">
        <f t="shared" si="50"/>
        <v>0</v>
      </c>
      <c r="F624" s="8">
        <v>0</v>
      </c>
      <c r="G624" s="8">
        <v>0</v>
      </c>
      <c r="H624" s="8">
        <v>0</v>
      </c>
      <c r="I624" s="8">
        <v>0</v>
      </c>
      <c r="J624" s="119"/>
      <c r="K624" s="119"/>
    </row>
    <row r="625" spans="1:11" ht="12.75" customHeight="1" outlineLevel="1" x14ac:dyDescent="0.25">
      <c r="A625" s="117"/>
      <c r="B625" s="118"/>
      <c r="C625" s="119"/>
      <c r="D625" s="7">
        <v>2022</v>
      </c>
      <c r="E625" s="8">
        <f t="shared" si="50"/>
        <v>20912.768100000001</v>
      </c>
      <c r="F625" s="8">
        <v>20912.768100000001</v>
      </c>
      <c r="G625" s="8">
        <v>0</v>
      </c>
      <c r="H625" s="8">
        <v>0</v>
      </c>
      <c r="I625" s="8">
        <v>0</v>
      </c>
      <c r="J625" s="119"/>
      <c r="K625" s="119"/>
    </row>
    <row r="626" spans="1:11" ht="12.75" customHeight="1" outlineLevel="1" x14ac:dyDescent="0.25">
      <c r="A626" s="117"/>
      <c r="B626" s="118"/>
      <c r="C626" s="119"/>
      <c r="D626" s="7">
        <v>2023</v>
      </c>
      <c r="E626" s="8">
        <f t="shared" si="50"/>
        <v>0</v>
      </c>
      <c r="F626" s="8">
        <v>0</v>
      </c>
      <c r="G626" s="8">
        <v>0</v>
      </c>
      <c r="H626" s="8">
        <v>0</v>
      </c>
      <c r="I626" s="8">
        <v>0</v>
      </c>
      <c r="J626" s="119"/>
      <c r="K626" s="119"/>
    </row>
    <row r="627" spans="1:11" ht="12.75" customHeight="1" outlineLevel="1" x14ac:dyDescent="0.25">
      <c r="A627" s="117"/>
      <c r="B627" s="118"/>
      <c r="C627" s="119"/>
      <c r="D627" s="7">
        <v>2024</v>
      </c>
      <c r="E627" s="8">
        <f t="shared" si="50"/>
        <v>0</v>
      </c>
      <c r="F627" s="8">
        <v>0</v>
      </c>
      <c r="G627" s="8">
        <v>0</v>
      </c>
      <c r="H627" s="8">
        <v>0</v>
      </c>
      <c r="I627" s="8">
        <v>0</v>
      </c>
      <c r="J627" s="119"/>
      <c r="K627" s="119"/>
    </row>
    <row r="628" spans="1:11" ht="12.75" customHeight="1" outlineLevel="1" x14ac:dyDescent="0.25">
      <c r="A628" s="117"/>
      <c r="B628" s="118"/>
      <c r="C628" s="119"/>
      <c r="D628" s="7">
        <v>2025</v>
      </c>
      <c r="E628" s="8">
        <f t="shared" si="50"/>
        <v>0</v>
      </c>
      <c r="F628" s="8">
        <v>0</v>
      </c>
      <c r="G628" s="8">
        <v>0</v>
      </c>
      <c r="H628" s="8">
        <v>0</v>
      </c>
      <c r="I628" s="8">
        <v>0</v>
      </c>
      <c r="J628" s="119"/>
      <c r="K628" s="119"/>
    </row>
    <row r="629" spans="1:11" ht="12.75" customHeight="1" outlineLevel="1" x14ac:dyDescent="0.25">
      <c r="A629" s="117" t="s">
        <v>1181</v>
      </c>
      <c r="B629" s="118" t="s">
        <v>917</v>
      </c>
      <c r="C629" s="119" t="s">
        <v>1169</v>
      </c>
      <c r="D629" s="7" t="s">
        <v>8</v>
      </c>
      <c r="E629" s="8">
        <f t="shared" si="50"/>
        <v>150000</v>
      </c>
      <c r="F629" s="8">
        <f>SUM(F630:F634)</f>
        <v>142500</v>
      </c>
      <c r="G629" s="8">
        <f>SUM(G630:G634)</f>
        <v>0</v>
      </c>
      <c r="H629" s="8">
        <f>SUM(H630:H634)</f>
        <v>7500</v>
      </c>
      <c r="I629" s="8">
        <f>SUM(I630:I634)</f>
        <v>0</v>
      </c>
      <c r="J629" s="119" t="s">
        <v>1182</v>
      </c>
      <c r="K629" s="119" t="s">
        <v>547</v>
      </c>
    </row>
    <row r="630" spans="1:11" ht="12.75" customHeight="1" outlineLevel="1" x14ac:dyDescent="0.25">
      <c r="A630" s="117"/>
      <c r="B630" s="118"/>
      <c r="C630" s="119"/>
      <c r="D630" s="7">
        <v>2021</v>
      </c>
      <c r="E630" s="8">
        <f t="shared" si="50"/>
        <v>0</v>
      </c>
      <c r="F630" s="8">
        <v>0</v>
      </c>
      <c r="G630" s="8">
        <v>0</v>
      </c>
      <c r="H630" s="8">
        <v>0</v>
      </c>
      <c r="I630" s="8">
        <v>0</v>
      </c>
      <c r="J630" s="119"/>
      <c r="K630" s="119"/>
    </row>
    <row r="631" spans="1:11" ht="12.75" customHeight="1" outlineLevel="1" x14ac:dyDescent="0.25">
      <c r="A631" s="117"/>
      <c r="B631" s="118"/>
      <c r="C631" s="119"/>
      <c r="D631" s="7">
        <v>2022</v>
      </c>
      <c r="E631" s="8">
        <f t="shared" si="50"/>
        <v>70000</v>
      </c>
      <c r="F631" s="8">
        <v>66500</v>
      </c>
      <c r="G631" s="8">
        <v>0</v>
      </c>
      <c r="H631" s="8">
        <v>3500</v>
      </c>
      <c r="I631" s="8">
        <v>0</v>
      </c>
      <c r="J631" s="119"/>
      <c r="K631" s="119"/>
    </row>
    <row r="632" spans="1:11" ht="12.75" customHeight="1" outlineLevel="1" x14ac:dyDescent="0.25">
      <c r="A632" s="117"/>
      <c r="B632" s="118"/>
      <c r="C632" s="119"/>
      <c r="D632" s="7">
        <v>2023</v>
      </c>
      <c r="E632" s="8">
        <f t="shared" si="50"/>
        <v>80000</v>
      </c>
      <c r="F632" s="8">
        <v>76000</v>
      </c>
      <c r="G632" s="8">
        <v>0</v>
      </c>
      <c r="H632" s="8">
        <v>4000</v>
      </c>
      <c r="I632" s="8">
        <v>0</v>
      </c>
      <c r="J632" s="119"/>
      <c r="K632" s="119"/>
    </row>
    <row r="633" spans="1:11" ht="12.75" customHeight="1" outlineLevel="1" x14ac:dyDescent="0.25">
      <c r="A633" s="117"/>
      <c r="B633" s="118"/>
      <c r="C633" s="119"/>
      <c r="D633" s="7">
        <v>2024</v>
      </c>
      <c r="E633" s="8">
        <f t="shared" si="50"/>
        <v>0</v>
      </c>
      <c r="F633" s="8">
        <v>0</v>
      </c>
      <c r="G633" s="8">
        <v>0</v>
      </c>
      <c r="H633" s="8">
        <v>0</v>
      </c>
      <c r="I633" s="8">
        <v>0</v>
      </c>
      <c r="J633" s="119"/>
      <c r="K633" s="119"/>
    </row>
    <row r="634" spans="1:11" outlineLevel="1" x14ac:dyDescent="0.25">
      <c r="A634" s="117"/>
      <c r="B634" s="118"/>
      <c r="C634" s="119"/>
      <c r="D634" s="7">
        <v>2025</v>
      </c>
      <c r="E634" s="8">
        <f t="shared" si="50"/>
        <v>0</v>
      </c>
      <c r="F634" s="8">
        <v>0</v>
      </c>
      <c r="G634" s="8">
        <v>0</v>
      </c>
      <c r="H634" s="8">
        <v>0</v>
      </c>
      <c r="I634" s="8">
        <v>0</v>
      </c>
      <c r="J634" s="119"/>
      <c r="K634" s="119"/>
    </row>
    <row r="635" spans="1:11" ht="14.25" customHeight="1" outlineLevel="1" x14ac:dyDescent="0.25">
      <c r="A635" s="108" t="s">
        <v>922</v>
      </c>
      <c r="B635" s="108" t="s">
        <v>920</v>
      </c>
      <c r="C635" s="129" t="s">
        <v>1777</v>
      </c>
      <c r="D635" s="7" t="s">
        <v>8</v>
      </c>
      <c r="E635" s="8">
        <f t="shared" si="50"/>
        <v>22000</v>
      </c>
      <c r="F635" s="8">
        <f>SUM(F636:F641)</f>
        <v>22000</v>
      </c>
      <c r="G635" s="8">
        <f>SUM(G636:G640)</f>
        <v>0</v>
      </c>
      <c r="H635" s="8">
        <f>SUM(H636:H640)</f>
        <v>0</v>
      </c>
      <c r="I635" s="8">
        <f>SUM(I636:I640)</f>
        <v>0</v>
      </c>
      <c r="J635" s="108" t="s">
        <v>921</v>
      </c>
      <c r="K635" s="108" t="s">
        <v>563</v>
      </c>
    </row>
    <row r="636" spans="1:11" ht="12.75" customHeight="1" outlineLevel="1" x14ac:dyDescent="0.25">
      <c r="A636" s="109"/>
      <c r="B636" s="109"/>
      <c r="C636" s="130"/>
      <c r="D636" s="7">
        <v>2021</v>
      </c>
      <c r="E636" s="8">
        <f t="shared" si="50"/>
        <v>0</v>
      </c>
      <c r="F636" s="8">
        <v>0</v>
      </c>
      <c r="G636" s="8">
        <v>0</v>
      </c>
      <c r="H636" s="8">
        <v>0</v>
      </c>
      <c r="I636" s="8">
        <v>0</v>
      </c>
      <c r="J636" s="109"/>
      <c r="K636" s="109"/>
    </row>
    <row r="637" spans="1:11" ht="14.25" customHeight="1" outlineLevel="1" x14ac:dyDescent="0.25">
      <c r="A637" s="109"/>
      <c r="B637" s="109"/>
      <c r="C637" s="130"/>
      <c r="D637" s="7">
        <v>2022</v>
      </c>
      <c r="E637" s="8">
        <f t="shared" si="50"/>
        <v>4400</v>
      </c>
      <c r="F637" s="8">
        <v>4400</v>
      </c>
      <c r="G637" s="8">
        <v>0</v>
      </c>
      <c r="H637" s="8">
        <v>0</v>
      </c>
      <c r="I637" s="8">
        <v>0</v>
      </c>
      <c r="J637" s="109"/>
      <c r="K637" s="109"/>
    </row>
    <row r="638" spans="1:11" ht="14.25" customHeight="1" outlineLevel="1" x14ac:dyDescent="0.25">
      <c r="A638" s="109"/>
      <c r="B638" s="109"/>
      <c r="C638" s="130"/>
      <c r="D638" s="7">
        <v>2023</v>
      </c>
      <c r="E638" s="8">
        <f t="shared" si="50"/>
        <v>4400</v>
      </c>
      <c r="F638" s="8">
        <v>4400</v>
      </c>
      <c r="G638" s="8">
        <v>0</v>
      </c>
      <c r="H638" s="8">
        <v>0</v>
      </c>
      <c r="I638" s="8">
        <v>0</v>
      </c>
      <c r="J638" s="109"/>
      <c r="K638" s="109"/>
    </row>
    <row r="639" spans="1:11" ht="12" customHeight="1" outlineLevel="1" x14ac:dyDescent="0.25">
      <c r="A639" s="109"/>
      <c r="B639" s="109"/>
      <c r="C639" s="130"/>
      <c r="D639" s="7">
        <v>2024</v>
      </c>
      <c r="E639" s="8">
        <f t="shared" si="50"/>
        <v>4400</v>
      </c>
      <c r="F639" s="32">
        <v>4400</v>
      </c>
      <c r="G639" s="8">
        <v>0</v>
      </c>
      <c r="H639" s="8">
        <v>0</v>
      </c>
      <c r="I639" s="8">
        <v>0</v>
      </c>
      <c r="J639" s="109"/>
      <c r="K639" s="109"/>
    </row>
    <row r="640" spans="1:11" ht="15" customHeight="1" outlineLevel="1" x14ac:dyDescent="0.25">
      <c r="A640" s="109"/>
      <c r="B640" s="109"/>
      <c r="C640" s="130"/>
      <c r="D640" s="7">
        <v>2025</v>
      </c>
      <c r="E640" s="8">
        <f t="shared" si="50"/>
        <v>4400</v>
      </c>
      <c r="F640" s="32">
        <v>4400</v>
      </c>
      <c r="G640" s="8">
        <v>0</v>
      </c>
      <c r="H640" s="8">
        <v>0</v>
      </c>
      <c r="I640" s="8">
        <v>0</v>
      </c>
      <c r="J640" s="109"/>
      <c r="K640" s="109"/>
    </row>
    <row r="641" spans="1:16" s="52" customFormat="1" ht="15" customHeight="1" outlineLevel="1" x14ac:dyDescent="0.25">
      <c r="A641" s="110"/>
      <c r="B641" s="110"/>
      <c r="C641" s="131"/>
      <c r="D641" s="40">
        <v>2026</v>
      </c>
      <c r="E641" s="41">
        <f t="shared" si="50"/>
        <v>4400</v>
      </c>
      <c r="F641" s="41">
        <v>4400</v>
      </c>
      <c r="G641" s="41">
        <v>0</v>
      </c>
      <c r="H641" s="41">
        <v>0</v>
      </c>
      <c r="I641" s="41">
        <v>0</v>
      </c>
      <c r="J641" s="110"/>
      <c r="K641" s="110"/>
      <c r="M641" s="55"/>
      <c r="N641" s="55"/>
      <c r="O641" s="55"/>
      <c r="P641" s="55"/>
    </row>
    <row r="642" spans="1:16" ht="12.75" customHeight="1" outlineLevel="1" x14ac:dyDescent="0.25">
      <c r="A642" s="117" t="s">
        <v>925</v>
      </c>
      <c r="B642" s="118" t="s">
        <v>926</v>
      </c>
      <c r="C642" s="119">
        <v>2022</v>
      </c>
      <c r="D642" s="7" t="s">
        <v>8</v>
      </c>
      <c r="E642" s="8">
        <f t="shared" si="50"/>
        <v>65500</v>
      </c>
      <c r="F642" s="8">
        <f>SUM(F643:F647)</f>
        <v>62225</v>
      </c>
      <c r="G642" s="8">
        <f>SUM(G643:G647)</f>
        <v>0</v>
      </c>
      <c r="H642" s="8">
        <f>SUM(H643:H647)</f>
        <v>3275</v>
      </c>
      <c r="I642" s="8">
        <f>SUM(I643:I647)</f>
        <v>0</v>
      </c>
      <c r="J642" s="119" t="s">
        <v>927</v>
      </c>
      <c r="K642" s="119" t="s">
        <v>547</v>
      </c>
    </row>
    <row r="643" spans="1:16" ht="12.75" customHeight="1" outlineLevel="1" x14ac:dyDescent="0.25">
      <c r="A643" s="117"/>
      <c r="B643" s="118"/>
      <c r="C643" s="119"/>
      <c r="D643" s="7">
        <v>2021</v>
      </c>
      <c r="E643" s="8">
        <f t="shared" si="50"/>
        <v>0</v>
      </c>
      <c r="F643" s="8">
        <v>0</v>
      </c>
      <c r="G643" s="8">
        <v>0</v>
      </c>
      <c r="H643" s="8">
        <v>0</v>
      </c>
      <c r="I643" s="8">
        <v>0</v>
      </c>
      <c r="J643" s="119"/>
      <c r="K643" s="119"/>
    </row>
    <row r="644" spans="1:16" ht="12.75" customHeight="1" outlineLevel="1" x14ac:dyDescent="0.25">
      <c r="A644" s="117"/>
      <c r="B644" s="118"/>
      <c r="C644" s="119"/>
      <c r="D644" s="7">
        <v>2022</v>
      </c>
      <c r="E644" s="8">
        <f t="shared" si="50"/>
        <v>65500</v>
      </c>
      <c r="F644" s="8">
        <v>62225</v>
      </c>
      <c r="G644" s="8">
        <v>0</v>
      </c>
      <c r="H644" s="8">
        <v>3275</v>
      </c>
      <c r="I644" s="8">
        <v>0</v>
      </c>
      <c r="J644" s="119"/>
      <c r="K644" s="119"/>
    </row>
    <row r="645" spans="1:16" ht="12.75" customHeight="1" outlineLevel="1" x14ac:dyDescent="0.25">
      <c r="A645" s="117"/>
      <c r="B645" s="118"/>
      <c r="C645" s="119"/>
      <c r="D645" s="7">
        <v>2023</v>
      </c>
      <c r="E645" s="8">
        <f t="shared" si="50"/>
        <v>0</v>
      </c>
      <c r="F645" s="8">
        <v>0</v>
      </c>
      <c r="G645" s="8">
        <v>0</v>
      </c>
      <c r="H645" s="8">
        <v>0</v>
      </c>
      <c r="I645" s="8">
        <v>0</v>
      </c>
      <c r="J645" s="119"/>
      <c r="K645" s="119"/>
    </row>
    <row r="646" spans="1:16" ht="12.75" customHeight="1" outlineLevel="1" x14ac:dyDescent="0.25">
      <c r="A646" s="117"/>
      <c r="B646" s="118"/>
      <c r="C646" s="119"/>
      <c r="D646" s="7">
        <v>2024</v>
      </c>
      <c r="E646" s="8">
        <f t="shared" si="50"/>
        <v>0</v>
      </c>
      <c r="F646" s="8">
        <v>0</v>
      </c>
      <c r="G646" s="8">
        <v>0</v>
      </c>
      <c r="H646" s="8">
        <v>0</v>
      </c>
      <c r="I646" s="8">
        <v>0</v>
      </c>
      <c r="J646" s="119"/>
      <c r="K646" s="119"/>
    </row>
    <row r="647" spans="1:16" ht="12.75" customHeight="1" outlineLevel="1" x14ac:dyDescent="0.25">
      <c r="A647" s="117"/>
      <c r="B647" s="118"/>
      <c r="C647" s="119"/>
      <c r="D647" s="7">
        <v>2025</v>
      </c>
      <c r="E647" s="8">
        <f t="shared" si="50"/>
        <v>0</v>
      </c>
      <c r="F647" s="8">
        <v>0</v>
      </c>
      <c r="G647" s="8">
        <v>0</v>
      </c>
      <c r="H647" s="8">
        <v>0</v>
      </c>
      <c r="I647" s="8">
        <v>0</v>
      </c>
      <c r="J647" s="119"/>
      <c r="K647" s="119"/>
    </row>
    <row r="648" spans="1:16" ht="12.75" customHeight="1" outlineLevel="1" x14ac:dyDescent="0.25">
      <c r="A648" s="117" t="s">
        <v>928</v>
      </c>
      <c r="B648" s="118" t="s">
        <v>1183</v>
      </c>
      <c r="C648" s="119">
        <v>2022</v>
      </c>
      <c r="D648" s="7" t="s">
        <v>8</v>
      </c>
      <c r="E648" s="8">
        <f t="shared" si="50"/>
        <v>3010.9325454545456</v>
      </c>
      <c r="F648" s="8">
        <f>SUM(F649:F653)</f>
        <v>2980.8232200000002</v>
      </c>
      <c r="G648" s="8">
        <f t="shared" ref="G648:G690" si="52">SUM(G649:G653)</f>
        <v>0</v>
      </c>
      <c r="H648" s="8">
        <f>SUM(H649:H653)</f>
        <v>30.109325454545456</v>
      </c>
      <c r="I648" s="8">
        <f t="shared" ref="I648:I684" si="53">SUM(I649:I653)</f>
        <v>0</v>
      </c>
      <c r="J648" s="119" t="s">
        <v>930</v>
      </c>
      <c r="K648" s="119" t="s">
        <v>547</v>
      </c>
    </row>
    <row r="649" spans="1:16" ht="12.75" customHeight="1" outlineLevel="1" x14ac:dyDescent="0.25">
      <c r="A649" s="117"/>
      <c r="B649" s="118"/>
      <c r="C649" s="119"/>
      <c r="D649" s="7">
        <v>2021</v>
      </c>
      <c r="E649" s="8">
        <f t="shared" si="50"/>
        <v>0</v>
      </c>
      <c r="F649" s="8"/>
      <c r="G649" s="8">
        <f t="shared" si="52"/>
        <v>0</v>
      </c>
      <c r="H649" s="8"/>
      <c r="I649" s="8">
        <f t="shared" si="53"/>
        <v>0</v>
      </c>
      <c r="J649" s="119"/>
      <c r="K649" s="119"/>
    </row>
    <row r="650" spans="1:16" ht="12.75" customHeight="1" outlineLevel="1" x14ac:dyDescent="0.25">
      <c r="A650" s="117"/>
      <c r="B650" s="118"/>
      <c r="C650" s="119"/>
      <c r="D650" s="7">
        <v>2022</v>
      </c>
      <c r="E650" s="8">
        <f t="shared" si="50"/>
        <v>3010.9325454545456</v>
      </c>
      <c r="F650" s="8">
        <v>2980.8232200000002</v>
      </c>
      <c r="G650" s="8">
        <f t="shared" si="52"/>
        <v>0</v>
      </c>
      <c r="H650" s="8">
        <f>F650/99*1</f>
        <v>30.109325454545456</v>
      </c>
      <c r="I650" s="8">
        <f t="shared" si="53"/>
        <v>0</v>
      </c>
      <c r="J650" s="119"/>
      <c r="K650" s="119"/>
    </row>
    <row r="651" spans="1:16" ht="12.75" customHeight="1" outlineLevel="1" x14ac:dyDescent="0.25">
      <c r="A651" s="117"/>
      <c r="B651" s="118"/>
      <c r="C651" s="119"/>
      <c r="D651" s="7">
        <v>2023</v>
      </c>
      <c r="E651" s="8">
        <f t="shared" si="50"/>
        <v>0</v>
      </c>
      <c r="F651" s="8"/>
      <c r="G651" s="8">
        <f t="shared" si="52"/>
        <v>0</v>
      </c>
      <c r="H651" s="8"/>
      <c r="I651" s="8">
        <f t="shared" si="53"/>
        <v>0</v>
      </c>
      <c r="J651" s="119"/>
      <c r="K651" s="119"/>
    </row>
    <row r="652" spans="1:16" ht="12.75" customHeight="1" outlineLevel="1" x14ac:dyDescent="0.25">
      <c r="A652" s="117"/>
      <c r="B652" s="118"/>
      <c r="C652" s="119"/>
      <c r="D652" s="7">
        <v>2024</v>
      </c>
      <c r="E652" s="8">
        <f t="shared" si="50"/>
        <v>0</v>
      </c>
      <c r="F652" s="8"/>
      <c r="G652" s="8">
        <f t="shared" si="52"/>
        <v>0</v>
      </c>
      <c r="H652" s="8"/>
      <c r="I652" s="8">
        <f t="shared" si="53"/>
        <v>0</v>
      </c>
      <c r="J652" s="119"/>
      <c r="K652" s="119"/>
    </row>
    <row r="653" spans="1:16" ht="12.75" customHeight="1" outlineLevel="1" x14ac:dyDescent="0.25">
      <c r="A653" s="117"/>
      <c r="B653" s="118"/>
      <c r="C653" s="119"/>
      <c r="D653" s="7">
        <v>2025</v>
      </c>
      <c r="E653" s="8">
        <f t="shared" si="50"/>
        <v>0</v>
      </c>
      <c r="F653" s="8"/>
      <c r="G653" s="8">
        <f t="shared" si="52"/>
        <v>0</v>
      </c>
      <c r="H653" s="8"/>
      <c r="I653" s="8">
        <f t="shared" si="53"/>
        <v>0</v>
      </c>
      <c r="J653" s="119"/>
      <c r="K653" s="119"/>
    </row>
    <row r="654" spans="1:16" ht="12.75" customHeight="1" outlineLevel="1" x14ac:dyDescent="0.25">
      <c r="A654" s="117" t="s">
        <v>931</v>
      </c>
      <c r="B654" s="118" t="s">
        <v>932</v>
      </c>
      <c r="C654" s="119">
        <v>2022</v>
      </c>
      <c r="D654" s="7" t="s">
        <v>8</v>
      </c>
      <c r="E654" s="8">
        <f t="shared" si="50"/>
        <v>9956.0763399999996</v>
      </c>
      <c r="F654" s="8">
        <f>SUM(F655:F659)</f>
        <v>9458.2733399999997</v>
      </c>
      <c r="G654" s="8">
        <f t="shared" si="52"/>
        <v>0</v>
      </c>
      <c r="H654" s="8">
        <f>SUM(H655:H659)</f>
        <v>497.803</v>
      </c>
      <c r="I654" s="8">
        <f t="shared" si="53"/>
        <v>0</v>
      </c>
      <c r="J654" s="119" t="s">
        <v>933</v>
      </c>
      <c r="K654" s="119" t="s">
        <v>547</v>
      </c>
    </row>
    <row r="655" spans="1:16" ht="12.75" customHeight="1" outlineLevel="1" x14ac:dyDescent="0.25">
      <c r="A655" s="117"/>
      <c r="B655" s="118"/>
      <c r="C655" s="119"/>
      <c r="D655" s="7">
        <v>2021</v>
      </c>
      <c r="E655" s="8">
        <f t="shared" si="50"/>
        <v>0</v>
      </c>
      <c r="F655" s="8">
        <v>0</v>
      </c>
      <c r="G655" s="8">
        <f t="shared" si="52"/>
        <v>0</v>
      </c>
      <c r="H655" s="8">
        <v>0</v>
      </c>
      <c r="I655" s="8">
        <f t="shared" si="53"/>
        <v>0</v>
      </c>
      <c r="J655" s="119"/>
      <c r="K655" s="119"/>
    </row>
    <row r="656" spans="1:16" ht="12.75" customHeight="1" outlineLevel="1" x14ac:dyDescent="0.25">
      <c r="A656" s="117"/>
      <c r="B656" s="118"/>
      <c r="C656" s="119"/>
      <c r="D656" s="7">
        <v>2022</v>
      </c>
      <c r="E656" s="8">
        <f t="shared" si="50"/>
        <v>9956.0763399999996</v>
      </c>
      <c r="F656" s="8">
        <v>9458.2733399999997</v>
      </c>
      <c r="G656" s="8">
        <f t="shared" si="52"/>
        <v>0</v>
      </c>
      <c r="H656" s="8">
        <v>497.803</v>
      </c>
      <c r="I656" s="8">
        <f t="shared" si="53"/>
        <v>0</v>
      </c>
      <c r="J656" s="119"/>
      <c r="K656" s="119"/>
    </row>
    <row r="657" spans="1:11" ht="12.75" customHeight="1" outlineLevel="1" x14ac:dyDescent="0.25">
      <c r="A657" s="117"/>
      <c r="B657" s="118"/>
      <c r="C657" s="119"/>
      <c r="D657" s="7">
        <v>2023</v>
      </c>
      <c r="E657" s="8">
        <f t="shared" si="50"/>
        <v>0</v>
      </c>
      <c r="F657" s="8">
        <v>0</v>
      </c>
      <c r="G657" s="8">
        <f t="shared" si="52"/>
        <v>0</v>
      </c>
      <c r="H657" s="8">
        <v>0</v>
      </c>
      <c r="I657" s="8">
        <f t="shared" si="53"/>
        <v>0</v>
      </c>
      <c r="J657" s="119"/>
      <c r="K657" s="119"/>
    </row>
    <row r="658" spans="1:11" ht="12.75" customHeight="1" outlineLevel="1" x14ac:dyDescent="0.25">
      <c r="A658" s="117"/>
      <c r="B658" s="118"/>
      <c r="C658" s="119"/>
      <c r="D658" s="7">
        <v>2024</v>
      </c>
      <c r="E658" s="8">
        <f t="shared" si="50"/>
        <v>0</v>
      </c>
      <c r="F658" s="8">
        <v>0</v>
      </c>
      <c r="G658" s="8">
        <f t="shared" si="52"/>
        <v>0</v>
      </c>
      <c r="H658" s="8">
        <v>0</v>
      </c>
      <c r="I658" s="8">
        <f t="shared" si="53"/>
        <v>0</v>
      </c>
      <c r="J658" s="119"/>
      <c r="K658" s="119"/>
    </row>
    <row r="659" spans="1:11" ht="12.75" customHeight="1" outlineLevel="1" x14ac:dyDescent="0.25">
      <c r="A659" s="117"/>
      <c r="B659" s="118"/>
      <c r="C659" s="119"/>
      <c r="D659" s="7">
        <v>2025</v>
      </c>
      <c r="E659" s="8">
        <f t="shared" si="50"/>
        <v>0</v>
      </c>
      <c r="F659" s="8">
        <v>0</v>
      </c>
      <c r="G659" s="8">
        <f t="shared" si="52"/>
        <v>0</v>
      </c>
      <c r="H659" s="8">
        <v>0</v>
      </c>
      <c r="I659" s="8">
        <f t="shared" si="53"/>
        <v>0</v>
      </c>
      <c r="J659" s="119"/>
      <c r="K659" s="119"/>
    </row>
    <row r="660" spans="1:11" ht="12.75" customHeight="1" outlineLevel="1" x14ac:dyDescent="0.25">
      <c r="A660" s="117" t="s">
        <v>934</v>
      </c>
      <c r="B660" s="118" t="s">
        <v>1184</v>
      </c>
      <c r="C660" s="119">
        <v>2022</v>
      </c>
      <c r="D660" s="7" t="s">
        <v>8</v>
      </c>
      <c r="E660" s="8">
        <f t="shared" si="50"/>
        <v>3320.7358421052631</v>
      </c>
      <c r="F660" s="8">
        <f>SUM(F661:F665)</f>
        <v>3154.6990500000002</v>
      </c>
      <c r="G660" s="8">
        <f t="shared" si="52"/>
        <v>0</v>
      </c>
      <c r="H660" s="8">
        <f>SUM(H661:H665)</f>
        <v>166.03679210526315</v>
      </c>
      <c r="I660" s="8">
        <f t="shared" si="53"/>
        <v>0</v>
      </c>
      <c r="J660" s="119" t="s">
        <v>1185</v>
      </c>
      <c r="K660" s="119" t="s">
        <v>547</v>
      </c>
    </row>
    <row r="661" spans="1:11" ht="12.75" customHeight="1" outlineLevel="1" x14ac:dyDescent="0.25">
      <c r="A661" s="117"/>
      <c r="B661" s="118"/>
      <c r="C661" s="119"/>
      <c r="D661" s="7">
        <v>2021</v>
      </c>
      <c r="E661" s="8">
        <f t="shared" si="50"/>
        <v>0</v>
      </c>
      <c r="F661" s="8">
        <v>0</v>
      </c>
      <c r="G661" s="8">
        <f t="shared" si="52"/>
        <v>0</v>
      </c>
      <c r="H661" s="8">
        <v>0</v>
      </c>
      <c r="I661" s="8">
        <f t="shared" si="53"/>
        <v>0</v>
      </c>
      <c r="J661" s="119"/>
      <c r="K661" s="119"/>
    </row>
    <row r="662" spans="1:11" ht="12.75" customHeight="1" outlineLevel="1" x14ac:dyDescent="0.25">
      <c r="A662" s="117"/>
      <c r="B662" s="118"/>
      <c r="C662" s="119"/>
      <c r="D662" s="7">
        <v>2022</v>
      </c>
      <c r="E662" s="8">
        <f t="shared" si="50"/>
        <v>3320.7358421052631</v>
      </c>
      <c r="F662" s="8">
        <v>3154.6990500000002</v>
      </c>
      <c r="G662" s="8">
        <f t="shared" si="52"/>
        <v>0</v>
      </c>
      <c r="H662" s="8">
        <f>F662/95*5</f>
        <v>166.03679210526315</v>
      </c>
      <c r="I662" s="8">
        <f t="shared" si="53"/>
        <v>0</v>
      </c>
      <c r="J662" s="119"/>
      <c r="K662" s="119"/>
    </row>
    <row r="663" spans="1:11" ht="12.75" customHeight="1" outlineLevel="1" x14ac:dyDescent="0.25">
      <c r="A663" s="117"/>
      <c r="B663" s="118"/>
      <c r="C663" s="119"/>
      <c r="D663" s="7">
        <v>2023</v>
      </c>
      <c r="E663" s="8">
        <f t="shared" si="50"/>
        <v>0</v>
      </c>
      <c r="F663" s="8">
        <v>0</v>
      </c>
      <c r="G663" s="8">
        <f t="shared" si="52"/>
        <v>0</v>
      </c>
      <c r="H663" s="8">
        <v>0</v>
      </c>
      <c r="I663" s="8">
        <f t="shared" si="53"/>
        <v>0</v>
      </c>
      <c r="J663" s="119"/>
      <c r="K663" s="119"/>
    </row>
    <row r="664" spans="1:11" ht="12.75" customHeight="1" outlineLevel="1" x14ac:dyDescent="0.25">
      <c r="A664" s="117"/>
      <c r="B664" s="118"/>
      <c r="C664" s="119"/>
      <c r="D664" s="7">
        <v>2024</v>
      </c>
      <c r="E664" s="8">
        <f t="shared" si="50"/>
        <v>0</v>
      </c>
      <c r="F664" s="8">
        <v>0</v>
      </c>
      <c r="G664" s="8">
        <f t="shared" si="52"/>
        <v>0</v>
      </c>
      <c r="H664" s="8">
        <v>0</v>
      </c>
      <c r="I664" s="8">
        <f t="shared" si="53"/>
        <v>0</v>
      </c>
      <c r="J664" s="119"/>
      <c r="K664" s="119"/>
    </row>
    <row r="665" spans="1:11" ht="12.75" customHeight="1" outlineLevel="1" x14ac:dyDescent="0.25">
      <c r="A665" s="117"/>
      <c r="B665" s="118"/>
      <c r="C665" s="119"/>
      <c r="D665" s="7">
        <v>2025</v>
      </c>
      <c r="E665" s="8">
        <f t="shared" si="50"/>
        <v>0</v>
      </c>
      <c r="F665" s="8">
        <v>0</v>
      </c>
      <c r="G665" s="8">
        <f t="shared" si="52"/>
        <v>0</v>
      </c>
      <c r="H665" s="8">
        <v>0</v>
      </c>
      <c r="I665" s="8">
        <f t="shared" si="53"/>
        <v>0</v>
      </c>
      <c r="J665" s="119"/>
      <c r="K665" s="119"/>
    </row>
    <row r="666" spans="1:11" ht="12.75" customHeight="1" outlineLevel="1" x14ac:dyDescent="0.25">
      <c r="A666" s="117" t="s">
        <v>937</v>
      </c>
      <c r="B666" s="118" t="s">
        <v>938</v>
      </c>
      <c r="C666" s="119">
        <v>2022</v>
      </c>
      <c r="D666" s="7" t="s">
        <v>8</v>
      </c>
      <c r="E666" s="8">
        <f t="shared" si="50"/>
        <v>17129.317905263157</v>
      </c>
      <c r="F666" s="8">
        <f>SUM(F667:F671)</f>
        <v>16272.852010000001</v>
      </c>
      <c r="G666" s="8">
        <f t="shared" si="52"/>
        <v>0</v>
      </c>
      <c r="H666" s="8">
        <f>SUM(H667:H671)</f>
        <v>856.4658952631579</v>
      </c>
      <c r="I666" s="8">
        <f t="shared" si="53"/>
        <v>0</v>
      </c>
      <c r="J666" s="119" t="s">
        <v>939</v>
      </c>
      <c r="K666" s="119" t="s">
        <v>547</v>
      </c>
    </row>
    <row r="667" spans="1:11" ht="12.75" customHeight="1" outlineLevel="1" x14ac:dyDescent="0.25">
      <c r="A667" s="117"/>
      <c r="B667" s="118"/>
      <c r="C667" s="119"/>
      <c r="D667" s="7">
        <v>2021</v>
      </c>
      <c r="E667" s="8">
        <f t="shared" si="50"/>
        <v>0</v>
      </c>
      <c r="F667" s="8">
        <v>0</v>
      </c>
      <c r="G667" s="8">
        <f t="shared" si="52"/>
        <v>0</v>
      </c>
      <c r="H667" s="8">
        <v>0</v>
      </c>
      <c r="I667" s="8">
        <f t="shared" si="53"/>
        <v>0</v>
      </c>
      <c r="J667" s="119"/>
      <c r="K667" s="119"/>
    </row>
    <row r="668" spans="1:11" ht="12.75" customHeight="1" outlineLevel="1" x14ac:dyDescent="0.25">
      <c r="A668" s="117"/>
      <c r="B668" s="118"/>
      <c r="C668" s="119"/>
      <c r="D668" s="7">
        <v>2022</v>
      </c>
      <c r="E668" s="8">
        <f t="shared" si="50"/>
        <v>17129.317905263157</v>
      </c>
      <c r="F668" s="8">
        <v>16272.852010000001</v>
      </c>
      <c r="G668" s="8">
        <f t="shared" si="52"/>
        <v>0</v>
      </c>
      <c r="H668" s="8">
        <f>F668/95*5</f>
        <v>856.4658952631579</v>
      </c>
      <c r="I668" s="8">
        <f t="shared" si="53"/>
        <v>0</v>
      </c>
      <c r="J668" s="119"/>
      <c r="K668" s="119"/>
    </row>
    <row r="669" spans="1:11" ht="12.75" customHeight="1" outlineLevel="1" x14ac:dyDescent="0.25">
      <c r="A669" s="117"/>
      <c r="B669" s="118"/>
      <c r="C669" s="119"/>
      <c r="D669" s="7">
        <v>2023</v>
      </c>
      <c r="E669" s="8">
        <f t="shared" si="50"/>
        <v>0</v>
      </c>
      <c r="F669" s="8">
        <v>0</v>
      </c>
      <c r="G669" s="8">
        <f t="shared" si="52"/>
        <v>0</v>
      </c>
      <c r="H669" s="8">
        <v>0</v>
      </c>
      <c r="I669" s="8">
        <f t="shared" si="53"/>
        <v>0</v>
      </c>
      <c r="J669" s="119"/>
      <c r="K669" s="119"/>
    </row>
    <row r="670" spans="1:11" ht="12.75" customHeight="1" outlineLevel="1" x14ac:dyDescent="0.25">
      <c r="A670" s="117"/>
      <c r="B670" s="118"/>
      <c r="C670" s="119"/>
      <c r="D670" s="7">
        <v>2024</v>
      </c>
      <c r="E670" s="8">
        <f t="shared" si="50"/>
        <v>0</v>
      </c>
      <c r="F670" s="8">
        <v>0</v>
      </c>
      <c r="G670" s="8">
        <f t="shared" si="52"/>
        <v>0</v>
      </c>
      <c r="H670" s="8">
        <v>0</v>
      </c>
      <c r="I670" s="8">
        <f t="shared" si="53"/>
        <v>0</v>
      </c>
      <c r="J670" s="119"/>
      <c r="K670" s="119"/>
    </row>
    <row r="671" spans="1:11" ht="12.75" customHeight="1" outlineLevel="1" x14ac:dyDescent="0.25">
      <c r="A671" s="117"/>
      <c r="B671" s="118"/>
      <c r="C671" s="119"/>
      <c r="D671" s="7">
        <v>2025</v>
      </c>
      <c r="E671" s="8">
        <f t="shared" si="50"/>
        <v>0</v>
      </c>
      <c r="F671" s="8">
        <v>0</v>
      </c>
      <c r="G671" s="8">
        <f t="shared" si="52"/>
        <v>0</v>
      </c>
      <c r="H671" s="8">
        <v>0</v>
      </c>
      <c r="I671" s="8">
        <f t="shared" si="53"/>
        <v>0</v>
      </c>
      <c r="J671" s="119"/>
      <c r="K671" s="119"/>
    </row>
    <row r="672" spans="1:11" ht="12.75" customHeight="1" outlineLevel="1" x14ac:dyDescent="0.25">
      <c r="A672" s="117" t="s">
        <v>940</v>
      </c>
      <c r="B672" s="118" t="s">
        <v>1186</v>
      </c>
      <c r="C672" s="119">
        <v>2022</v>
      </c>
      <c r="D672" s="7" t="s">
        <v>8</v>
      </c>
      <c r="E672" s="8">
        <f t="shared" si="50"/>
        <v>5286.9536799999996</v>
      </c>
      <c r="F672" s="8">
        <f>SUM(F673:F677)</f>
        <v>5022.6066799999999</v>
      </c>
      <c r="G672" s="8">
        <f t="shared" si="52"/>
        <v>0</v>
      </c>
      <c r="H672" s="8">
        <f>SUM(H673:H677)</f>
        <v>264.34699999999998</v>
      </c>
      <c r="I672" s="8">
        <f t="shared" si="53"/>
        <v>0</v>
      </c>
      <c r="J672" s="119" t="s">
        <v>942</v>
      </c>
      <c r="K672" s="119" t="s">
        <v>547</v>
      </c>
    </row>
    <row r="673" spans="1:11" ht="12.75" customHeight="1" outlineLevel="1" x14ac:dyDescent="0.25">
      <c r="A673" s="117"/>
      <c r="B673" s="118"/>
      <c r="C673" s="119"/>
      <c r="D673" s="7">
        <v>2021</v>
      </c>
      <c r="E673" s="8">
        <f t="shared" si="50"/>
        <v>0</v>
      </c>
      <c r="F673" s="8">
        <v>0</v>
      </c>
      <c r="G673" s="8">
        <f t="shared" si="52"/>
        <v>0</v>
      </c>
      <c r="H673" s="8">
        <v>0</v>
      </c>
      <c r="I673" s="8">
        <f t="shared" si="53"/>
        <v>0</v>
      </c>
      <c r="J673" s="119"/>
      <c r="K673" s="119"/>
    </row>
    <row r="674" spans="1:11" ht="12.75" customHeight="1" outlineLevel="1" x14ac:dyDescent="0.25">
      <c r="A674" s="117"/>
      <c r="B674" s="118"/>
      <c r="C674" s="119"/>
      <c r="D674" s="7">
        <v>2022</v>
      </c>
      <c r="E674" s="8">
        <f t="shared" si="50"/>
        <v>5286.9536799999996</v>
      </c>
      <c r="F674" s="8">
        <v>5022.6066799999999</v>
      </c>
      <c r="G674" s="8">
        <f t="shared" si="52"/>
        <v>0</v>
      </c>
      <c r="H674" s="8">
        <v>264.34699999999998</v>
      </c>
      <c r="I674" s="8">
        <f t="shared" si="53"/>
        <v>0</v>
      </c>
      <c r="J674" s="119"/>
      <c r="K674" s="119"/>
    </row>
    <row r="675" spans="1:11" ht="12.75" customHeight="1" outlineLevel="1" x14ac:dyDescent="0.25">
      <c r="A675" s="117"/>
      <c r="B675" s="118"/>
      <c r="C675" s="119"/>
      <c r="D675" s="7">
        <v>2023</v>
      </c>
      <c r="E675" s="8">
        <f t="shared" si="50"/>
        <v>0</v>
      </c>
      <c r="F675" s="8">
        <v>0</v>
      </c>
      <c r="G675" s="8">
        <f t="shared" si="52"/>
        <v>0</v>
      </c>
      <c r="H675" s="8">
        <v>0</v>
      </c>
      <c r="I675" s="8">
        <f t="shared" si="53"/>
        <v>0</v>
      </c>
      <c r="J675" s="119"/>
      <c r="K675" s="119"/>
    </row>
    <row r="676" spans="1:11" ht="12.75" customHeight="1" outlineLevel="1" x14ac:dyDescent="0.25">
      <c r="A676" s="117"/>
      <c r="B676" s="118"/>
      <c r="C676" s="119"/>
      <c r="D676" s="7">
        <v>2024</v>
      </c>
      <c r="E676" s="8">
        <f t="shared" si="50"/>
        <v>0</v>
      </c>
      <c r="F676" s="8">
        <v>0</v>
      </c>
      <c r="G676" s="8">
        <f t="shared" si="52"/>
        <v>0</v>
      </c>
      <c r="H676" s="8">
        <v>0</v>
      </c>
      <c r="I676" s="8">
        <f t="shared" si="53"/>
        <v>0</v>
      </c>
      <c r="J676" s="119"/>
      <c r="K676" s="119"/>
    </row>
    <row r="677" spans="1:11" ht="12.75" customHeight="1" outlineLevel="1" x14ac:dyDescent="0.25">
      <c r="A677" s="117"/>
      <c r="B677" s="118"/>
      <c r="C677" s="119"/>
      <c r="D677" s="7">
        <v>2025</v>
      </c>
      <c r="E677" s="8">
        <f t="shared" ref="E677:F755" si="54">SUM(F677:I677)</f>
        <v>0</v>
      </c>
      <c r="F677" s="8">
        <v>0</v>
      </c>
      <c r="G677" s="8">
        <f t="shared" si="52"/>
        <v>0</v>
      </c>
      <c r="H677" s="8">
        <v>0</v>
      </c>
      <c r="I677" s="8">
        <f t="shared" si="53"/>
        <v>0</v>
      </c>
      <c r="J677" s="119"/>
      <c r="K677" s="119"/>
    </row>
    <row r="678" spans="1:11" ht="12.75" customHeight="1" outlineLevel="1" x14ac:dyDescent="0.25">
      <c r="A678" s="117" t="s">
        <v>943</v>
      </c>
      <c r="B678" s="118" t="s">
        <v>944</v>
      </c>
      <c r="C678" s="119">
        <v>2022</v>
      </c>
      <c r="D678" s="7" t="s">
        <v>8</v>
      </c>
      <c r="E678" s="8">
        <f t="shared" si="54"/>
        <v>2973.9789052631577</v>
      </c>
      <c r="F678" s="8">
        <f>SUM(F679:F683)</f>
        <v>2825.2799599999998</v>
      </c>
      <c r="G678" s="8">
        <f t="shared" si="52"/>
        <v>0</v>
      </c>
      <c r="H678" s="8">
        <f>SUM(H679:H683)</f>
        <v>148.69894526315787</v>
      </c>
      <c r="I678" s="8">
        <f t="shared" si="53"/>
        <v>0</v>
      </c>
      <c r="J678" s="119" t="s">
        <v>945</v>
      </c>
      <c r="K678" s="119" t="s">
        <v>547</v>
      </c>
    </row>
    <row r="679" spans="1:11" ht="12.75" customHeight="1" outlineLevel="1" x14ac:dyDescent="0.25">
      <c r="A679" s="117"/>
      <c r="B679" s="118"/>
      <c r="C679" s="119"/>
      <c r="D679" s="7">
        <v>2021</v>
      </c>
      <c r="E679" s="8">
        <f t="shared" si="54"/>
        <v>0</v>
      </c>
      <c r="F679" s="8">
        <v>0</v>
      </c>
      <c r="G679" s="8">
        <f t="shared" si="52"/>
        <v>0</v>
      </c>
      <c r="H679" s="8">
        <v>0</v>
      </c>
      <c r="I679" s="8">
        <v>0</v>
      </c>
      <c r="J679" s="119"/>
      <c r="K679" s="119"/>
    </row>
    <row r="680" spans="1:11" ht="12.75" customHeight="1" outlineLevel="1" x14ac:dyDescent="0.25">
      <c r="A680" s="117"/>
      <c r="B680" s="118"/>
      <c r="C680" s="119"/>
      <c r="D680" s="7">
        <v>2022</v>
      </c>
      <c r="E680" s="8">
        <f t="shared" si="54"/>
        <v>2973.9789052631577</v>
      </c>
      <c r="F680" s="8">
        <v>2825.2799599999998</v>
      </c>
      <c r="G680" s="8">
        <f t="shared" si="52"/>
        <v>0</v>
      </c>
      <c r="H680" s="8">
        <f>F680/95*5</f>
        <v>148.69894526315787</v>
      </c>
      <c r="I680" s="8">
        <v>0</v>
      </c>
      <c r="J680" s="119"/>
      <c r="K680" s="119"/>
    </row>
    <row r="681" spans="1:11" ht="12.75" customHeight="1" outlineLevel="1" x14ac:dyDescent="0.25">
      <c r="A681" s="117"/>
      <c r="B681" s="118"/>
      <c r="C681" s="119"/>
      <c r="D681" s="7">
        <v>2023</v>
      </c>
      <c r="E681" s="8">
        <f t="shared" si="54"/>
        <v>0</v>
      </c>
      <c r="F681" s="8">
        <v>0</v>
      </c>
      <c r="G681" s="8">
        <v>0</v>
      </c>
      <c r="H681" s="8">
        <v>0</v>
      </c>
      <c r="I681" s="8">
        <v>0</v>
      </c>
      <c r="J681" s="119"/>
      <c r="K681" s="119"/>
    </row>
    <row r="682" spans="1:11" ht="12.75" customHeight="1" outlineLevel="1" x14ac:dyDescent="0.25">
      <c r="A682" s="117"/>
      <c r="B682" s="118"/>
      <c r="C682" s="119"/>
      <c r="D682" s="7">
        <v>2024</v>
      </c>
      <c r="E682" s="8">
        <f t="shared" si="54"/>
        <v>0</v>
      </c>
      <c r="F682" s="8">
        <v>0</v>
      </c>
      <c r="G682" s="8">
        <v>0</v>
      </c>
      <c r="H682" s="8">
        <v>0</v>
      </c>
      <c r="I682" s="8">
        <v>0</v>
      </c>
      <c r="J682" s="119"/>
      <c r="K682" s="119"/>
    </row>
    <row r="683" spans="1:11" ht="12.75" customHeight="1" outlineLevel="1" x14ac:dyDescent="0.25">
      <c r="A683" s="117"/>
      <c r="B683" s="118"/>
      <c r="C683" s="119"/>
      <c r="D683" s="7">
        <v>2025</v>
      </c>
      <c r="E683" s="8">
        <f t="shared" si="54"/>
        <v>0</v>
      </c>
      <c r="F683" s="8">
        <v>0</v>
      </c>
      <c r="G683" s="8">
        <v>0</v>
      </c>
      <c r="H683" s="8">
        <v>0</v>
      </c>
      <c r="I683" s="8">
        <v>0</v>
      </c>
      <c r="J683" s="119"/>
      <c r="K683" s="119"/>
    </row>
    <row r="684" spans="1:11" ht="12.75" customHeight="1" outlineLevel="1" x14ac:dyDescent="0.25">
      <c r="A684" s="117" t="s">
        <v>946</v>
      </c>
      <c r="B684" s="118" t="s">
        <v>947</v>
      </c>
      <c r="C684" s="119" t="s">
        <v>1169</v>
      </c>
      <c r="D684" s="7" t="s">
        <v>8</v>
      </c>
      <c r="E684" s="8">
        <f t="shared" si="54"/>
        <v>26151.575000000001</v>
      </c>
      <c r="F684" s="8">
        <f>SUM(F685:F689)</f>
        <v>24843.99625</v>
      </c>
      <c r="G684" s="8">
        <f t="shared" si="52"/>
        <v>0</v>
      </c>
      <c r="H684" s="8">
        <f>SUM(H685:H689)</f>
        <v>1307.5787500000001</v>
      </c>
      <c r="I684" s="8">
        <f t="shared" si="53"/>
        <v>0</v>
      </c>
      <c r="J684" s="119" t="s">
        <v>1187</v>
      </c>
      <c r="K684" s="119" t="s">
        <v>547</v>
      </c>
    </row>
    <row r="685" spans="1:11" ht="12.75" customHeight="1" outlineLevel="1" x14ac:dyDescent="0.25">
      <c r="A685" s="117"/>
      <c r="B685" s="118"/>
      <c r="C685" s="119"/>
      <c r="D685" s="7">
        <v>2021</v>
      </c>
      <c r="E685" s="8">
        <f t="shared" si="54"/>
        <v>0</v>
      </c>
      <c r="F685" s="8">
        <v>0</v>
      </c>
      <c r="G685" s="8">
        <v>0</v>
      </c>
      <c r="H685" s="8">
        <v>0</v>
      </c>
      <c r="I685" s="8">
        <f>SUM(I686:I689)</f>
        <v>0</v>
      </c>
      <c r="J685" s="119"/>
      <c r="K685" s="119"/>
    </row>
    <row r="686" spans="1:11" ht="12.75" customHeight="1" outlineLevel="1" x14ac:dyDescent="0.25">
      <c r="A686" s="117"/>
      <c r="B686" s="118"/>
      <c r="C686" s="119"/>
      <c r="D686" s="7">
        <v>2022</v>
      </c>
      <c r="E686" s="8">
        <f t="shared" si="54"/>
        <v>16151.575000000001</v>
      </c>
      <c r="F686" s="8">
        <v>15343.99625</v>
      </c>
      <c r="G686" s="8">
        <v>0</v>
      </c>
      <c r="H686" s="8">
        <f>F686*5/95</f>
        <v>807.57875000000001</v>
      </c>
      <c r="I686" s="8">
        <f>SUM(I687:I689)</f>
        <v>0</v>
      </c>
      <c r="J686" s="119"/>
      <c r="K686" s="119"/>
    </row>
    <row r="687" spans="1:11" ht="12.75" customHeight="1" outlineLevel="1" x14ac:dyDescent="0.25">
      <c r="A687" s="117"/>
      <c r="B687" s="118"/>
      <c r="C687" s="119"/>
      <c r="D687" s="7">
        <v>2023</v>
      </c>
      <c r="E687" s="8">
        <f t="shared" si="54"/>
        <v>10000</v>
      </c>
      <c r="F687" s="8">
        <v>9500</v>
      </c>
      <c r="G687" s="8">
        <v>0</v>
      </c>
      <c r="H687" s="8">
        <v>500</v>
      </c>
      <c r="I687" s="8">
        <f>SUM(I688:I689)</f>
        <v>0</v>
      </c>
      <c r="J687" s="119"/>
      <c r="K687" s="119"/>
    </row>
    <row r="688" spans="1:11" ht="12.75" customHeight="1" outlineLevel="1" x14ac:dyDescent="0.25">
      <c r="A688" s="117"/>
      <c r="B688" s="118"/>
      <c r="C688" s="119"/>
      <c r="D688" s="7">
        <v>2024</v>
      </c>
      <c r="E688" s="8">
        <f t="shared" si="54"/>
        <v>0</v>
      </c>
      <c r="F688" s="8">
        <v>0</v>
      </c>
      <c r="G688" s="8">
        <v>0</v>
      </c>
      <c r="H688" s="8">
        <v>0</v>
      </c>
      <c r="I688" s="8">
        <v>0</v>
      </c>
      <c r="J688" s="119"/>
      <c r="K688" s="119"/>
    </row>
    <row r="689" spans="1:11" ht="12.75" customHeight="1" outlineLevel="1" x14ac:dyDescent="0.25">
      <c r="A689" s="117"/>
      <c r="B689" s="118"/>
      <c r="C689" s="119"/>
      <c r="D689" s="7">
        <v>2025</v>
      </c>
      <c r="E689" s="8">
        <f t="shared" si="54"/>
        <v>0</v>
      </c>
      <c r="F689" s="8">
        <v>0</v>
      </c>
      <c r="G689" s="8">
        <v>0</v>
      </c>
      <c r="H689" s="8">
        <v>0</v>
      </c>
      <c r="I689" s="8">
        <v>0</v>
      </c>
      <c r="J689" s="119"/>
      <c r="K689" s="119"/>
    </row>
    <row r="690" spans="1:11" ht="12.75" customHeight="1" outlineLevel="1" x14ac:dyDescent="0.25">
      <c r="A690" s="117" t="s">
        <v>1188</v>
      </c>
      <c r="B690" s="118" t="s">
        <v>1189</v>
      </c>
      <c r="C690" s="119" t="s">
        <v>1169</v>
      </c>
      <c r="D690" s="7" t="s">
        <v>8</v>
      </c>
      <c r="E690" s="8">
        <f t="shared" si="54"/>
        <v>11451.6183</v>
      </c>
      <c r="F690" s="8">
        <f>SUM(F691:F695)</f>
        <v>11451.6183</v>
      </c>
      <c r="G690" s="8">
        <f t="shared" si="52"/>
        <v>0</v>
      </c>
      <c r="H690" s="8">
        <f>SUM(H691:H695)</f>
        <v>0</v>
      </c>
      <c r="I690" s="8">
        <f>SUM(I691:I695)</f>
        <v>0</v>
      </c>
      <c r="J690" s="119" t="s">
        <v>1756</v>
      </c>
      <c r="K690" s="119" t="s">
        <v>1190</v>
      </c>
    </row>
    <row r="691" spans="1:11" ht="12.75" customHeight="1" outlineLevel="1" x14ac:dyDescent="0.25">
      <c r="A691" s="117"/>
      <c r="B691" s="118"/>
      <c r="C691" s="119"/>
      <c r="D691" s="7">
        <v>2021</v>
      </c>
      <c r="E691" s="8">
        <f t="shared" si="54"/>
        <v>0</v>
      </c>
      <c r="F691" s="8">
        <v>0</v>
      </c>
      <c r="G691" s="8">
        <v>0</v>
      </c>
      <c r="H691" s="8">
        <v>0</v>
      </c>
      <c r="I691" s="8">
        <v>0</v>
      </c>
      <c r="J691" s="119"/>
      <c r="K691" s="119"/>
    </row>
    <row r="692" spans="1:11" ht="12.75" customHeight="1" outlineLevel="1" x14ac:dyDescent="0.25">
      <c r="A692" s="117"/>
      <c r="B692" s="118"/>
      <c r="C692" s="119"/>
      <c r="D692" s="7">
        <v>2022</v>
      </c>
      <c r="E692" s="8">
        <f t="shared" si="54"/>
        <v>11287.552299999999</v>
      </c>
      <c r="F692" s="8">
        <v>11287.552299999999</v>
      </c>
      <c r="G692" s="8">
        <v>0</v>
      </c>
      <c r="H692" s="8">
        <v>0</v>
      </c>
      <c r="I692" s="8">
        <v>0</v>
      </c>
      <c r="J692" s="119"/>
      <c r="K692" s="119"/>
    </row>
    <row r="693" spans="1:11" ht="12.75" customHeight="1" outlineLevel="1" x14ac:dyDescent="0.25">
      <c r="A693" s="117"/>
      <c r="B693" s="118"/>
      <c r="C693" s="119"/>
      <c r="D693" s="7">
        <v>2023</v>
      </c>
      <c r="E693" s="8">
        <f t="shared" si="54"/>
        <v>164.066</v>
      </c>
      <c r="F693" s="8">
        <v>164.066</v>
      </c>
      <c r="G693" s="8">
        <v>0</v>
      </c>
      <c r="H693" s="8">
        <v>0</v>
      </c>
      <c r="I693" s="8">
        <v>0</v>
      </c>
      <c r="J693" s="119"/>
      <c r="K693" s="119"/>
    </row>
    <row r="694" spans="1:11" ht="12.75" customHeight="1" outlineLevel="1" x14ac:dyDescent="0.25">
      <c r="A694" s="117"/>
      <c r="B694" s="118"/>
      <c r="C694" s="119"/>
      <c r="D694" s="7">
        <v>2024</v>
      </c>
      <c r="E694" s="8">
        <f t="shared" si="54"/>
        <v>0</v>
      </c>
      <c r="F694" s="8">
        <v>0</v>
      </c>
      <c r="G694" s="8">
        <v>0</v>
      </c>
      <c r="H694" s="8">
        <v>0</v>
      </c>
      <c r="I694" s="8">
        <v>0</v>
      </c>
      <c r="J694" s="119"/>
      <c r="K694" s="119"/>
    </row>
    <row r="695" spans="1:11" ht="12.75" customHeight="1" outlineLevel="1" x14ac:dyDescent="0.25">
      <c r="A695" s="117"/>
      <c r="B695" s="118"/>
      <c r="C695" s="119"/>
      <c r="D695" s="7">
        <v>2025</v>
      </c>
      <c r="E695" s="8">
        <f t="shared" si="54"/>
        <v>0</v>
      </c>
      <c r="F695" s="8">
        <v>0</v>
      </c>
      <c r="G695" s="8">
        <v>0</v>
      </c>
      <c r="H695" s="8">
        <v>0</v>
      </c>
      <c r="I695" s="8">
        <v>0</v>
      </c>
      <c r="J695" s="119"/>
      <c r="K695" s="119"/>
    </row>
    <row r="696" spans="1:11" ht="12.75" customHeight="1" outlineLevel="1" x14ac:dyDescent="0.25">
      <c r="A696" s="117" t="s">
        <v>1191</v>
      </c>
      <c r="B696" s="118" t="s">
        <v>1192</v>
      </c>
      <c r="C696" s="119">
        <v>2022</v>
      </c>
      <c r="D696" s="7" t="s">
        <v>8</v>
      </c>
      <c r="E696" s="8">
        <f t="shared" si="54"/>
        <v>2900</v>
      </c>
      <c r="F696" s="8">
        <f>SUM(F697:F701)</f>
        <v>2900</v>
      </c>
      <c r="G696" s="8">
        <f t="shared" ref="G696:I708" si="55">SUM(G697:G701)</f>
        <v>0</v>
      </c>
      <c r="H696" s="8">
        <f>SUM(H697:H701)</f>
        <v>0</v>
      </c>
      <c r="I696" s="8">
        <f>SUM(I697:I701)</f>
        <v>0</v>
      </c>
      <c r="J696" s="119" t="s">
        <v>1193</v>
      </c>
      <c r="K696" s="119" t="s">
        <v>597</v>
      </c>
    </row>
    <row r="697" spans="1:11" ht="12.75" customHeight="1" outlineLevel="1" x14ac:dyDescent="0.25">
      <c r="A697" s="117"/>
      <c r="B697" s="118"/>
      <c r="C697" s="119"/>
      <c r="D697" s="7">
        <v>2021</v>
      </c>
      <c r="E697" s="8">
        <f t="shared" si="54"/>
        <v>0</v>
      </c>
      <c r="F697" s="8">
        <v>0</v>
      </c>
      <c r="G697" s="8">
        <v>0</v>
      </c>
      <c r="H697" s="8">
        <v>0</v>
      </c>
      <c r="I697" s="8">
        <v>0</v>
      </c>
      <c r="J697" s="119"/>
      <c r="K697" s="119"/>
    </row>
    <row r="698" spans="1:11" ht="12.75" customHeight="1" outlineLevel="1" x14ac:dyDescent="0.25">
      <c r="A698" s="117"/>
      <c r="B698" s="118"/>
      <c r="C698" s="119"/>
      <c r="D698" s="7">
        <v>2022</v>
      </c>
      <c r="E698" s="8">
        <f t="shared" si="54"/>
        <v>2900</v>
      </c>
      <c r="F698" s="8">
        <v>2900</v>
      </c>
      <c r="G698" s="8">
        <v>0</v>
      </c>
      <c r="H698" s="8">
        <v>0</v>
      </c>
      <c r="I698" s="8">
        <v>0</v>
      </c>
      <c r="J698" s="119"/>
      <c r="K698" s="119"/>
    </row>
    <row r="699" spans="1:11" ht="12.75" customHeight="1" outlineLevel="1" x14ac:dyDescent="0.25">
      <c r="A699" s="117"/>
      <c r="B699" s="118"/>
      <c r="C699" s="119"/>
      <c r="D699" s="7">
        <v>2023</v>
      </c>
      <c r="E699" s="8">
        <f t="shared" si="54"/>
        <v>0</v>
      </c>
      <c r="F699" s="8">
        <v>0</v>
      </c>
      <c r="G699" s="8">
        <v>0</v>
      </c>
      <c r="H699" s="8">
        <v>0</v>
      </c>
      <c r="I699" s="8">
        <v>0</v>
      </c>
      <c r="J699" s="119"/>
      <c r="K699" s="119"/>
    </row>
    <row r="700" spans="1:11" ht="12.75" customHeight="1" outlineLevel="1" x14ac:dyDescent="0.25">
      <c r="A700" s="117"/>
      <c r="B700" s="118"/>
      <c r="C700" s="119"/>
      <c r="D700" s="7">
        <v>2024</v>
      </c>
      <c r="E700" s="8">
        <f t="shared" si="54"/>
        <v>0</v>
      </c>
      <c r="F700" s="8">
        <v>0</v>
      </c>
      <c r="G700" s="8">
        <v>0</v>
      </c>
      <c r="H700" s="8">
        <v>0</v>
      </c>
      <c r="I700" s="8">
        <v>0</v>
      </c>
      <c r="J700" s="119"/>
      <c r="K700" s="119"/>
    </row>
    <row r="701" spans="1:11" ht="12.75" customHeight="1" outlineLevel="1" x14ac:dyDescent="0.25">
      <c r="A701" s="117"/>
      <c r="B701" s="118"/>
      <c r="C701" s="119"/>
      <c r="D701" s="7">
        <v>2025</v>
      </c>
      <c r="E701" s="8">
        <f t="shared" si="54"/>
        <v>0</v>
      </c>
      <c r="F701" s="8">
        <v>0</v>
      </c>
      <c r="G701" s="8">
        <v>0</v>
      </c>
      <c r="H701" s="8">
        <v>0</v>
      </c>
      <c r="I701" s="8">
        <v>0</v>
      </c>
      <c r="J701" s="119"/>
      <c r="K701" s="119"/>
    </row>
    <row r="702" spans="1:11" ht="12.75" customHeight="1" outlineLevel="1" x14ac:dyDescent="0.25">
      <c r="A702" s="117" t="s">
        <v>1194</v>
      </c>
      <c r="B702" s="118" t="s">
        <v>1195</v>
      </c>
      <c r="C702" s="119">
        <v>2022</v>
      </c>
      <c r="D702" s="7" t="s">
        <v>8</v>
      </c>
      <c r="E702" s="8">
        <f t="shared" si="54"/>
        <v>0</v>
      </c>
      <c r="F702" s="8">
        <f>SUM(F703:F707)</f>
        <v>0</v>
      </c>
      <c r="G702" s="8">
        <f t="shared" si="55"/>
        <v>0</v>
      </c>
      <c r="H702" s="8">
        <f>SUM(H703:H707)</f>
        <v>0</v>
      </c>
      <c r="I702" s="8">
        <f>SUM(I703:I707)</f>
        <v>0</v>
      </c>
      <c r="J702" s="119" t="s">
        <v>1196</v>
      </c>
      <c r="K702" s="119" t="s">
        <v>597</v>
      </c>
    </row>
    <row r="703" spans="1:11" ht="12.75" customHeight="1" outlineLevel="1" x14ac:dyDescent="0.25">
      <c r="A703" s="117"/>
      <c r="B703" s="118"/>
      <c r="C703" s="119"/>
      <c r="D703" s="7">
        <v>2021</v>
      </c>
      <c r="E703" s="8">
        <f t="shared" si="54"/>
        <v>0</v>
      </c>
      <c r="F703" s="8">
        <v>0</v>
      </c>
      <c r="G703" s="8">
        <v>0</v>
      </c>
      <c r="H703" s="8">
        <v>0</v>
      </c>
      <c r="I703" s="8">
        <v>0</v>
      </c>
      <c r="J703" s="119"/>
      <c r="K703" s="119"/>
    </row>
    <row r="704" spans="1:11" ht="12.75" customHeight="1" outlineLevel="1" x14ac:dyDescent="0.25">
      <c r="A704" s="117"/>
      <c r="B704" s="118"/>
      <c r="C704" s="119"/>
      <c r="D704" s="7">
        <v>2022</v>
      </c>
      <c r="E704" s="8">
        <f t="shared" si="54"/>
        <v>0</v>
      </c>
      <c r="F704" s="8">
        <v>0</v>
      </c>
      <c r="G704" s="8">
        <v>0</v>
      </c>
      <c r="H704" s="8">
        <v>0</v>
      </c>
      <c r="I704" s="8">
        <v>0</v>
      </c>
      <c r="J704" s="119"/>
      <c r="K704" s="119"/>
    </row>
    <row r="705" spans="1:11" ht="12.75" customHeight="1" outlineLevel="1" x14ac:dyDescent="0.25">
      <c r="A705" s="117"/>
      <c r="B705" s="118"/>
      <c r="C705" s="119"/>
      <c r="D705" s="7">
        <v>2023</v>
      </c>
      <c r="E705" s="8">
        <f t="shared" si="54"/>
        <v>0</v>
      </c>
      <c r="F705" s="8">
        <v>0</v>
      </c>
      <c r="G705" s="8">
        <v>0</v>
      </c>
      <c r="H705" s="8">
        <v>0</v>
      </c>
      <c r="I705" s="8">
        <v>0</v>
      </c>
      <c r="J705" s="119"/>
      <c r="K705" s="119"/>
    </row>
    <row r="706" spans="1:11" ht="12.75" customHeight="1" outlineLevel="1" x14ac:dyDescent="0.25">
      <c r="A706" s="117"/>
      <c r="B706" s="118"/>
      <c r="C706" s="119"/>
      <c r="D706" s="7">
        <v>2024</v>
      </c>
      <c r="E706" s="8">
        <f t="shared" si="54"/>
        <v>0</v>
      </c>
      <c r="F706" s="8">
        <v>0</v>
      </c>
      <c r="G706" s="8">
        <v>0</v>
      </c>
      <c r="H706" s="8">
        <v>0</v>
      </c>
      <c r="I706" s="8">
        <v>0</v>
      </c>
      <c r="J706" s="119"/>
      <c r="K706" s="119"/>
    </row>
    <row r="707" spans="1:11" ht="12.75" customHeight="1" outlineLevel="1" x14ac:dyDescent="0.25">
      <c r="A707" s="117"/>
      <c r="B707" s="118"/>
      <c r="C707" s="119"/>
      <c r="D707" s="7">
        <v>2025</v>
      </c>
      <c r="E707" s="8">
        <f t="shared" si="54"/>
        <v>0</v>
      </c>
      <c r="F707" s="8">
        <v>0</v>
      </c>
      <c r="G707" s="8">
        <v>0</v>
      </c>
      <c r="H707" s="8">
        <v>0</v>
      </c>
      <c r="I707" s="8">
        <v>0</v>
      </c>
      <c r="J707" s="119"/>
      <c r="K707" s="119"/>
    </row>
    <row r="708" spans="1:11" ht="15.75" customHeight="1" outlineLevel="1" x14ac:dyDescent="0.25">
      <c r="A708" s="117" t="s">
        <v>1197</v>
      </c>
      <c r="B708" s="118" t="s">
        <v>1198</v>
      </c>
      <c r="C708" s="117">
        <v>2022</v>
      </c>
      <c r="D708" s="7" t="s">
        <v>8</v>
      </c>
      <c r="E708" s="8">
        <f t="shared" si="54"/>
        <v>964.12733015494632</v>
      </c>
      <c r="F708" s="8">
        <f>SUM(F709:F713)</f>
        <v>808.90282999999999</v>
      </c>
      <c r="G708" s="8">
        <f t="shared" si="55"/>
        <v>0</v>
      </c>
      <c r="H708" s="8">
        <f t="shared" si="55"/>
        <v>155.22450015494636</v>
      </c>
      <c r="I708" s="8">
        <f t="shared" si="55"/>
        <v>0</v>
      </c>
      <c r="J708" s="119" t="s">
        <v>1199</v>
      </c>
      <c r="K708" s="119" t="s">
        <v>566</v>
      </c>
    </row>
    <row r="709" spans="1:11" ht="15.75" customHeight="1" outlineLevel="1" x14ac:dyDescent="0.25">
      <c r="A709" s="117"/>
      <c r="B709" s="118"/>
      <c r="C709" s="117"/>
      <c r="D709" s="7">
        <v>2021</v>
      </c>
      <c r="E709" s="8">
        <f t="shared" si="54"/>
        <v>0</v>
      </c>
      <c r="F709" s="8">
        <v>0</v>
      </c>
      <c r="G709" s="8">
        <v>0</v>
      </c>
      <c r="H709" s="8">
        <v>0</v>
      </c>
      <c r="I709" s="8">
        <v>0</v>
      </c>
      <c r="J709" s="119"/>
      <c r="K709" s="119"/>
    </row>
    <row r="710" spans="1:11" ht="19.5" customHeight="1" outlineLevel="1" x14ac:dyDescent="0.25">
      <c r="A710" s="117"/>
      <c r="B710" s="118"/>
      <c r="C710" s="117"/>
      <c r="D710" s="7">
        <v>2022</v>
      </c>
      <c r="E710" s="8">
        <f t="shared" si="54"/>
        <v>964.12733015494632</v>
      </c>
      <c r="F710" s="8">
        <f>808.944-0.04117</f>
        <v>808.90282999999999</v>
      </c>
      <c r="G710" s="8">
        <v>0</v>
      </c>
      <c r="H710" s="8">
        <f>F710*16.1/83.9</f>
        <v>155.22450015494636</v>
      </c>
      <c r="I710" s="8">
        <v>0</v>
      </c>
      <c r="J710" s="119"/>
      <c r="K710" s="119"/>
    </row>
    <row r="711" spans="1:11" ht="18" customHeight="1" outlineLevel="1" x14ac:dyDescent="0.25">
      <c r="A711" s="117"/>
      <c r="B711" s="118"/>
      <c r="C711" s="117"/>
      <c r="D711" s="7">
        <v>2023</v>
      </c>
      <c r="E711" s="8">
        <f t="shared" si="54"/>
        <v>0</v>
      </c>
      <c r="F711" s="8">
        <v>0</v>
      </c>
      <c r="G711" s="8">
        <v>0</v>
      </c>
      <c r="H711" s="8">
        <v>0</v>
      </c>
      <c r="I711" s="8">
        <v>0</v>
      </c>
      <c r="J711" s="119"/>
      <c r="K711" s="119"/>
    </row>
    <row r="712" spans="1:11" ht="16.5" customHeight="1" outlineLevel="1" x14ac:dyDescent="0.25">
      <c r="A712" s="117"/>
      <c r="B712" s="118"/>
      <c r="C712" s="117"/>
      <c r="D712" s="7">
        <v>2024</v>
      </c>
      <c r="E712" s="8">
        <f t="shared" si="54"/>
        <v>0</v>
      </c>
      <c r="F712" s="8">
        <v>0</v>
      </c>
      <c r="G712" s="8">
        <v>0</v>
      </c>
      <c r="H712" s="8">
        <v>0</v>
      </c>
      <c r="I712" s="8">
        <v>0</v>
      </c>
      <c r="J712" s="119"/>
      <c r="K712" s="119"/>
    </row>
    <row r="713" spans="1:11" ht="16.5" customHeight="1" outlineLevel="1" x14ac:dyDescent="0.25">
      <c r="A713" s="117"/>
      <c r="B713" s="118"/>
      <c r="C713" s="117"/>
      <c r="D713" s="7">
        <v>2025</v>
      </c>
      <c r="E713" s="8">
        <f t="shared" si="54"/>
        <v>0</v>
      </c>
      <c r="F713" s="8">
        <v>0</v>
      </c>
      <c r="G713" s="8">
        <v>0</v>
      </c>
      <c r="H713" s="8">
        <v>0</v>
      </c>
      <c r="I713" s="8">
        <v>0</v>
      </c>
      <c r="J713" s="119"/>
      <c r="K713" s="119"/>
    </row>
    <row r="714" spans="1:11" ht="11.25" customHeight="1" outlineLevel="1" x14ac:dyDescent="0.25">
      <c r="A714" s="117" t="s">
        <v>1200</v>
      </c>
      <c r="B714" s="118" t="s">
        <v>1201</v>
      </c>
      <c r="C714" s="117">
        <v>2022</v>
      </c>
      <c r="D714" s="7" t="s">
        <v>8</v>
      </c>
      <c r="E714" s="8">
        <f t="shared" si="54"/>
        <v>5088.3444576877237</v>
      </c>
      <c r="F714" s="8">
        <f>SUM(F715:F719)</f>
        <v>4269.1210000000001</v>
      </c>
      <c r="G714" s="8">
        <f t="shared" ref="G714:I714" si="56">SUM(G715:G719)</f>
        <v>0</v>
      </c>
      <c r="H714" s="8">
        <f t="shared" si="56"/>
        <v>819.22345768772345</v>
      </c>
      <c r="I714" s="8">
        <f t="shared" si="56"/>
        <v>0</v>
      </c>
      <c r="J714" s="132" t="s">
        <v>1202</v>
      </c>
      <c r="K714" s="119" t="s">
        <v>566</v>
      </c>
    </row>
    <row r="715" spans="1:11" ht="11.25" customHeight="1" outlineLevel="1" x14ac:dyDescent="0.25">
      <c r="A715" s="117"/>
      <c r="B715" s="118"/>
      <c r="C715" s="117"/>
      <c r="D715" s="7">
        <v>2021</v>
      </c>
      <c r="E715" s="8">
        <f t="shared" si="54"/>
        <v>0</v>
      </c>
      <c r="F715" s="8">
        <v>0</v>
      </c>
      <c r="G715" s="8">
        <v>0</v>
      </c>
      <c r="H715" s="8">
        <v>0</v>
      </c>
      <c r="I715" s="8">
        <v>0</v>
      </c>
      <c r="J715" s="133"/>
      <c r="K715" s="119"/>
    </row>
    <row r="716" spans="1:11" ht="11.25" customHeight="1" outlineLevel="1" x14ac:dyDescent="0.25">
      <c r="A716" s="117"/>
      <c r="B716" s="118"/>
      <c r="C716" s="117"/>
      <c r="D716" s="7">
        <v>2022</v>
      </c>
      <c r="E716" s="8">
        <f t="shared" si="54"/>
        <v>5088.3444576877237</v>
      </c>
      <c r="F716" s="8">
        <f>4677.411-408.29</f>
        <v>4269.1210000000001</v>
      </c>
      <c r="G716" s="8">
        <v>0</v>
      </c>
      <c r="H716" s="8">
        <f>F716*16.1/83.9</f>
        <v>819.22345768772345</v>
      </c>
      <c r="I716" s="8">
        <v>0</v>
      </c>
      <c r="J716" s="133"/>
      <c r="K716" s="119"/>
    </row>
    <row r="717" spans="1:11" ht="11.25" customHeight="1" outlineLevel="1" x14ac:dyDescent="0.25">
      <c r="A717" s="117"/>
      <c r="B717" s="118"/>
      <c r="C717" s="117"/>
      <c r="D717" s="7">
        <v>2023</v>
      </c>
      <c r="E717" s="8">
        <f t="shared" si="54"/>
        <v>0</v>
      </c>
      <c r="F717" s="8">
        <v>0</v>
      </c>
      <c r="G717" s="8">
        <v>0</v>
      </c>
      <c r="H717" s="8">
        <v>0</v>
      </c>
      <c r="I717" s="8">
        <v>0</v>
      </c>
      <c r="J717" s="133"/>
      <c r="K717" s="119"/>
    </row>
    <row r="718" spans="1:11" ht="11.25" customHeight="1" outlineLevel="1" x14ac:dyDescent="0.25">
      <c r="A718" s="117"/>
      <c r="B718" s="118"/>
      <c r="C718" s="117"/>
      <c r="D718" s="7">
        <v>2024</v>
      </c>
      <c r="E718" s="8">
        <f t="shared" si="54"/>
        <v>0</v>
      </c>
      <c r="F718" s="8">
        <v>0</v>
      </c>
      <c r="G718" s="8">
        <v>0</v>
      </c>
      <c r="H718" s="8">
        <v>0</v>
      </c>
      <c r="I718" s="8">
        <v>0</v>
      </c>
      <c r="J718" s="133"/>
      <c r="K718" s="119"/>
    </row>
    <row r="719" spans="1:11" ht="11.25" customHeight="1" outlineLevel="1" x14ac:dyDescent="0.25">
      <c r="A719" s="117"/>
      <c r="B719" s="118"/>
      <c r="C719" s="117"/>
      <c r="D719" s="7">
        <v>2025</v>
      </c>
      <c r="E719" s="8">
        <f t="shared" si="54"/>
        <v>0</v>
      </c>
      <c r="F719" s="8">
        <v>0</v>
      </c>
      <c r="G719" s="8">
        <v>0</v>
      </c>
      <c r="H719" s="8">
        <v>0</v>
      </c>
      <c r="I719" s="8">
        <v>0</v>
      </c>
      <c r="J719" s="134"/>
      <c r="K719" s="119"/>
    </row>
    <row r="720" spans="1:11" ht="11.25" customHeight="1" outlineLevel="1" x14ac:dyDescent="0.25">
      <c r="A720" s="117" t="s">
        <v>1203</v>
      </c>
      <c r="B720" s="118" t="s">
        <v>1204</v>
      </c>
      <c r="C720" s="117">
        <v>2022</v>
      </c>
      <c r="D720" s="7" t="s">
        <v>8</v>
      </c>
      <c r="E720" s="8">
        <f t="shared" si="54"/>
        <v>35550</v>
      </c>
      <c r="F720" s="8">
        <f>SUM(F721:F725)</f>
        <v>33772.5</v>
      </c>
      <c r="G720" s="8">
        <v>0</v>
      </c>
      <c r="H720" s="8">
        <f>SUM(H721:H725)</f>
        <v>1777.5</v>
      </c>
      <c r="I720" s="8">
        <v>0</v>
      </c>
      <c r="J720" s="119" t="s">
        <v>1205</v>
      </c>
      <c r="K720" s="119" t="s">
        <v>1206</v>
      </c>
    </row>
    <row r="721" spans="1:16" ht="11.25" customHeight="1" outlineLevel="1" x14ac:dyDescent="0.25">
      <c r="A721" s="117"/>
      <c r="B721" s="118"/>
      <c r="C721" s="117"/>
      <c r="D721" s="7">
        <v>2021</v>
      </c>
      <c r="E721" s="8">
        <f t="shared" si="54"/>
        <v>0</v>
      </c>
      <c r="F721" s="8">
        <v>0</v>
      </c>
      <c r="G721" s="8">
        <v>0</v>
      </c>
      <c r="H721" s="8">
        <v>0</v>
      </c>
      <c r="I721" s="8">
        <v>0</v>
      </c>
      <c r="J721" s="119"/>
      <c r="K721" s="119"/>
    </row>
    <row r="722" spans="1:16" ht="11.25" customHeight="1" outlineLevel="1" x14ac:dyDescent="0.25">
      <c r="A722" s="117"/>
      <c r="B722" s="118"/>
      <c r="C722" s="117"/>
      <c r="D722" s="7">
        <v>2022</v>
      </c>
      <c r="E722" s="8">
        <f t="shared" si="54"/>
        <v>35550</v>
      </c>
      <c r="F722" s="8">
        <v>33772.5</v>
      </c>
      <c r="G722" s="8">
        <v>0</v>
      </c>
      <c r="H722" s="8">
        <f>F722*5/95</f>
        <v>1777.5</v>
      </c>
      <c r="I722" s="8">
        <v>0</v>
      </c>
      <c r="J722" s="119"/>
      <c r="K722" s="119"/>
    </row>
    <row r="723" spans="1:16" ht="11.25" customHeight="1" outlineLevel="1" x14ac:dyDescent="0.25">
      <c r="A723" s="117"/>
      <c r="B723" s="118"/>
      <c r="C723" s="117"/>
      <c r="D723" s="7">
        <v>2023</v>
      </c>
      <c r="E723" s="8">
        <f t="shared" si="54"/>
        <v>0</v>
      </c>
      <c r="F723" s="8">
        <v>0</v>
      </c>
      <c r="G723" s="8">
        <v>0</v>
      </c>
      <c r="H723" s="8">
        <v>0</v>
      </c>
      <c r="I723" s="8">
        <v>0</v>
      </c>
      <c r="J723" s="119"/>
      <c r="K723" s="119"/>
    </row>
    <row r="724" spans="1:16" ht="11.25" customHeight="1" outlineLevel="1" x14ac:dyDescent="0.25">
      <c r="A724" s="117"/>
      <c r="B724" s="118"/>
      <c r="C724" s="117"/>
      <c r="D724" s="7">
        <v>2024</v>
      </c>
      <c r="E724" s="8">
        <f t="shared" si="54"/>
        <v>0</v>
      </c>
      <c r="F724" s="8">
        <v>0</v>
      </c>
      <c r="G724" s="8">
        <v>0</v>
      </c>
      <c r="H724" s="8">
        <v>0</v>
      </c>
      <c r="I724" s="8">
        <v>0</v>
      </c>
      <c r="J724" s="119"/>
      <c r="K724" s="119"/>
    </row>
    <row r="725" spans="1:16" ht="11.25" customHeight="1" outlineLevel="1" x14ac:dyDescent="0.25">
      <c r="A725" s="117"/>
      <c r="B725" s="118"/>
      <c r="C725" s="117"/>
      <c r="D725" s="7">
        <v>2025</v>
      </c>
      <c r="E725" s="8">
        <f t="shared" si="54"/>
        <v>0</v>
      </c>
      <c r="F725" s="8">
        <v>0</v>
      </c>
      <c r="G725" s="8">
        <v>0</v>
      </c>
      <c r="H725" s="8">
        <v>0</v>
      </c>
      <c r="I725" s="8">
        <v>0</v>
      </c>
      <c r="J725" s="119"/>
      <c r="K725" s="119"/>
    </row>
    <row r="726" spans="1:16" ht="11.25" customHeight="1" outlineLevel="1" x14ac:dyDescent="0.25">
      <c r="A726" s="117" t="s">
        <v>1207</v>
      </c>
      <c r="B726" s="118" t="s">
        <v>1208</v>
      </c>
      <c r="C726" s="117">
        <v>2022</v>
      </c>
      <c r="D726" s="7" t="s">
        <v>8</v>
      </c>
      <c r="E726" s="8">
        <f t="shared" si="54"/>
        <v>15871.72</v>
      </c>
      <c r="F726" s="8">
        <f>SUM(F727:F731)</f>
        <v>15078.134</v>
      </c>
      <c r="G726" s="8">
        <v>0</v>
      </c>
      <c r="H726" s="8">
        <f>SUM(H727:H731)</f>
        <v>793.58600000000001</v>
      </c>
      <c r="I726" s="8">
        <v>0</v>
      </c>
      <c r="J726" s="119" t="s">
        <v>1209</v>
      </c>
      <c r="K726" s="119" t="s">
        <v>1206</v>
      </c>
    </row>
    <row r="727" spans="1:16" ht="11.25" customHeight="1" outlineLevel="1" x14ac:dyDescent="0.25">
      <c r="A727" s="117"/>
      <c r="B727" s="118"/>
      <c r="C727" s="117"/>
      <c r="D727" s="7">
        <v>2021</v>
      </c>
      <c r="E727" s="8">
        <f t="shared" si="54"/>
        <v>0</v>
      </c>
      <c r="F727" s="8">
        <f>SUM(G727:J727)</f>
        <v>0</v>
      </c>
      <c r="G727" s="8">
        <v>0</v>
      </c>
      <c r="H727" s="8">
        <v>0</v>
      </c>
      <c r="I727" s="8">
        <v>0</v>
      </c>
      <c r="J727" s="119"/>
      <c r="K727" s="119"/>
    </row>
    <row r="728" spans="1:16" ht="11.25" customHeight="1" outlineLevel="1" x14ac:dyDescent="0.25">
      <c r="A728" s="117"/>
      <c r="B728" s="118"/>
      <c r="C728" s="117"/>
      <c r="D728" s="7">
        <v>2022</v>
      </c>
      <c r="E728" s="8">
        <f t="shared" si="54"/>
        <v>15871.72</v>
      </c>
      <c r="F728" s="8">
        <v>15078.134</v>
      </c>
      <c r="G728" s="8">
        <v>0</v>
      </c>
      <c r="H728" s="8">
        <f>F728*5/95</f>
        <v>793.58600000000001</v>
      </c>
      <c r="I728" s="8">
        <v>0</v>
      </c>
      <c r="J728" s="119"/>
      <c r="K728" s="119"/>
    </row>
    <row r="729" spans="1:16" ht="11.25" customHeight="1" outlineLevel="1" x14ac:dyDescent="0.25">
      <c r="A729" s="117"/>
      <c r="B729" s="118"/>
      <c r="C729" s="117"/>
      <c r="D729" s="7">
        <v>2023</v>
      </c>
      <c r="E729" s="8">
        <f t="shared" si="54"/>
        <v>0</v>
      </c>
      <c r="F729" s="8">
        <f t="shared" si="54"/>
        <v>0</v>
      </c>
      <c r="G729" s="8">
        <v>0</v>
      </c>
      <c r="H729" s="8">
        <v>0</v>
      </c>
      <c r="I729" s="8">
        <v>0</v>
      </c>
      <c r="J729" s="119"/>
      <c r="K729" s="119"/>
    </row>
    <row r="730" spans="1:16" ht="11.25" customHeight="1" outlineLevel="1" x14ac:dyDescent="0.25">
      <c r="A730" s="117"/>
      <c r="B730" s="118"/>
      <c r="C730" s="117"/>
      <c r="D730" s="7">
        <v>2024</v>
      </c>
      <c r="E730" s="8">
        <f t="shared" si="54"/>
        <v>0</v>
      </c>
      <c r="F730" s="8">
        <f t="shared" si="54"/>
        <v>0</v>
      </c>
      <c r="G730" s="8">
        <v>0</v>
      </c>
      <c r="H730" s="8">
        <v>0</v>
      </c>
      <c r="I730" s="8">
        <v>0</v>
      </c>
      <c r="J730" s="119"/>
      <c r="K730" s="119"/>
    </row>
    <row r="731" spans="1:16" ht="11.25" customHeight="1" outlineLevel="1" x14ac:dyDescent="0.25">
      <c r="A731" s="117"/>
      <c r="B731" s="118"/>
      <c r="C731" s="117"/>
      <c r="D731" s="7">
        <v>2025</v>
      </c>
      <c r="E731" s="8">
        <f t="shared" si="54"/>
        <v>0</v>
      </c>
      <c r="F731" s="8">
        <f t="shared" si="54"/>
        <v>0</v>
      </c>
      <c r="G731" s="8">
        <v>0</v>
      </c>
      <c r="H731" s="8">
        <v>0</v>
      </c>
      <c r="I731" s="8">
        <v>0</v>
      </c>
      <c r="J731" s="119"/>
      <c r="K731" s="119"/>
    </row>
    <row r="732" spans="1:16" s="37" customFormat="1" ht="11.25" customHeight="1" outlineLevel="1" x14ac:dyDescent="0.25">
      <c r="A732" s="126" t="s">
        <v>1775</v>
      </c>
      <c r="B732" s="111" t="s">
        <v>1780</v>
      </c>
      <c r="C732" s="111" t="s">
        <v>1779</v>
      </c>
      <c r="D732" s="40" t="s">
        <v>8</v>
      </c>
      <c r="E732" s="41">
        <f>SUM(F732:I732)</f>
        <v>106415.1</v>
      </c>
      <c r="F732" s="41">
        <f>SUM(F733:F738)</f>
        <v>106415.1</v>
      </c>
      <c r="G732" s="41">
        <v>0</v>
      </c>
      <c r="H732" s="41">
        <v>0</v>
      </c>
      <c r="I732" s="41">
        <v>0</v>
      </c>
      <c r="J732" s="129" t="s">
        <v>1794</v>
      </c>
      <c r="K732" s="129" t="s">
        <v>1793</v>
      </c>
      <c r="M732" s="55"/>
      <c r="N732" s="55"/>
      <c r="O732" s="55"/>
      <c r="P732" s="55"/>
    </row>
    <row r="733" spans="1:16" s="37" customFormat="1" ht="11.25" customHeight="1" outlineLevel="1" x14ac:dyDescent="0.25">
      <c r="A733" s="127"/>
      <c r="B733" s="112"/>
      <c r="C733" s="112"/>
      <c r="D733" s="40">
        <v>2021</v>
      </c>
      <c r="E733" s="41">
        <v>0</v>
      </c>
      <c r="F733" s="41">
        <v>0</v>
      </c>
      <c r="G733" s="41">
        <v>0</v>
      </c>
      <c r="H733" s="41">
        <v>0</v>
      </c>
      <c r="I733" s="41">
        <v>0</v>
      </c>
      <c r="J733" s="130"/>
      <c r="K733" s="130"/>
      <c r="M733" s="55"/>
      <c r="N733" s="55"/>
      <c r="O733" s="55"/>
      <c r="P733" s="55"/>
    </row>
    <row r="734" spans="1:16" s="37" customFormat="1" ht="11.25" customHeight="1" outlineLevel="1" x14ac:dyDescent="0.25">
      <c r="A734" s="127"/>
      <c r="B734" s="112"/>
      <c r="C734" s="112"/>
      <c r="D734" s="40">
        <v>2022</v>
      </c>
      <c r="E734" s="41">
        <v>0</v>
      </c>
      <c r="F734" s="41">
        <v>0</v>
      </c>
      <c r="G734" s="41">
        <v>0</v>
      </c>
      <c r="H734" s="41">
        <v>0</v>
      </c>
      <c r="I734" s="41">
        <v>0</v>
      </c>
      <c r="J734" s="130"/>
      <c r="K734" s="130"/>
      <c r="M734" s="55"/>
      <c r="N734" s="55"/>
      <c r="O734" s="55"/>
      <c r="P734" s="55"/>
    </row>
    <row r="735" spans="1:16" s="37" customFormat="1" ht="11.25" customHeight="1" outlineLevel="1" x14ac:dyDescent="0.25">
      <c r="A735" s="127"/>
      <c r="B735" s="112"/>
      <c r="C735" s="112"/>
      <c r="D735" s="40">
        <v>2023</v>
      </c>
      <c r="E735" s="41">
        <v>0</v>
      </c>
      <c r="F735" s="41">
        <v>0</v>
      </c>
      <c r="G735" s="41">
        <v>0</v>
      </c>
      <c r="H735" s="41">
        <v>0</v>
      </c>
      <c r="I735" s="41">
        <v>0</v>
      </c>
      <c r="J735" s="130"/>
      <c r="K735" s="130"/>
      <c r="M735" s="55"/>
      <c r="N735" s="55"/>
      <c r="O735" s="55"/>
      <c r="P735" s="55"/>
    </row>
    <row r="736" spans="1:16" s="37" customFormat="1" ht="27" customHeight="1" outlineLevel="1" x14ac:dyDescent="0.25">
      <c r="A736" s="127"/>
      <c r="B736" s="112"/>
      <c r="C736" s="112"/>
      <c r="D736" s="40">
        <v>2024</v>
      </c>
      <c r="E736" s="41">
        <v>0</v>
      </c>
      <c r="F736" s="41">
        <v>0</v>
      </c>
      <c r="G736" s="41">
        <v>0</v>
      </c>
      <c r="H736" s="41">
        <v>0</v>
      </c>
      <c r="I736" s="41">
        <v>0</v>
      </c>
      <c r="J736" s="130"/>
      <c r="K736" s="130"/>
      <c r="M736" s="55"/>
      <c r="N736" s="55"/>
      <c r="O736" s="55"/>
      <c r="P736" s="55"/>
    </row>
    <row r="737" spans="1:16" s="37" customFormat="1" ht="14.25" customHeight="1" outlineLevel="1" x14ac:dyDescent="0.25">
      <c r="A737" s="127"/>
      <c r="B737" s="112"/>
      <c r="C737" s="112"/>
      <c r="D737" s="40">
        <v>2025</v>
      </c>
      <c r="E737" s="41">
        <v>0</v>
      </c>
      <c r="F737" s="41">
        <v>0</v>
      </c>
      <c r="G737" s="41">
        <v>0</v>
      </c>
      <c r="H737" s="41">
        <v>0</v>
      </c>
      <c r="I737" s="41">
        <v>0</v>
      </c>
      <c r="J737" s="130"/>
      <c r="K737" s="130"/>
      <c r="M737" s="55"/>
      <c r="N737" s="55"/>
      <c r="O737" s="55"/>
      <c r="P737" s="55"/>
    </row>
    <row r="738" spans="1:16" s="37" customFormat="1" ht="17.25" customHeight="1" outlineLevel="1" x14ac:dyDescent="0.25">
      <c r="A738" s="128"/>
      <c r="B738" s="113"/>
      <c r="C738" s="113"/>
      <c r="D738" s="40">
        <v>2026</v>
      </c>
      <c r="E738" s="41">
        <f>F738+G738+H738+I738</f>
        <v>106415.1</v>
      </c>
      <c r="F738" s="41">
        <v>106415.1</v>
      </c>
      <c r="G738" s="41">
        <v>0</v>
      </c>
      <c r="H738" s="41">
        <v>0</v>
      </c>
      <c r="I738" s="41">
        <v>0</v>
      </c>
      <c r="J738" s="131"/>
      <c r="K738" s="131"/>
      <c r="M738" s="55"/>
      <c r="N738" s="55"/>
      <c r="O738" s="55"/>
      <c r="P738" s="55"/>
    </row>
    <row r="739" spans="1:16" s="37" customFormat="1" ht="11.25" customHeight="1" outlineLevel="1" x14ac:dyDescent="0.25">
      <c r="A739" s="126" t="s">
        <v>1776</v>
      </c>
      <c r="B739" s="111" t="s">
        <v>1781</v>
      </c>
      <c r="C739" s="111" t="s">
        <v>1779</v>
      </c>
      <c r="D739" s="40" t="s">
        <v>8</v>
      </c>
      <c r="E739" s="41">
        <f>SUM(F739:I739)</f>
        <v>267656.2</v>
      </c>
      <c r="F739" s="41">
        <f>SUM(F740:F745)</f>
        <v>267656.2</v>
      </c>
      <c r="G739" s="41">
        <v>0</v>
      </c>
      <c r="H739" s="41">
        <v>0</v>
      </c>
      <c r="I739" s="41">
        <v>0</v>
      </c>
      <c r="J739" s="129" t="s">
        <v>1794</v>
      </c>
      <c r="K739" s="129" t="s">
        <v>1793</v>
      </c>
      <c r="M739" s="55"/>
      <c r="N739" s="55"/>
      <c r="O739" s="55"/>
      <c r="P739" s="55"/>
    </row>
    <row r="740" spans="1:16" s="37" customFormat="1" ht="11.25" customHeight="1" outlineLevel="1" x14ac:dyDescent="0.25">
      <c r="A740" s="127"/>
      <c r="B740" s="112"/>
      <c r="C740" s="112"/>
      <c r="D740" s="40">
        <v>2021</v>
      </c>
      <c r="E740" s="41">
        <v>0</v>
      </c>
      <c r="F740" s="41">
        <v>0</v>
      </c>
      <c r="G740" s="41">
        <v>0</v>
      </c>
      <c r="H740" s="41">
        <v>0</v>
      </c>
      <c r="I740" s="41">
        <v>0</v>
      </c>
      <c r="J740" s="130"/>
      <c r="K740" s="130"/>
      <c r="M740" s="55"/>
      <c r="N740" s="55"/>
      <c r="O740" s="55"/>
      <c r="P740" s="55"/>
    </row>
    <row r="741" spans="1:16" s="37" customFormat="1" ht="11.25" customHeight="1" outlineLevel="1" x14ac:dyDescent="0.25">
      <c r="A741" s="127"/>
      <c r="B741" s="112"/>
      <c r="C741" s="112"/>
      <c r="D741" s="40">
        <v>2022</v>
      </c>
      <c r="E741" s="41">
        <v>0</v>
      </c>
      <c r="F741" s="41">
        <v>0</v>
      </c>
      <c r="G741" s="41">
        <v>0</v>
      </c>
      <c r="H741" s="41">
        <v>0</v>
      </c>
      <c r="I741" s="41">
        <v>0</v>
      </c>
      <c r="J741" s="130"/>
      <c r="K741" s="130"/>
      <c r="M741" s="55"/>
      <c r="N741" s="55"/>
      <c r="O741" s="55"/>
      <c r="P741" s="55"/>
    </row>
    <row r="742" spans="1:16" s="37" customFormat="1" ht="11.25" customHeight="1" outlineLevel="1" x14ac:dyDescent="0.25">
      <c r="A742" s="127"/>
      <c r="B742" s="112"/>
      <c r="C742" s="112"/>
      <c r="D742" s="40">
        <v>2023</v>
      </c>
      <c r="E742" s="41">
        <v>0</v>
      </c>
      <c r="F742" s="41">
        <v>0</v>
      </c>
      <c r="G742" s="41">
        <v>0</v>
      </c>
      <c r="H742" s="41">
        <v>0</v>
      </c>
      <c r="I742" s="41">
        <v>0</v>
      </c>
      <c r="J742" s="130"/>
      <c r="K742" s="130"/>
      <c r="M742" s="55"/>
      <c r="N742" s="55"/>
      <c r="O742" s="55"/>
      <c r="P742" s="55"/>
    </row>
    <row r="743" spans="1:16" s="37" customFormat="1" ht="11.25" customHeight="1" outlineLevel="1" x14ac:dyDescent="0.25">
      <c r="A743" s="127"/>
      <c r="B743" s="112"/>
      <c r="C743" s="112"/>
      <c r="D743" s="40">
        <v>2024</v>
      </c>
      <c r="E743" s="41">
        <v>0</v>
      </c>
      <c r="F743" s="41">
        <v>0</v>
      </c>
      <c r="G743" s="41">
        <v>0</v>
      </c>
      <c r="H743" s="41">
        <v>0</v>
      </c>
      <c r="I743" s="41">
        <v>0</v>
      </c>
      <c r="J743" s="130"/>
      <c r="K743" s="130"/>
      <c r="M743" s="55"/>
      <c r="N743" s="55"/>
      <c r="O743" s="55"/>
      <c r="P743" s="55"/>
    </row>
    <row r="744" spans="1:16" s="37" customFormat="1" ht="11.25" customHeight="1" outlineLevel="1" x14ac:dyDescent="0.25">
      <c r="A744" s="127"/>
      <c r="B744" s="112"/>
      <c r="C744" s="112"/>
      <c r="D744" s="40">
        <v>2025</v>
      </c>
      <c r="E744" s="41">
        <v>0</v>
      </c>
      <c r="F744" s="41">
        <v>0</v>
      </c>
      <c r="G744" s="41">
        <v>0</v>
      </c>
      <c r="H744" s="41">
        <v>0</v>
      </c>
      <c r="I744" s="41">
        <v>0</v>
      </c>
      <c r="J744" s="130"/>
      <c r="K744" s="130"/>
      <c r="M744" s="55"/>
      <c r="N744" s="55"/>
      <c r="O744" s="55"/>
      <c r="P744" s="55"/>
    </row>
    <row r="745" spans="1:16" s="37" customFormat="1" ht="11.25" customHeight="1" outlineLevel="1" x14ac:dyDescent="0.25">
      <c r="A745" s="128"/>
      <c r="B745" s="113"/>
      <c r="C745" s="113"/>
      <c r="D745" s="40">
        <v>2026</v>
      </c>
      <c r="E745" s="41">
        <f>F745+G745+H745+I745</f>
        <v>267656.2</v>
      </c>
      <c r="F745" s="41">
        <v>267656.2</v>
      </c>
      <c r="G745" s="41">
        <v>0</v>
      </c>
      <c r="H745" s="41">
        <v>0</v>
      </c>
      <c r="I745" s="41">
        <v>0</v>
      </c>
      <c r="J745" s="131"/>
      <c r="K745" s="131"/>
      <c r="M745" s="55"/>
      <c r="N745" s="55"/>
      <c r="O745" s="55"/>
      <c r="P745" s="55"/>
    </row>
    <row r="746" spans="1:16" ht="12.75" customHeight="1" outlineLevel="1" x14ac:dyDescent="0.25">
      <c r="A746" s="108" t="s">
        <v>1210</v>
      </c>
      <c r="B746" s="108" t="s">
        <v>1211</v>
      </c>
      <c r="C746" s="111" t="s">
        <v>1777</v>
      </c>
      <c r="D746" s="7" t="s">
        <v>8</v>
      </c>
      <c r="E746" s="8">
        <f t="shared" si="54"/>
        <v>365311.47109000001</v>
      </c>
      <c r="F746" s="8">
        <f>SUM(F747:F752)</f>
        <v>113430.37809</v>
      </c>
      <c r="G746" s="8">
        <f>SUM(G747:G752)</f>
        <v>251881.09299999999</v>
      </c>
      <c r="H746" s="8">
        <f>SUM(H747:H751)</f>
        <v>0</v>
      </c>
      <c r="I746" s="8">
        <f>SUM(I747:I751)</f>
        <v>0</v>
      </c>
      <c r="J746" s="108" t="s">
        <v>117</v>
      </c>
      <c r="K746" s="108" t="s">
        <v>484</v>
      </c>
    </row>
    <row r="747" spans="1:16" ht="12.75" customHeight="1" outlineLevel="1" x14ac:dyDescent="0.25">
      <c r="A747" s="109"/>
      <c r="B747" s="109"/>
      <c r="C747" s="112"/>
      <c r="D747" s="7">
        <v>2021</v>
      </c>
      <c r="E747" s="8">
        <f t="shared" si="54"/>
        <v>0</v>
      </c>
      <c r="F747" s="8">
        <f t="shared" ref="F747:I751" si="57">F754</f>
        <v>0</v>
      </c>
      <c r="G747" s="8">
        <f>G754</f>
        <v>0</v>
      </c>
      <c r="H747" s="8">
        <f t="shared" si="57"/>
        <v>0</v>
      </c>
      <c r="I747" s="8">
        <f t="shared" si="57"/>
        <v>0</v>
      </c>
      <c r="J747" s="109"/>
      <c r="K747" s="109"/>
    </row>
    <row r="748" spans="1:16" ht="12.75" customHeight="1" outlineLevel="1" x14ac:dyDescent="0.25">
      <c r="A748" s="109"/>
      <c r="B748" s="109"/>
      <c r="C748" s="112"/>
      <c r="D748" s="7">
        <v>2022</v>
      </c>
      <c r="E748" s="8">
        <f t="shared" si="54"/>
        <v>67438.159</v>
      </c>
      <c r="F748" s="8">
        <f t="shared" si="57"/>
        <v>19557.065999999999</v>
      </c>
      <c r="G748" s="8">
        <f t="shared" si="57"/>
        <v>47881.093000000001</v>
      </c>
      <c r="H748" s="8">
        <f t="shared" si="57"/>
        <v>0</v>
      </c>
      <c r="I748" s="8">
        <f t="shared" si="57"/>
        <v>0</v>
      </c>
      <c r="J748" s="109"/>
      <c r="K748" s="109"/>
    </row>
    <row r="749" spans="1:16" ht="12.75" customHeight="1" outlineLevel="1" x14ac:dyDescent="0.25">
      <c r="A749" s="109"/>
      <c r="B749" s="109"/>
      <c r="C749" s="112"/>
      <c r="D749" s="7">
        <v>2023</v>
      </c>
      <c r="E749" s="8">
        <f t="shared" si="54"/>
        <v>0</v>
      </c>
      <c r="F749" s="8">
        <f t="shared" si="57"/>
        <v>0</v>
      </c>
      <c r="G749" s="8">
        <f t="shared" si="57"/>
        <v>0</v>
      </c>
      <c r="H749" s="8">
        <f t="shared" si="57"/>
        <v>0</v>
      </c>
      <c r="I749" s="8">
        <f t="shared" si="57"/>
        <v>0</v>
      </c>
      <c r="J749" s="109"/>
      <c r="K749" s="109"/>
    </row>
    <row r="750" spans="1:16" ht="12.75" customHeight="1" outlineLevel="1" x14ac:dyDescent="0.25">
      <c r="A750" s="109"/>
      <c r="B750" s="109"/>
      <c r="C750" s="112"/>
      <c r="D750" s="7">
        <v>2024</v>
      </c>
      <c r="E750" s="8">
        <f t="shared" si="54"/>
        <v>126760.56338000001</v>
      </c>
      <c r="F750" s="8">
        <f t="shared" si="57"/>
        <v>36760.56338</v>
      </c>
      <c r="G750" s="8">
        <f t="shared" si="57"/>
        <v>90000</v>
      </c>
      <c r="H750" s="8">
        <f t="shared" si="57"/>
        <v>0</v>
      </c>
      <c r="I750" s="8">
        <f t="shared" si="57"/>
        <v>0</v>
      </c>
      <c r="J750" s="109"/>
      <c r="K750" s="109"/>
    </row>
    <row r="751" spans="1:16" ht="12.75" customHeight="1" outlineLevel="1" x14ac:dyDescent="0.25">
      <c r="A751" s="109"/>
      <c r="B751" s="109"/>
      <c r="C751" s="112"/>
      <c r="D751" s="7">
        <v>2025</v>
      </c>
      <c r="E751" s="8">
        <f t="shared" si="54"/>
        <v>130434.78260999999</v>
      </c>
      <c r="F751" s="8">
        <f t="shared" si="57"/>
        <v>40434.782610000002</v>
      </c>
      <c r="G751" s="8">
        <f t="shared" si="57"/>
        <v>90000</v>
      </c>
      <c r="H751" s="8">
        <f t="shared" si="57"/>
        <v>0</v>
      </c>
      <c r="I751" s="8">
        <f t="shared" si="57"/>
        <v>0</v>
      </c>
      <c r="J751" s="109"/>
      <c r="K751" s="109"/>
    </row>
    <row r="752" spans="1:16" s="45" customFormat="1" ht="12.75" customHeight="1" outlineLevel="1" x14ac:dyDescent="0.25">
      <c r="A752" s="110"/>
      <c r="B752" s="110"/>
      <c r="C752" s="113"/>
      <c r="D752" s="48">
        <v>2026</v>
      </c>
      <c r="E752" s="49">
        <f>SUM(F752:I752)</f>
        <v>40677.966100000005</v>
      </c>
      <c r="F752" s="49">
        <f>SUM(F759)</f>
        <v>16677.966100000001</v>
      </c>
      <c r="G752" s="49">
        <f t="shared" ref="G752:I752" si="58">SUM(G759)</f>
        <v>24000</v>
      </c>
      <c r="H752" s="49">
        <f t="shared" si="58"/>
        <v>0</v>
      </c>
      <c r="I752" s="49">
        <f t="shared" si="58"/>
        <v>0</v>
      </c>
      <c r="J752" s="110"/>
      <c r="K752" s="110"/>
      <c r="M752" s="55"/>
      <c r="N752" s="55"/>
      <c r="O752" s="55"/>
      <c r="P752" s="55"/>
    </row>
    <row r="753" spans="1:16" ht="12.75" customHeight="1" outlineLevel="1" x14ac:dyDescent="0.25">
      <c r="A753" s="108" t="s">
        <v>1212</v>
      </c>
      <c r="B753" s="108" t="s">
        <v>1736</v>
      </c>
      <c r="C753" s="111" t="s">
        <v>1777</v>
      </c>
      <c r="D753" s="7" t="s">
        <v>8</v>
      </c>
      <c r="E753" s="8">
        <f t="shared" si="54"/>
        <v>365311.47109000001</v>
      </c>
      <c r="F753" s="8">
        <f>SUM(F754:F759)</f>
        <v>113430.37809</v>
      </c>
      <c r="G753" s="8">
        <f>SUM(G754:G759)</f>
        <v>251881.09299999999</v>
      </c>
      <c r="H753" s="8">
        <f>SUM(H754:H758)</f>
        <v>0</v>
      </c>
      <c r="I753" s="8">
        <f>SUM(I754:I758)</f>
        <v>0</v>
      </c>
      <c r="J753" s="108" t="s">
        <v>1795</v>
      </c>
      <c r="K753" s="108" t="s">
        <v>484</v>
      </c>
    </row>
    <row r="754" spans="1:16" outlineLevel="1" x14ac:dyDescent="0.25">
      <c r="A754" s="109"/>
      <c r="B754" s="109"/>
      <c r="C754" s="112"/>
      <c r="D754" s="7">
        <v>2021</v>
      </c>
      <c r="E754" s="8">
        <f t="shared" si="54"/>
        <v>0</v>
      </c>
      <c r="F754" s="8">
        <v>0</v>
      </c>
      <c r="G754" s="8">
        <v>0</v>
      </c>
      <c r="H754" s="8">
        <v>0</v>
      </c>
      <c r="I754" s="8">
        <v>0</v>
      </c>
      <c r="J754" s="109"/>
      <c r="K754" s="109"/>
    </row>
    <row r="755" spans="1:16" outlineLevel="1" x14ac:dyDescent="0.25">
      <c r="A755" s="109"/>
      <c r="B755" s="109"/>
      <c r="C755" s="112"/>
      <c r="D755" s="7">
        <v>2022</v>
      </c>
      <c r="E755" s="8">
        <f t="shared" si="54"/>
        <v>67438.159</v>
      </c>
      <c r="F755" s="8">
        <v>19557.065999999999</v>
      </c>
      <c r="G755" s="8">
        <v>47881.093000000001</v>
      </c>
      <c r="H755" s="8">
        <v>0</v>
      </c>
      <c r="I755" s="8">
        <v>0</v>
      </c>
      <c r="J755" s="109"/>
      <c r="K755" s="109"/>
    </row>
    <row r="756" spans="1:16" outlineLevel="1" x14ac:dyDescent="0.25">
      <c r="A756" s="109"/>
      <c r="B756" s="109"/>
      <c r="C756" s="112"/>
      <c r="D756" s="7">
        <v>2023</v>
      </c>
      <c r="E756" s="8">
        <f t="shared" ref="E756:E841" si="59">SUM(F756:I756)</f>
        <v>0</v>
      </c>
      <c r="F756" s="8">
        <v>0</v>
      </c>
      <c r="G756" s="8">
        <v>0</v>
      </c>
      <c r="H756" s="8">
        <v>0</v>
      </c>
      <c r="I756" s="8">
        <v>0</v>
      </c>
      <c r="J756" s="109"/>
      <c r="K756" s="109"/>
    </row>
    <row r="757" spans="1:16" outlineLevel="1" x14ac:dyDescent="0.25">
      <c r="A757" s="109"/>
      <c r="B757" s="109"/>
      <c r="C757" s="112"/>
      <c r="D757" s="7">
        <v>2024</v>
      </c>
      <c r="E757" s="32">
        <f t="shared" si="59"/>
        <v>126760.56338000001</v>
      </c>
      <c r="F757" s="32">
        <v>36760.56338</v>
      </c>
      <c r="G757" s="32">
        <v>90000</v>
      </c>
      <c r="H757" s="8">
        <v>0</v>
      </c>
      <c r="I757" s="8">
        <v>0</v>
      </c>
      <c r="J757" s="109"/>
      <c r="K757" s="109"/>
    </row>
    <row r="758" spans="1:16" outlineLevel="1" x14ac:dyDescent="0.25">
      <c r="A758" s="109"/>
      <c r="B758" s="109"/>
      <c r="C758" s="112"/>
      <c r="D758" s="7">
        <v>2025</v>
      </c>
      <c r="E758" s="32">
        <f t="shared" si="59"/>
        <v>130434.78260999999</v>
      </c>
      <c r="F758" s="32">
        <v>40434.782610000002</v>
      </c>
      <c r="G758" s="32">
        <v>90000</v>
      </c>
      <c r="H758" s="8">
        <f>SUM(I751:L751)</f>
        <v>0</v>
      </c>
      <c r="I758" s="8">
        <f>SUM(J751:L751)</f>
        <v>0</v>
      </c>
      <c r="J758" s="109"/>
      <c r="K758" s="109"/>
    </row>
    <row r="759" spans="1:16" s="45" customFormat="1" outlineLevel="1" x14ac:dyDescent="0.25">
      <c r="A759" s="110"/>
      <c r="B759" s="110"/>
      <c r="C759" s="113"/>
      <c r="D759" s="40">
        <v>2026</v>
      </c>
      <c r="E759" s="41">
        <f>F759+G759+H759+I759</f>
        <v>40677.966100000005</v>
      </c>
      <c r="F759" s="41">
        <v>16677.966100000001</v>
      </c>
      <c r="G759" s="41">
        <v>24000</v>
      </c>
      <c r="H759" s="41"/>
      <c r="I759" s="41"/>
      <c r="J759" s="110"/>
      <c r="K759" s="110"/>
      <c r="M759" s="55"/>
      <c r="N759" s="55"/>
      <c r="O759" s="55"/>
      <c r="P759" s="55"/>
    </row>
    <row r="760" spans="1:16" outlineLevel="1" x14ac:dyDescent="0.25">
      <c r="A760" s="117" t="s">
        <v>1214</v>
      </c>
      <c r="B760" s="118" t="s">
        <v>1215</v>
      </c>
      <c r="C760" s="119" t="s">
        <v>1125</v>
      </c>
      <c r="D760" s="7" t="s">
        <v>8</v>
      </c>
      <c r="E760" s="8">
        <f>НОВЫЙ_МИНСТРОЙ!E761</f>
        <v>1965199.79856</v>
      </c>
      <c r="F760" s="8">
        <f>НОВЫЙ_МИНСТРОЙ!F761</f>
        <v>1667880.05856</v>
      </c>
      <c r="G760" s="8">
        <f>НОВЫЙ_МИНСТРОЙ!G761</f>
        <v>297319.74</v>
      </c>
      <c r="H760" s="8">
        <f>НОВЫЙ_МИНСТРОЙ!H761</f>
        <v>0</v>
      </c>
      <c r="I760" s="8">
        <f>НОВЫЙ_МИНСТРОЙ!I761</f>
        <v>0</v>
      </c>
      <c r="J760" s="119" t="s">
        <v>1217</v>
      </c>
      <c r="K760" s="119" t="s">
        <v>1760</v>
      </c>
    </row>
    <row r="761" spans="1:16" outlineLevel="1" x14ac:dyDescent="0.25">
      <c r="A761" s="117"/>
      <c r="B761" s="118"/>
      <c r="C761" s="119"/>
      <c r="D761" s="7">
        <v>2021</v>
      </c>
      <c r="E761" s="8">
        <f>НОВЫЙ_МИНСТРОЙ!E762</f>
        <v>0</v>
      </c>
      <c r="F761" s="8">
        <f>НОВЫЙ_МИНСТРОЙ!F762</f>
        <v>0</v>
      </c>
      <c r="G761" s="8">
        <f>НОВЫЙ_МИНСТРОЙ!G762</f>
        <v>0</v>
      </c>
      <c r="H761" s="8">
        <f>НОВЫЙ_МИНСТРОЙ!H762</f>
        <v>0</v>
      </c>
      <c r="I761" s="8">
        <f>НОВЫЙ_МИНСТРОЙ!I762</f>
        <v>0</v>
      </c>
      <c r="J761" s="119"/>
      <c r="K761" s="119"/>
    </row>
    <row r="762" spans="1:16" outlineLevel="1" x14ac:dyDescent="0.25">
      <c r="A762" s="117"/>
      <c r="B762" s="118"/>
      <c r="C762" s="119"/>
      <c r="D762" s="7">
        <v>2022</v>
      </c>
      <c r="E762" s="8">
        <f>НОВЫЙ_МИНСТРОЙ!E763</f>
        <v>0</v>
      </c>
      <c r="F762" s="8">
        <f>НОВЫЙ_МИНСТРОЙ!F763</f>
        <v>0</v>
      </c>
      <c r="G762" s="8">
        <f>НОВЫЙ_МИНСТРОЙ!G763</f>
        <v>0</v>
      </c>
      <c r="H762" s="8">
        <f>НОВЫЙ_МИНСТРОЙ!H763</f>
        <v>0</v>
      </c>
      <c r="I762" s="8">
        <f>НОВЫЙ_МИНСТРОЙ!I763</f>
        <v>0</v>
      </c>
      <c r="J762" s="119"/>
      <c r="K762" s="119"/>
      <c r="M762" s="78">
        <f>SUM(F766,F772,F778)</f>
        <v>1297771.4585599999</v>
      </c>
    </row>
    <row r="763" spans="1:16" outlineLevel="1" x14ac:dyDescent="0.25">
      <c r="A763" s="117"/>
      <c r="B763" s="118"/>
      <c r="C763" s="119"/>
      <c r="D763" s="7">
        <v>2023</v>
      </c>
      <c r="E763" s="8">
        <f>НОВЫЙ_МИНСТРОЙ!E764</f>
        <v>381844.82530999999</v>
      </c>
      <c r="F763" s="8">
        <f>НОВЫЙ_МИНСТРОЙ!F764</f>
        <v>84525.085309999995</v>
      </c>
      <c r="G763" s="8">
        <f>НОВЫЙ_МИНСТРОЙ!G764</f>
        <v>297319.74</v>
      </c>
      <c r="H763" s="8">
        <f>НОВЫЙ_МИНСТРОЙ!H764</f>
        <v>0</v>
      </c>
      <c r="I763" s="8">
        <f>НОВЫЙ_МИНСТРОЙ!I764</f>
        <v>0</v>
      </c>
      <c r="J763" s="119"/>
      <c r="K763" s="119"/>
      <c r="M763" s="62"/>
      <c r="N763" s="55" t="s">
        <v>1134</v>
      </c>
    </row>
    <row r="764" spans="1:16" outlineLevel="1" x14ac:dyDescent="0.25">
      <c r="A764" s="117"/>
      <c r="B764" s="118"/>
      <c r="C764" s="119"/>
      <c r="D764" s="7">
        <v>2024</v>
      </c>
      <c r="E764" s="8">
        <f>НОВЫЙ_МИНСТРОЙ!E765</f>
        <v>1101184.97325</v>
      </c>
      <c r="F764" s="8">
        <f>НОВЫЙ_МИНСТРОЙ!F765</f>
        <v>731076.37324999995</v>
      </c>
      <c r="G764" s="8">
        <f>НОВЫЙ_МИНСТРОЙ!G765</f>
        <v>370108.6</v>
      </c>
      <c r="H764" s="8">
        <f>НОВЫЙ_МИНСТРОЙ!H765</f>
        <v>0</v>
      </c>
      <c r="I764" s="8">
        <f>НОВЫЙ_МИНСТРОЙ!I765</f>
        <v>0</v>
      </c>
      <c r="J764" s="119"/>
      <c r="K764" s="119"/>
    </row>
    <row r="765" spans="1:16" outlineLevel="1" x14ac:dyDescent="0.25">
      <c r="A765" s="117"/>
      <c r="B765" s="118"/>
      <c r="C765" s="119"/>
      <c r="D765" s="7">
        <v>2025</v>
      </c>
      <c r="E765" s="8">
        <f>НОВЫЙ_МИНСТРОЙ!E766</f>
        <v>482170</v>
      </c>
      <c r="F765" s="8">
        <f>НОВЫЙ_МИНСТРОЙ!F766</f>
        <v>482170</v>
      </c>
      <c r="G765" s="8">
        <f>НОВЫЙ_МИНСТРОЙ!G766</f>
        <v>0</v>
      </c>
      <c r="H765" s="8">
        <f>НОВЫЙ_МИНСТРОЙ!H766</f>
        <v>0</v>
      </c>
      <c r="I765" s="8">
        <f>НОВЫЙ_МИНСТРОЙ!I766</f>
        <v>0</v>
      </c>
      <c r="J765" s="119"/>
      <c r="K765" s="119"/>
    </row>
    <row r="766" spans="1:16" outlineLevel="1" x14ac:dyDescent="0.25">
      <c r="A766" s="117" t="s">
        <v>1218</v>
      </c>
      <c r="B766" s="118" t="s">
        <v>101</v>
      </c>
      <c r="C766" s="119" t="s">
        <v>1125</v>
      </c>
      <c r="D766" s="7" t="s">
        <v>8</v>
      </c>
      <c r="E766" s="8">
        <f>НОВЫЙ_МИНСТРОЙ!E767</f>
        <v>884016.68856000004</v>
      </c>
      <c r="F766" s="8">
        <f>НОВЫЙ_МИНСТРОЙ!F767</f>
        <v>333431.45856</v>
      </c>
      <c r="G766" s="8">
        <f>НОВЫЙ_МИНСТРОЙ!G767</f>
        <v>550585.23</v>
      </c>
      <c r="H766" s="8">
        <f>НОВЫЙ_МИНСТРОЙ!H767</f>
        <v>0</v>
      </c>
      <c r="I766" s="8">
        <f>НОВЫЙ_МИНСТРОЙ!I767</f>
        <v>0</v>
      </c>
      <c r="J766" s="119" t="s">
        <v>1219</v>
      </c>
      <c r="K766" s="119" t="s">
        <v>1220</v>
      </c>
    </row>
    <row r="767" spans="1:16" outlineLevel="1" x14ac:dyDescent="0.25">
      <c r="A767" s="117"/>
      <c r="B767" s="118"/>
      <c r="C767" s="119"/>
      <c r="D767" s="7">
        <v>2021</v>
      </c>
      <c r="E767" s="8">
        <f>НОВЫЙ_МИНСТРОЙ!E768</f>
        <v>0</v>
      </c>
      <c r="F767" s="8">
        <f>НОВЫЙ_МИНСТРОЙ!F768</f>
        <v>0</v>
      </c>
      <c r="G767" s="8">
        <f>НОВЫЙ_МИНСТРОЙ!G768</f>
        <v>0</v>
      </c>
      <c r="H767" s="8">
        <f>НОВЫЙ_МИНСТРОЙ!H768</f>
        <v>0</v>
      </c>
      <c r="I767" s="8">
        <f>НОВЫЙ_МИНСТРОЙ!I768</f>
        <v>0</v>
      </c>
      <c r="J767" s="119"/>
      <c r="K767" s="119"/>
    </row>
    <row r="768" spans="1:16" outlineLevel="1" x14ac:dyDescent="0.25">
      <c r="A768" s="117"/>
      <c r="B768" s="118"/>
      <c r="C768" s="119"/>
      <c r="D768" s="7">
        <v>2022</v>
      </c>
      <c r="E768" s="8">
        <f>НОВЫЙ_МИНСТРОЙ!E769</f>
        <v>0</v>
      </c>
      <c r="F768" s="8">
        <f>НОВЫЙ_МИНСТРОЙ!F769</f>
        <v>0</v>
      </c>
      <c r="G768" s="8">
        <f>НОВЫЙ_МИНСТРОЙ!G769</f>
        <v>0</v>
      </c>
      <c r="H768" s="8">
        <f>НОВЫЙ_МИНСТРОЙ!H769</f>
        <v>0</v>
      </c>
      <c r="I768" s="8">
        <f>НОВЫЙ_МИНСТРОЙ!I769</f>
        <v>0</v>
      </c>
      <c r="J768" s="119"/>
      <c r="K768" s="119"/>
    </row>
    <row r="769" spans="1:11" outlineLevel="1" x14ac:dyDescent="0.25">
      <c r="A769" s="117"/>
      <c r="B769" s="118"/>
      <c r="C769" s="119"/>
      <c r="D769" s="7">
        <v>2023</v>
      </c>
      <c r="E769" s="8">
        <f>НОВЫЙ_МИНСТРОЙ!E770</f>
        <v>265001.71531</v>
      </c>
      <c r="F769" s="8">
        <f>НОВЫЙ_МИНСТРОЙ!F770</f>
        <v>84525.085309999995</v>
      </c>
      <c r="G769" s="8">
        <f>НОВЫЙ_МИНСТРОЙ!G770</f>
        <v>180476.63</v>
      </c>
      <c r="H769" s="8">
        <f>НОВЫЙ_МИНСТРОЙ!H770</f>
        <v>0</v>
      </c>
      <c r="I769" s="8">
        <f>НОВЫЙ_МИНСТРОЙ!I770</f>
        <v>0</v>
      </c>
      <c r="J769" s="119"/>
      <c r="K769" s="119"/>
    </row>
    <row r="770" spans="1:11" outlineLevel="1" x14ac:dyDescent="0.25">
      <c r="A770" s="117"/>
      <c r="B770" s="118"/>
      <c r="C770" s="119"/>
      <c r="D770" s="7">
        <v>2024</v>
      </c>
      <c r="E770" s="8">
        <f>НОВЫЙ_МИНСТРОЙ!E771</f>
        <v>619014.97325000004</v>
      </c>
      <c r="F770" s="8">
        <f>НОВЫЙ_МИНСТРОЙ!F771</f>
        <v>248906.37325</v>
      </c>
      <c r="G770" s="8">
        <f>НОВЫЙ_МИНСТРОЙ!G771</f>
        <v>370108.6</v>
      </c>
      <c r="H770" s="8">
        <f>НОВЫЙ_МИНСТРОЙ!H771</f>
        <v>0</v>
      </c>
      <c r="I770" s="8">
        <f>НОВЫЙ_МИНСТРОЙ!I771</f>
        <v>0</v>
      </c>
      <c r="J770" s="119"/>
      <c r="K770" s="119"/>
    </row>
    <row r="771" spans="1:11" outlineLevel="1" x14ac:dyDescent="0.25">
      <c r="A771" s="117"/>
      <c r="B771" s="118"/>
      <c r="C771" s="119"/>
      <c r="D771" s="7">
        <v>2025</v>
      </c>
      <c r="E771" s="8">
        <f>НОВЫЙ_МИНСТРОЙ!E772</f>
        <v>0</v>
      </c>
      <c r="F771" s="8">
        <f>НОВЫЙ_МИНСТРОЙ!F772</f>
        <v>0</v>
      </c>
      <c r="G771" s="8">
        <f>НОВЫЙ_МИНСТРОЙ!G772</f>
        <v>0</v>
      </c>
      <c r="H771" s="8">
        <f>НОВЫЙ_МИНСТРОЙ!H772</f>
        <v>0</v>
      </c>
      <c r="I771" s="8">
        <f>НОВЫЙ_МИНСТРОЙ!I772</f>
        <v>0</v>
      </c>
      <c r="J771" s="119"/>
      <c r="K771" s="119"/>
    </row>
    <row r="772" spans="1:11" ht="12.75" customHeight="1" outlineLevel="1" x14ac:dyDescent="0.25">
      <c r="A772" s="117" t="s">
        <v>1221</v>
      </c>
      <c r="B772" s="118" t="s">
        <v>1755</v>
      </c>
      <c r="C772" s="119" t="s">
        <v>1125</v>
      </c>
      <c r="D772" s="7" t="s">
        <v>8</v>
      </c>
      <c r="E772" s="8">
        <f>НОВЫЙ_МИНСТРОЙ!E773</f>
        <v>249780</v>
      </c>
      <c r="F772" s="8">
        <f>НОВЫЙ_МИНСТРОЙ!F773</f>
        <v>184340</v>
      </c>
      <c r="G772" s="8">
        <f>НОВЫЙ_МИНСТРОЙ!G773</f>
        <v>65440</v>
      </c>
      <c r="H772" s="8">
        <f>НОВЫЙ_МИНСТРОЙ!H773</f>
        <v>0</v>
      </c>
      <c r="I772" s="8">
        <f>НОВЫЙ_МИНСТРОЙ!I773</f>
        <v>0</v>
      </c>
      <c r="J772" s="119" t="s">
        <v>1763</v>
      </c>
      <c r="K772" s="119" t="s">
        <v>1757</v>
      </c>
    </row>
    <row r="773" spans="1:11" ht="12.75" customHeight="1" outlineLevel="1" x14ac:dyDescent="0.25">
      <c r="A773" s="117"/>
      <c r="B773" s="118"/>
      <c r="C773" s="119"/>
      <c r="D773" s="7">
        <v>2021</v>
      </c>
      <c r="E773" s="8">
        <f>НОВЫЙ_МИНСТРОЙ!E774</f>
        <v>0</v>
      </c>
      <c r="F773" s="8">
        <f>НОВЫЙ_МИНСТРОЙ!F774</f>
        <v>0</v>
      </c>
      <c r="G773" s="8">
        <f>НОВЫЙ_МИНСТРОЙ!G774</f>
        <v>0</v>
      </c>
      <c r="H773" s="8">
        <f>НОВЫЙ_МИНСТРОЙ!H774</f>
        <v>0</v>
      </c>
      <c r="I773" s="8">
        <f>НОВЫЙ_МИНСТРОЙ!I774</f>
        <v>0</v>
      </c>
      <c r="J773" s="119"/>
      <c r="K773" s="119"/>
    </row>
    <row r="774" spans="1:11" ht="12.75" customHeight="1" outlineLevel="1" x14ac:dyDescent="0.25">
      <c r="A774" s="117"/>
      <c r="B774" s="118"/>
      <c r="C774" s="119"/>
      <c r="D774" s="7">
        <v>2022</v>
      </c>
      <c r="E774" s="8">
        <f>НОВЫЙ_МИНСТРОЙ!E775</f>
        <v>0</v>
      </c>
      <c r="F774" s="8">
        <f>НОВЫЙ_МИНСТРОЙ!F775</f>
        <v>0</v>
      </c>
      <c r="G774" s="8">
        <f>НОВЫЙ_МИНСТРОЙ!G775</f>
        <v>0</v>
      </c>
      <c r="H774" s="8">
        <f>НОВЫЙ_МИНСТРОЙ!H775</f>
        <v>0</v>
      </c>
      <c r="I774" s="8">
        <f>НОВЫЙ_МИНСТРОЙ!I775</f>
        <v>0</v>
      </c>
      <c r="J774" s="119"/>
      <c r="K774" s="119"/>
    </row>
    <row r="775" spans="1:11" ht="12.75" customHeight="1" outlineLevel="1" x14ac:dyDescent="0.25">
      <c r="A775" s="117"/>
      <c r="B775" s="118"/>
      <c r="C775" s="119"/>
      <c r="D775" s="7">
        <v>2023</v>
      </c>
      <c r="E775" s="8">
        <f>НОВЫЙ_МИНСТРОЙ!E776</f>
        <v>65440</v>
      </c>
      <c r="F775" s="8">
        <f>НОВЫЙ_МИНСТРОЙ!F776</f>
        <v>0</v>
      </c>
      <c r="G775" s="8">
        <f>НОВЫЙ_МИНСТРОЙ!G776</f>
        <v>65440</v>
      </c>
      <c r="H775" s="8">
        <f>НОВЫЙ_МИНСТРОЙ!H776</f>
        <v>0</v>
      </c>
      <c r="I775" s="8">
        <f>НОВЫЙ_МИНСТРОЙ!I776</f>
        <v>0</v>
      </c>
      <c r="J775" s="119"/>
      <c r="K775" s="119"/>
    </row>
    <row r="776" spans="1:11" ht="12.75" customHeight="1" outlineLevel="1" x14ac:dyDescent="0.25">
      <c r="A776" s="117"/>
      <c r="B776" s="118"/>
      <c r="C776" s="119"/>
      <c r="D776" s="7">
        <v>2024</v>
      </c>
      <c r="E776" s="8">
        <f>НОВЫЙ_МИНСТРОЙ!E777</f>
        <v>92170</v>
      </c>
      <c r="F776" s="8">
        <f>НОВЫЙ_МИНСТРОЙ!F777</f>
        <v>92170</v>
      </c>
      <c r="G776" s="8">
        <f>НОВЫЙ_МИНСТРОЙ!G777</f>
        <v>0</v>
      </c>
      <c r="H776" s="8">
        <f>НОВЫЙ_МИНСТРОЙ!H777</f>
        <v>0</v>
      </c>
      <c r="I776" s="8">
        <f>НОВЫЙ_МИНСТРОЙ!I777</f>
        <v>0</v>
      </c>
      <c r="J776" s="119"/>
      <c r="K776" s="119"/>
    </row>
    <row r="777" spans="1:11" ht="42.75" customHeight="1" outlineLevel="1" x14ac:dyDescent="0.25">
      <c r="A777" s="117"/>
      <c r="B777" s="118"/>
      <c r="C777" s="119"/>
      <c r="D777" s="7">
        <v>2025</v>
      </c>
      <c r="E777" s="8">
        <f>НОВЫЙ_МИНСТРОЙ!E778</f>
        <v>92170</v>
      </c>
      <c r="F777" s="8">
        <f>НОВЫЙ_МИНСТРОЙ!F778</f>
        <v>92170</v>
      </c>
      <c r="G777" s="8">
        <f>НОВЫЙ_МИНСТРОЙ!G778</f>
        <v>0</v>
      </c>
      <c r="H777" s="8">
        <f>НОВЫЙ_МИНСТРОЙ!H778</f>
        <v>0</v>
      </c>
      <c r="I777" s="8">
        <f>НОВЫЙ_МИНСТРОЙ!I778</f>
        <v>0</v>
      </c>
      <c r="J777" s="119"/>
      <c r="K777" s="119"/>
    </row>
    <row r="778" spans="1:11" ht="12.75" customHeight="1" outlineLevel="1" x14ac:dyDescent="0.25">
      <c r="A778" s="117" t="s">
        <v>677</v>
      </c>
      <c r="B778" s="118" t="s">
        <v>1754</v>
      </c>
      <c r="C778" s="119" t="s">
        <v>1125</v>
      </c>
      <c r="D778" s="7" t="s">
        <v>8</v>
      </c>
      <c r="E778" s="8">
        <f>НОВЫЙ_МИНСТРОЙ!E779</f>
        <v>831403.11</v>
      </c>
      <c r="F778" s="8">
        <f>НОВЫЙ_МИНСТРОЙ!F779</f>
        <v>780000</v>
      </c>
      <c r="G778" s="8">
        <f>НОВЫЙ_МИНСТРОЙ!G779</f>
        <v>51403.11</v>
      </c>
      <c r="H778" s="8">
        <f>НОВЫЙ_МИНСТРОЙ!H779</f>
        <v>0</v>
      </c>
      <c r="I778" s="8">
        <f>НОВЫЙ_МИНСТРОЙ!I779</f>
        <v>0</v>
      </c>
      <c r="J778" s="119" t="s">
        <v>1763</v>
      </c>
      <c r="K778" s="119" t="s">
        <v>1757</v>
      </c>
    </row>
    <row r="779" spans="1:11" outlineLevel="1" x14ac:dyDescent="0.25">
      <c r="A779" s="117"/>
      <c r="B779" s="118"/>
      <c r="C779" s="119"/>
      <c r="D779" s="7">
        <v>2021</v>
      </c>
      <c r="E779" s="8">
        <f>НОВЫЙ_МИНСТРОЙ!E780</f>
        <v>0</v>
      </c>
      <c r="F779" s="8">
        <f>НОВЫЙ_МИНСТРОЙ!F780</f>
        <v>0</v>
      </c>
      <c r="G779" s="8">
        <f>НОВЫЙ_МИНСТРОЙ!G780</f>
        <v>0</v>
      </c>
      <c r="H779" s="8">
        <f>НОВЫЙ_МИНСТРОЙ!H780</f>
        <v>0</v>
      </c>
      <c r="I779" s="8">
        <f>НОВЫЙ_МИНСТРОЙ!I780</f>
        <v>0</v>
      </c>
      <c r="J779" s="119"/>
      <c r="K779" s="119"/>
    </row>
    <row r="780" spans="1:11" outlineLevel="1" x14ac:dyDescent="0.25">
      <c r="A780" s="117"/>
      <c r="B780" s="118"/>
      <c r="C780" s="119"/>
      <c r="D780" s="7">
        <v>2022</v>
      </c>
      <c r="E780" s="8">
        <f>НОВЫЙ_МИНСТРОЙ!E781</f>
        <v>0</v>
      </c>
      <c r="F780" s="8">
        <f>НОВЫЙ_МИНСТРОЙ!F781</f>
        <v>0</v>
      </c>
      <c r="G780" s="8">
        <f>НОВЫЙ_МИНСТРОЙ!G781</f>
        <v>0</v>
      </c>
      <c r="H780" s="8">
        <f>НОВЫЙ_МИНСТРОЙ!H781</f>
        <v>0</v>
      </c>
      <c r="I780" s="8">
        <f>НОВЫЙ_МИНСТРОЙ!I781</f>
        <v>0</v>
      </c>
      <c r="J780" s="119"/>
      <c r="K780" s="119"/>
    </row>
    <row r="781" spans="1:11" outlineLevel="1" x14ac:dyDescent="0.25">
      <c r="A781" s="117"/>
      <c r="B781" s="118"/>
      <c r="C781" s="119"/>
      <c r="D781" s="7">
        <v>2023</v>
      </c>
      <c r="E781" s="8">
        <f>НОВЫЙ_МИНСТРОЙ!E782</f>
        <v>51403.11</v>
      </c>
      <c r="F781" s="8">
        <f>НОВЫЙ_МИНСТРОЙ!F782</f>
        <v>0</v>
      </c>
      <c r="G781" s="8">
        <f>НОВЫЙ_МИНСТРОЙ!G782</f>
        <v>51403.11</v>
      </c>
      <c r="H781" s="8">
        <f>НОВЫЙ_МИНСТРОЙ!H782</f>
        <v>0</v>
      </c>
      <c r="I781" s="8">
        <f>НОВЫЙ_МИНСТРОЙ!I782</f>
        <v>0</v>
      </c>
      <c r="J781" s="119"/>
      <c r="K781" s="119"/>
    </row>
    <row r="782" spans="1:11" outlineLevel="1" x14ac:dyDescent="0.25">
      <c r="A782" s="117"/>
      <c r="B782" s="118"/>
      <c r="C782" s="119"/>
      <c r="D782" s="7">
        <v>2024</v>
      </c>
      <c r="E782" s="8">
        <f>НОВЫЙ_МИНСТРОЙ!E783</f>
        <v>390000</v>
      </c>
      <c r="F782" s="8">
        <f>НОВЫЙ_МИНСТРОЙ!F783</f>
        <v>390000</v>
      </c>
      <c r="G782" s="8">
        <f>НОВЫЙ_МИНСТРОЙ!G783</f>
        <v>0</v>
      </c>
      <c r="H782" s="8">
        <f>НОВЫЙ_МИНСТРОЙ!H783</f>
        <v>0</v>
      </c>
      <c r="I782" s="8">
        <f>НОВЫЙ_МИНСТРОЙ!I783</f>
        <v>0</v>
      </c>
      <c r="J782" s="119"/>
      <c r="K782" s="119"/>
    </row>
    <row r="783" spans="1:11" ht="48.75" customHeight="1" outlineLevel="1" x14ac:dyDescent="0.25">
      <c r="A783" s="117"/>
      <c r="B783" s="118"/>
      <c r="C783" s="119"/>
      <c r="D783" s="7">
        <v>2025</v>
      </c>
      <c r="E783" s="8">
        <f>НОВЫЙ_МИНСТРОЙ!E784</f>
        <v>390000</v>
      </c>
      <c r="F783" s="8">
        <f>НОВЫЙ_МИНСТРОЙ!F784</f>
        <v>390000</v>
      </c>
      <c r="G783" s="8">
        <f>НОВЫЙ_МИНСТРОЙ!G784</f>
        <v>0</v>
      </c>
      <c r="H783" s="8">
        <f>НОВЫЙ_МИНСТРОЙ!H784</f>
        <v>0</v>
      </c>
      <c r="I783" s="8">
        <f>НОВЫЙ_МИНСТРОЙ!I784</f>
        <v>0</v>
      </c>
      <c r="J783" s="119"/>
      <c r="K783" s="119"/>
    </row>
    <row r="784" spans="1:11" ht="12.75" customHeight="1" outlineLevel="1" x14ac:dyDescent="0.25">
      <c r="A784" s="117" t="s">
        <v>1747</v>
      </c>
      <c r="B784" s="118" t="s">
        <v>1761</v>
      </c>
      <c r="C784" s="119" t="s">
        <v>1125</v>
      </c>
      <c r="D784" s="7" t="s">
        <v>8</v>
      </c>
      <c r="E784" s="8">
        <f t="shared" ref="E784:I789" si="60">SUM(E790,E796)</f>
        <v>187892.8</v>
      </c>
      <c r="F784" s="8">
        <f t="shared" si="60"/>
        <v>186006.66899999999</v>
      </c>
      <c r="G784" s="8">
        <f t="shared" si="60"/>
        <v>0</v>
      </c>
      <c r="H784" s="8">
        <f t="shared" si="60"/>
        <v>1886.1310000000001</v>
      </c>
      <c r="I784" s="8">
        <f t="shared" si="60"/>
        <v>0</v>
      </c>
      <c r="J784" s="119" t="s">
        <v>1759</v>
      </c>
      <c r="K784" s="119" t="s">
        <v>1749</v>
      </c>
    </row>
    <row r="785" spans="1:13" outlineLevel="1" x14ac:dyDescent="0.25">
      <c r="A785" s="117"/>
      <c r="B785" s="118"/>
      <c r="C785" s="119"/>
      <c r="D785" s="7">
        <v>2021</v>
      </c>
      <c r="E785" s="8">
        <f t="shared" si="60"/>
        <v>0</v>
      </c>
      <c r="F785" s="8">
        <f t="shared" si="60"/>
        <v>0</v>
      </c>
      <c r="G785" s="8">
        <f t="shared" si="60"/>
        <v>0</v>
      </c>
      <c r="H785" s="8">
        <f t="shared" si="60"/>
        <v>0</v>
      </c>
      <c r="I785" s="8">
        <f t="shared" si="60"/>
        <v>0</v>
      </c>
      <c r="J785" s="119"/>
      <c r="K785" s="119"/>
    </row>
    <row r="786" spans="1:13" outlineLevel="1" x14ac:dyDescent="0.25">
      <c r="A786" s="117"/>
      <c r="B786" s="118"/>
      <c r="C786" s="119"/>
      <c r="D786" s="7">
        <v>2022</v>
      </c>
      <c r="E786" s="8">
        <f t="shared" si="60"/>
        <v>0</v>
      </c>
      <c r="F786" s="8">
        <f t="shared" si="60"/>
        <v>0</v>
      </c>
      <c r="G786" s="8">
        <f t="shared" si="60"/>
        <v>0</v>
      </c>
      <c r="H786" s="8">
        <f t="shared" si="60"/>
        <v>0</v>
      </c>
      <c r="I786" s="8">
        <f t="shared" si="60"/>
        <v>0</v>
      </c>
      <c r="J786" s="119"/>
      <c r="K786" s="119"/>
    </row>
    <row r="787" spans="1:13" outlineLevel="1" x14ac:dyDescent="0.25">
      <c r="A787" s="117"/>
      <c r="B787" s="118"/>
      <c r="C787" s="119"/>
      <c r="D787" s="7">
        <v>2023</v>
      </c>
      <c r="E787" s="8">
        <f>SUM(E793,E799)</f>
        <v>28290</v>
      </c>
      <c r="F787" s="8">
        <f>SUM(F793,F799)</f>
        <v>28000</v>
      </c>
      <c r="G787" s="8">
        <f t="shared" si="60"/>
        <v>0</v>
      </c>
      <c r="H787" s="8">
        <f t="shared" si="60"/>
        <v>290</v>
      </c>
      <c r="I787" s="8">
        <f t="shared" si="60"/>
        <v>0</v>
      </c>
      <c r="J787" s="119"/>
      <c r="K787" s="119"/>
    </row>
    <row r="788" spans="1:13" outlineLevel="1" x14ac:dyDescent="0.25">
      <c r="A788" s="117"/>
      <c r="B788" s="118"/>
      <c r="C788" s="119"/>
      <c r="D788" s="7">
        <v>2024</v>
      </c>
      <c r="E788" s="8">
        <f t="shared" si="60"/>
        <v>80355</v>
      </c>
      <c r="F788" s="8">
        <f>SUM(F794,F800)</f>
        <v>79551.453999999998</v>
      </c>
      <c r="G788" s="8">
        <f t="shared" si="60"/>
        <v>0</v>
      </c>
      <c r="H788" s="8">
        <f t="shared" si="60"/>
        <v>803.54600000000005</v>
      </c>
      <c r="I788" s="8">
        <f t="shared" si="60"/>
        <v>0</v>
      </c>
      <c r="J788" s="119"/>
      <c r="K788" s="119"/>
    </row>
    <row r="789" spans="1:13" outlineLevel="1" x14ac:dyDescent="0.25">
      <c r="A789" s="117"/>
      <c r="B789" s="118"/>
      <c r="C789" s="119"/>
      <c r="D789" s="7">
        <v>2025</v>
      </c>
      <c r="E789" s="8">
        <f t="shared" si="60"/>
        <v>79247.8</v>
      </c>
      <c r="F789" s="8">
        <f t="shared" si="60"/>
        <v>78455.214999999997</v>
      </c>
      <c r="G789" s="8">
        <f t="shared" si="60"/>
        <v>0</v>
      </c>
      <c r="H789" s="8">
        <f t="shared" si="60"/>
        <v>792.58500000000004</v>
      </c>
      <c r="I789" s="8">
        <f t="shared" si="60"/>
        <v>0</v>
      </c>
      <c r="J789" s="119"/>
      <c r="K789" s="119"/>
    </row>
    <row r="790" spans="1:13" ht="12.75" customHeight="1" outlineLevel="1" x14ac:dyDescent="0.25">
      <c r="A790" s="117" t="s">
        <v>1750</v>
      </c>
      <c r="B790" s="118" t="s">
        <v>1753</v>
      </c>
      <c r="C790" s="119" t="s">
        <v>1125</v>
      </c>
      <c r="D790" s="7" t="s">
        <v>8</v>
      </c>
      <c r="E790" s="8">
        <f>НОВЫЙ_МИНСТРОЙ!E791</f>
        <v>138499.6</v>
      </c>
      <c r="F790" s="8">
        <f>НОВЫЙ_МИНСТРОЙ!F791</f>
        <v>137107.46900000001</v>
      </c>
      <c r="G790" s="8">
        <f>НОВЫЙ_МИНСТРОЙ!G791</f>
        <v>0</v>
      </c>
      <c r="H790" s="8">
        <f>НОВЫЙ_МИНСТРОЙ!H791</f>
        <v>1392.1310000000001</v>
      </c>
      <c r="I790" s="8">
        <f>НОВЫЙ_МИНСТРОЙ!I791</f>
        <v>0</v>
      </c>
      <c r="J790" s="119" t="s">
        <v>1752</v>
      </c>
      <c r="K790" s="119" t="s">
        <v>1748</v>
      </c>
    </row>
    <row r="791" spans="1:13" outlineLevel="1" x14ac:dyDescent="0.25">
      <c r="A791" s="117"/>
      <c r="B791" s="118"/>
      <c r="C791" s="119"/>
      <c r="D791" s="7">
        <v>2021</v>
      </c>
      <c r="E791" s="8">
        <f>НОВЫЙ_МИНСТРОЙ!E792</f>
        <v>0</v>
      </c>
      <c r="F791" s="8">
        <f>НОВЫЙ_МИНСТРОЙ!F792</f>
        <v>0</v>
      </c>
      <c r="G791" s="8">
        <f>НОВЫЙ_МИНСТРОЙ!G792</f>
        <v>0</v>
      </c>
      <c r="H791" s="8">
        <f>НОВЫЙ_МИНСТРОЙ!H792</f>
        <v>0</v>
      </c>
      <c r="I791" s="8">
        <f>НОВЫЙ_МИНСТРОЙ!I792</f>
        <v>0</v>
      </c>
      <c r="J791" s="119"/>
      <c r="K791" s="119"/>
      <c r="M791" s="55">
        <f>SUM(E790,E796)</f>
        <v>187892.8</v>
      </c>
    </row>
    <row r="792" spans="1:13" outlineLevel="1" x14ac:dyDescent="0.25">
      <c r="A792" s="117"/>
      <c r="B792" s="118"/>
      <c r="C792" s="119"/>
      <c r="D792" s="7">
        <v>2022</v>
      </c>
      <c r="E792" s="8">
        <f>НОВЫЙ_МИНСТРОЙ!E793</f>
        <v>0</v>
      </c>
      <c r="F792" s="8">
        <f>НОВЫЙ_МИНСТРОЙ!F793</f>
        <v>0</v>
      </c>
      <c r="G792" s="8">
        <f>НОВЫЙ_МИНСТРОЙ!G793</f>
        <v>0</v>
      </c>
      <c r="H792" s="8">
        <f>НОВЫЙ_МИНСТРОЙ!H793</f>
        <v>0</v>
      </c>
      <c r="I792" s="8">
        <f>НОВЫЙ_МИНСТРОЙ!I793</f>
        <v>0</v>
      </c>
      <c r="J792" s="119"/>
      <c r="K792" s="119"/>
    </row>
    <row r="793" spans="1:13" outlineLevel="1" x14ac:dyDescent="0.25">
      <c r="A793" s="117"/>
      <c r="B793" s="118"/>
      <c r="C793" s="119"/>
      <c r="D793" s="7">
        <v>2023</v>
      </c>
      <c r="E793" s="8">
        <f>НОВЫЙ_МИНСТРОЙ!E794</f>
        <v>20666.5</v>
      </c>
      <c r="F793" s="8">
        <f>НОВЫЙ_МИНСТРОЙ!F794</f>
        <v>20452.7</v>
      </c>
      <c r="G793" s="8">
        <f>НОВЫЙ_МИНСТРОЙ!G794</f>
        <v>0</v>
      </c>
      <c r="H793" s="8">
        <f>НОВЫЙ_МИНСТРОЙ!H794</f>
        <v>213.8</v>
      </c>
      <c r="I793" s="8">
        <f>НОВЫЙ_МИНСТРОЙ!I794</f>
        <v>0</v>
      </c>
      <c r="J793" s="119"/>
      <c r="K793" s="119"/>
    </row>
    <row r="794" spans="1:13" outlineLevel="1" x14ac:dyDescent="0.25">
      <c r="A794" s="117"/>
      <c r="B794" s="118"/>
      <c r="C794" s="119"/>
      <c r="D794" s="7">
        <v>2024</v>
      </c>
      <c r="E794" s="8">
        <f>НОВЫЙ_МИНСТРОЙ!E795</f>
        <v>59324.6</v>
      </c>
      <c r="F794" s="8">
        <f>НОВЫЙ_МИНСТРОЙ!F795</f>
        <v>58731.353999999999</v>
      </c>
      <c r="G794" s="8">
        <f>НОВЫЙ_МИНСТРОЙ!G795</f>
        <v>0</v>
      </c>
      <c r="H794" s="8">
        <f>НОВЫЙ_МИНСТРОЙ!H795</f>
        <v>593.24599999999998</v>
      </c>
      <c r="I794" s="8">
        <f>НОВЫЙ_МИНСТРОЙ!I795</f>
        <v>0</v>
      </c>
      <c r="J794" s="119"/>
      <c r="K794" s="119"/>
    </row>
    <row r="795" spans="1:13" outlineLevel="1" x14ac:dyDescent="0.25">
      <c r="A795" s="117"/>
      <c r="B795" s="118"/>
      <c r="C795" s="119"/>
      <c r="D795" s="7">
        <v>2025</v>
      </c>
      <c r="E795" s="8">
        <f>НОВЫЙ_МИНСТРОЙ!E796</f>
        <v>58508.5</v>
      </c>
      <c r="F795" s="8">
        <f>НОВЫЙ_МИНСТРОЙ!F796</f>
        <v>57923.415000000001</v>
      </c>
      <c r="G795" s="8">
        <f>НОВЫЙ_МИНСТРОЙ!G796</f>
        <v>0</v>
      </c>
      <c r="H795" s="8">
        <f>НОВЫЙ_МИНСТРОЙ!H796</f>
        <v>585.08500000000004</v>
      </c>
      <c r="I795" s="8">
        <f>НОВЫЙ_МИНСТРОЙ!I796</f>
        <v>0</v>
      </c>
      <c r="J795" s="119"/>
      <c r="K795" s="119"/>
    </row>
    <row r="796" spans="1:13" outlineLevel="1" x14ac:dyDescent="0.25">
      <c r="A796" s="117" t="s">
        <v>1751</v>
      </c>
      <c r="B796" s="118" t="s">
        <v>1758</v>
      </c>
      <c r="C796" s="119" t="s">
        <v>1125</v>
      </c>
      <c r="D796" s="7" t="s">
        <v>8</v>
      </c>
      <c r="E796" s="8">
        <f t="shared" ref="E796:E801" si="61">SUM(F796:I796)</f>
        <v>49393.2</v>
      </c>
      <c r="F796" s="8">
        <f>SUM(F797:F801)</f>
        <v>48899.199999999997</v>
      </c>
      <c r="G796" s="8">
        <f>SUM(G797:G801)</f>
        <v>0</v>
      </c>
      <c r="H796" s="8">
        <f>SUM(H797:H801)</f>
        <v>494</v>
      </c>
      <c r="I796" s="8">
        <f>SUM(I797:I801)</f>
        <v>0</v>
      </c>
      <c r="J796" s="119" t="s">
        <v>1752</v>
      </c>
      <c r="K796" s="119" t="s">
        <v>1748</v>
      </c>
    </row>
    <row r="797" spans="1:13" outlineLevel="1" x14ac:dyDescent="0.25">
      <c r="A797" s="117"/>
      <c r="B797" s="118"/>
      <c r="C797" s="119"/>
      <c r="D797" s="7">
        <v>2021</v>
      </c>
      <c r="E797" s="8">
        <f t="shared" si="61"/>
        <v>0</v>
      </c>
      <c r="F797" s="8">
        <v>0</v>
      </c>
      <c r="G797" s="8">
        <v>0</v>
      </c>
      <c r="H797" s="8">
        <v>0</v>
      </c>
      <c r="I797" s="8">
        <v>0</v>
      </c>
      <c r="J797" s="119"/>
      <c r="K797" s="119"/>
    </row>
    <row r="798" spans="1:13" outlineLevel="1" x14ac:dyDescent="0.25">
      <c r="A798" s="117"/>
      <c r="B798" s="118"/>
      <c r="C798" s="119"/>
      <c r="D798" s="7">
        <v>2022</v>
      </c>
      <c r="E798" s="8">
        <f t="shared" si="61"/>
        <v>0</v>
      </c>
      <c r="F798" s="8">
        <v>0</v>
      </c>
      <c r="G798" s="8">
        <v>0</v>
      </c>
      <c r="H798" s="8">
        <v>0</v>
      </c>
      <c r="I798" s="8">
        <v>0</v>
      </c>
      <c r="J798" s="119"/>
      <c r="K798" s="119"/>
      <c r="M798" s="55">
        <f>SUM(F799,F793)</f>
        <v>28000</v>
      </c>
    </row>
    <row r="799" spans="1:13" outlineLevel="1" x14ac:dyDescent="0.25">
      <c r="A799" s="117"/>
      <c r="B799" s="118"/>
      <c r="C799" s="119"/>
      <c r="D799" s="7">
        <v>2023</v>
      </c>
      <c r="E799" s="8">
        <f t="shared" si="61"/>
        <v>7623.5</v>
      </c>
      <c r="F799" s="8">
        <v>7547.3</v>
      </c>
      <c r="G799" s="8">
        <v>0</v>
      </c>
      <c r="H799" s="8">
        <v>76.2</v>
      </c>
      <c r="I799" s="8">
        <v>0</v>
      </c>
      <c r="J799" s="119"/>
      <c r="K799" s="119"/>
    </row>
    <row r="800" spans="1:13" outlineLevel="1" x14ac:dyDescent="0.25">
      <c r="A800" s="117"/>
      <c r="B800" s="118"/>
      <c r="C800" s="119"/>
      <c r="D800" s="7">
        <v>2024</v>
      </c>
      <c r="E800" s="8">
        <f t="shared" si="61"/>
        <v>21030.399999999998</v>
      </c>
      <c r="F800" s="8">
        <v>20820.099999999999</v>
      </c>
      <c r="G800" s="8">
        <v>0</v>
      </c>
      <c r="H800" s="8">
        <v>210.3</v>
      </c>
      <c r="I800" s="8">
        <v>0</v>
      </c>
      <c r="J800" s="119"/>
      <c r="K800" s="119"/>
    </row>
    <row r="801" spans="1:16" outlineLevel="1" x14ac:dyDescent="0.25">
      <c r="A801" s="117"/>
      <c r="B801" s="118"/>
      <c r="C801" s="119"/>
      <c r="D801" s="7">
        <v>2025</v>
      </c>
      <c r="E801" s="8">
        <f t="shared" si="61"/>
        <v>20739.3</v>
      </c>
      <c r="F801" s="8">
        <v>20531.8</v>
      </c>
      <c r="G801" s="8">
        <v>0</v>
      </c>
      <c r="H801" s="8">
        <v>207.5</v>
      </c>
      <c r="I801" s="8">
        <v>0</v>
      </c>
      <c r="J801" s="119"/>
      <c r="K801" s="119"/>
    </row>
    <row r="802" spans="1:16" ht="15" customHeight="1" x14ac:dyDescent="0.25">
      <c r="A802" s="108" t="s">
        <v>116</v>
      </c>
      <c r="B802" s="108" t="s">
        <v>40</v>
      </c>
      <c r="C802" s="111" t="s">
        <v>828</v>
      </c>
      <c r="D802" s="7" t="s">
        <v>8</v>
      </c>
      <c r="E802" s="8">
        <f t="shared" si="59"/>
        <v>1334460.8980899998</v>
      </c>
      <c r="F802" s="8">
        <f>SUM(F803:F808)</f>
        <v>741402.66107999999</v>
      </c>
      <c r="G802" s="8">
        <f>SUM(G803:G807)</f>
        <v>562487.59899999993</v>
      </c>
      <c r="H802" s="8">
        <f>SUM(H803:H807)</f>
        <v>30570.638009999973</v>
      </c>
      <c r="I802" s="8">
        <f>SUM(I803:I807)</f>
        <v>0</v>
      </c>
      <c r="J802" s="114" t="s">
        <v>117</v>
      </c>
      <c r="K802" s="114" t="s">
        <v>601</v>
      </c>
    </row>
    <row r="803" spans="1:16" ht="14.25" customHeight="1" x14ac:dyDescent="0.25">
      <c r="A803" s="109"/>
      <c r="B803" s="109"/>
      <c r="C803" s="112"/>
      <c r="D803" s="7">
        <v>2021</v>
      </c>
      <c r="E803" s="8">
        <f t="shared" si="59"/>
        <v>277483.179</v>
      </c>
      <c r="F803" s="8">
        <f t="shared" ref="F803:I807" si="62">F810+F817+F823+F829</f>
        <v>19160.86</v>
      </c>
      <c r="G803" s="8">
        <f t="shared" si="62"/>
        <v>257488.69899999999</v>
      </c>
      <c r="H803" s="8">
        <f t="shared" si="62"/>
        <v>833.61999999999989</v>
      </c>
      <c r="I803" s="8">
        <f t="shared" si="62"/>
        <v>0</v>
      </c>
      <c r="J803" s="115"/>
      <c r="K803" s="115"/>
    </row>
    <row r="804" spans="1:16" x14ac:dyDescent="0.25">
      <c r="A804" s="109"/>
      <c r="B804" s="109"/>
      <c r="C804" s="112"/>
      <c r="D804" s="7">
        <v>2022</v>
      </c>
      <c r="E804" s="8">
        <f t="shared" si="59"/>
        <v>684506.5541999999</v>
      </c>
      <c r="F804" s="8">
        <f t="shared" si="62"/>
        <v>488280.63192999997</v>
      </c>
      <c r="G804" s="8">
        <f t="shared" si="62"/>
        <v>177607.9</v>
      </c>
      <c r="H804" s="8">
        <f t="shared" si="62"/>
        <v>18618.022270000001</v>
      </c>
      <c r="I804" s="8">
        <f t="shared" si="62"/>
        <v>0</v>
      </c>
      <c r="J804" s="115"/>
      <c r="K804" s="115"/>
    </row>
    <row r="805" spans="1:16" x14ac:dyDescent="0.25">
      <c r="A805" s="109"/>
      <c r="B805" s="109"/>
      <c r="C805" s="112"/>
      <c r="D805" s="7">
        <v>2023</v>
      </c>
      <c r="E805" s="8">
        <f t="shared" si="59"/>
        <v>139473.16488999996</v>
      </c>
      <c r="F805" s="8">
        <f t="shared" si="62"/>
        <v>11675.569150000007</v>
      </c>
      <c r="G805" s="8">
        <f t="shared" si="62"/>
        <v>127391</v>
      </c>
      <c r="H805" s="8">
        <f t="shared" si="62"/>
        <v>406.59573999997519</v>
      </c>
      <c r="I805" s="8">
        <f t="shared" si="62"/>
        <v>0</v>
      </c>
      <c r="J805" s="115"/>
      <c r="K805" s="115"/>
    </row>
    <row r="806" spans="1:16" x14ac:dyDescent="0.25">
      <c r="A806" s="109"/>
      <c r="B806" s="109"/>
      <c r="C806" s="112"/>
      <c r="D806" s="7">
        <v>2024</v>
      </c>
      <c r="E806" s="8">
        <f t="shared" si="59"/>
        <v>220498</v>
      </c>
      <c r="F806" s="8">
        <f t="shared" si="62"/>
        <v>209785.60000000001</v>
      </c>
      <c r="G806" s="8">
        <f t="shared" si="62"/>
        <v>0</v>
      </c>
      <c r="H806" s="8">
        <f t="shared" si="62"/>
        <v>10712.4</v>
      </c>
      <c r="I806" s="8">
        <f t="shared" si="62"/>
        <v>0</v>
      </c>
      <c r="J806" s="115"/>
      <c r="K806" s="115"/>
    </row>
    <row r="807" spans="1:16" x14ac:dyDescent="0.25">
      <c r="A807" s="109"/>
      <c r="B807" s="109"/>
      <c r="C807" s="112"/>
      <c r="D807" s="7">
        <v>2025</v>
      </c>
      <c r="E807" s="8">
        <f t="shared" si="59"/>
        <v>6250</v>
      </c>
      <c r="F807" s="8">
        <f t="shared" si="62"/>
        <v>6250</v>
      </c>
      <c r="G807" s="8">
        <f t="shared" si="62"/>
        <v>0</v>
      </c>
      <c r="H807" s="8">
        <f t="shared" si="62"/>
        <v>0</v>
      </c>
      <c r="I807" s="8">
        <f t="shared" si="62"/>
        <v>0</v>
      </c>
      <c r="J807" s="115"/>
      <c r="K807" s="115"/>
    </row>
    <row r="808" spans="1:16" s="45" customFormat="1" x14ac:dyDescent="0.25">
      <c r="A808" s="110"/>
      <c r="B808" s="110"/>
      <c r="C808" s="113"/>
      <c r="D808" s="48">
        <v>2026</v>
      </c>
      <c r="E808" s="49">
        <f>SUM(F808:I808)</f>
        <v>6250</v>
      </c>
      <c r="F808" s="49">
        <f>SUM(F815)</f>
        <v>6250</v>
      </c>
      <c r="G808" s="49">
        <f t="shared" ref="G808:I808" si="63">SUM(G815)</f>
        <v>0</v>
      </c>
      <c r="H808" s="49">
        <f t="shared" si="63"/>
        <v>0</v>
      </c>
      <c r="I808" s="49">
        <f t="shared" si="63"/>
        <v>0</v>
      </c>
      <c r="J808" s="116"/>
      <c r="K808" s="116"/>
      <c r="M808" s="55"/>
      <c r="N808" s="55"/>
      <c r="O808" s="55"/>
      <c r="P808" s="55"/>
    </row>
    <row r="809" spans="1:16" ht="21" customHeight="1" x14ac:dyDescent="0.25">
      <c r="A809" s="108" t="s">
        <v>119</v>
      </c>
      <c r="B809" s="108" t="s">
        <v>120</v>
      </c>
      <c r="C809" s="111" t="s">
        <v>828</v>
      </c>
      <c r="D809" s="7" t="s">
        <v>8</v>
      </c>
      <c r="E809" s="8">
        <f t="shared" si="59"/>
        <v>31996.25</v>
      </c>
      <c r="F809" s="8">
        <f>SUM(F810:F815)</f>
        <v>31996.25</v>
      </c>
      <c r="G809" s="8">
        <f>SUM(G810:G814)</f>
        <v>0</v>
      </c>
      <c r="H809" s="8">
        <f>SUM(H810:H814)</f>
        <v>0</v>
      </c>
      <c r="I809" s="8">
        <f>SUM(I810:I814)</f>
        <v>0</v>
      </c>
      <c r="J809" s="135" t="s">
        <v>1796</v>
      </c>
      <c r="K809" s="114" t="s">
        <v>484</v>
      </c>
      <c r="L809" s="124" t="s">
        <v>950</v>
      </c>
    </row>
    <row r="810" spans="1:16" ht="21" customHeight="1" x14ac:dyDescent="0.25">
      <c r="A810" s="109"/>
      <c r="B810" s="109"/>
      <c r="C810" s="112"/>
      <c r="D810" s="7">
        <v>2021</v>
      </c>
      <c r="E810" s="8">
        <f t="shared" si="59"/>
        <v>3320.7</v>
      </c>
      <c r="F810" s="8">
        <v>3320.7</v>
      </c>
      <c r="G810" s="8">
        <v>0</v>
      </c>
      <c r="H810" s="8">
        <v>0</v>
      </c>
      <c r="I810" s="8">
        <v>0</v>
      </c>
      <c r="J810" s="136"/>
      <c r="K810" s="115"/>
      <c r="L810" s="124"/>
    </row>
    <row r="811" spans="1:16" ht="21" customHeight="1" x14ac:dyDescent="0.25">
      <c r="A811" s="109"/>
      <c r="B811" s="109"/>
      <c r="C811" s="112"/>
      <c r="D811" s="7">
        <v>2022</v>
      </c>
      <c r="E811" s="8">
        <f t="shared" si="59"/>
        <v>5975.3</v>
      </c>
      <c r="F811" s="8">
        <v>5975.3</v>
      </c>
      <c r="G811" s="8">
        <v>0</v>
      </c>
      <c r="H811" s="8">
        <v>0</v>
      </c>
      <c r="I811" s="8">
        <v>0</v>
      </c>
      <c r="J811" s="136"/>
      <c r="K811" s="115"/>
      <c r="L811" s="124"/>
    </row>
    <row r="812" spans="1:16" ht="21" customHeight="1" x14ac:dyDescent="0.25">
      <c r="A812" s="109"/>
      <c r="B812" s="109"/>
      <c r="C812" s="112"/>
      <c r="D812" s="7">
        <v>2023</v>
      </c>
      <c r="E812" s="8">
        <f t="shared" si="59"/>
        <v>3950.25</v>
      </c>
      <c r="F812" s="8">
        <f>6250-2299.75</f>
        <v>3950.25</v>
      </c>
      <c r="G812" s="8">
        <v>0</v>
      </c>
      <c r="H812" s="8">
        <v>0</v>
      </c>
      <c r="I812" s="8">
        <v>0</v>
      </c>
      <c r="J812" s="136"/>
      <c r="K812" s="115"/>
      <c r="L812" s="124"/>
    </row>
    <row r="813" spans="1:16" ht="21" customHeight="1" x14ac:dyDescent="0.25">
      <c r="A813" s="109"/>
      <c r="B813" s="109"/>
      <c r="C813" s="112"/>
      <c r="D813" s="7">
        <v>2024</v>
      </c>
      <c r="E813" s="12">
        <f t="shared" si="59"/>
        <v>6250</v>
      </c>
      <c r="F813" s="32">
        <v>6250</v>
      </c>
      <c r="G813" s="8">
        <v>0</v>
      </c>
      <c r="H813" s="8">
        <v>0</v>
      </c>
      <c r="I813" s="8">
        <v>0</v>
      </c>
      <c r="J813" s="136"/>
      <c r="K813" s="115"/>
      <c r="L813" s="124"/>
    </row>
    <row r="814" spans="1:16" ht="21" customHeight="1" x14ac:dyDescent="0.25">
      <c r="A814" s="109"/>
      <c r="B814" s="109"/>
      <c r="C814" s="112"/>
      <c r="D814" s="7">
        <v>2025</v>
      </c>
      <c r="E814" s="12">
        <f t="shared" si="59"/>
        <v>6250</v>
      </c>
      <c r="F814" s="32">
        <v>6250</v>
      </c>
      <c r="G814" s="8">
        <v>0</v>
      </c>
      <c r="H814" s="8">
        <v>0</v>
      </c>
      <c r="I814" s="8">
        <v>0</v>
      </c>
      <c r="J814" s="136"/>
      <c r="K814" s="115"/>
      <c r="L814" s="124"/>
    </row>
    <row r="815" spans="1:16" s="45" customFormat="1" ht="21" customHeight="1" x14ac:dyDescent="0.25">
      <c r="A815" s="110"/>
      <c r="B815" s="110"/>
      <c r="C815" s="113"/>
      <c r="D815" s="40">
        <v>2026</v>
      </c>
      <c r="E815" s="41">
        <f>F815+G815+H815+I815</f>
        <v>6250</v>
      </c>
      <c r="F815" s="41">
        <v>6250</v>
      </c>
      <c r="G815" s="41">
        <v>0</v>
      </c>
      <c r="H815" s="41">
        <v>0</v>
      </c>
      <c r="I815" s="41">
        <v>0</v>
      </c>
      <c r="J815" s="137"/>
      <c r="K815" s="116"/>
      <c r="M815" s="55"/>
      <c r="N815" s="55"/>
      <c r="O815" s="55"/>
      <c r="P815" s="55"/>
    </row>
    <row r="816" spans="1:16" ht="20.25" customHeight="1" x14ac:dyDescent="0.25">
      <c r="A816" s="117" t="s">
        <v>122</v>
      </c>
      <c r="B816" s="118" t="s">
        <v>123</v>
      </c>
      <c r="C816" s="119" t="s">
        <v>124</v>
      </c>
      <c r="D816" s="7" t="s">
        <v>8</v>
      </c>
      <c r="E816" s="8">
        <f t="shared" si="59"/>
        <v>447152.68754999997</v>
      </c>
      <c r="F816" s="8">
        <f>SUM(F817:F821)</f>
        <v>316032.67813999997</v>
      </c>
      <c r="G816" s="8">
        <f>SUM(G817:G821)</f>
        <v>121253.24804000001</v>
      </c>
      <c r="H816" s="8">
        <f>SUM(H817:H821)</f>
        <v>9866.7613700000002</v>
      </c>
      <c r="I816" s="8">
        <f>SUM(I817:I821)</f>
        <v>0</v>
      </c>
      <c r="J816" s="119" t="s">
        <v>949</v>
      </c>
      <c r="K816" s="119" t="s">
        <v>547</v>
      </c>
      <c r="L816" s="124"/>
    </row>
    <row r="817" spans="1:12" ht="20.25" customHeight="1" x14ac:dyDescent="0.25">
      <c r="A817" s="117"/>
      <c r="B817" s="118"/>
      <c r="C817" s="119"/>
      <c r="D817" s="7">
        <v>2021</v>
      </c>
      <c r="E817" s="8">
        <f t="shared" si="59"/>
        <v>94469.148000000001</v>
      </c>
      <c r="F817" s="8">
        <v>5458.1030000000001</v>
      </c>
      <c r="G817" s="8">
        <v>88723.845000000001</v>
      </c>
      <c r="H817" s="8">
        <v>287.2</v>
      </c>
      <c r="I817" s="8">
        <v>0</v>
      </c>
      <c r="J817" s="119"/>
      <c r="K817" s="119"/>
      <c r="L817" s="124"/>
    </row>
    <row r="818" spans="1:12" ht="20.25" customHeight="1" x14ac:dyDescent="0.25">
      <c r="A818" s="117"/>
      <c r="B818" s="118"/>
      <c r="C818" s="119"/>
      <c r="D818" s="7">
        <v>2022</v>
      </c>
      <c r="E818" s="8">
        <f t="shared" si="59"/>
        <v>352683.53954999999</v>
      </c>
      <c r="F818" s="8">
        <v>310574.57513999997</v>
      </c>
      <c r="G818" s="8">
        <v>32529.403040000001</v>
      </c>
      <c r="H818" s="8">
        <v>9579.5613699999994</v>
      </c>
      <c r="I818" s="8">
        <v>0</v>
      </c>
      <c r="J818" s="119"/>
      <c r="K818" s="119"/>
      <c r="L818" s="124"/>
    </row>
    <row r="819" spans="1:12" ht="20.25" customHeight="1" x14ac:dyDescent="0.25">
      <c r="A819" s="117"/>
      <c r="B819" s="118"/>
      <c r="C819" s="119"/>
      <c r="D819" s="7">
        <v>2023</v>
      </c>
      <c r="E819" s="8">
        <f t="shared" si="59"/>
        <v>0</v>
      </c>
      <c r="F819" s="8">
        <v>0</v>
      </c>
      <c r="G819" s="8">
        <v>0</v>
      </c>
      <c r="H819" s="8">
        <v>0</v>
      </c>
      <c r="I819" s="8">
        <v>0</v>
      </c>
      <c r="J819" s="119"/>
      <c r="K819" s="119"/>
      <c r="L819" s="124"/>
    </row>
    <row r="820" spans="1:12" ht="20.25" customHeight="1" x14ac:dyDescent="0.25">
      <c r="A820" s="117"/>
      <c r="B820" s="118"/>
      <c r="C820" s="119"/>
      <c r="D820" s="7">
        <v>2024</v>
      </c>
      <c r="E820" s="8">
        <f t="shared" si="59"/>
        <v>0</v>
      </c>
      <c r="F820" s="8">
        <v>0</v>
      </c>
      <c r="G820" s="8">
        <v>0</v>
      </c>
      <c r="H820" s="8">
        <v>0</v>
      </c>
      <c r="I820" s="8">
        <v>0</v>
      </c>
      <c r="J820" s="119"/>
      <c r="K820" s="119"/>
      <c r="L820" s="124"/>
    </row>
    <row r="821" spans="1:12" ht="20.25" customHeight="1" x14ac:dyDescent="0.25">
      <c r="A821" s="117"/>
      <c r="B821" s="118"/>
      <c r="C821" s="119"/>
      <c r="D821" s="7">
        <v>2025</v>
      </c>
      <c r="E821" s="8">
        <f t="shared" si="59"/>
        <v>0</v>
      </c>
      <c r="F821" s="8">
        <v>0</v>
      </c>
      <c r="G821" s="8">
        <v>0</v>
      </c>
      <c r="H821" s="8">
        <v>0</v>
      </c>
      <c r="I821" s="8">
        <v>0</v>
      </c>
      <c r="J821" s="119"/>
      <c r="K821" s="119"/>
      <c r="L821" s="124"/>
    </row>
    <row r="822" spans="1:12" ht="15" customHeight="1" x14ac:dyDescent="0.25">
      <c r="A822" s="117" t="s">
        <v>126</v>
      </c>
      <c r="B822" s="118" t="s">
        <v>127</v>
      </c>
      <c r="C822" s="119" t="s">
        <v>124</v>
      </c>
      <c r="D822" s="7" t="s">
        <v>8</v>
      </c>
      <c r="E822" s="8">
        <f t="shared" si="59"/>
        <v>508717.68395999999</v>
      </c>
      <c r="F822" s="8">
        <v>242209.413</v>
      </c>
      <c r="G822" s="8">
        <v>253746.75095999998</v>
      </c>
      <c r="H822" s="8">
        <v>12761.52</v>
      </c>
      <c r="I822" s="8">
        <f>SUM(I823:I827)</f>
        <v>0</v>
      </c>
      <c r="J822" s="119" t="s">
        <v>1223</v>
      </c>
      <c r="K822" s="119" t="s">
        <v>547</v>
      </c>
    </row>
    <row r="823" spans="1:12" x14ac:dyDescent="0.25">
      <c r="A823" s="117"/>
      <c r="B823" s="118"/>
      <c r="C823" s="119"/>
      <c r="D823" s="7">
        <v>2021</v>
      </c>
      <c r="E823" s="8">
        <f t="shared" si="59"/>
        <v>179693.33100000001</v>
      </c>
      <c r="F823" s="8">
        <v>10382.057000000001</v>
      </c>
      <c r="G823" s="8">
        <v>168764.85399999999</v>
      </c>
      <c r="H823" s="8">
        <v>546.41999999999996</v>
      </c>
      <c r="I823" s="8">
        <v>0</v>
      </c>
      <c r="J823" s="119"/>
      <c r="K823" s="119"/>
    </row>
    <row r="824" spans="1:12" x14ac:dyDescent="0.25">
      <c r="A824" s="117"/>
      <c r="B824" s="118"/>
      <c r="C824" s="119"/>
      <c r="D824" s="7">
        <v>2022</v>
      </c>
      <c r="E824" s="8">
        <f t="shared" si="59"/>
        <v>325847.71465000004</v>
      </c>
      <c r="F824" s="8">
        <v>171730.75679000001</v>
      </c>
      <c r="G824" s="8">
        <v>145078.49695999999</v>
      </c>
      <c r="H824" s="8">
        <v>9038.4609</v>
      </c>
      <c r="I824" s="8">
        <v>0</v>
      </c>
      <c r="J824" s="119"/>
      <c r="K824" s="119"/>
    </row>
    <row r="825" spans="1:12" x14ac:dyDescent="0.25">
      <c r="A825" s="117"/>
      <c r="B825" s="118"/>
      <c r="C825" s="119"/>
      <c r="D825" s="7">
        <v>2023</v>
      </c>
      <c r="E825" s="8">
        <f t="shared" si="59"/>
        <v>0</v>
      </c>
      <c r="F825" s="8">
        <v>0</v>
      </c>
      <c r="G825" s="8">
        <v>0</v>
      </c>
      <c r="H825" s="8">
        <v>0</v>
      </c>
      <c r="I825" s="8">
        <v>0</v>
      </c>
      <c r="J825" s="119"/>
      <c r="K825" s="119"/>
    </row>
    <row r="826" spans="1:12" x14ac:dyDescent="0.25">
      <c r="A826" s="117"/>
      <c r="B826" s="118"/>
      <c r="C826" s="119"/>
      <c r="D826" s="7">
        <v>2024</v>
      </c>
      <c r="E826" s="8">
        <f t="shared" si="59"/>
        <v>0</v>
      </c>
      <c r="F826" s="8">
        <v>0</v>
      </c>
      <c r="G826" s="8">
        <v>0</v>
      </c>
      <c r="H826" s="8">
        <v>0</v>
      </c>
      <c r="I826" s="8">
        <v>0</v>
      </c>
      <c r="J826" s="119"/>
      <c r="K826" s="119"/>
    </row>
    <row r="827" spans="1:12" x14ac:dyDescent="0.25">
      <c r="A827" s="117"/>
      <c r="B827" s="118"/>
      <c r="C827" s="119"/>
      <c r="D827" s="7">
        <v>2025</v>
      </c>
      <c r="E827" s="8">
        <f t="shared" si="59"/>
        <v>0</v>
      </c>
      <c r="F827" s="8">
        <v>0</v>
      </c>
      <c r="G827" s="8">
        <v>0</v>
      </c>
      <c r="H827" s="8">
        <v>0</v>
      </c>
      <c r="I827" s="8">
        <v>0</v>
      </c>
      <c r="J827" s="119"/>
      <c r="K827" s="119"/>
    </row>
    <row r="828" spans="1:12" x14ac:dyDescent="0.25">
      <c r="A828" s="117" t="s">
        <v>128</v>
      </c>
      <c r="B828" s="118" t="s">
        <v>1224</v>
      </c>
      <c r="C828" s="119" t="s">
        <v>1216</v>
      </c>
      <c r="D828" s="7" t="s">
        <v>8</v>
      </c>
      <c r="E828" s="8">
        <f t="shared" si="59"/>
        <v>349770.91488999996</v>
      </c>
      <c r="F828" s="8">
        <f>SUM(F829:F833)</f>
        <v>211260.91915</v>
      </c>
      <c r="G828" s="8">
        <f>SUM(G829:G833)</f>
        <v>127391</v>
      </c>
      <c r="H828" s="8">
        <f>SUM(H829:H833)</f>
        <v>11118.995739999975</v>
      </c>
      <c r="I828" s="8">
        <f>SUM(I829:I833)</f>
        <v>0</v>
      </c>
      <c r="J828" s="125" t="s">
        <v>1768</v>
      </c>
      <c r="K828" s="119" t="s">
        <v>547</v>
      </c>
    </row>
    <row r="829" spans="1:12" x14ac:dyDescent="0.25">
      <c r="A829" s="117"/>
      <c r="B829" s="118"/>
      <c r="C829" s="119"/>
      <c r="D829" s="7">
        <v>2021</v>
      </c>
      <c r="E829" s="8">
        <f t="shared" si="59"/>
        <v>0</v>
      </c>
      <c r="F829" s="8">
        <v>0</v>
      </c>
      <c r="G829" s="8">
        <v>0</v>
      </c>
      <c r="H829" s="8">
        <v>0</v>
      </c>
      <c r="I829" s="8">
        <v>0</v>
      </c>
      <c r="J829" s="125"/>
      <c r="K829" s="119"/>
    </row>
    <row r="830" spans="1:12" x14ac:dyDescent="0.25">
      <c r="A830" s="117"/>
      <c r="B830" s="118"/>
      <c r="C830" s="119"/>
      <c r="D830" s="7">
        <v>2022</v>
      </c>
      <c r="E830" s="8">
        <f t="shared" si="59"/>
        <v>0</v>
      </c>
      <c r="F830" s="8">
        <v>0</v>
      </c>
      <c r="G830" s="8">
        <v>0</v>
      </c>
      <c r="H830" s="8">
        <v>0</v>
      </c>
      <c r="I830" s="8">
        <v>0</v>
      </c>
      <c r="J830" s="125"/>
      <c r="K830" s="119"/>
    </row>
    <row r="831" spans="1:12" x14ac:dyDescent="0.25">
      <c r="A831" s="117"/>
      <c r="B831" s="118"/>
      <c r="C831" s="119"/>
      <c r="D831" s="7">
        <v>2023</v>
      </c>
      <c r="E831" s="8">
        <f t="shared" si="59"/>
        <v>135522.91488999996</v>
      </c>
      <c r="F831" s="8">
        <f>(135116319.15-127391000)/1000</f>
        <v>7725.3191500000057</v>
      </c>
      <c r="G831" s="8">
        <v>127391</v>
      </c>
      <c r="H831" s="8">
        <f>135522914.89/1000-F831-G831</f>
        <v>406.59573999997519</v>
      </c>
      <c r="I831" s="8">
        <v>0</v>
      </c>
      <c r="J831" s="125"/>
      <c r="K831" s="119"/>
    </row>
    <row r="832" spans="1:12" x14ac:dyDescent="0.25">
      <c r="A832" s="117"/>
      <c r="B832" s="118"/>
      <c r="C832" s="119"/>
      <c r="D832" s="7">
        <v>2024</v>
      </c>
      <c r="E832" s="8">
        <f t="shared" si="59"/>
        <v>214248</v>
      </c>
      <c r="F832" s="8">
        <v>203535.6</v>
      </c>
      <c r="G832" s="8">
        <v>0</v>
      </c>
      <c r="H832" s="8">
        <v>10712.4</v>
      </c>
      <c r="I832" s="8">
        <v>0</v>
      </c>
      <c r="J832" s="125"/>
      <c r="K832" s="119"/>
    </row>
    <row r="833" spans="1:16" x14ac:dyDescent="0.25">
      <c r="A833" s="117"/>
      <c r="B833" s="118"/>
      <c r="C833" s="119"/>
      <c r="D833" s="7">
        <v>2025</v>
      </c>
      <c r="E833" s="8">
        <f t="shared" si="59"/>
        <v>0</v>
      </c>
      <c r="F833" s="8">
        <v>0</v>
      </c>
      <c r="G833" s="8">
        <v>0</v>
      </c>
      <c r="H833" s="8">
        <v>0</v>
      </c>
      <c r="I833" s="8">
        <v>0</v>
      </c>
      <c r="J833" s="125"/>
      <c r="K833" s="119"/>
    </row>
    <row r="834" spans="1:16" ht="15" customHeight="1" x14ac:dyDescent="0.25">
      <c r="A834" s="108" t="s">
        <v>131</v>
      </c>
      <c r="B834" s="108" t="s">
        <v>132</v>
      </c>
      <c r="C834" s="111" t="s">
        <v>828</v>
      </c>
      <c r="D834" s="7" t="s">
        <v>8</v>
      </c>
      <c r="E834" s="8">
        <f t="shared" si="59"/>
        <v>317053.64046000002</v>
      </c>
      <c r="F834" s="8">
        <f>SUM(F835:F840)</f>
        <v>317053.64046000002</v>
      </c>
      <c r="G834" s="8">
        <f>SUM(G835:G839)</f>
        <v>0</v>
      </c>
      <c r="H834" s="8">
        <f>SUM(H835:H839)</f>
        <v>0</v>
      </c>
      <c r="I834" s="8">
        <f>SUM(I835:I839)</f>
        <v>0</v>
      </c>
      <c r="J834" s="114"/>
      <c r="K834" s="108" t="s">
        <v>484</v>
      </c>
    </row>
    <row r="835" spans="1:16" x14ac:dyDescent="0.25">
      <c r="A835" s="109"/>
      <c r="B835" s="109"/>
      <c r="C835" s="112"/>
      <c r="D835" s="7">
        <v>2021</v>
      </c>
      <c r="E835" s="8">
        <f t="shared" si="59"/>
        <v>40456.699999999997</v>
      </c>
      <c r="F835" s="8">
        <f t="shared" ref="F835:I839" si="64">F842</f>
        <v>40456.699999999997</v>
      </c>
      <c r="G835" s="8">
        <f t="shared" si="64"/>
        <v>0</v>
      </c>
      <c r="H835" s="8">
        <f t="shared" si="64"/>
        <v>0</v>
      </c>
      <c r="I835" s="8">
        <f t="shared" si="64"/>
        <v>0</v>
      </c>
      <c r="J835" s="115"/>
      <c r="K835" s="109"/>
    </row>
    <row r="836" spans="1:16" x14ac:dyDescent="0.25">
      <c r="A836" s="109"/>
      <c r="B836" s="109"/>
      <c r="C836" s="112"/>
      <c r="D836" s="7">
        <v>2022</v>
      </c>
      <c r="E836" s="8">
        <f t="shared" si="59"/>
        <v>50867.625999999997</v>
      </c>
      <c r="F836" s="8">
        <f t="shared" si="64"/>
        <v>50867.625999999997</v>
      </c>
      <c r="G836" s="8">
        <f t="shared" si="64"/>
        <v>0</v>
      </c>
      <c r="H836" s="8">
        <f t="shared" si="64"/>
        <v>0</v>
      </c>
      <c r="I836" s="8">
        <f t="shared" si="64"/>
        <v>0</v>
      </c>
      <c r="J836" s="115"/>
      <c r="K836" s="109"/>
    </row>
    <row r="837" spans="1:16" x14ac:dyDescent="0.25">
      <c r="A837" s="109"/>
      <c r="B837" s="109"/>
      <c r="C837" s="112"/>
      <c r="D837" s="7">
        <v>2023</v>
      </c>
      <c r="E837" s="8">
        <f t="shared" si="59"/>
        <v>54796.042999999998</v>
      </c>
      <c r="F837" s="8">
        <f t="shared" si="64"/>
        <v>54796.042999999998</v>
      </c>
      <c r="G837" s="8">
        <f t="shared" si="64"/>
        <v>0</v>
      </c>
      <c r="H837" s="8">
        <f t="shared" si="64"/>
        <v>0</v>
      </c>
      <c r="I837" s="8">
        <f t="shared" si="64"/>
        <v>0</v>
      </c>
      <c r="J837" s="115"/>
      <c r="K837" s="109"/>
    </row>
    <row r="838" spans="1:16" x14ac:dyDescent="0.25">
      <c r="A838" s="109"/>
      <c r="B838" s="109"/>
      <c r="C838" s="112"/>
      <c r="D838" s="7">
        <v>2024</v>
      </c>
      <c r="E838" s="8">
        <f t="shared" si="59"/>
        <v>56948.595869999997</v>
      </c>
      <c r="F838" s="8">
        <f t="shared" si="64"/>
        <v>56948.595869999997</v>
      </c>
      <c r="G838" s="8">
        <f t="shared" si="64"/>
        <v>0</v>
      </c>
      <c r="H838" s="8">
        <f t="shared" si="64"/>
        <v>0</v>
      </c>
      <c r="I838" s="8">
        <f t="shared" si="64"/>
        <v>0</v>
      </c>
      <c r="J838" s="115"/>
      <c r="K838" s="109"/>
    </row>
    <row r="839" spans="1:16" ht="19.5" customHeight="1" x14ac:dyDescent="0.25">
      <c r="A839" s="109"/>
      <c r="B839" s="109"/>
      <c r="C839" s="112"/>
      <c r="D839" s="7">
        <v>2025</v>
      </c>
      <c r="E839" s="8">
        <f t="shared" si="59"/>
        <v>56974.541210000003</v>
      </c>
      <c r="F839" s="8">
        <f t="shared" si="64"/>
        <v>56974.541210000003</v>
      </c>
      <c r="G839" s="8">
        <f t="shared" si="64"/>
        <v>0</v>
      </c>
      <c r="H839" s="8">
        <f t="shared" si="64"/>
        <v>0</v>
      </c>
      <c r="I839" s="8">
        <f t="shared" si="64"/>
        <v>0</v>
      </c>
      <c r="J839" s="115"/>
      <c r="K839" s="109"/>
    </row>
    <row r="840" spans="1:16" s="45" customFormat="1" ht="19.5" customHeight="1" x14ac:dyDescent="0.25">
      <c r="A840" s="110"/>
      <c r="B840" s="110"/>
      <c r="C840" s="113"/>
      <c r="D840" s="48">
        <v>2026</v>
      </c>
      <c r="E840" s="49">
        <f>SUM(F840:I840)</f>
        <v>57010.134380000003</v>
      </c>
      <c r="F840" s="49">
        <f>SUM(F847)</f>
        <v>57010.134380000003</v>
      </c>
      <c r="G840" s="49">
        <f t="shared" ref="G840:I840" si="65">SUM(G847)</f>
        <v>0</v>
      </c>
      <c r="H840" s="49">
        <f t="shared" si="65"/>
        <v>0</v>
      </c>
      <c r="I840" s="49">
        <f t="shared" si="65"/>
        <v>0</v>
      </c>
      <c r="J840" s="116"/>
      <c r="K840" s="110"/>
      <c r="M840" s="55"/>
      <c r="N840" s="55"/>
      <c r="O840" s="55"/>
      <c r="P840" s="55"/>
    </row>
    <row r="841" spans="1:16" ht="15" customHeight="1" x14ac:dyDescent="0.25">
      <c r="A841" s="108" t="s">
        <v>133</v>
      </c>
      <c r="B841" s="108" t="s">
        <v>134</v>
      </c>
      <c r="C841" s="111" t="s">
        <v>828</v>
      </c>
      <c r="D841" s="7" t="s">
        <v>8</v>
      </c>
      <c r="E841" s="8">
        <f t="shared" si="59"/>
        <v>317053.64046000002</v>
      </c>
      <c r="F841" s="8">
        <f>SUM(F842:F847)</f>
        <v>317053.64046000002</v>
      </c>
      <c r="G841" s="8">
        <f>SUM(G842:G846)</f>
        <v>0</v>
      </c>
      <c r="H841" s="8">
        <f>SUM(H842:H846)</f>
        <v>0</v>
      </c>
      <c r="I841" s="8">
        <f>SUM(I842:I846)</f>
        <v>0</v>
      </c>
      <c r="J841" s="108" t="s">
        <v>605</v>
      </c>
      <c r="K841" s="108" t="s">
        <v>484</v>
      </c>
    </row>
    <row r="842" spans="1:16" x14ac:dyDescent="0.25">
      <c r="A842" s="109"/>
      <c r="B842" s="109"/>
      <c r="C842" s="112"/>
      <c r="D842" s="7">
        <v>2021</v>
      </c>
      <c r="E842" s="8">
        <f t="shared" ref="E842:E853" si="66">SUM(F842:I842)</f>
        <v>40456.699999999997</v>
      </c>
      <c r="F842" s="8">
        <f t="shared" ref="F842:I846" si="67">F849</f>
        <v>40456.699999999997</v>
      </c>
      <c r="G842" s="8">
        <f t="shared" si="67"/>
        <v>0</v>
      </c>
      <c r="H842" s="8">
        <f t="shared" si="67"/>
        <v>0</v>
      </c>
      <c r="I842" s="8">
        <f t="shared" si="67"/>
        <v>0</v>
      </c>
      <c r="J842" s="109"/>
      <c r="K842" s="109"/>
    </row>
    <row r="843" spans="1:16" x14ac:dyDescent="0.25">
      <c r="A843" s="109"/>
      <c r="B843" s="109"/>
      <c r="C843" s="112"/>
      <c r="D843" s="7">
        <v>2022</v>
      </c>
      <c r="E843" s="8">
        <f t="shared" si="66"/>
        <v>50867.625999999997</v>
      </c>
      <c r="F843" s="8">
        <f t="shared" si="67"/>
        <v>50867.625999999997</v>
      </c>
      <c r="G843" s="8">
        <f t="shared" si="67"/>
        <v>0</v>
      </c>
      <c r="H843" s="8">
        <f t="shared" si="67"/>
        <v>0</v>
      </c>
      <c r="I843" s="8">
        <f t="shared" si="67"/>
        <v>0</v>
      </c>
      <c r="J843" s="109"/>
      <c r="K843" s="109"/>
    </row>
    <row r="844" spans="1:16" x14ac:dyDescent="0.25">
      <c r="A844" s="109"/>
      <c r="B844" s="109"/>
      <c r="C844" s="112"/>
      <c r="D844" s="7">
        <v>2023</v>
      </c>
      <c r="E844" s="8">
        <f t="shared" si="66"/>
        <v>54796.042999999998</v>
      </c>
      <c r="F844" s="8">
        <f t="shared" si="67"/>
        <v>54796.042999999998</v>
      </c>
      <c r="G844" s="8">
        <f t="shared" si="67"/>
        <v>0</v>
      </c>
      <c r="H844" s="8">
        <f t="shared" si="67"/>
        <v>0</v>
      </c>
      <c r="I844" s="8">
        <f t="shared" si="67"/>
        <v>0</v>
      </c>
      <c r="J844" s="109"/>
      <c r="K844" s="109"/>
    </row>
    <row r="845" spans="1:16" x14ac:dyDescent="0.25">
      <c r="A845" s="109"/>
      <c r="B845" s="109"/>
      <c r="C845" s="112"/>
      <c r="D845" s="7">
        <v>2024</v>
      </c>
      <c r="E845" s="8">
        <f t="shared" si="66"/>
        <v>56948.595869999997</v>
      </c>
      <c r="F845" s="8">
        <f t="shared" si="67"/>
        <v>56948.595869999997</v>
      </c>
      <c r="G845" s="8">
        <f t="shared" si="67"/>
        <v>0</v>
      </c>
      <c r="H845" s="8">
        <f t="shared" si="67"/>
        <v>0</v>
      </c>
      <c r="I845" s="8">
        <f t="shared" si="67"/>
        <v>0</v>
      </c>
      <c r="J845" s="109"/>
      <c r="K845" s="109"/>
    </row>
    <row r="846" spans="1:16" x14ac:dyDescent="0.25">
      <c r="A846" s="109"/>
      <c r="B846" s="109"/>
      <c r="C846" s="112"/>
      <c r="D846" s="7">
        <v>2025</v>
      </c>
      <c r="E846" s="8">
        <f t="shared" si="66"/>
        <v>56974.541210000003</v>
      </c>
      <c r="F846" s="8">
        <f t="shared" si="67"/>
        <v>56974.541210000003</v>
      </c>
      <c r="G846" s="8">
        <f>G853</f>
        <v>0</v>
      </c>
      <c r="H846" s="8">
        <f>H853</f>
        <v>0</v>
      </c>
      <c r="I846" s="8">
        <f>I853</f>
        <v>0</v>
      </c>
      <c r="J846" s="109"/>
      <c r="K846" s="109"/>
    </row>
    <row r="847" spans="1:16" s="45" customFormat="1" x14ac:dyDescent="0.25">
      <c r="A847" s="110"/>
      <c r="B847" s="110"/>
      <c r="C847" s="113"/>
      <c r="D847" s="48">
        <v>2026</v>
      </c>
      <c r="E847" s="49">
        <f>SUM(F847:I847)</f>
        <v>57010.134380000003</v>
      </c>
      <c r="F847" s="49">
        <f>F854</f>
        <v>57010.134380000003</v>
      </c>
      <c r="G847" s="49">
        <f t="shared" ref="G847:I847" si="68">G854</f>
        <v>0</v>
      </c>
      <c r="H847" s="49">
        <f t="shared" si="68"/>
        <v>0</v>
      </c>
      <c r="I847" s="49">
        <f t="shared" si="68"/>
        <v>0</v>
      </c>
      <c r="J847" s="110"/>
      <c r="K847" s="110"/>
      <c r="M847" s="55"/>
      <c r="N847" s="55"/>
      <c r="O847" s="55"/>
      <c r="P847" s="55"/>
    </row>
    <row r="848" spans="1:16" ht="15" customHeight="1" x14ac:dyDescent="0.25">
      <c r="A848" s="108" t="s">
        <v>135</v>
      </c>
      <c r="B848" s="108" t="s">
        <v>954</v>
      </c>
      <c r="C848" s="111" t="s">
        <v>828</v>
      </c>
      <c r="D848" s="7" t="s">
        <v>8</v>
      </c>
      <c r="E848" s="8">
        <f t="shared" si="66"/>
        <v>317053.64046000002</v>
      </c>
      <c r="F848" s="8">
        <f>SUM(F849:F854)</f>
        <v>317053.64046000002</v>
      </c>
      <c r="G848" s="8">
        <f>SUM(G849:G853)</f>
        <v>0</v>
      </c>
      <c r="H848" s="8">
        <f>SUM(H849:H853)</f>
        <v>0</v>
      </c>
      <c r="I848" s="8">
        <f>SUM(I849:I853)</f>
        <v>0</v>
      </c>
      <c r="J848" s="108" t="s">
        <v>607</v>
      </c>
      <c r="K848" s="108" t="s">
        <v>484</v>
      </c>
    </row>
    <row r="849" spans="1:16" x14ac:dyDescent="0.25">
      <c r="A849" s="109"/>
      <c r="B849" s="109"/>
      <c r="C849" s="112"/>
      <c r="D849" s="7">
        <v>2021</v>
      </c>
      <c r="E849" s="8">
        <f t="shared" si="66"/>
        <v>40456.699999999997</v>
      </c>
      <c r="F849" s="8">
        <v>40456.699999999997</v>
      </c>
      <c r="G849" s="8">
        <v>0</v>
      </c>
      <c r="H849" s="8">
        <v>0</v>
      </c>
      <c r="I849" s="8">
        <v>0</v>
      </c>
      <c r="J849" s="109"/>
      <c r="K849" s="109"/>
    </row>
    <row r="850" spans="1:16" x14ac:dyDescent="0.25">
      <c r="A850" s="109"/>
      <c r="B850" s="109"/>
      <c r="C850" s="112"/>
      <c r="D850" s="7">
        <v>2022</v>
      </c>
      <c r="E850" s="8">
        <f t="shared" si="66"/>
        <v>50867.625999999997</v>
      </c>
      <c r="F850" s="8">
        <v>50867.625999999997</v>
      </c>
      <c r="G850" s="8">
        <v>0</v>
      </c>
      <c r="H850" s="8">
        <v>0</v>
      </c>
      <c r="I850" s="8">
        <v>0</v>
      </c>
      <c r="J850" s="109"/>
      <c r="K850" s="109"/>
    </row>
    <row r="851" spans="1:16" x14ac:dyDescent="0.25">
      <c r="A851" s="109"/>
      <c r="B851" s="109"/>
      <c r="C851" s="112"/>
      <c r="D851" s="7">
        <v>2023</v>
      </c>
      <c r="E851" s="8">
        <f t="shared" si="66"/>
        <v>54796.042999999998</v>
      </c>
      <c r="F851" s="8">
        <f>54125.195+670.848</f>
        <v>54796.042999999998</v>
      </c>
      <c r="G851" s="8">
        <v>0</v>
      </c>
      <c r="H851" s="8">
        <v>0</v>
      </c>
      <c r="I851" s="8">
        <v>0</v>
      </c>
      <c r="J851" s="109"/>
      <c r="K851" s="109"/>
    </row>
    <row r="852" spans="1:16" x14ac:dyDescent="0.25">
      <c r="A852" s="109"/>
      <c r="B852" s="109"/>
      <c r="C852" s="112"/>
      <c r="D852" s="7">
        <v>2024</v>
      </c>
      <c r="E852" s="8">
        <f t="shared" si="66"/>
        <v>56948.595869999997</v>
      </c>
      <c r="F852" s="32">
        <v>56948.595869999997</v>
      </c>
      <c r="G852" s="8">
        <v>0</v>
      </c>
      <c r="H852" s="8">
        <v>0</v>
      </c>
      <c r="I852" s="8">
        <v>0</v>
      </c>
      <c r="J852" s="109"/>
      <c r="K852" s="109"/>
    </row>
    <row r="853" spans="1:16" x14ac:dyDescent="0.25">
      <c r="A853" s="109"/>
      <c r="B853" s="109"/>
      <c r="C853" s="112"/>
      <c r="D853" s="7">
        <v>2025</v>
      </c>
      <c r="E853" s="8">
        <f t="shared" si="66"/>
        <v>56974.541210000003</v>
      </c>
      <c r="F853" s="32">
        <v>56974.541210000003</v>
      </c>
      <c r="G853" s="8">
        <v>0</v>
      </c>
      <c r="H853" s="8">
        <v>0</v>
      </c>
      <c r="I853" s="8">
        <v>0</v>
      </c>
      <c r="J853" s="109"/>
      <c r="K853" s="109"/>
    </row>
    <row r="854" spans="1:16" s="45" customFormat="1" x14ac:dyDescent="0.25">
      <c r="A854" s="110"/>
      <c r="B854" s="110"/>
      <c r="C854" s="113"/>
      <c r="D854" s="40">
        <v>2026</v>
      </c>
      <c r="E854" s="41">
        <f>F854+G854+H854+I854</f>
        <v>57010.134380000003</v>
      </c>
      <c r="F854" s="41">
        <v>57010.134380000003</v>
      </c>
      <c r="G854" s="41"/>
      <c r="H854" s="41"/>
      <c r="I854" s="41"/>
      <c r="J854" s="110"/>
      <c r="K854" s="110"/>
      <c r="M854" s="55"/>
      <c r="N854" s="55"/>
      <c r="O854" s="55"/>
      <c r="P854" s="55"/>
    </row>
    <row r="856" spans="1:16" x14ac:dyDescent="0.25">
      <c r="A856" s="17" t="s">
        <v>1745</v>
      </c>
    </row>
  </sheetData>
  <autoFilter ref="A4:L853"/>
  <mergeCells count="698">
    <mergeCell ref="B519:B524"/>
    <mergeCell ref="A519:A524"/>
    <mergeCell ref="C519:C524"/>
    <mergeCell ref="B513:B518"/>
    <mergeCell ref="C513:C518"/>
    <mergeCell ref="A513:A518"/>
    <mergeCell ref="J513:J518"/>
    <mergeCell ref="K513:K518"/>
    <mergeCell ref="J519:J524"/>
    <mergeCell ref="K519:K524"/>
    <mergeCell ref="A12:A18"/>
    <mergeCell ref="J12:J18"/>
    <mergeCell ref="K12:K18"/>
    <mergeCell ref="B64:B70"/>
    <mergeCell ref="C64:C70"/>
    <mergeCell ref="A64:A70"/>
    <mergeCell ref="J77:J83"/>
    <mergeCell ref="K77:K83"/>
    <mergeCell ref="C77:C83"/>
    <mergeCell ref="B77:B83"/>
    <mergeCell ref="A77:A83"/>
    <mergeCell ref="J64:J70"/>
    <mergeCell ref="K64:K70"/>
    <mergeCell ref="C12:C18"/>
    <mergeCell ref="B12:B18"/>
    <mergeCell ref="B19:B25"/>
    <mergeCell ref="A19:A25"/>
    <mergeCell ref="C19:C25"/>
    <mergeCell ref="J19:J25"/>
    <mergeCell ref="K19:K25"/>
    <mergeCell ref="K26:K32"/>
    <mergeCell ref="B739:B745"/>
    <mergeCell ref="A739:A745"/>
    <mergeCell ref="B732:B738"/>
    <mergeCell ref="A732:A738"/>
    <mergeCell ref="C732:C738"/>
    <mergeCell ref="C739:C745"/>
    <mergeCell ref="J732:J738"/>
    <mergeCell ref="J739:J745"/>
    <mergeCell ref="K732:K738"/>
    <mergeCell ref="K739:K745"/>
    <mergeCell ref="A330:A335"/>
    <mergeCell ref="B330:B335"/>
    <mergeCell ref="C330:C335"/>
    <mergeCell ref="J330:J335"/>
    <mergeCell ref="K330:K335"/>
    <mergeCell ref="A318:A323"/>
    <mergeCell ref="B318:B323"/>
    <mergeCell ref="C318:C323"/>
    <mergeCell ref="J318:J323"/>
    <mergeCell ref="K318:K323"/>
    <mergeCell ref="A324:A329"/>
    <mergeCell ref="B324:B329"/>
    <mergeCell ref="C324:C329"/>
    <mergeCell ref="J324:J329"/>
    <mergeCell ref="K324:K329"/>
    <mergeCell ref="B157:B162"/>
    <mergeCell ref="A157:A162"/>
    <mergeCell ref="C157:C162"/>
    <mergeCell ref="J157:J162"/>
    <mergeCell ref="K157:K162"/>
    <mergeCell ref="A822:A827"/>
    <mergeCell ref="B822:B827"/>
    <mergeCell ref="C822:C827"/>
    <mergeCell ref="J822:J827"/>
    <mergeCell ref="J784:J789"/>
    <mergeCell ref="J790:J795"/>
    <mergeCell ref="J796:J801"/>
    <mergeCell ref="K790:K795"/>
    <mergeCell ref="K784:K789"/>
    <mergeCell ref="K796:K801"/>
    <mergeCell ref="B784:B789"/>
    <mergeCell ref="B790:B795"/>
    <mergeCell ref="A790:A795"/>
    <mergeCell ref="B796:B801"/>
    <mergeCell ref="A796:A801"/>
    <mergeCell ref="C784:C789"/>
    <mergeCell ref="C790:C795"/>
    <mergeCell ref="C796:C801"/>
    <mergeCell ref="A784:A789"/>
    <mergeCell ref="K822:K827"/>
    <mergeCell ref="A828:A833"/>
    <mergeCell ref="B828:B833"/>
    <mergeCell ref="C828:C833"/>
    <mergeCell ref="J828:J833"/>
    <mergeCell ref="K828:K833"/>
    <mergeCell ref="L809:L814"/>
    <mergeCell ref="A816:A821"/>
    <mergeCell ref="B816:B821"/>
    <mergeCell ref="C816:C821"/>
    <mergeCell ref="J816:J821"/>
    <mergeCell ref="K816:K821"/>
    <mergeCell ref="L816:L821"/>
    <mergeCell ref="C802:C808"/>
    <mergeCell ref="B802:B808"/>
    <mergeCell ref="A802:A808"/>
    <mergeCell ref="C809:C815"/>
    <mergeCell ref="B809:B815"/>
    <mergeCell ref="A809:A815"/>
    <mergeCell ref="J802:J808"/>
    <mergeCell ref="J809:J815"/>
    <mergeCell ref="K802:K808"/>
    <mergeCell ref="K809:K815"/>
    <mergeCell ref="A772:A777"/>
    <mergeCell ref="B772:B777"/>
    <mergeCell ref="C772:C777"/>
    <mergeCell ref="J772:J777"/>
    <mergeCell ref="K772:K777"/>
    <mergeCell ref="A778:A783"/>
    <mergeCell ref="B778:B783"/>
    <mergeCell ref="C778:C783"/>
    <mergeCell ref="J778:J783"/>
    <mergeCell ref="K778:K783"/>
    <mergeCell ref="A760:A765"/>
    <mergeCell ref="B760:B765"/>
    <mergeCell ref="C760:C765"/>
    <mergeCell ref="J760:J765"/>
    <mergeCell ref="K760:K765"/>
    <mergeCell ref="A766:A771"/>
    <mergeCell ref="B766:B771"/>
    <mergeCell ref="C766:C771"/>
    <mergeCell ref="J766:J771"/>
    <mergeCell ref="K766:K771"/>
    <mergeCell ref="C746:C752"/>
    <mergeCell ref="J746:J752"/>
    <mergeCell ref="K746:K752"/>
    <mergeCell ref="B746:B752"/>
    <mergeCell ref="A746:A752"/>
    <mergeCell ref="C753:C759"/>
    <mergeCell ref="B753:B759"/>
    <mergeCell ref="A753:A759"/>
    <mergeCell ref="J753:J759"/>
    <mergeCell ref="K753:K759"/>
    <mergeCell ref="A720:A725"/>
    <mergeCell ref="B720:B725"/>
    <mergeCell ref="C720:C725"/>
    <mergeCell ref="J720:J725"/>
    <mergeCell ref="K720:K725"/>
    <mergeCell ref="A726:A731"/>
    <mergeCell ref="B726:B731"/>
    <mergeCell ref="C726:C731"/>
    <mergeCell ref="J726:J731"/>
    <mergeCell ref="K726:K731"/>
    <mergeCell ref="A708:A713"/>
    <mergeCell ref="B708:B713"/>
    <mergeCell ref="C708:C713"/>
    <mergeCell ref="J708:J713"/>
    <mergeCell ref="K708:K713"/>
    <mergeCell ref="A714:A719"/>
    <mergeCell ref="B714:B719"/>
    <mergeCell ref="C714:C719"/>
    <mergeCell ref="J714:J719"/>
    <mergeCell ref="K714:K719"/>
    <mergeCell ref="A696:A701"/>
    <mergeCell ref="B696:B701"/>
    <mergeCell ref="C696:C701"/>
    <mergeCell ref="J696:J701"/>
    <mergeCell ref="K696:K701"/>
    <mergeCell ref="A702:A707"/>
    <mergeCell ref="B702:B707"/>
    <mergeCell ref="C702:C707"/>
    <mergeCell ref="J702:J707"/>
    <mergeCell ref="K702:K707"/>
    <mergeCell ref="A684:A689"/>
    <mergeCell ref="B684:B689"/>
    <mergeCell ref="C684:C689"/>
    <mergeCell ref="J684:J689"/>
    <mergeCell ref="K684:K689"/>
    <mergeCell ref="A690:A695"/>
    <mergeCell ref="B690:B695"/>
    <mergeCell ref="C690:C695"/>
    <mergeCell ref="J690:J695"/>
    <mergeCell ref="K690:K695"/>
    <mergeCell ref="A672:A677"/>
    <mergeCell ref="B672:B677"/>
    <mergeCell ref="C672:C677"/>
    <mergeCell ref="J672:J677"/>
    <mergeCell ref="K672:K677"/>
    <mergeCell ref="A678:A683"/>
    <mergeCell ref="B678:B683"/>
    <mergeCell ref="C678:C683"/>
    <mergeCell ref="J678:J683"/>
    <mergeCell ref="K678:K683"/>
    <mergeCell ref="A660:A665"/>
    <mergeCell ref="B660:B665"/>
    <mergeCell ref="C660:C665"/>
    <mergeCell ref="J660:J665"/>
    <mergeCell ref="K660:K665"/>
    <mergeCell ref="A666:A671"/>
    <mergeCell ref="B666:B671"/>
    <mergeCell ref="C666:C671"/>
    <mergeCell ref="J666:J671"/>
    <mergeCell ref="K666:K671"/>
    <mergeCell ref="A648:A653"/>
    <mergeCell ref="B648:B653"/>
    <mergeCell ref="C648:C653"/>
    <mergeCell ref="J648:J653"/>
    <mergeCell ref="K648:K653"/>
    <mergeCell ref="A654:A659"/>
    <mergeCell ref="B654:B659"/>
    <mergeCell ref="C654:C659"/>
    <mergeCell ref="J654:J659"/>
    <mergeCell ref="K654:K659"/>
    <mergeCell ref="A642:A647"/>
    <mergeCell ref="B642:B647"/>
    <mergeCell ref="C642:C647"/>
    <mergeCell ref="J642:J647"/>
    <mergeCell ref="K642:K647"/>
    <mergeCell ref="C635:C641"/>
    <mergeCell ref="B635:B641"/>
    <mergeCell ref="A635:A641"/>
    <mergeCell ref="J635:J641"/>
    <mergeCell ref="K635:K641"/>
    <mergeCell ref="A623:A628"/>
    <mergeCell ref="B623:B628"/>
    <mergeCell ref="C623:C628"/>
    <mergeCell ref="J623:J628"/>
    <mergeCell ref="K623:K628"/>
    <mergeCell ref="A629:A634"/>
    <mergeCell ref="B629:B634"/>
    <mergeCell ref="C629:C634"/>
    <mergeCell ref="J629:J634"/>
    <mergeCell ref="K629:K634"/>
    <mergeCell ref="A611:A616"/>
    <mergeCell ref="B611:B616"/>
    <mergeCell ref="C611:C616"/>
    <mergeCell ref="J611:J616"/>
    <mergeCell ref="K611:K616"/>
    <mergeCell ref="A617:A622"/>
    <mergeCell ref="B617:B622"/>
    <mergeCell ref="C617:C622"/>
    <mergeCell ref="J617:J622"/>
    <mergeCell ref="K617:K622"/>
    <mergeCell ref="A599:A604"/>
    <mergeCell ref="B599:B604"/>
    <mergeCell ref="C599:C604"/>
    <mergeCell ref="J599:J604"/>
    <mergeCell ref="K599:K604"/>
    <mergeCell ref="A605:A610"/>
    <mergeCell ref="B605:B610"/>
    <mergeCell ref="C605:C610"/>
    <mergeCell ref="J605:J610"/>
    <mergeCell ref="K605:K610"/>
    <mergeCell ref="A587:A592"/>
    <mergeCell ref="B587:B592"/>
    <mergeCell ref="C587:C592"/>
    <mergeCell ref="J587:J592"/>
    <mergeCell ref="K587:K592"/>
    <mergeCell ref="A593:A598"/>
    <mergeCell ref="B593:B598"/>
    <mergeCell ref="C593:C598"/>
    <mergeCell ref="J593:J598"/>
    <mergeCell ref="K593:K598"/>
    <mergeCell ref="A575:A580"/>
    <mergeCell ref="B575:B580"/>
    <mergeCell ref="C575:C580"/>
    <mergeCell ref="J575:J580"/>
    <mergeCell ref="K575:K580"/>
    <mergeCell ref="A581:A586"/>
    <mergeCell ref="B581:B586"/>
    <mergeCell ref="C581:C586"/>
    <mergeCell ref="J581:J586"/>
    <mergeCell ref="K581:K586"/>
    <mergeCell ref="A563:A568"/>
    <mergeCell ref="B563:B568"/>
    <mergeCell ref="C563:C568"/>
    <mergeCell ref="J563:J568"/>
    <mergeCell ref="K563:K568"/>
    <mergeCell ref="A569:A574"/>
    <mergeCell ref="B569:B574"/>
    <mergeCell ref="C569:C574"/>
    <mergeCell ref="J569:J574"/>
    <mergeCell ref="K569:K574"/>
    <mergeCell ref="A551:A556"/>
    <mergeCell ref="B551:B556"/>
    <mergeCell ref="C551:C556"/>
    <mergeCell ref="J551:J556"/>
    <mergeCell ref="K551:K556"/>
    <mergeCell ref="A557:A562"/>
    <mergeCell ref="B557:B562"/>
    <mergeCell ref="C557:C562"/>
    <mergeCell ref="J557:J562"/>
    <mergeCell ref="K557:K562"/>
    <mergeCell ref="A545:A550"/>
    <mergeCell ref="B545:B550"/>
    <mergeCell ref="C545:C550"/>
    <mergeCell ref="J545:J550"/>
    <mergeCell ref="K545:K550"/>
    <mergeCell ref="C538:C544"/>
    <mergeCell ref="B538:B544"/>
    <mergeCell ref="A538:A544"/>
    <mergeCell ref="J538:J544"/>
    <mergeCell ref="K538:K544"/>
    <mergeCell ref="A532:A537"/>
    <mergeCell ref="B532:B537"/>
    <mergeCell ref="C532:C537"/>
    <mergeCell ref="J532:J537"/>
    <mergeCell ref="K532:K537"/>
    <mergeCell ref="C525:C531"/>
    <mergeCell ref="B525:B531"/>
    <mergeCell ref="A525:A531"/>
    <mergeCell ref="J525:J531"/>
    <mergeCell ref="K525:K531"/>
    <mergeCell ref="L501:L503"/>
    <mergeCell ref="A507:A512"/>
    <mergeCell ref="B507:B512"/>
    <mergeCell ref="C507:C512"/>
    <mergeCell ref="J507:J512"/>
    <mergeCell ref="K507:K512"/>
    <mergeCell ref="A495:A500"/>
    <mergeCell ref="B495:B500"/>
    <mergeCell ref="C495:C500"/>
    <mergeCell ref="J495:J500"/>
    <mergeCell ref="K495:K500"/>
    <mergeCell ref="A501:A506"/>
    <mergeCell ref="B501:B506"/>
    <mergeCell ref="C501:C506"/>
    <mergeCell ref="J501:J506"/>
    <mergeCell ref="K501:K506"/>
    <mergeCell ref="L483:L488"/>
    <mergeCell ref="A489:A494"/>
    <mergeCell ref="B489:B494"/>
    <mergeCell ref="C489:C494"/>
    <mergeCell ref="J489:J494"/>
    <mergeCell ref="K489:K494"/>
    <mergeCell ref="A477:A482"/>
    <mergeCell ref="B477:B482"/>
    <mergeCell ref="C477:C482"/>
    <mergeCell ref="J477:J482"/>
    <mergeCell ref="K477:K482"/>
    <mergeCell ref="A483:A488"/>
    <mergeCell ref="B483:B488"/>
    <mergeCell ref="C483:C488"/>
    <mergeCell ref="J483:J488"/>
    <mergeCell ref="K483:K488"/>
    <mergeCell ref="A471:A476"/>
    <mergeCell ref="B471:B476"/>
    <mergeCell ref="C471:C476"/>
    <mergeCell ref="J471:J476"/>
    <mergeCell ref="K471:K476"/>
    <mergeCell ref="L471:L476"/>
    <mergeCell ref="A459:A464"/>
    <mergeCell ref="B459:B464"/>
    <mergeCell ref="C459:C464"/>
    <mergeCell ref="J459:J464"/>
    <mergeCell ref="K459:K464"/>
    <mergeCell ref="A465:A470"/>
    <mergeCell ref="B465:B470"/>
    <mergeCell ref="C465:C470"/>
    <mergeCell ref="J465:J470"/>
    <mergeCell ref="K465:K470"/>
    <mergeCell ref="A447:A452"/>
    <mergeCell ref="B447:B452"/>
    <mergeCell ref="C447:C452"/>
    <mergeCell ref="J447:J452"/>
    <mergeCell ref="K447:K452"/>
    <mergeCell ref="A453:A458"/>
    <mergeCell ref="B453:B458"/>
    <mergeCell ref="C453:C458"/>
    <mergeCell ref="J453:J458"/>
    <mergeCell ref="K453:K458"/>
    <mergeCell ref="A441:A446"/>
    <mergeCell ref="B441:B446"/>
    <mergeCell ref="C441:C446"/>
    <mergeCell ref="J441:J446"/>
    <mergeCell ref="K441:K446"/>
    <mergeCell ref="L441:L446"/>
    <mergeCell ref="L429:L434"/>
    <mergeCell ref="A435:A440"/>
    <mergeCell ref="B435:B440"/>
    <mergeCell ref="C435:C440"/>
    <mergeCell ref="J435:J440"/>
    <mergeCell ref="K435:K440"/>
    <mergeCell ref="L435:L440"/>
    <mergeCell ref="A423:A428"/>
    <mergeCell ref="B423:B428"/>
    <mergeCell ref="C423:C428"/>
    <mergeCell ref="J423:J428"/>
    <mergeCell ref="K423:K428"/>
    <mergeCell ref="A429:A434"/>
    <mergeCell ref="B429:B434"/>
    <mergeCell ref="C429:C434"/>
    <mergeCell ref="J429:J434"/>
    <mergeCell ref="K429:K434"/>
    <mergeCell ref="A411:A416"/>
    <mergeCell ref="B411:B416"/>
    <mergeCell ref="C411:C416"/>
    <mergeCell ref="J411:J416"/>
    <mergeCell ref="K411:K416"/>
    <mergeCell ref="A417:A422"/>
    <mergeCell ref="B417:B422"/>
    <mergeCell ref="C417:C422"/>
    <mergeCell ref="J417:J422"/>
    <mergeCell ref="K417:K422"/>
    <mergeCell ref="A399:A404"/>
    <mergeCell ref="B399:B404"/>
    <mergeCell ref="C399:C404"/>
    <mergeCell ref="J399:J404"/>
    <mergeCell ref="K399:K404"/>
    <mergeCell ref="A405:A410"/>
    <mergeCell ref="B405:B410"/>
    <mergeCell ref="C405:C410"/>
    <mergeCell ref="J405:J410"/>
    <mergeCell ref="K405:K410"/>
    <mergeCell ref="A393:A398"/>
    <mergeCell ref="B393:B398"/>
    <mergeCell ref="C393:C398"/>
    <mergeCell ref="J393:J398"/>
    <mergeCell ref="K393:K398"/>
    <mergeCell ref="C386:C392"/>
    <mergeCell ref="B386:B392"/>
    <mergeCell ref="A386:A392"/>
    <mergeCell ref="J386:J392"/>
    <mergeCell ref="K386:K392"/>
    <mergeCell ref="A374:A379"/>
    <mergeCell ref="B374:B379"/>
    <mergeCell ref="C374:C379"/>
    <mergeCell ref="J374:J379"/>
    <mergeCell ref="K374:K379"/>
    <mergeCell ref="A380:A385"/>
    <mergeCell ref="B380:B385"/>
    <mergeCell ref="C380:C385"/>
    <mergeCell ref="J380:J385"/>
    <mergeCell ref="K380:K385"/>
    <mergeCell ref="A368:A373"/>
    <mergeCell ref="B368:B373"/>
    <mergeCell ref="C368:C373"/>
    <mergeCell ref="J368:J373"/>
    <mergeCell ref="K368:K373"/>
    <mergeCell ref="C361:C367"/>
    <mergeCell ref="J361:J367"/>
    <mergeCell ref="K361:K367"/>
    <mergeCell ref="B361:B367"/>
    <mergeCell ref="A361:A367"/>
    <mergeCell ref="A306:A311"/>
    <mergeCell ref="B306:B311"/>
    <mergeCell ref="C306:C311"/>
    <mergeCell ref="J306:J311"/>
    <mergeCell ref="K306:K311"/>
    <mergeCell ref="A312:A317"/>
    <mergeCell ref="B312:B317"/>
    <mergeCell ref="C312:C317"/>
    <mergeCell ref="J312:J317"/>
    <mergeCell ref="K312:K317"/>
    <mergeCell ref="A293:A298"/>
    <mergeCell ref="B293:B298"/>
    <mergeCell ref="C293:C298"/>
    <mergeCell ref="J293:J298"/>
    <mergeCell ref="K293:K298"/>
    <mergeCell ref="C299:C305"/>
    <mergeCell ref="B299:B305"/>
    <mergeCell ref="A299:A305"/>
    <mergeCell ref="J299:J305"/>
    <mergeCell ref="K299:K305"/>
    <mergeCell ref="A281:A286"/>
    <mergeCell ref="B281:B286"/>
    <mergeCell ref="C281:C286"/>
    <mergeCell ref="J281:J286"/>
    <mergeCell ref="K281:K286"/>
    <mergeCell ref="A287:A292"/>
    <mergeCell ref="B287:B292"/>
    <mergeCell ref="C287:C292"/>
    <mergeCell ref="J287:J292"/>
    <mergeCell ref="K287:K292"/>
    <mergeCell ref="A269:A274"/>
    <mergeCell ref="B269:B274"/>
    <mergeCell ref="C269:C274"/>
    <mergeCell ref="J269:J274"/>
    <mergeCell ref="K269:K274"/>
    <mergeCell ref="A275:A280"/>
    <mergeCell ref="B275:B280"/>
    <mergeCell ref="C275:C280"/>
    <mergeCell ref="J275:J280"/>
    <mergeCell ref="K275:K280"/>
    <mergeCell ref="A257:A262"/>
    <mergeCell ref="B257:B262"/>
    <mergeCell ref="C257:C262"/>
    <mergeCell ref="J257:J262"/>
    <mergeCell ref="K257:K262"/>
    <mergeCell ref="A263:A268"/>
    <mergeCell ref="B263:B268"/>
    <mergeCell ref="C263:C268"/>
    <mergeCell ref="J263:J268"/>
    <mergeCell ref="K263:K268"/>
    <mergeCell ref="A245:A250"/>
    <mergeCell ref="B245:B250"/>
    <mergeCell ref="C245:C250"/>
    <mergeCell ref="J245:J250"/>
    <mergeCell ref="K245:K250"/>
    <mergeCell ref="A251:A256"/>
    <mergeCell ref="B251:B256"/>
    <mergeCell ref="C251:C256"/>
    <mergeCell ref="J251:J256"/>
    <mergeCell ref="K251:K256"/>
    <mergeCell ref="C231:C237"/>
    <mergeCell ref="B231:B237"/>
    <mergeCell ref="A231:A237"/>
    <mergeCell ref="C238:C244"/>
    <mergeCell ref="B238:B244"/>
    <mergeCell ref="A238:A244"/>
    <mergeCell ref="J231:J237"/>
    <mergeCell ref="K231:K237"/>
    <mergeCell ref="J238:J244"/>
    <mergeCell ref="K238:K244"/>
    <mergeCell ref="C217:C223"/>
    <mergeCell ref="J217:J223"/>
    <mergeCell ref="K217:K223"/>
    <mergeCell ref="B217:B223"/>
    <mergeCell ref="A217:A223"/>
    <mergeCell ref="B224:B230"/>
    <mergeCell ref="A224:A230"/>
    <mergeCell ref="C224:C230"/>
    <mergeCell ref="J224:J230"/>
    <mergeCell ref="K224:K230"/>
    <mergeCell ref="L203:L208"/>
    <mergeCell ref="L210:L215"/>
    <mergeCell ref="C210:C216"/>
    <mergeCell ref="J210:J216"/>
    <mergeCell ref="K210:K216"/>
    <mergeCell ref="B210:B216"/>
    <mergeCell ref="A210:A216"/>
    <mergeCell ref="C196:C202"/>
    <mergeCell ref="B196:B202"/>
    <mergeCell ref="A196:A202"/>
    <mergeCell ref="J196:J202"/>
    <mergeCell ref="K196:K202"/>
    <mergeCell ref="C203:C209"/>
    <mergeCell ref="B203:B209"/>
    <mergeCell ref="A203:A209"/>
    <mergeCell ref="J203:J209"/>
    <mergeCell ref="K203:K209"/>
    <mergeCell ref="C163:C169"/>
    <mergeCell ref="B163:B169"/>
    <mergeCell ref="A163:A169"/>
    <mergeCell ref="J163:J169"/>
    <mergeCell ref="K163:K169"/>
    <mergeCell ref="A190:A195"/>
    <mergeCell ref="B190:B195"/>
    <mergeCell ref="C190:C195"/>
    <mergeCell ref="J190:J195"/>
    <mergeCell ref="K190:K195"/>
    <mergeCell ref="C183:C189"/>
    <mergeCell ref="B183:B189"/>
    <mergeCell ref="A183:A189"/>
    <mergeCell ref="J183:J189"/>
    <mergeCell ref="K183:K189"/>
    <mergeCell ref="L176:L181"/>
    <mergeCell ref="A170:A175"/>
    <mergeCell ref="B170:B175"/>
    <mergeCell ref="C170:C175"/>
    <mergeCell ref="J170:J175"/>
    <mergeCell ref="K170:K175"/>
    <mergeCell ref="B176:B182"/>
    <mergeCell ref="C176:C182"/>
    <mergeCell ref="A176:A182"/>
    <mergeCell ref="J176:J182"/>
    <mergeCell ref="K176:K182"/>
    <mergeCell ref="J143:J149"/>
    <mergeCell ref="K143:K149"/>
    <mergeCell ref="C143:C149"/>
    <mergeCell ref="B143:B149"/>
    <mergeCell ref="A143:A149"/>
    <mergeCell ref="B150:B156"/>
    <mergeCell ref="A150:A156"/>
    <mergeCell ref="C150:C156"/>
    <mergeCell ref="J150:J156"/>
    <mergeCell ref="K150:K156"/>
    <mergeCell ref="A130:A135"/>
    <mergeCell ref="B130:B135"/>
    <mergeCell ref="C130:C135"/>
    <mergeCell ref="J130:J135"/>
    <mergeCell ref="K130:K135"/>
    <mergeCell ref="C136:C142"/>
    <mergeCell ref="J136:J142"/>
    <mergeCell ref="K136:K142"/>
    <mergeCell ref="B136:B142"/>
    <mergeCell ref="A136:A142"/>
    <mergeCell ref="A124:A129"/>
    <mergeCell ref="B124:B129"/>
    <mergeCell ref="C124:C129"/>
    <mergeCell ref="J124:J129"/>
    <mergeCell ref="K124:K129"/>
    <mergeCell ref="C117:C123"/>
    <mergeCell ref="J117:J123"/>
    <mergeCell ref="K117:K123"/>
    <mergeCell ref="B117:B123"/>
    <mergeCell ref="A117:A123"/>
    <mergeCell ref="A105:A110"/>
    <mergeCell ref="B105:B110"/>
    <mergeCell ref="C105:C110"/>
    <mergeCell ref="J105:J110"/>
    <mergeCell ref="K105:K110"/>
    <mergeCell ref="A111:A116"/>
    <mergeCell ref="B111:B116"/>
    <mergeCell ref="C111:C116"/>
    <mergeCell ref="J111:J116"/>
    <mergeCell ref="K111:K116"/>
    <mergeCell ref="C91:C97"/>
    <mergeCell ref="J91:J97"/>
    <mergeCell ref="K91:K97"/>
    <mergeCell ref="B91:B97"/>
    <mergeCell ref="A91:A97"/>
    <mergeCell ref="B98:B104"/>
    <mergeCell ref="C98:C104"/>
    <mergeCell ref="A98:A104"/>
    <mergeCell ref="J98:J104"/>
    <mergeCell ref="K98:K104"/>
    <mergeCell ref="L51:L56"/>
    <mergeCell ref="C57:C63"/>
    <mergeCell ref="B57:B63"/>
    <mergeCell ref="A57:A63"/>
    <mergeCell ref="J57:J63"/>
    <mergeCell ref="K57:K63"/>
    <mergeCell ref="C84:C90"/>
    <mergeCell ref="B84:B90"/>
    <mergeCell ref="A84:A90"/>
    <mergeCell ref="J84:J90"/>
    <mergeCell ref="K84:K90"/>
    <mergeCell ref="A71:A76"/>
    <mergeCell ref="B71:B76"/>
    <mergeCell ref="C71:C76"/>
    <mergeCell ref="J71:J76"/>
    <mergeCell ref="K71:K76"/>
    <mergeCell ref="A51:A56"/>
    <mergeCell ref="B51:B56"/>
    <mergeCell ref="C51:C56"/>
    <mergeCell ref="J51:J56"/>
    <mergeCell ref="K51:K56"/>
    <mergeCell ref="L45:L50"/>
    <mergeCell ref="A39:A44"/>
    <mergeCell ref="B39:B44"/>
    <mergeCell ref="C39:C44"/>
    <mergeCell ref="J39:J44"/>
    <mergeCell ref="K39:K44"/>
    <mergeCell ref="A45:A50"/>
    <mergeCell ref="B45:B50"/>
    <mergeCell ref="C45:C50"/>
    <mergeCell ref="J45:J50"/>
    <mergeCell ref="K45:K50"/>
    <mergeCell ref="C336:C341"/>
    <mergeCell ref="L26:L31"/>
    <mergeCell ref="A33:A38"/>
    <mergeCell ref="B33:B38"/>
    <mergeCell ref="C33:C38"/>
    <mergeCell ref="J33:J38"/>
    <mergeCell ref="K33:K38"/>
    <mergeCell ref="L33:L38"/>
    <mergeCell ref="A1:K2"/>
    <mergeCell ref="A3:A4"/>
    <mergeCell ref="B3:B4"/>
    <mergeCell ref="C3:C4"/>
    <mergeCell ref="D3:I3"/>
    <mergeCell ref="J3:J4"/>
    <mergeCell ref="K3:K4"/>
    <mergeCell ref="C5:C11"/>
    <mergeCell ref="B5:B11"/>
    <mergeCell ref="A5:A11"/>
    <mergeCell ref="J5:J11"/>
    <mergeCell ref="K5:K11"/>
    <mergeCell ref="C26:C32"/>
    <mergeCell ref="B26:B32"/>
    <mergeCell ref="A26:A32"/>
    <mergeCell ref="J26:J32"/>
    <mergeCell ref="K355:K360"/>
    <mergeCell ref="J348:J354"/>
    <mergeCell ref="K348:K354"/>
    <mergeCell ref="C348:C354"/>
    <mergeCell ref="B348:B354"/>
    <mergeCell ref="A348:A354"/>
    <mergeCell ref="A342:A347"/>
    <mergeCell ref="B342:B347"/>
    <mergeCell ref="C342:C347"/>
    <mergeCell ref="J342:J347"/>
    <mergeCell ref="K342:K347"/>
    <mergeCell ref="N57:N63"/>
    <mergeCell ref="C848:C854"/>
    <mergeCell ref="J848:J854"/>
    <mergeCell ref="K848:K854"/>
    <mergeCell ref="B848:B854"/>
    <mergeCell ref="A848:A854"/>
    <mergeCell ref="C841:C847"/>
    <mergeCell ref="C834:C840"/>
    <mergeCell ref="B834:B840"/>
    <mergeCell ref="A834:A840"/>
    <mergeCell ref="A841:A847"/>
    <mergeCell ref="B841:B847"/>
    <mergeCell ref="J834:J840"/>
    <mergeCell ref="J841:J847"/>
    <mergeCell ref="K834:K840"/>
    <mergeCell ref="K841:K847"/>
    <mergeCell ref="B336:B341"/>
    <mergeCell ref="A336:A341"/>
    <mergeCell ref="J336:J341"/>
    <mergeCell ref="K336:K341"/>
    <mergeCell ref="B355:B360"/>
    <mergeCell ref="A355:A360"/>
    <mergeCell ref="C355:C360"/>
    <mergeCell ref="J355:J360"/>
  </mergeCells>
  <pageMargins left="0.11811023622047245" right="0.11811023622047245" top="0.15748031496062992" bottom="0.15748031496062992" header="0.11811023622047245" footer="0.11811023622047245"/>
  <pageSetup paperSize="9" scale="62" firstPageNumber="4294967295" fitToHeight="0" orientation="landscape" r:id="rId1"/>
  <headerFooter>
    <oddFooter>&amp;C&amp;P</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W110"/>
  <sheetViews>
    <sheetView view="pageBreakPreview" zoomScale="60" zoomScaleNormal="80" workbookViewId="0">
      <pane xSplit="2" ySplit="5" topLeftCell="C54" activePane="bottomRight" state="frozen"/>
      <selection activeCell="A66" sqref="A66:B71"/>
      <selection pane="topRight"/>
      <selection pane="bottomLeft"/>
      <selection pane="bottomRight" activeCell="W69" sqref="W69:W75"/>
    </sheetView>
  </sheetViews>
  <sheetFormatPr defaultRowHeight="15" x14ac:dyDescent="0.25"/>
  <cols>
    <col min="1" max="1" width="13.28515625" style="71" customWidth="1"/>
    <col min="2" max="2" width="30.140625" style="72" customWidth="1"/>
    <col min="3" max="3" width="11.7109375" style="15" customWidth="1"/>
    <col min="4" max="4" width="13.5703125" style="15" customWidth="1"/>
    <col min="5" max="5" width="14.7109375" style="15" customWidth="1"/>
    <col min="6" max="6" width="13" style="15" customWidth="1"/>
    <col min="7" max="7" width="12.28515625" style="15" customWidth="1"/>
    <col min="8" max="8" width="12.140625" style="15" customWidth="1"/>
    <col min="9" max="9" width="30.140625" style="46" customWidth="1"/>
    <col min="10" max="10" width="14.7109375" style="15" customWidth="1"/>
    <col min="11" max="11" width="12.42578125" style="15" customWidth="1"/>
    <col min="12" max="12" width="12.85546875" style="15" customWidth="1"/>
    <col min="13" max="13" width="14.5703125" style="15" customWidth="1"/>
    <col min="14" max="14" width="13.5703125" style="15" customWidth="1"/>
    <col min="15" max="15" width="42.5703125" style="15" customWidth="1"/>
    <col min="16" max="16" width="11.5703125" style="15" customWidth="1"/>
    <col min="17" max="17" width="14.5703125" style="15" customWidth="1"/>
    <col min="18" max="18" width="13.85546875" style="15" customWidth="1"/>
    <col min="19" max="19" width="14.140625" style="15" customWidth="1"/>
    <col min="20" max="20" width="13" style="15" customWidth="1"/>
    <col min="21" max="21" width="20.140625" style="15" customWidth="1"/>
    <col min="22" max="22" width="36.5703125" style="46" customWidth="1"/>
    <col min="23" max="23" width="45.5703125" style="46" customWidth="1"/>
  </cols>
  <sheetData>
    <row r="1" spans="1:23" ht="19.5" customHeight="1" x14ac:dyDescent="0.25">
      <c r="T1" s="209" t="s">
        <v>1226</v>
      </c>
      <c r="U1" s="209"/>
      <c r="V1" s="209"/>
      <c r="W1" s="209"/>
    </row>
    <row r="2" spans="1:23" ht="19.5" customHeight="1" x14ac:dyDescent="0.25">
      <c r="A2" s="210" t="s">
        <v>616</v>
      </c>
      <c r="B2" s="210"/>
      <c r="C2" s="210"/>
      <c r="D2" s="210"/>
      <c r="E2" s="210"/>
      <c r="F2" s="210"/>
      <c r="G2" s="210"/>
      <c r="H2" s="210"/>
      <c r="I2" s="210"/>
      <c r="J2" s="210"/>
      <c r="K2" s="210"/>
      <c r="L2" s="210"/>
      <c r="M2" s="210"/>
      <c r="N2" s="210"/>
      <c r="O2" s="210"/>
      <c r="P2" s="210"/>
      <c r="Q2" s="210"/>
      <c r="R2" s="210"/>
      <c r="S2" s="210"/>
      <c r="T2" s="210"/>
      <c r="U2" s="210"/>
      <c r="V2" s="210"/>
      <c r="W2" s="210"/>
    </row>
    <row r="3" spans="1:23" ht="5.25" customHeight="1" x14ac:dyDescent="0.25"/>
    <row r="4" spans="1:23" ht="60" customHeight="1" x14ac:dyDescent="0.25">
      <c r="A4" s="211" t="s">
        <v>617</v>
      </c>
      <c r="B4" s="212" t="s">
        <v>618</v>
      </c>
      <c r="C4" s="213"/>
      <c r="D4" s="213"/>
      <c r="E4" s="213"/>
      <c r="F4" s="213"/>
      <c r="G4" s="213"/>
      <c r="H4" s="213"/>
      <c r="I4" s="213"/>
      <c r="J4" s="213" t="s">
        <v>619</v>
      </c>
      <c r="K4" s="213"/>
      <c r="L4" s="213"/>
      <c r="M4" s="213"/>
      <c r="N4" s="213"/>
      <c r="O4" s="213" t="s">
        <v>620</v>
      </c>
      <c r="P4" s="213"/>
      <c r="Q4" s="213"/>
      <c r="R4" s="213"/>
      <c r="S4" s="213"/>
      <c r="T4" s="213"/>
      <c r="U4" s="213"/>
      <c r="V4" s="213"/>
      <c r="W4" s="212" t="s">
        <v>621</v>
      </c>
    </row>
    <row r="5" spans="1:23" ht="95.25" customHeight="1" x14ac:dyDescent="0.25">
      <c r="A5" s="211"/>
      <c r="B5" s="212"/>
      <c r="C5" s="70" t="s">
        <v>7</v>
      </c>
      <c r="D5" s="70" t="s">
        <v>8</v>
      </c>
      <c r="E5" s="70" t="s">
        <v>9</v>
      </c>
      <c r="F5" s="70" t="s">
        <v>10</v>
      </c>
      <c r="G5" s="70" t="s">
        <v>11</v>
      </c>
      <c r="H5" s="70" t="s">
        <v>12</v>
      </c>
      <c r="I5" s="69" t="s">
        <v>5</v>
      </c>
      <c r="J5" s="70" t="s">
        <v>8</v>
      </c>
      <c r="K5" s="70" t="s">
        <v>9</v>
      </c>
      <c r="L5" s="70" t="s">
        <v>10</v>
      </c>
      <c r="M5" s="70" t="s">
        <v>11</v>
      </c>
      <c r="N5" s="70" t="s">
        <v>12</v>
      </c>
      <c r="O5" s="70" t="s">
        <v>618</v>
      </c>
      <c r="P5" s="70"/>
      <c r="Q5" s="70" t="s">
        <v>8</v>
      </c>
      <c r="R5" s="70" t="s">
        <v>9</v>
      </c>
      <c r="S5" s="70" t="s">
        <v>10</v>
      </c>
      <c r="T5" s="70" t="s">
        <v>11</v>
      </c>
      <c r="U5" s="70" t="s">
        <v>12</v>
      </c>
      <c r="V5" s="69" t="s">
        <v>5</v>
      </c>
      <c r="W5" s="212"/>
    </row>
    <row r="6" spans="1:23" ht="25.5" customHeight="1" x14ac:dyDescent="0.25">
      <c r="A6" s="206"/>
      <c r="B6" s="200" t="s">
        <v>13</v>
      </c>
      <c r="C6" s="73" t="s">
        <v>8</v>
      </c>
      <c r="D6" s="14">
        <f>'80-ПП'!E5</f>
        <v>14194775.079914751</v>
      </c>
      <c r="E6" s="14">
        <f>'80-ПП'!F5</f>
        <v>12398170.638259999</v>
      </c>
      <c r="F6" s="14">
        <f>'80-ПП'!G5</f>
        <v>1565023.1228499999</v>
      </c>
      <c r="G6" s="14">
        <f>'80-ПП'!H5</f>
        <v>231581.31880475086</v>
      </c>
      <c r="H6" s="14">
        <f>'80-ПП'!I5</f>
        <v>0</v>
      </c>
      <c r="I6" s="196"/>
      <c r="J6" s="14">
        <f t="shared" ref="J6" si="0">Q6-D6</f>
        <v>76137.374460002407</v>
      </c>
      <c r="K6" s="14">
        <f t="shared" ref="K6" si="1">R6-E6</f>
        <v>36132.175220001489</v>
      </c>
      <c r="L6" s="14">
        <f t="shared" ref="L6" si="2">S6-F6</f>
        <v>82</v>
      </c>
      <c r="M6" s="14">
        <f t="shared" ref="M6" si="3">T6-G6</f>
        <v>39923.199240000045</v>
      </c>
      <c r="N6" s="14">
        <f t="shared" ref="N6" si="4">U6-H6</f>
        <v>0</v>
      </c>
      <c r="O6" s="203"/>
      <c r="P6" s="73" t="s">
        <v>8</v>
      </c>
      <c r="Q6" s="14">
        <f>НОВЫЙ!E5</f>
        <v>14270912.454374753</v>
      </c>
      <c r="R6" s="14">
        <f>НОВЫЙ!F5</f>
        <v>12434302.813480001</v>
      </c>
      <c r="S6" s="14">
        <f>НОВЫЙ!G5</f>
        <v>1565105.1228499999</v>
      </c>
      <c r="T6" s="14">
        <f>НОВЫЙ!H5</f>
        <v>271504.5180447509</v>
      </c>
      <c r="U6" s="14">
        <f>НОВЫЙ!I5</f>
        <v>0</v>
      </c>
      <c r="V6" s="196"/>
      <c r="W6" s="200"/>
    </row>
    <row r="7" spans="1:23" ht="25.5" customHeight="1" x14ac:dyDescent="0.25">
      <c r="A7" s="207"/>
      <c r="B7" s="201"/>
      <c r="C7" s="73">
        <v>2021</v>
      </c>
      <c r="D7" s="14">
        <f>'80-ПП'!E6</f>
        <v>1613228.6017916503</v>
      </c>
      <c r="E7" s="14">
        <f>'80-ПП'!F6</f>
        <v>1267910.29015</v>
      </c>
      <c r="F7" s="14">
        <f>'80-ПП'!G6</f>
        <v>301879.99800000002</v>
      </c>
      <c r="G7" s="14">
        <f>'80-ПП'!H6</f>
        <v>43438.313641650384</v>
      </c>
      <c r="H7" s="14">
        <f>'80-ПП'!I6</f>
        <v>0</v>
      </c>
      <c r="I7" s="197"/>
      <c r="J7" s="14">
        <f t="shared" ref="J7:J13" si="5">Q7-D7</f>
        <v>0</v>
      </c>
      <c r="K7" s="14">
        <f t="shared" ref="K7:K13" si="6">R7-E7</f>
        <v>0</v>
      </c>
      <c r="L7" s="14">
        <f t="shared" ref="L7:L13" si="7">S7-F7</f>
        <v>0</v>
      </c>
      <c r="M7" s="14">
        <f t="shared" ref="M7:M13" si="8">T7-G7</f>
        <v>0</v>
      </c>
      <c r="N7" s="14">
        <f t="shared" ref="N7:N13" si="9">U7-H7</f>
        <v>0</v>
      </c>
      <c r="O7" s="204"/>
      <c r="P7" s="73">
        <v>2021</v>
      </c>
      <c r="Q7" s="14">
        <f>НОВЫЙ!E6</f>
        <v>1613228.6017916503</v>
      </c>
      <c r="R7" s="14">
        <f>НОВЫЙ!F6</f>
        <v>1267910.29015</v>
      </c>
      <c r="S7" s="14">
        <f>НОВЫЙ!G6</f>
        <v>301879.99800000002</v>
      </c>
      <c r="T7" s="14">
        <f>НОВЫЙ!H6</f>
        <v>43438.313641650384</v>
      </c>
      <c r="U7" s="14">
        <f>НОВЫЙ!I6</f>
        <v>0</v>
      </c>
      <c r="V7" s="197"/>
      <c r="W7" s="201"/>
    </row>
    <row r="8" spans="1:23" ht="25.5" customHeight="1" x14ac:dyDescent="0.25">
      <c r="A8" s="207"/>
      <c r="B8" s="201"/>
      <c r="C8" s="73">
        <v>2022</v>
      </c>
      <c r="D8" s="14">
        <f>'80-ПП'!E7</f>
        <v>2883391.4108731011</v>
      </c>
      <c r="E8" s="14">
        <f>'80-ПП'!F7</f>
        <v>2558971.7024200005</v>
      </c>
      <c r="F8" s="14">
        <f>'80-ПП'!G7</f>
        <v>244045.77</v>
      </c>
      <c r="G8" s="14">
        <f>'80-ПП'!H7</f>
        <v>80373.93845310052</v>
      </c>
      <c r="H8" s="14">
        <f>'80-ПП'!I7</f>
        <v>0</v>
      </c>
      <c r="I8" s="197"/>
      <c r="J8" s="14">
        <f t="shared" si="5"/>
        <v>0</v>
      </c>
      <c r="K8" s="14">
        <f t="shared" si="6"/>
        <v>0</v>
      </c>
      <c r="L8" s="14">
        <f t="shared" si="7"/>
        <v>0</v>
      </c>
      <c r="M8" s="14">
        <f t="shared" si="8"/>
        <v>0</v>
      </c>
      <c r="N8" s="14">
        <f t="shared" si="9"/>
        <v>0</v>
      </c>
      <c r="O8" s="204"/>
      <c r="P8" s="73">
        <v>2022</v>
      </c>
      <c r="Q8" s="14">
        <f>НОВЫЙ!E7</f>
        <v>2883391.4108731011</v>
      </c>
      <c r="R8" s="14">
        <f>НОВЫЙ!F7</f>
        <v>2558971.7024200005</v>
      </c>
      <c r="S8" s="14">
        <f>НОВЫЙ!G7</f>
        <v>244045.77</v>
      </c>
      <c r="T8" s="14">
        <f>НОВЫЙ!H7</f>
        <v>80373.93845310052</v>
      </c>
      <c r="U8" s="14">
        <f>НОВЫЙ!I7</f>
        <v>0</v>
      </c>
      <c r="V8" s="197"/>
      <c r="W8" s="201"/>
    </row>
    <row r="9" spans="1:23" ht="25.5" customHeight="1" x14ac:dyDescent="0.25">
      <c r="A9" s="207"/>
      <c r="B9" s="201"/>
      <c r="C9" s="73">
        <v>2023</v>
      </c>
      <c r="D9" s="14">
        <f>'80-ПП'!E8</f>
        <v>2154380.0654199999</v>
      </c>
      <c r="E9" s="14">
        <f>'80-ПП'!F8</f>
        <v>1676033.8114900002</v>
      </c>
      <c r="F9" s="14">
        <f>'80-ПП'!G8</f>
        <v>436920.95484999998</v>
      </c>
      <c r="G9" s="14">
        <f>'80-ПП'!H8</f>
        <v>41425.299079999975</v>
      </c>
      <c r="H9" s="14">
        <f>'80-ПП'!I8</f>
        <v>0</v>
      </c>
      <c r="I9" s="197"/>
      <c r="J9" s="14">
        <f t="shared" si="5"/>
        <v>0</v>
      </c>
      <c r="K9" s="14">
        <f t="shared" si="6"/>
        <v>0</v>
      </c>
      <c r="L9" s="14">
        <f t="shared" si="7"/>
        <v>0</v>
      </c>
      <c r="M9" s="14">
        <f t="shared" si="8"/>
        <v>0</v>
      </c>
      <c r="N9" s="14">
        <f t="shared" si="9"/>
        <v>0</v>
      </c>
      <c r="O9" s="204"/>
      <c r="P9" s="73">
        <v>2023</v>
      </c>
      <c r="Q9" s="14">
        <f>НОВЫЙ!E8</f>
        <v>2154380.0654199999</v>
      </c>
      <c r="R9" s="14">
        <f>НОВЫЙ!F8</f>
        <v>1676033.8114900002</v>
      </c>
      <c r="S9" s="14">
        <f>НОВЫЙ!G8</f>
        <v>436920.95484999998</v>
      </c>
      <c r="T9" s="14">
        <f>НОВЫЙ!H8</f>
        <v>41425.299079999975</v>
      </c>
      <c r="U9" s="14">
        <f>НОВЫЙ!I8</f>
        <v>0</v>
      </c>
      <c r="V9" s="197"/>
      <c r="W9" s="201"/>
    </row>
    <row r="10" spans="1:23" ht="25.5" customHeight="1" x14ac:dyDescent="0.25">
      <c r="A10" s="207"/>
      <c r="B10" s="201"/>
      <c r="C10" s="73">
        <v>2024</v>
      </c>
      <c r="D10" s="14">
        <f>'80-ПП'!E9</f>
        <v>3546799.9386499994</v>
      </c>
      <c r="E10" s="14">
        <f>'80-ПП'!F9</f>
        <v>3046251.4026499996</v>
      </c>
      <c r="F10" s="14">
        <f>'80-ПП'!G9</f>
        <v>468176.39999999997</v>
      </c>
      <c r="G10" s="14">
        <f>'80-ПП'!H9</f>
        <v>32372.135999999999</v>
      </c>
      <c r="H10" s="14">
        <f>'80-ПП'!I9</f>
        <v>0</v>
      </c>
      <c r="I10" s="197"/>
      <c r="J10" s="14">
        <f t="shared" si="5"/>
        <v>64137.374460000079</v>
      </c>
      <c r="K10" s="14">
        <f t="shared" si="6"/>
        <v>36132.175220000092</v>
      </c>
      <c r="L10" s="14">
        <f t="shared" si="7"/>
        <v>-11918</v>
      </c>
      <c r="M10" s="14">
        <f t="shared" si="8"/>
        <v>39923.199240000002</v>
      </c>
      <c r="N10" s="14">
        <f t="shared" si="9"/>
        <v>0</v>
      </c>
      <c r="O10" s="204"/>
      <c r="P10" s="73">
        <v>2024</v>
      </c>
      <c r="Q10" s="14">
        <f>НОВЫЙ!E9</f>
        <v>3610937.3131099995</v>
      </c>
      <c r="R10" s="14">
        <f>НОВЫЙ!F9</f>
        <v>3082383.5778699997</v>
      </c>
      <c r="S10" s="14">
        <f>НОВЫЙ!G9</f>
        <v>456258.39999999997</v>
      </c>
      <c r="T10" s="14">
        <f>НОВЫЙ!H9</f>
        <v>72295.33524</v>
      </c>
      <c r="U10" s="14">
        <f>НОВЫЙ!I9</f>
        <v>0</v>
      </c>
      <c r="V10" s="197"/>
      <c r="W10" s="201"/>
    </row>
    <row r="11" spans="1:23" ht="25.5" customHeight="1" x14ac:dyDescent="0.25">
      <c r="A11" s="207"/>
      <c r="B11" s="201"/>
      <c r="C11" s="73">
        <v>2025</v>
      </c>
      <c r="D11" s="14">
        <f>'80-ПП'!E10</f>
        <v>2159394.9740800001</v>
      </c>
      <c r="E11" s="14">
        <f>'80-ПП'!F10</f>
        <v>2052012.8657499999</v>
      </c>
      <c r="F11" s="14">
        <f>'80-ПП'!G10</f>
        <v>90000</v>
      </c>
      <c r="G11" s="14">
        <f>'80-ПП'!H10</f>
        <v>17382.108329999999</v>
      </c>
      <c r="H11" s="14">
        <f>'80-ПП'!I10</f>
        <v>0</v>
      </c>
      <c r="I11" s="197"/>
      <c r="J11" s="14">
        <f t="shared" si="5"/>
        <v>0</v>
      </c>
      <c r="K11" s="14">
        <f t="shared" si="6"/>
        <v>0</v>
      </c>
      <c r="L11" s="14">
        <f t="shared" si="7"/>
        <v>0</v>
      </c>
      <c r="M11" s="14">
        <f t="shared" si="8"/>
        <v>0</v>
      </c>
      <c r="N11" s="14">
        <f t="shared" si="9"/>
        <v>0</v>
      </c>
      <c r="O11" s="204"/>
      <c r="P11" s="73">
        <v>2025</v>
      </c>
      <c r="Q11" s="14">
        <f>НОВЫЙ!E10</f>
        <v>2159394.9740800001</v>
      </c>
      <c r="R11" s="14">
        <f>НОВЫЙ!F10</f>
        <v>2052012.8657499999</v>
      </c>
      <c r="S11" s="14">
        <f>НОВЫЙ!G10</f>
        <v>90000</v>
      </c>
      <c r="T11" s="14">
        <f>НОВЫЙ!H10</f>
        <v>17382.108329999999</v>
      </c>
      <c r="U11" s="14">
        <f>НОВЫЙ!I10</f>
        <v>0</v>
      </c>
      <c r="V11" s="197"/>
      <c r="W11" s="201"/>
    </row>
    <row r="12" spans="1:23" s="44" customFormat="1" ht="25.5" customHeight="1" x14ac:dyDescent="0.25">
      <c r="A12" s="208"/>
      <c r="B12" s="202"/>
      <c r="C12" s="73">
        <v>2026</v>
      </c>
      <c r="D12" s="14">
        <f>'80-ПП'!E11</f>
        <v>1837580.0891000002</v>
      </c>
      <c r="E12" s="14">
        <f>'80-ПП'!F11</f>
        <v>1796990.5658000002</v>
      </c>
      <c r="F12" s="14">
        <f>'80-ПП'!G11</f>
        <v>24000</v>
      </c>
      <c r="G12" s="14">
        <f>'80-ПП'!H11</f>
        <v>16589.523300000001</v>
      </c>
      <c r="H12" s="14">
        <f>'80-ПП'!I11</f>
        <v>0</v>
      </c>
      <c r="I12" s="198"/>
      <c r="J12" s="14">
        <f t="shared" si="5"/>
        <v>12000</v>
      </c>
      <c r="K12" s="14">
        <f t="shared" si="6"/>
        <v>0</v>
      </c>
      <c r="L12" s="14">
        <f t="shared" si="7"/>
        <v>12000</v>
      </c>
      <c r="M12" s="14">
        <f t="shared" si="8"/>
        <v>0</v>
      </c>
      <c r="N12" s="14">
        <f t="shared" si="9"/>
        <v>0</v>
      </c>
      <c r="O12" s="205"/>
      <c r="P12" s="73">
        <v>2026</v>
      </c>
      <c r="Q12" s="14">
        <f>НОВЫЙ!E11</f>
        <v>1849580.0891000002</v>
      </c>
      <c r="R12" s="14">
        <f>НОВЫЙ!F11</f>
        <v>1796990.5658000002</v>
      </c>
      <c r="S12" s="14">
        <f>НОВЫЙ!G11</f>
        <v>36000</v>
      </c>
      <c r="T12" s="14">
        <f>НОВЫЙ!H11</f>
        <v>16589.523300000001</v>
      </c>
      <c r="U12" s="14">
        <f>НОВЫЙ!I11</f>
        <v>0</v>
      </c>
      <c r="V12" s="198"/>
      <c r="W12" s="202"/>
    </row>
    <row r="13" spans="1:23" ht="25.5" customHeight="1" x14ac:dyDescent="0.25">
      <c r="A13" s="206"/>
      <c r="B13" s="200" t="s">
        <v>483</v>
      </c>
      <c r="C13" s="73" t="s">
        <v>8</v>
      </c>
      <c r="D13" s="14">
        <f>'80-ПП'!E12</f>
        <v>9907870.5382178426</v>
      </c>
      <c r="E13" s="14">
        <f>'80-ПП'!F12</f>
        <v>9444880.1123600006</v>
      </c>
      <c r="F13" s="14">
        <f>'80-ПП'!G12</f>
        <v>335107.18385000003</v>
      </c>
      <c r="G13" s="14">
        <f>'80-ПП'!H12</f>
        <v>127883.24200784267</v>
      </c>
      <c r="H13" s="14">
        <f>'80-ПП'!I12</f>
        <v>0</v>
      </c>
      <c r="I13" s="196"/>
      <c r="J13" s="14">
        <f t="shared" si="5"/>
        <v>40005.199240000919</v>
      </c>
      <c r="K13" s="14">
        <f t="shared" si="6"/>
        <v>0</v>
      </c>
      <c r="L13" s="14">
        <f t="shared" si="7"/>
        <v>82</v>
      </c>
      <c r="M13" s="14">
        <f t="shared" si="8"/>
        <v>39923.199240000016</v>
      </c>
      <c r="N13" s="14">
        <f t="shared" si="9"/>
        <v>0</v>
      </c>
      <c r="O13" s="203"/>
      <c r="P13" s="73" t="s">
        <v>8</v>
      </c>
      <c r="Q13" s="14">
        <f>НОВЫЙ!E12</f>
        <v>9947875.7374578435</v>
      </c>
      <c r="R13" s="14">
        <f>НОВЫЙ!F12</f>
        <v>9444880.1123600006</v>
      </c>
      <c r="S13" s="14">
        <f>НОВЫЙ!G12</f>
        <v>335189.18385000003</v>
      </c>
      <c r="T13" s="14">
        <f>НОВЫЙ!H12</f>
        <v>167806.44124784268</v>
      </c>
      <c r="U13" s="14">
        <f>НОВЫЙ!I12</f>
        <v>0</v>
      </c>
      <c r="V13" s="196"/>
      <c r="W13" s="200"/>
    </row>
    <row r="14" spans="1:23" ht="25.5" customHeight="1" x14ac:dyDescent="0.25">
      <c r="A14" s="207"/>
      <c r="B14" s="201"/>
      <c r="C14" s="73">
        <v>2021</v>
      </c>
      <c r="D14" s="14">
        <f>'80-ПП'!E13</f>
        <v>1143437.1402100001</v>
      </c>
      <c r="E14" s="14">
        <f>'80-ПП'!F13</f>
        <v>1079783.2501300001</v>
      </c>
      <c r="F14" s="14">
        <f>'80-ПП'!G13</f>
        <v>44391.299000000028</v>
      </c>
      <c r="G14" s="14">
        <f>'80-ПП'!H13</f>
        <v>19262.591080000006</v>
      </c>
      <c r="H14" s="14">
        <f>'80-ПП'!I13</f>
        <v>0</v>
      </c>
      <c r="I14" s="197"/>
      <c r="J14" s="14">
        <f t="shared" ref="J14:J20" si="10">Q14-D14</f>
        <v>0</v>
      </c>
      <c r="K14" s="14">
        <f t="shared" ref="K14:K20" si="11">R14-E14</f>
        <v>0</v>
      </c>
      <c r="L14" s="14">
        <f t="shared" ref="L14:L20" si="12">S14-F14</f>
        <v>0</v>
      </c>
      <c r="M14" s="14">
        <f t="shared" ref="M14:M20" si="13">T14-G14</f>
        <v>0</v>
      </c>
      <c r="N14" s="14">
        <f t="shared" ref="N14:N20" si="14">U14-H14</f>
        <v>0</v>
      </c>
      <c r="O14" s="204"/>
      <c r="P14" s="73">
        <v>2021</v>
      </c>
      <c r="Q14" s="14">
        <f>НОВЫЙ!E13</f>
        <v>1143437.1402100001</v>
      </c>
      <c r="R14" s="14">
        <f>НОВЫЙ!F13</f>
        <v>1079783.2501300001</v>
      </c>
      <c r="S14" s="14">
        <f>НОВЫЙ!G13</f>
        <v>44391.299000000028</v>
      </c>
      <c r="T14" s="14">
        <f>НОВЫЙ!H13</f>
        <v>19262.591080000006</v>
      </c>
      <c r="U14" s="14">
        <f>НОВЫЙ!I13</f>
        <v>0</v>
      </c>
      <c r="V14" s="197"/>
      <c r="W14" s="201"/>
    </row>
    <row r="15" spans="1:23" ht="25.5" customHeight="1" x14ac:dyDescent="0.25">
      <c r="A15" s="207"/>
      <c r="B15" s="201"/>
      <c r="C15" s="73">
        <v>2022</v>
      </c>
      <c r="D15" s="14">
        <f>'80-ПП'!E14</f>
        <v>1725609.8373178432</v>
      </c>
      <c r="E15" s="14">
        <f>'80-ПП'!F14</f>
        <v>1637815.2563600005</v>
      </c>
      <c r="F15" s="14">
        <f>'80-ПП'!G14</f>
        <v>66437.87</v>
      </c>
      <c r="G15" s="14">
        <f>'80-ПП'!H14</f>
        <v>21356.710957842668</v>
      </c>
      <c r="H15" s="14">
        <f>'80-ПП'!I14</f>
        <v>0</v>
      </c>
      <c r="I15" s="197"/>
      <c r="J15" s="14">
        <f t="shared" si="10"/>
        <v>0</v>
      </c>
      <c r="K15" s="14">
        <f t="shared" si="11"/>
        <v>0</v>
      </c>
      <c r="L15" s="14">
        <f t="shared" si="12"/>
        <v>0</v>
      </c>
      <c r="M15" s="14">
        <f t="shared" si="13"/>
        <v>0</v>
      </c>
      <c r="N15" s="14">
        <f t="shared" si="14"/>
        <v>0</v>
      </c>
      <c r="O15" s="204"/>
      <c r="P15" s="73">
        <v>2022</v>
      </c>
      <c r="Q15" s="14">
        <f>НОВЫЙ!E14</f>
        <v>1725609.8373178432</v>
      </c>
      <c r="R15" s="14">
        <f>НОВЫЙ!F14</f>
        <v>1637815.2563600005</v>
      </c>
      <c r="S15" s="14">
        <f>НОВЫЙ!G14</f>
        <v>66437.87</v>
      </c>
      <c r="T15" s="14">
        <f>НОВЫЙ!H14</f>
        <v>21356.710957842668</v>
      </c>
      <c r="U15" s="14">
        <f>НОВЫЙ!I14</f>
        <v>0</v>
      </c>
      <c r="V15" s="197"/>
      <c r="W15" s="201"/>
    </row>
    <row r="16" spans="1:23" ht="25.5" customHeight="1" x14ac:dyDescent="0.25">
      <c r="A16" s="207"/>
      <c r="B16" s="201"/>
      <c r="C16" s="73">
        <v>2023</v>
      </c>
      <c r="D16" s="14">
        <f>'80-ПП'!E15</f>
        <v>1506558.2592200004</v>
      </c>
      <c r="E16" s="14">
        <f>'80-ПП'!F15</f>
        <v>1461119.3410300002</v>
      </c>
      <c r="F16" s="14">
        <f>'80-ПП'!G15</f>
        <v>12210.214849999989</v>
      </c>
      <c r="G16" s="14">
        <f>'80-ПП'!H15</f>
        <v>33228.70334</v>
      </c>
      <c r="H16" s="14">
        <f>'80-ПП'!I15</f>
        <v>0</v>
      </c>
      <c r="I16" s="197"/>
      <c r="J16" s="14">
        <f t="shared" si="10"/>
        <v>0</v>
      </c>
      <c r="K16" s="14">
        <f t="shared" si="11"/>
        <v>0</v>
      </c>
      <c r="L16" s="14">
        <f t="shared" si="12"/>
        <v>0</v>
      </c>
      <c r="M16" s="14">
        <f t="shared" si="13"/>
        <v>0</v>
      </c>
      <c r="N16" s="14">
        <f t="shared" si="14"/>
        <v>0</v>
      </c>
      <c r="O16" s="204"/>
      <c r="P16" s="73">
        <v>2023</v>
      </c>
      <c r="Q16" s="14">
        <f>НОВЫЙ!E15</f>
        <v>1506558.2592200004</v>
      </c>
      <c r="R16" s="14">
        <f>НОВЫЙ!F15</f>
        <v>1461119.3410300002</v>
      </c>
      <c r="S16" s="14">
        <f>НОВЫЙ!G15</f>
        <v>12210.214849999989</v>
      </c>
      <c r="T16" s="14">
        <f>НОВЫЙ!H15</f>
        <v>33228.70334</v>
      </c>
      <c r="U16" s="14">
        <f>НОВЫЙ!I15</f>
        <v>0</v>
      </c>
      <c r="V16" s="197"/>
      <c r="W16" s="201"/>
    </row>
    <row r="17" spans="1:23" ht="25.5" customHeight="1" x14ac:dyDescent="0.25">
      <c r="A17" s="207"/>
      <c r="B17" s="201"/>
      <c r="C17" s="73">
        <v>2024</v>
      </c>
      <c r="D17" s="14">
        <f>'80-ПП'!E16</f>
        <v>2096708.0382899996</v>
      </c>
      <c r="E17" s="14">
        <f>'80-ПП'!F16</f>
        <v>1977784.0482899996</v>
      </c>
      <c r="F17" s="14">
        <f>'80-ПП'!G16</f>
        <v>98067.799999999988</v>
      </c>
      <c r="G17" s="14">
        <f>'80-ПП'!H16</f>
        <v>20856.189999999999</v>
      </c>
      <c r="H17" s="14">
        <f>'80-ПП'!I16</f>
        <v>0</v>
      </c>
      <c r="I17" s="197"/>
      <c r="J17" s="14">
        <f t="shared" si="10"/>
        <v>28005.199239999987</v>
      </c>
      <c r="K17" s="14">
        <f t="shared" si="11"/>
        <v>0</v>
      </c>
      <c r="L17" s="14">
        <f t="shared" si="12"/>
        <v>-11918</v>
      </c>
      <c r="M17" s="14">
        <f t="shared" si="13"/>
        <v>39923.199240000002</v>
      </c>
      <c r="N17" s="14">
        <f t="shared" si="14"/>
        <v>0</v>
      </c>
      <c r="O17" s="204"/>
      <c r="P17" s="73">
        <v>2024</v>
      </c>
      <c r="Q17" s="14">
        <f>НОВЫЙ!E16</f>
        <v>2124713.2375299996</v>
      </c>
      <c r="R17" s="14">
        <f>НОВЫЙ!F16</f>
        <v>1977784.0482899996</v>
      </c>
      <c r="S17" s="14">
        <f>НОВЫЙ!G16</f>
        <v>86149.799999999988</v>
      </c>
      <c r="T17" s="14">
        <f>НОВЫЙ!H16</f>
        <v>60779.389240000004</v>
      </c>
      <c r="U17" s="14">
        <f>НОВЫЙ!I16</f>
        <v>0</v>
      </c>
      <c r="V17" s="197"/>
      <c r="W17" s="201"/>
    </row>
    <row r="18" spans="1:23" ht="25.5" customHeight="1" x14ac:dyDescent="0.25">
      <c r="A18" s="207"/>
      <c r="B18" s="201"/>
      <c r="C18" s="73">
        <v>2025</v>
      </c>
      <c r="D18" s="14">
        <f>'80-ПП'!E17</f>
        <v>1597977.17408</v>
      </c>
      <c r="E18" s="14">
        <f>'80-ПП'!F17</f>
        <v>1491387.65075</v>
      </c>
      <c r="F18" s="14">
        <f>'80-ПП'!G17</f>
        <v>90000</v>
      </c>
      <c r="G18" s="14">
        <f>'80-ПП'!H17</f>
        <v>16589.52333</v>
      </c>
      <c r="H18" s="14">
        <f>'80-ПП'!I17</f>
        <v>0</v>
      </c>
      <c r="I18" s="197"/>
      <c r="J18" s="14">
        <f t="shared" si="10"/>
        <v>0</v>
      </c>
      <c r="K18" s="14">
        <f t="shared" si="11"/>
        <v>0</v>
      </c>
      <c r="L18" s="14">
        <f t="shared" si="12"/>
        <v>0</v>
      </c>
      <c r="M18" s="14">
        <f t="shared" si="13"/>
        <v>0</v>
      </c>
      <c r="N18" s="14">
        <f t="shared" si="14"/>
        <v>0</v>
      </c>
      <c r="O18" s="204"/>
      <c r="P18" s="73">
        <v>2025</v>
      </c>
      <c r="Q18" s="14">
        <f>НОВЫЙ!E17</f>
        <v>1597977.17408</v>
      </c>
      <c r="R18" s="14">
        <f>НОВЫЙ!F17</f>
        <v>1491387.65075</v>
      </c>
      <c r="S18" s="14">
        <f>НОВЫЙ!G17</f>
        <v>90000</v>
      </c>
      <c r="T18" s="14">
        <f>НОВЫЙ!H17</f>
        <v>16589.52333</v>
      </c>
      <c r="U18" s="14">
        <f>НОВЫЙ!I17</f>
        <v>0</v>
      </c>
      <c r="V18" s="197"/>
      <c r="W18" s="201"/>
    </row>
    <row r="19" spans="1:23" s="44" customFormat="1" ht="25.5" customHeight="1" x14ac:dyDescent="0.25">
      <c r="A19" s="208"/>
      <c r="B19" s="202"/>
      <c r="C19" s="73">
        <v>2026</v>
      </c>
      <c r="D19" s="14">
        <f>'80-ПП'!E18</f>
        <v>1837580.0891000002</v>
      </c>
      <c r="E19" s="14">
        <f>'80-ПП'!F18</f>
        <v>1796990.5658000002</v>
      </c>
      <c r="F19" s="14">
        <f>'80-ПП'!G18</f>
        <v>24000</v>
      </c>
      <c r="G19" s="14">
        <f>'80-ПП'!H18</f>
        <v>16589.523300000001</v>
      </c>
      <c r="H19" s="14">
        <f>'80-ПП'!I18</f>
        <v>0</v>
      </c>
      <c r="I19" s="198"/>
      <c r="J19" s="14">
        <f t="shared" si="10"/>
        <v>12000</v>
      </c>
      <c r="K19" s="14">
        <f t="shared" si="11"/>
        <v>0</v>
      </c>
      <c r="L19" s="14">
        <f t="shared" si="12"/>
        <v>12000</v>
      </c>
      <c r="M19" s="14">
        <f t="shared" si="13"/>
        <v>0</v>
      </c>
      <c r="N19" s="14">
        <f t="shared" si="14"/>
        <v>0</v>
      </c>
      <c r="O19" s="205"/>
      <c r="P19" s="73">
        <v>2026</v>
      </c>
      <c r="Q19" s="14">
        <f>НОВЫЙ!E18</f>
        <v>1849580.0891000002</v>
      </c>
      <c r="R19" s="14">
        <f>НОВЫЙ!F18</f>
        <v>1796990.5658000002</v>
      </c>
      <c r="S19" s="14">
        <f>НОВЫЙ!G18</f>
        <v>36000</v>
      </c>
      <c r="T19" s="14">
        <f>НОВЫЙ!H18</f>
        <v>16589.523300000001</v>
      </c>
      <c r="U19" s="14">
        <f>НОВЫЙ!I18</f>
        <v>0</v>
      </c>
      <c r="V19" s="198"/>
      <c r="W19" s="202"/>
    </row>
    <row r="20" spans="1:23" s="81" customFormat="1" ht="25.5" customHeight="1" x14ac:dyDescent="0.25">
      <c r="A20" s="206"/>
      <c r="B20" s="200" t="s">
        <v>624</v>
      </c>
      <c r="C20" s="76" t="s">
        <v>8</v>
      </c>
      <c r="D20" s="14">
        <f>'80-ПП'!E19</f>
        <v>4286904.541696908</v>
      </c>
      <c r="E20" s="14">
        <f>'80-ПП'!F19</f>
        <v>2953290.5258999998</v>
      </c>
      <c r="F20" s="14">
        <f>'80-ПП'!G19</f>
        <v>1229915.9389999998</v>
      </c>
      <c r="G20" s="14">
        <f>'80-ПП'!H19</f>
        <v>103698.07679690821</v>
      </c>
      <c r="H20" s="14">
        <f>'80-ПП'!I19</f>
        <v>0</v>
      </c>
      <c r="I20" s="196"/>
      <c r="J20" s="14">
        <f t="shared" si="10"/>
        <v>36132.175219999626</v>
      </c>
      <c r="K20" s="14">
        <f t="shared" si="11"/>
        <v>36132.175220000558</v>
      </c>
      <c r="L20" s="14">
        <f t="shared" si="12"/>
        <v>0</v>
      </c>
      <c r="M20" s="14">
        <f t="shared" si="13"/>
        <v>0</v>
      </c>
      <c r="N20" s="14">
        <f t="shared" si="14"/>
        <v>0</v>
      </c>
      <c r="O20" s="203"/>
      <c r="P20" s="76" t="s">
        <v>8</v>
      </c>
      <c r="Q20" s="14">
        <f>НОВЫЙ!E19</f>
        <v>4323036.7169169076</v>
      </c>
      <c r="R20" s="14">
        <f>НОВЫЙ!F19</f>
        <v>2989422.7011200003</v>
      </c>
      <c r="S20" s="14">
        <f>НОВЫЙ!G19</f>
        <v>1229915.9389999998</v>
      </c>
      <c r="T20" s="14">
        <f>НОВЫЙ!H19</f>
        <v>103698.07679690821</v>
      </c>
      <c r="U20" s="14">
        <f>НОВЫЙ!I19</f>
        <v>0</v>
      </c>
      <c r="V20" s="196"/>
      <c r="W20" s="200"/>
    </row>
    <row r="21" spans="1:23" s="81" customFormat="1" ht="25.5" customHeight="1" x14ac:dyDescent="0.25">
      <c r="A21" s="207"/>
      <c r="B21" s="201"/>
      <c r="C21" s="76">
        <v>2021</v>
      </c>
      <c r="D21" s="14">
        <f>'80-ПП'!E20</f>
        <v>469791.46158165036</v>
      </c>
      <c r="E21" s="14">
        <f>'80-ПП'!F20</f>
        <v>188127.04001999999</v>
      </c>
      <c r="F21" s="14">
        <f>'80-ПП'!G20</f>
        <v>257488.69899999999</v>
      </c>
      <c r="G21" s="14">
        <f>'80-ПП'!H20</f>
        <v>24175.722561650378</v>
      </c>
      <c r="H21" s="14">
        <f>'80-ПП'!I20</f>
        <v>0</v>
      </c>
      <c r="I21" s="197"/>
      <c r="J21" s="14">
        <f t="shared" ref="J21:J27" si="15">Q21-D21</f>
        <v>0</v>
      </c>
      <c r="K21" s="14">
        <f t="shared" ref="K21:K27" si="16">R21-E21</f>
        <v>0</v>
      </c>
      <c r="L21" s="14">
        <f t="shared" ref="L21:L27" si="17">S21-F21</f>
        <v>0</v>
      </c>
      <c r="M21" s="14">
        <f t="shared" ref="M21:M27" si="18">T21-G21</f>
        <v>0</v>
      </c>
      <c r="N21" s="14">
        <f t="shared" ref="N21:N27" si="19">U21-H21</f>
        <v>0</v>
      </c>
      <c r="O21" s="204"/>
      <c r="P21" s="76">
        <v>2021</v>
      </c>
      <c r="Q21" s="14">
        <f>НОВЫЙ!E20</f>
        <v>469791.46158165036</v>
      </c>
      <c r="R21" s="14">
        <f>НОВЫЙ!F20</f>
        <v>188127.04001999999</v>
      </c>
      <c r="S21" s="14">
        <f>НОВЫЙ!G20</f>
        <v>257488.69899999999</v>
      </c>
      <c r="T21" s="14">
        <f>НОВЫЙ!H20</f>
        <v>24175.722561650378</v>
      </c>
      <c r="U21" s="14">
        <f>НОВЫЙ!I20</f>
        <v>0</v>
      </c>
      <c r="V21" s="197"/>
      <c r="W21" s="201"/>
    </row>
    <row r="22" spans="1:23" s="81" customFormat="1" ht="25.5" customHeight="1" x14ac:dyDescent="0.25">
      <c r="A22" s="207"/>
      <c r="B22" s="201"/>
      <c r="C22" s="76">
        <v>2022</v>
      </c>
      <c r="D22" s="14">
        <f>'80-ПП'!E21</f>
        <v>1157781.5735552579</v>
      </c>
      <c r="E22" s="14">
        <f>'80-ПП'!F21</f>
        <v>921156.4460600001</v>
      </c>
      <c r="F22" s="14">
        <f>'80-ПП'!G21</f>
        <v>177607.9</v>
      </c>
      <c r="G22" s="14">
        <f>'80-ПП'!H21</f>
        <v>59017.227495257852</v>
      </c>
      <c r="H22" s="14">
        <f>'80-ПП'!I21</f>
        <v>0</v>
      </c>
      <c r="I22" s="197"/>
      <c r="J22" s="14">
        <f t="shared" si="15"/>
        <v>0</v>
      </c>
      <c r="K22" s="14">
        <f t="shared" si="16"/>
        <v>0</v>
      </c>
      <c r="L22" s="14">
        <f t="shared" si="17"/>
        <v>0</v>
      </c>
      <c r="M22" s="14">
        <f t="shared" si="18"/>
        <v>0</v>
      </c>
      <c r="N22" s="14">
        <f t="shared" si="19"/>
        <v>0</v>
      </c>
      <c r="O22" s="204"/>
      <c r="P22" s="76">
        <v>2022</v>
      </c>
      <c r="Q22" s="14">
        <f>НОВЫЙ!E21</f>
        <v>1157781.5735552579</v>
      </c>
      <c r="R22" s="14">
        <f>НОВЫЙ!F21</f>
        <v>921156.4460600001</v>
      </c>
      <c r="S22" s="14">
        <f>НОВЫЙ!G21</f>
        <v>177607.9</v>
      </c>
      <c r="T22" s="14">
        <f>НОВЫЙ!H21</f>
        <v>59017.227495257852</v>
      </c>
      <c r="U22" s="14">
        <f>НОВЫЙ!I21</f>
        <v>0</v>
      </c>
      <c r="V22" s="197"/>
      <c r="W22" s="201"/>
    </row>
    <row r="23" spans="1:23" s="81" customFormat="1" ht="25.5" customHeight="1" x14ac:dyDescent="0.25">
      <c r="A23" s="207"/>
      <c r="B23" s="201"/>
      <c r="C23" s="76">
        <v>2023</v>
      </c>
      <c r="D23" s="14">
        <f>'80-ПП'!E22</f>
        <v>647821.80619999999</v>
      </c>
      <c r="E23" s="14">
        <f>'80-ПП'!F22</f>
        <v>214914.47045999998</v>
      </c>
      <c r="F23" s="14">
        <f>'80-ПП'!G22</f>
        <v>424710.74</v>
      </c>
      <c r="G23" s="14">
        <f>'80-ПП'!H22</f>
        <v>8196.5957399999752</v>
      </c>
      <c r="H23" s="14">
        <f>'80-ПП'!I22</f>
        <v>0</v>
      </c>
      <c r="I23" s="197"/>
      <c r="J23" s="14">
        <f t="shared" si="15"/>
        <v>0</v>
      </c>
      <c r="K23" s="14">
        <f t="shared" si="16"/>
        <v>0</v>
      </c>
      <c r="L23" s="14">
        <f t="shared" si="17"/>
        <v>0</v>
      </c>
      <c r="M23" s="14">
        <f t="shared" si="18"/>
        <v>0</v>
      </c>
      <c r="N23" s="14">
        <f t="shared" si="19"/>
        <v>0</v>
      </c>
      <c r="O23" s="204"/>
      <c r="P23" s="76">
        <v>2023</v>
      </c>
      <c r="Q23" s="14">
        <f>НОВЫЙ!E22</f>
        <v>647821.80619999999</v>
      </c>
      <c r="R23" s="14">
        <f>НОВЫЙ!F22</f>
        <v>214914.47045999998</v>
      </c>
      <c r="S23" s="14">
        <f>НОВЫЙ!G22</f>
        <v>424710.74</v>
      </c>
      <c r="T23" s="14">
        <f>НОВЫЙ!H22</f>
        <v>8196.5957399999752</v>
      </c>
      <c r="U23" s="14">
        <f>НОВЫЙ!I22</f>
        <v>0</v>
      </c>
      <c r="V23" s="197"/>
      <c r="W23" s="201"/>
    </row>
    <row r="24" spans="1:23" s="81" customFormat="1" ht="25.5" customHeight="1" x14ac:dyDescent="0.25">
      <c r="A24" s="207"/>
      <c r="B24" s="201"/>
      <c r="C24" s="76">
        <v>2024</v>
      </c>
      <c r="D24" s="14">
        <f>'80-ПП'!E23</f>
        <v>1450091.9003599999</v>
      </c>
      <c r="E24" s="14">
        <f>'80-ПП'!F23</f>
        <v>1068467.35436</v>
      </c>
      <c r="F24" s="14">
        <f>'80-ПП'!G23</f>
        <v>370108.6</v>
      </c>
      <c r="G24" s="14">
        <f>'80-ПП'!H23</f>
        <v>11515.946</v>
      </c>
      <c r="H24" s="14">
        <f>'80-ПП'!I23</f>
        <v>0</v>
      </c>
      <c r="I24" s="197"/>
      <c r="J24" s="14">
        <f t="shared" si="15"/>
        <v>36132.175220000092</v>
      </c>
      <c r="K24" s="14">
        <f t="shared" si="16"/>
        <v>36132.175220000092</v>
      </c>
      <c r="L24" s="14">
        <f t="shared" si="17"/>
        <v>0</v>
      </c>
      <c r="M24" s="14">
        <f t="shared" si="18"/>
        <v>0</v>
      </c>
      <c r="N24" s="14">
        <f t="shared" si="19"/>
        <v>0</v>
      </c>
      <c r="O24" s="204"/>
      <c r="P24" s="76">
        <v>2024</v>
      </c>
      <c r="Q24" s="14">
        <f>НОВЫЙ!E23</f>
        <v>1486224.0755799999</v>
      </c>
      <c r="R24" s="14">
        <f>НОВЫЙ!F23</f>
        <v>1104599.5295800001</v>
      </c>
      <c r="S24" s="14">
        <f>НОВЫЙ!G23</f>
        <v>370108.6</v>
      </c>
      <c r="T24" s="14">
        <f>НОВЫЙ!H23</f>
        <v>11515.946</v>
      </c>
      <c r="U24" s="14">
        <f>НОВЫЙ!I23</f>
        <v>0</v>
      </c>
      <c r="V24" s="197"/>
      <c r="W24" s="201"/>
    </row>
    <row r="25" spans="1:23" s="81" customFormat="1" ht="25.5" customHeight="1" x14ac:dyDescent="0.25">
      <c r="A25" s="207"/>
      <c r="B25" s="201"/>
      <c r="C25" s="76">
        <v>2025</v>
      </c>
      <c r="D25" s="14">
        <f>'80-ПП'!E24</f>
        <v>561417.79999999993</v>
      </c>
      <c r="E25" s="14">
        <f>'80-ПП'!F24</f>
        <v>560625.21499999997</v>
      </c>
      <c r="F25" s="14">
        <f>'80-ПП'!G24</f>
        <v>0</v>
      </c>
      <c r="G25" s="14">
        <f>'80-ПП'!H24</f>
        <v>792.58500000000004</v>
      </c>
      <c r="H25" s="14">
        <f>'80-ПП'!I24</f>
        <v>0</v>
      </c>
      <c r="I25" s="197"/>
      <c r="J25" s="14">
        <f t="shared" si="15"/>
        <v>0</v>
      </c>
      <c r="K25" s="14">
        <f t="shared" si="16"/>
        <v>0</v>
      </c>
      <c r="L25" s="14">
        <f t="shared" si="17"/>
        <v>0</v>
      </c>
      <c r="M25" s="14">
        <f t="shared" si="18"/>
        <v>0</v>
      </c>
      <c r="N25" s="14">
        <f t="shared" si="19"/>
        <v>0</v>
      </c>
      <c r="O25" s="204"/>
      <c r="P25" s="76">
        <v>2025</v>
      </c>
      <c r="Q25" s="14">
        <f>НОВЫЙ!E24</f>
        <v>561417.79999999993</v>
      </c>
      <c r="R25" s="14">
        <f>НОВЫЙ!F24</f>
        <v>560625.21499999997</v>
      </c>
      <c r="S25" s="14">
        <f>НОВЫЙ!G24</f>
        <v>0</v>
      </c>
      <c r="T25" s="14">
        <f>НОВЫЙ!H24</f>
        <v>792.58500000000004</v>
      </c>
      <c r="U25" s="14">
        <f>НОВЫЙ!I24</f>
        <v>0</v>
      </c>
      <c r="V25" s="197"/>
      <c r="W25" s="201"/>
    </row>
    <row r="26" spans="1:23" s="81" customFormat="1" ht="25.5" customHeight="1" x14ac:dyDescent="0.25">
      <c r="A26" s="208"/>
      <c r="B26" s="202"/>
      <c r="C26" s="76">
        <v>2026</v>
      </c>
      <c r="D26" s="14">
        <f>'80-ПП'!E25</f>
        <v>0</v>
      </c>
      <c r="E26" s="14">
        <f>'80-ПП'!F25</f>
        <v>0</v>
      </c>
      <c r="F26" s="14">
        <f>'80-ПП'!G25</f>
        <v>0</v>
      </c>
      <c r="G26" s="14">
        <f>'80-ПП'!H25</f>
        <v>0</v>
      </c>
      <c r="H26" s="14">
        <f>'80-ПП'!I25</f>
        <v>0</v>
      </c>
      <c r="I26" s="198"/>
      <c r="J26" s="14">
        <f t="shared" si="15"/>
        <v>0</v>
      </c>
      <c r="K26" s="14">
        <f t="shared" si="16"/>
        <v>0</v>
      </c>
      <c r="L26" s="14">
        <f t="shared" si="17"/>
        <v>0</v>
      </c>
      <c r="M26" s="14">
        <f t="shared" si="18"/>
        <v>0</v>
      </c>
      <c r="N26" s="14">
        <f t="shared" si="19"/>
        <v>0</v>
      </c>
      <c r="O26" s="205"/>
      <c r="P26" s="76">
        <v>2026</v>
      </c>
      <c r="Q26" s="14">
        <f>НОВЫЙ!E25</f>
        <v>0</v>
      </c>
      <c r="R26" s="14">
        <f>НОВЫЙ!F25</f>
        <v>0</v>
      </c>
      <c r="S26" s="14">
        <f>НОВЫЙ!G25</f>
        <v>0</v>
      </c>
      <c r="T26" s="14">
        <f>НОВЫЙ!H25</f>
        <v>0</v>
      </c>
      <c r="U26" s="14">
        <f>НОВЫЙ!I25</f>
        <v>0</v>
      </c>
      <c r="V26" s="198"/>
      <c r="W26" s="202"/>
    </row>
    <row r="27" spans="1:23" s="98" customFormat="1" ht="25.5" customHeight="1" x14ac:dyDescent="0.25">
      <c r="A27" s="108" t="s">
        <v>806</v>
      </c>
      <c r="B27" s="108" t="s">
        <v>818</v>
      </c>
      <c r="C27" s="76" t="s">
        <v>8</v>
      </c>
      <c r="D27" s="100">
        <f>'80-ПП'!E26</f>
        <v>1681561.42818</v>
      </c>
      <c r="E27" s="100">
        <f>'80-ПП'!F26</f>
        <v>1645392.3293600001</v>
      </c>
      <c r="F27" s="100">
        <f>'80-ПП'!G26</f>
        <v>23683.307479999996</v>
      </c>
      <c r="G27" s="100">
        <f>'80-ПП'!H26</f>
        <v>12485.79134</v>
      </c>
      <c r="H27" s="100">
        <f>'80-ПП'!I26</f>
        <v>0</v>
      </c>
      <c r="I27" s="194"/>
      <c r="J27" s="14">
        <f t="shared" si="15"/>
        <v>39923.199239999987</v>
      </c>
      <c r="K27" s="14">
        <f t="shared" si="16"/>
        <v>0</v>
      </c>
      <c r="L27" s="14">
        <f t="shared" si="17"/>
        <v>0</v>
      </c>
      <c r="M27" s="14">
        <f t="shared" si="18"/>
        <v>39923.199240000002</v>
      </c>
      <c r="N27" s="14">
        <f t="shared" si="19"/>
        <v>0</v>
      </c>
      <c r="O27" s="195"/>
      <c r="P27" s="76" t="s">
        <v>8</v>
      </c>
      <c r="Q27" s="100">
        <f>НОВЫЙ!E26</f>
        <v>1721484.62742</v>
      </c>
      <c r="R27" s="100">
        <f>НОВЫЙ!F26</f>
        <v>1645392.3293600001</v>
      </c>
      <c r="S27" s="100">
        <f>НОВЫЙ!G26</f>
        <v>23683.307479999996</v>
      </c>
      <c r="T27" s="100">
        <f>НОВЫЙ!H26</f>
        <v>52408.990579999998</v>
      </c>
      <c r="U27" s="100">
        <f>НОВЫЙ!I26</f>
        <v>0</v>
      </c>
      <c r="V27" s="194"/>
      <c r="W27" s="214"/>
    </row>
    <row r="28" spans="1:23" s="98" customFormat="1" ht="25.5" customHeight="1" x14ac:dyDescent="0.25">
      <c r="A28" s="109"/>
      <c r="B28" s="109"/>
      <c r="C28" s="76">
        <v>2021</v>
      </c>
      <c r="D28" s="100">
        <f>'80-ПП'!E27</f>
        <v>138607.88275000002</v>
      </c>
      <c r="E28" s="100">
        <f>'80-ПП'!F27</f>
        <v>118407.68375000001</v>
      </c>
      <c r="F28" s="100">
        <f>'80-ПП'!G27</f>
        <v>20200.198999999997</v>
      </c>
      <c r="G28" s="100">
        <f>'80-ПП'!H27</f>
        <v>0</v>
      </c>
      <c r="H28" s="100">
        <f>'80-ПП'!I27</f>
        <v>0</v>
      </c>
      <c r="I28" s="194"/>
      <c r="J28" s="14">
        <f t="shared" ref="J28:J55" si="20">Q28-D28</f>
        <v>0</v>
      </c>
      <c r="K28" s="14">
        <f t="shared" ref="K28:K55" si="21">R28-E28</f>
        <v>0</v>
      </c>
      <c r="L28" s="14">
        <f t="shared" ref="L28:L55" si="22">S28-F28</f>
        <v>0</v>
      </c>
      <c r="M28" s="14">
        <f t="shared" ref="M28:M55" si="23">T28-G28</f>
        <v>0</v>
      </c>
      <c r="N28" s="14">
        <f t="shared" ref="N28:N55" si="24">U28-H28</f>
        <v>0</v>
      </c>
      <c r="O28" s="195"/>
      <c r="P28" s="76">
        <v>2021</v>
      </c>
      <c r="Q28" s="100">
        <f>НОВЫЙ!E27</f>
        <v>138607.88275000002</v>
      </c>
      <c r="R28" s="100">
        <f>НОВЫЙ!F27</f>
        <v>118407.68375000001</v>
      </c>
      <c r="S28" s="100">
        <f>НОВЫЙ!G27</f>
        <v>20200.198999999997</v>
      </c>
      <c r="T28" s="100">
        <f>НОВЫЙ!H27</f>
        <v>0</v>
      </c>
      <c r="U28" s="100">
        <f>НОВЫЙ!I27</f>
        <v>0</v>
      </c>
      <c r="V28" s="194"/>
      <c r="W28" s="214"/>
    </row>
    <row r="29" spans="1:23" s="98" customFormat="1" ht="25.5" customHeight="1" x14ac:dyDescent="0.25">
      <c r="A29" s="109"/>
      <c r="B29" s="109"/>
      <c r="C29" s="76">
        <v>2022</v>
      </c>
      <c r="D29" s="100">
        <f>'80-ПП'!E28</f>
        <v>284204.41166000004</v>
      </c>
      <c r="E29" s="100">
        <f>'80-ПП'!F28</f>
        <v>281836.93466000003</v>
      </c>
      <c r="F29" s="100">
        <f>'80-ПП'!G28</f>
        <v>2367.4769999999999</v>
      </c>
      <c r="G29" s="100">
        <f>'80-ПП'!H28</f>
        <v>0</v>
      </c>
      <c r="H29" s="100">
        <f>'80-ПП'!I28</f>
        <v>0</v>
      </c>
      <c r="I29" s="194"/>
      <c r="J29" s="14">
        <f t="shared" si="20"/>
        <v>0</v>
      </c>
      <c r="K29" s="14">
        <f t="shared" si="21"/>
        <v>0</v>
      </c>
      <c r="L29" s="14">
        <f t="shared" si="22"/>
        <v>0</v>
      </c>
      <c r="M29" s="14">
        <f t="shared" si="23"/>
        <v>0</v>
      </c>
      <c r="N29" s="14">
        <f t="shared" si="24"/>
        <v>0</v>
      </c>
      <c r="O29" s="195"/>
      <c r="P29" s="76">
        <v>2022</v>
      </c>
      <c r="Q29" s="100">
        <f>НОВЫЙ!E28</f>
        <v>284204.41166000004</v>
      </c>
      <c r="R29" s="100">
        <f>НОВЫЙ!F28</f>
        <v>281836.93466000003</v>
      </c>
      <c r="S29" s="100">
        <f>НОВЫЙ!G28</f>
        <v>2367.4769999999999</v>
      </c>
      <c r="T29" s="100">
        <f>НОВЫЙ!H28</f>
        <v>0</v>
      </c>
      <c r="U29" s="100">
        <f>НОВЫЙ!I28</f>
        <v>0</v>
      </c>
      <c r="V29" s="194"/>
      <c r="W29" s="214"/>
    </row>
    <row r="30" spans="1:23" s="98" customFormat="1" ht="25.5" customHeight="1" x14ac:dyDescent="0.25">
      <c r="A30" s="109"/>
      <c r="B30" s="109"/>
      <c r="C30" s="76">
        <v>2023</v>
      </c>
      <c r="D30" s="100">
        <f>'80-ПП'!E29</f>
        <v>296877.74302999995</v>
      </c>
      <c r="E30" s="100">
        <f>'80-ПП'!F29</f>
        <v>283276.32020999998</v>
      </c>
      <c r="F30" s="100">
        <f>'80-ПП'!G29</f>
        <v>1115.63148</v>
      </c>
      <c r="G30" s="100">
        <f>'80-ПП'!H29</f>
        <v>12485.79134</v>
      </c>
      <c r="H30" s="100">
        <f>'80-ПП'!I29</f>
        <v>0</v>
      </c>
      <c r="I30" s="194"/>
      <c r="J30" s="14">
        <f t="shared" si="20"/>
        <v>0</v>
      </c>
      <c r="K30" s="14">
        <f t="shared" si="21"/>
        <v>0</v>
      </c>
      <c r="L30" s="14">
        <f t="shared" si="22"/>
        <v>0</v>
      </c>
      <c r="M30" s="14">
        <f t="shared" si="23"/>
        <v>0</v>
      </c>
      <c r="N30" s="14">
        <f t="shared" si="24"/>
        <v>0</v>
      </c>
      <c r="O30" s="195"/>
      <c r="P30" s="76">
        <v>2023</v>
      </c>
      <c r="Q30" s="100">
        <f>НОВЫЙ!E29</f>
        <v>296877.74302999995</v>
      </c>
      <c r="R30" s="100">
        <f>НОВЫЙ!F29</f>
        <v>283276.32020999998</v>
      </c>
      <c r="S30" s="100">
        <f>НОВЫЙ!G29</f>
        <v>1115.63148</v>
      </c>
      <c r="T30" s="100">
        <f>НОВЫЙ!H29</f>
        <v>12485.79134</v>
      </c>
      <c r="U30" s="100">
        <f>НОВЫЙ!I29</f>
        <v>0</v>
      </c>
      <c r="V30" s="194"/>
      <c r="W30" s="214"/>
    </row>
    <row r="31" spans="1:23" s="98" customFormat="1" ht="25.5" customHeight="1" x14ac:dyDescent="0.25">
      <c r="A31" s="109"/>
      <c r="B31" s="109"/>
      <c r="C31" s="76">
        <v>2024</v>
      </c>
      <c r="D31" s="100">
        <f>'80-ПП'!E30</f>
        <v>466756.59357999999</v>
      </c>
      <c r="E31" s="100">
        <f>'80-ПП'!F30</f>
        <v>466756.59357999999</v>
      </c>
      <c r="F31" s="100">
        <f>'80-ПП'!G30</f>
        <v>0</v>
      </c>
      <c r="G31" s="100">
        <f>'80-ПП'!H30</f>
        <v>0</v>
      </c>
      <c r="H31" s="100">
        <f>'80-ПП'!I30</f>
        <v>0</v>
      </c>
      <c r="I31" s="194"/>
      <c r="J31" s="14">
        <f t="shared" si="20"/>
        <v>39923.199239999987</v>
      </c>
      <c r="K31" s="14">
        <f t="shared" si="21"/>
        <v>0</v>
      </c>
      <c r="L31" s="14">
        <f t="shared" si="22"/>
        <v>0</v>
      </c>
      <c r="M31" s="14">
        <f t="shared" si="23"/>
        <v>39923.199240000002</v>
      </c>
      <c r="N31" s="14">
        <f t="shared" si="24"/>
        <v>0</v>
      </c>
      <c r="O31" s="195"/>
      <c r="P31" s="76">
        <v>2024</v>
      </c>
      <c r="Q31" s="100">
        <f>НОВЫЙ!E30</f>
        <v>506679.79281999997</v>
      </c>
      <c r="R31" s="100">
        <f>НОВЫЙ!F30</f>
        <v>466756.59357999999</v>
      </c>
      <c r="S31" s="100">
        <f>НОВЫЙ!G30</f>
        <v>0</v>
      </c>
      <c r="T31" s="100">
        <f>НОВЫЙ!H30</f>
        <v>39923.199240000002</v>
      </c>
      <c r="U31" s="100">
        <f>НОВЫЙ!I30</f>
        <v>0</v>
      </c>
      <c r="V31" s="194"/>
      <c r="W31" s="214"/>
    </row>
    <row r="32" spans="1:23" s="98" customFormat="1" ht="25.5" customHeight="1" x14ac:dyDescent="0.25">
      <c r="A32" s="109"/>
      <c r="B32" s="109"/>
      <c r="C32" s="76">
        <v>2025</v>
      </c>
      <c r="D32" s="100">
        <f>'80-ПП'!E31</f>
        <v>247557.39858000001</v>
      </c>
      <c r="E32" s="100">
        <f>'80-ПП'!F31</f>
        <v>247557.39858000001</v>
      </c>
      <c r="F32" s="100">
        <f>'80-ПП'!G31</f>
        <v>0</v>
      </c>
      <c r="G32" s="100">
        <f>'80-ПП'!H31</f>
        <v>0</v>
      </c>
      <c r="H32" s="100">
        <f>'80-ПП'!I31</f>
        <v>0</v>
      </c>
      <c r="I32" s="194"/>
      <c r="J32" s="14">
        <f t="shared" si="20"/>
        <v>0</v>
      </c>
      <c r="K32" s="14">
        <f t="shared" si="21"/>
        <v>0</v>
      </c>
      <c r="L32" s="14">
        <f t="shared" si="22"/>
        <v>0</v>
      </c>
      <c r="M32" s="14">
        <f t="shared" si="23"/>
        <v>0</v>
      </c>
      <c r="N32" s="14">
        <f t="shared" si="24"/>
        <v>0</v>
      </c>
      <c r="O32" s="195"/>
      <c r="P32" s="76">
        <v>2025</v>
      </c>
      <c r="Q32" s="100">
        <f>НОВЫЙ!E31</f>
        <v>247557.39858000001</v>
      </c>
      <c r="R32" s="100">
        <f>НОВЫЙ!F31</f>
        <v>247557.39858000001</v>
      </c>
      <c r="S32" s="100">
        <f>НОВЫЙ!G31</f>
        <v>0</v>
      </c>
      <c r="T32" s="100">
        <f>НОВЫЙ!H31</f>
        <v>0</v>
      </c>
      <c r="U32" s="100">
        <f>НОВЫЙ!I31</f>
        <v>0</v>
      </c>
      <c r="V32" s="194"/>
      <c r="W32" s="214"/>
    </row>
    <row r="33" spans="1:23" s="98" customFormat="1" ht="25.5" customHeight="1" x14ac:dyDescent="0.25">
      <c r="A33" s="110"/>
      <c r="B33" s="110"/>
      <c r="C33" s="76">
        <v>2026</v>
      </c>
      <c r="D33" s="100">
        <f>'80-ПП'!E32</f>
        <v>247557.39858000001</v>
      </c>
      <c r="E33" s="100">
        <f>'80-ПП'!F32</f>
        <v>247557.39858000001</v>
      </c>
      <c r="F33" s="100">
        <f>'80-ПП'!G32</f>
        <v>0</v>
      </c>
      <c r="G33" s="100">
        <f>'80-ПП'!H32</f>
        <v>0</v>
      </c>
      <c r="H33" s="100">
        <f>'80-ПП'!I32</f>
        <v>0</v>
      </c>
      <c r="I33" s="194"/>
      <c r="J33" s="14">
        <f t="shared" si="20"/>
        <v>0</v>
      </c>
      <c r="K33" s="14">
        <f t="shared" si="21"/>
        <v>0</v>
      </c>
      <c r="L33" s="14">
        <f t="shared" si="22"/>
        <v>0</v>
      </c>
      <c r="M33" s="14">
        <f t="shared" si="23"/>
        <v>0</v>
      </c>
      <c r="N33" s="14">
        <f t="shared" si="24"/>
        <v>0</v>
      </c>
      <c r="O33" s="195"/>
      <c r="P33" s="76">
        <v>2026</v>
      </c>
      <c r="Q33" s="100">
        <f>НОВЫЙ!E32</f>
        <v>247557.39858000001</v>
      </c>
      <c r="R33" s="100">
        <f>НОВЫЙ!F32</f>
        <v>247557.39858000001</v>
      </c>
      <c r="S33" s="100">
        <f>НОВЫЙ!G32</f>
        <v>0</v>
      </c>
      <c r="T33" s="100">
        <f>НОВЫЙ!H32</f>
        <v>0</v>
      </c>
      <c r="U33" s="100">
        <f>НОВЫЙ!I32</f>
        <v>0</v>
      </c>
      <c r="V33" s="194"/>
      <c r="W33" s="214"/>
    </row>
    <row r="34" spans="1:23" s="98" customFormat="1" ht="25.5" customHeight="1" x14ac:dyDescent="0.25">
      <c r="A34" s="108" t="s">
        <v>30</v>
      </c>
      <c r="B34" s="108" t="s">
        <v>608</v>
      </c>
      <c r="C34" s="76" t="s">
        <v>8</v>
      </c>
      <c r="D34" s="100">
        <f>'80-ПП'!E57</f>
        <v>1598584.7174299997</v>
      </c>
      <c r="E34" s="100">
        <f>'80-ПП'!F57</f>
        <v>1586098.9260899997</v>
      </c>
      <c r="F34" s="100">
        <f>'80-ПП'!G57</f>
        <v>0</v>
      </c>
      <c r="G34" s="100">
        <f>'80-ПП'!H57</f>
        <v>12485.79134</v>
      </c>
      <c r="H34" s="100">
        <f>'80-ПП'!I57</f>
        <v>0</v>
      </c>
      <c r="I34" s="194"/>
      <c r="J34" s="14">
        <f t="shared" si="20"/>
        <v>39923.199239999987</v>
      </c>
      <c r="K34" s="14">
        <f t="shared" si="21"/>
        <v>0</v>
      </c>
      <c r="L34" s="14">
        <f t="shared" si="22"/>
        <v>0</v>
      </c>
      <c r="M34" s="14">
        <f t="shared" si="23"/>
        <v>39923.199240000002</v>
      </c>
      <c r="N34" s="14">
        <f t="shared" si="24"/>
        <v>0</v>
      </c>
      <c r="O34" s="195"/>
      <c r="P34" s="76" t="s">
        <v>8</v>
      </c>
      <c r="Q34" s="100">
        <f>НОВЫЙ!E61</f>
        <v>1638507.9166699997</v>
      </c>
      <c r="R34" s="100">
        <f>НОВЫЙ!F61</f>
        <v>1586098.9260899997</v>
      </c>
      <c r="S34" s="100">
        <f>НОВЫЙ!G61</f>
        <v>0</v>
      </c>
      <c r="T34" s="100">
        <f>НОВЫЙ!H61</f>
        <v>52408.990579999998</v>
      </c>
      <c r="U34" s="100">
        <f>НОВЫЙ!I61</f>
        <v>0</v>
      </c>
      <c r="V34" s="194"/>
      <c r="W34" s="214"/>
    </row>
    <row r="35" spans="1:23" s="98" customFormat="1" ht="25.5" customHeight="1" x14ac:dyDescent="0.25">
      <c r="A35" s="109"/>
      <c r="B35" s="109"/>
      <c r="C35" s="76">
        <v>2021</v>
      </c>
      <c r="D35" s="100">
        <f>'80-ПП'!E58</f>
        <v>108436.894</v>
      </c>
      <c r="E35" s="100">
        <f>'80-ПП'!F58</f>
        <v>108436.894</v>
      </c>
      <c r="F35" s="100">
        <f>'80-ПП'!G58</f>
        <v>0</v>
      </c>
      <c r="G35" s="100">
        <f>'80-ПП'!H58</f>
        <v>0</v>
      </c>
      <c r="H35" s="100">
        <f>'80-ПП'!I58</f>
        <v>0</v>
      </c>
      <c r="I35" s="194"/>
      <c r="J35" s="14">
        <f t="shared" si="20"/>
        <v>0</v>
      </c>
      <c r="K35" s="14">
        <f t="shared" si="21"/>
        <v>0</v>
      </c>
      <c r="L35" s="14">
        <f t="shared" si="22"/>
        <v>0</v>
      </c>
      <c r="M35" s="14">
        <f t="shared" si="23"/>
        <v>0</v>
      </c>
      <c r="N35" s="14">
        <f t="shared" si="24"/>
        <v>0</v>
      </c>
      <c r="O35" s="195"/>
      <c r="P35" s="76">
        <v>2021</v>
      </c>
      <c r="Q35" s="100">
        <f>НОВЫЙ!E62</f>
        <v>108436.894</v>
      </c>
      <c r="R35" s="100">
        <f>НОВЫЙ!F62</f>
        <v>108436.894</v>
      </c>
      <c r="S35" s="100">
        <f>НОВЫЙ!G62</f>
        <v>0</v>
      </c>
      <c r="T35" s="100">
        <f>НОВЫЙ!H62</f>
        <v>0</v>
      </c>
      <c r="U35" s="100">
        <f>НОВЫЙ!I62</f>
        <v>0</v>
      </c>
      <c r="V35" s="194"/>
      <c r="W35" s="214"/>
    </row>
    <row r="36" spans="1:23" s="98" customFormat="1" ht="25.5" customHeight="1" x14ac:dyDescent="0.25">
      <c r="A36" s="109"/>
      <c r="B36" s="109"/>
      <c r="C36" s="76">
        <v>2022</v>
      </c>
      <c r="D36" s="100">
        <f>'80-ПП'!E59</f>
        <v>274226.68966000003</v>
      </c>
      <c r="E36" s="100">
        <f>'80-ПП'!F59</f>
        <v>274226.68966000003</v>
      </c>
      <c r="F36" s="100">
        <f>'80-ПП'!G59</f>
        <v>0</v>
      </c>
      <c r="G36" s="100">
        <f>'80-ПП'!H59</f>
        <v>0</v>
      </c>
      <c r="H36" s="100">
        <f>'80-ПП'!I59</f>
        <v>0</v>
      </c>
      <c r="I36" s="194"/>
      <c r="J36" s="14">
        <f t="shared" si="20"/>
        <v>0</v>
      </c>
      <c r="K36" s="14">
        <f t="shared" si="21"/>
        <v>0</v>
      </c>
      <c r="L36" s="14">
        <f t="shared" si="22"/>
        <v>0</v>
      </c>
      <c r="M36" s="14">
        <f t="shared" si="23"/>
        <v>0</v>
      </c>
      <c r="N36" s="14">
        <f t="shared" si="24"/>
        <v>0</v>
      </c>
      <c r="O36" s="195"/>
      <c r="P36" s="76">
        <v>2022</v>
      </c>
      <c r="Q36" s="100">
        <f>НОВЫЙ!E63</f>
        <v>274226.68966000003</v>
      </c>
      <c r="R36" s="100">
        <f>НОВЫЙ!F63</f>
        <v>274226.68966000003</v>
      </c>
      <c r="S36" s="100">
        <f>НОВЫЙ!G63</f>
        <v>0</v>
      </c>
      <c r="T36" s="100">
        <f>НОВЫЙ!H63</f>
        <v>0</v>
      </c>
      <c r="U36" s="100">
        <f>НОВЫЙ!I63</f>
        <v>0</v>
      </c>
      <c r="V36" s="194"/>
      <c r="W36" s="214"/>
    </row>
    <row r="37" spans="1:23" s="98" customFormat="1" ht="25.5" customHeight="1" x14ac:dyDescent="0.25">
      <c r="A37" s="109"/>
      <c r="B37" s="109"/>
      <c r="C37" s="76">
        <v>2023</v>
      </c>
      <c r="D37" s="100">
        <f>'80-ПП'!E60</f>
        <v>286735.94302999997</v>
      </c>
      <c r="E37" s="100">
        <f>'80-ПП'!F60</f>
        <v>274250.15168999997</v>
      </c>
      <c r="F37" s="100">
        <f>'80-ПП'!G60</f>
        <v>0</v>
      </c>
      <c r="G37" s="100">
        <f>'80-ПП'!H60</f>
        <v>12485.79134</v>
      </c>
      <c r="H37" s="100">
        <f>'80-ПП'!I60</f>
        <v>0</v>
      </c>
      <c r="I37" s="194"/>
      <c r="J37" s="14">
        <f t="shared" si="20"/>
        <v>0</v>
      </c>
      <c r="K37" s="14">
        <f t="shared" si="21"/>
        <v>0</v>
      </c>
      <c r="L37" s="14">
        <f t="shared" si="22"/>
        <v>0</v>
      </c>
      <c r="M37" s="14">
        <f t="shared" si="23"/>
        <v>0</v>
      </c>
      <c r="N37" s="14">
        <f t="shared" si="24"/>
        <v>0</v>
      </c>
      <c r="O37" s="195"/>
      <c r="P37" s="76">
        <v>2023</v>
      </c>
      <c r="Q37" s="100">
        <f>НОВЫЙ!E64</f>
        <v>286735.94302999997</v>
      </c>
      <c r="R37" s="100">
        <f>НОВЫЙ!F64</f>
        <v>274250.15168999997</v>
      </c>
      <c r="S37" s="100">
        <f>НОВЫЙ!G64</f>
        <v>0</v>
      </c>
      <c r="T37" s="100">
        <f>НОВЫЙ!H64</f>
        <v>12485.79134</v>
      </c>
      <c r="U37" s="100">
        <f>НОВЫЙ!I64</f>
        <v>0</v>
      </c>
      <c r="V37" s="194"/>
      <c r="W37" s="214"/>
    </row>
    <row r="38" spans="1:23" s="98" customFormat="1" ht="25.5" customHeight="1" x14ac:dyDescent="0.25">
      <c r="A38" s="109"/>
      <c r="B38" s="109"/>
      <c r="C38" s="76">
        <v>2024</v>
      </c>
      <c r="D38" s="100">
        <f>'80-ПП'!E61</f>
        <v>448388.59357999999</v>
      </c>
      <c r="E38" s="100">
        <f>'80-ПП'!F61</f>
        <v>448388.59357999999</v>
      </c>
      <c r="F38" s="100">
        <f>'80-ПП'!G61</f>
        <v>0</v>
      </c>
      <c r="G38" s="100">
        <f>'80-ПП'!H61</f>
        <v>0</v>
      </c>
      <c r="H38" s="100">
        <f>'80-ПП'!I61</f>
        <v>0</v>
      </c>
      <c r="I38" s="194"/>
      <c r="J38" s="14">
        <f t="shared" si="20"/>
        <v>39923.199239999987</v>
      </c>
      <c r="K38" s="14">
        <f t="shared" si="21"/>
        <v>0</v>
      </c>
      <c r="L38" s="14">
        <f t="shared" si="22"/>
        <v>0</v>
      </c>
      <c r="M38" s="14">
        <f t="shared" si="23"/>
        <v>39923.199240000002</v>
      </c>
      <c r="N38" s="14">
        <f t="shared" si="24"/>
        <v>0</v>
      </c>
      <c r="O38" s="195"/>
      <c r="P38" s="76">
        <v>2024</v>
      </c>
      <c r="Q38" s="100">
        <f>НОВЫЙ!E65</f>
        <v>488311.79281999997</v>
      </c>
      <c r="R38" s="100">
        <f>НОВЫЙ!F65</f>
        <v>448388.59357999999</v>
      </c>
      <c r="S38" s="100">
        <f>НОВЫЙ!G65</f>
        <v>0</v>
      </c>
      <c r="T38" s="100">
        <f>НОВЫЙ!H65</f>
        <v>39923.199240000002</v>
      </c>
      <c r="U38" s="100">
        <f>НОВЫЙ!I65</f>
        <v>0</v>
      </c>
      <c r="V38" s="194"/>
      <c r="W38" s="214"/>
    </row>
    <row r="39" spans="1:23" s="98" customFormat="1" ht="25.5" customHeight="1" x14ac:dyDescent="0.25">
      <c r="A39" s="109"/>
      <c r="B39" s="109"/>
      <c r="C39" s="76">
        <v>2025</v>
      </c>
      <c r="D39" s="100">
        <f>'80-ПП'!E62</f>
        <v>240398.29858</v>
      </c>
      <c r="E39" s="100">
        <f>'80-ПП'!F62</f>
        <v>240398.29858</v>
      </c>
      <c r="F39" s="100">
        <f>'80-ПП'!G62</f>
        <v>0</v>
      </c>
      <c r="G39" s="100">
        <f>'80-ПП'!H62</f>
        <v>0</v>
      </c>
      <c r="H39" s="100">
        <f>'80-ПП'!I62</f>
        <v>0</v>
      </c>
      <c r="I39" s="194"/>
      <c r="J39" s="14">
        <f t="shared" si="20"/>
        <v>0</v>
      </c>
      <c r="K39" s="14">
        <f t="shared" si="21"/>
        <v>0</v>
      </c>
      <c r="L39" s="14">
        <f t="shared" si="22"/>
        <v>0</v>
      </c>
      <c r="M39" s="14">
        <f t="shared" si="23"/>
        <v>0</v>
      </c>
      <c r="N39" s="14">
        <f t="shared" si="24"/>
        <v>0</v>
      </c>
      <c r="O39" s="195"/>
      <c r="P39" s="76">
        <v>2025</v>
      </c>
      <c r="Q39" s="100">
        <f>НОВЫЙ!E66</f>
        <v>240398.29858</v>
      </c>
      <c r="R39" s="100">
        <f>НОВЫЙ!F66</f>
        <v>240398.29858</v>
      </c>
      <c r="S39" s="100">
        <f>НОВЫЙ!G66</f>
        <v>0</v>
      </c>
      <c r="T39" s="100">
        <f>НОВЫЙ!H66</f>
        <v>0</v>
      </c>
      <c r="U39" s="100">
        <f>НОВЫЙ!I66</f>
        <v>0</v>
      </c>
      <c r="V39" s="194"/>
      <c r="W39" s="214"/>
    </row>
    <row r="40" spans="1:23" s="98" customFormat="1" ht="25.5" customHeight="1" x14ac:dyDescent="0.25">
      <c r="A40" s="110"/>
      <c r="B40" s="110"/>
      <c r="C40" s="76">
        <v>2026</v>
      </c>
      <c r="D40" s="100">
        <f>'80-ПП'!E63</f>
        <v>240398.29858</v>
      </c>
      <c r="E40" s="100">
        <f>'80-ПП'!F63</f>
        <v>240398.29858</v>
      </c>
      <c r="F40" s="100">
        <f>'80-ПП'!G63</f>
        <v>0</v>
      </c>
      <c r="G40" s="100">
        <f>'80-ПП'!H63</f>
        <v>0</v>
      </c>
      <c r="H40" s="100">
        <f>'80-ПП'!I63</f>
        <v>0</v>
      </c>
      <c r="I40" s="194"/>
      <c r="J40" s="14">
        <f t="shared" si="20"/>
        <v>0</v>
      </c>
      <c r="K40" s="14">
        <f t="shared" si="21"/>
        <v>0</v>
      </c>
      <c r="L40" s="14">
        <f t="shared" si="22"/>
        <v>0</v>
      </c>
      <c r="M40" s="14">
        <f t="shared" si="23"/>
        <v>0</v>
      </c>
      <c r="N40" s="14">
        <f t="shared" si="24"/>
        <v>0</v>
      </c>
      <c r="O40" s="195"/>
      <c r="P40" s="76">
        <v>2026</v>
      </c>
      <c r="Q40" s="100">
        <f>НОВЫЙ!E67</f>
        <v>240398.29858</v>
      </c>
      <c r="R40" s="100">
        <f>НОВЫЙ!F67</f>
        <v>240398.29858</v>
      </c>
      <c r="S40" s="100">
        <f>НОВЫЙ!G67</f>
        <v>0</v>
      </c>
      <c r="T40" s="100">
        <f>НОВЫЙ!H67</f>
        <v>0</v>
      </c>
      <c r="U40" s="100">
        <f>НОВЫЙ!I67</f>
        <v>0</v>
      </c>
      <c r="V40" s="194"/>
      <c r="W40" s="214"/>
    </row>
    <row r="41" spans="1:23" s="98" customFormat="1" ht="25.5" customHeight="1" x14ac:dyDescent="0.25">
      <c r="A41" s="108" t="s">
        <v>1123</v>
      </c>
      <c r="B41" s="108" t="s">
        <v>1124</v>
      </c>
      <c r="C41" s="76" t="s">
        <v>8</v>
      </c>
      <c r="D41" s="100">
        <f>'80-ПП'!E136</f>
        <v>41210.526319999997</v>
      </c>
      <c r="E41" s="100">
        <f>'80-ПП'!F136</f>
        <v>36000</v>
      </c>
      <c r="F41" s="100">
        <f>'80-ПП'!G136</f>
        <v>0</v>
      </c>
      <c r="G41" s="100">
        <f>'80-ПП'!H136</f>
        <v>5210.5263199999999</v>
      </c>
      <c r="H41" s="100">
        <f>'80-ПП'!I136</f>
        <v>0</v>
      </c>
      <c r="I41" s="196"/>
      <c r="J41" s="14">
        <f t="shared" si="20"/>
        <v>1638.5408000000025</v>
      </c>
      <c r="K41" s="14">
        <f t="shared" si="21"/>
        <v>0</v>
      </c>
      <c r="L41" s="14">
        <f t="shared" si="22"/>
        <v>0</v>
      </c>
      <c r="M41" s="14">
        <f t="shared" si="23"/>
        <v>1638.5407999999998</v>
      </c>
      <c r="N41" s="14">
        <f t="shared" si="24"/>
        <v>0</v>
      </c>
      <c r="O41" s="195"/>
      <c r="P41" s="76" t="s">
        <v>8</v>
      </c>
      <c r="Q41" s="100">
        <f>НОВЫЙ!E144</f>
        <v>42849.06712</v>
      </c>
      <c r="R41" s="100">
        <f>НОВЫЙ!F144</f>
        <v>36000</v>
      </c>
      <c r="S41" s="100">
        <f>НОВЫЙ!G144</f>
        <v>0</v>
      </c>
      <c r="T41" s="100">
        <f>НОВЫЙ!H144</f>
        <v>6849.0671199999997</v>
      </c>
      <c r="U41" s="100">
        <f>НОВЫЙ!I144</f>
        <v>0</v>
      </c>
      <c r="V41" s="194"/>
      <c r="W41" s="214" t="s">
        <v>1810</v>
      </c>
    </row>
    <row r="42" spans="1:23" s="98" customFormat="1" ht="25.5" customHeight="1" x14ac:dyDescent="0.25">
      <c r="A42" s="109"/>
      <c r="B42" s="109"/>
      <c r="C42" s="76">
        <v>2021</v>
      </c>
      <c r="D42" s="100">
        <f>'80-ПП'!E137</f>
        <v>0</v>
      </c>
      <c r="E42" s="100">
        <f>'80-ПП'!F137</f>
        <v>0</v>
      </c>
      <c r="F42" s="100">
        <f>'80-ПП'!G137</f>
        <v>0</v>
      </c>
      <c r="G42" s="100">
        <f>'80-ПП'!H137</f>
        <v>0</v>
      </c>
      <c r="H42" s="100">
        <f>'80-ПП'!I137</f>
        <v>0</v>
      </c>
      <c r="I42" s="197"/>
      <c r="J42" s="14">
        <f t="shared" si="20"/>
        <v>0</v>
      </c>
      <c r="K42" s="14">
        <f t="shared" si="21"/>
        <v>0</v>
      </c>
      <c r="L42" s="14">
        <f t="shared" si="22"/>
        <v>0</v>
      </c>
      <c r="M42" s="14">
        <f t="shared" si="23"/>
        <v>0</v>
      </c>
      <c r="N42" s="14">
        <f t="shared" si="24"/>
        <v>0</v>
      </c>
      <c r="O42" s="195"/>
      <c r="P42" s="76">
        <v>2021</v>
      </c>
      <c r="Q42" s="100">
        <f>НОВЫЙ!E145</f>
        <v>0</v>
      </c>
      <c r="R42" s="100">
        <f>НОВЫЙ!F145</f>
        <v>0</v>
      </c>
      <c r="S42" s="100">
        <f>НОВЫЙ!G145</f>
        <v>0</v>
      </c>
      <c r="T42" s="100">
        <f>НОВЫЙ!H145</f>
        <v>0</v>
      </c>
      <c r="U42" s="100">
        <f>НОВЫЙ!I145</f>
        <v>0</v>
      </c>
      <c r="V42" s="194"/>
      <c r="W42" s="214"/>
    </row>
    <row r="43" spans="1:23" s="98" customFormat="1" ht="25.5" customHeight="1" x14ac:dyDescent="0.25">
      <c r="A43" s="109"/>
      <c r="B43" s="109"/>
      <c r="C43" s="76">
        <v>2022</v>
      </c>
      <c r="D43" s="100">
        <f>'80-ПП'!E138</f>
        <v>0</v>
      </c>
      <c r="E43" s="100">
        <f>'80-ПП'!F138</f>
        <v>0</v>
      </c>
      <c r="F43" s="100">
        <f>'80-ПП'!G138</f>
        <v>0</v>
      </c>
      <c r="G43" s="100">
        <f>'80-ПП'!H138</f>
        <v>0</v>
      </c>
      <c r="H43" s="100">
        <f>'80-ПП'!I138</f>
        <v>0</v>
      </c>
      <c r="I43" s="197"/>
      <c r="J43" s="14">
        <f t="shared" si="20"/>
        <v>0</v>
      </c>
      <c r="K43" s="14">
        <f t="shared" si="21"/>
        <v>0</v>
      </c>
      <c r="L43" s="14">
        <f t="shared" si="22"/>
        <v>0</v>
      </c>
      <c r="M43" s="14">
        <f t="shared" si="23"/>
        <v>0</v>
      </c>
      <c r="N43" s="14">
        <f t="shared" si="24"/>
        <v>0</v>
      </c>
      <c r="O43" s="195"/>
      <c r="P43" s="76">
        <v>2022</v>
      </c>
      <c r="Q43" s="100">
        <f>НОВЫЙ!E146</f>
        <v>0</v>
      </c>
      <c r="R43" s="100">
        <f>НОВЫЙ!F146</f>
        <v>0</v>
      </c>
      <c r="S43" s="100">
        <f>НОВЫЙ!G146</f>
        <v>0</v>
      </c>
      <c r="T43" s="100">
        <f>НОВЫЙ!H146</f>
        <v>0</v>
      </c>
      <c r="U43" s="100">
        <f>НОВЫЙ!I146</f>
        <v>0</v>
      </c>
      <c r="V43" s="194"/>
      <c r="W43" s="214"/>
    </row>
    <row r="44" spans="1:23" s="98" customFormat="1" ht="25.5" customHeight="1" x14ac:dyDescent="0.25">
      <c r="A44" s="109"/>
      <c r="B44" s="109"/>
      <c r="C44" s="76">
        <v>2023</v>
      </c>
      <c r="D44" s="100">
        <f>'80-ПП'!E139</f>
        <v>14210.526320000001</v>
      </c>
      <c r="E44" s="100">
        <f>'80-ПП'!F139</f>
        <v>9000</v>
      </c>
      <c r="F44" s="100">
        <f>'80-ПП'!G139</f>
        <v>0</v>
      </c>
      <c r="G44" s="100">
        <f>'80-ПП'!H139</f>
        <v>5210.5263199999999</v>
      </c>
      <c r="H44" s="100">
        <f>'80-ПП'!I139</f>
        <v>0</v>
      </c>
      <c r="I44" s="197"/>
      <c r="J44" s="14">
        <f t="shared" si="20"/>
        <v>0</v>
      </c>
      <c r="K44" s="14">
        <f t="shared" si="21"/>
        <v>0</v>
      </c>
      <c r="L44" s="14">
        <f t="shared" si="22"/>
        <v>0</v>
      </c>
      <c r="M44" s="14">
        <f t="shared" si="23"/>
        <v>0</v>
      </c>
      <c r="N44" s="14">
        <f t="shared" si="24"/>
        <v>0</v>
      </c>
      <c r="O44" s="195"/>
      <c r="P44" s="76">
        <v>2023</v>
      </c>
      <c r="Q44" s="100">
        <f>НОВЫЙ!E147</f>
        <v>14210.526320000001</v>
      </c>
      <c r="R44" s="100">
        <f>НОВЫЙ!F147</f>
        <v>9000</v>
      </c>
      <c r="S44" s="100">
        <f>НОВЫЙ!G147</f>
        <v>0</v>
      </c>
      <c r="T44" s="100">
        <f>НОВЫЙ!H147</f>
        <v>5210.5263199999999</v>
      </c>
      <c r="U44" s="100">
        <f>НОВЫЙ!I147</f>
        <v>0</v>
      </c>
      <c r="V44" s="194"/>
      <c r="W44" s="214"/>
    </row>
    <row r="45" spans="1:23" s="98" customFormat="1" ht="25.5" customHeight="1" x14ac:dyDescent="0.25">
      <c r="A45" s="109"/>
      <c r="B45" s="109"/>
      <c r="C45" s="76">
        <v>2024</v>
      </c>
      <c r="D45" s="100">
        <f>'80-ПП'!E140</f>
        <v>9000</v>
      </c>
      <c r="E45" s="100">
        <f>'80-ПП'!F140</f>
        <v>9000</v>
      </c>
      <c r="F45" s="100">
        <f>'80-ПП'!G140</f>
        <v>0</v>
      </c>
      <c r="G45" s="100">
        <f>'80-ПП'!H140</f>
        <v>0</v>
      </c>
      <c r="H45" s="100">
        <f>'80-ПП'!I140</f>
        <v>0</v>
      </c>
      <c r="I45" s="197"/>
      <c r="J45" s="14">
        <f t="shared" si="20"/>
        <v>1638.5408000000007</v>
      </c>
      <c r="K45" s="14">
        <f t="shared" si="21"/>
        <v>0</v>
      </c>
      <c r="L45" s="14">
        <f t="shared" si="22"/>
        <v>0</v>
      </c>
      <c r="M45" s="14">
        <f t="shared" si="23"/>
        <v>1638.5408</v>
      </c>
      <c r="N45" s="14">
        <f t="shared" si="24"/>
        <v>0</v>
      </c>
      <c r="O45" s="195"/>
      <c r="P45" s="76">
        <v>2024</v>
      </c>
      <c r="Q45" s="100">
        <f>НОВЫЙ!E148</f>
        <v>10638.540800000001</v>
      </c>
      <c r="R45" s="100">
        <f>НОВЫЙ!F148</f>
        <v>9000</v>
      </c>
      <c r="S45" s="100">
        <f>НОВЫЙ!G148</f>
        <v>0</v>
      </c>
      <c r="T45" s="100">
        <f>НОВЫЙ!H148</f>
        <v>1638.5408</v>
      </c>
      <c r="U45" s="100">
        <f>НОВЫЙ!I148</f>
        <v>0</v>
      </c>
      <c r="V45" s="194"/>
      <c r="W45" s="214"/>
    </row>
    <row r="46" spans="1:23" s="98" customFormat="1" ht="25.5" customHeight="1" x14ac:dyDescent="0.25">
      <c r="A46" s="109"/>
      <c r="B46" s="109"/>
      <c r="C46" s="76">
        <v>2025</v>
      </c>
      <c r="D46" s="100">
        <f>'80-ПП'!E141</f>
        <v>9000</v>
      </c>
      <c r="E46" s="100">
        <f>'80-ПП'!F141</f>
        <v>9000</v>
      </c>
      <c r="F46" s="100">
        <f>'80-ПП'!G141</f>
        <v>0</v>
      </c>
      <c r="G46" s="100">
        <f>'80-ПП'!H141</f>
        <v>0</v>
      </c>
      <c r="H46" s="100">
        <f>'80-ПП'!I141</f>
        <v>0</v>
      </c>
      <c r="I46" s="197"/>
      <c r="J46" s="14">
        <f t="shared" si="20"/>
        <v>0</v>
      </c>
      <c r="K46" s="14">
        <f t="shared" si="21"/>
        <v>0</v>
      </c>
      <c r="L46" s="14">
        <f t="shared" si="22"/>
        <v>0</v>
      </c>
      <c r="M46" s="14">
        <f t="shared" si="23"/>
        <v>0</v>
      </c>
      <c r="N46" s="14">
        <f t="shared" si="24"/>
        <v>0</v>
      </c>
      <c r="O46" s="195"/>
      <c r="P46" s="76">
        <v>2025</v>
      </c>
      <c r="Q46" s="100">
        <f>НОВЫЙ!E149</f>
        <v>9000</v>
      </c>
      <c r="R46" s="100">
        <f>НОВЫЙ!F149</f>
        <v>9000</v>
      </c>
      <c r="S46" s="100">
        <f>НОВЫЙ!G149</f>
        <v>0</v>
      </c>
      <c r="T46" s="100">
        <f>НОВЫЙ!H149</f>
        <v>0</v>
      </c>
      <c r="U46" s="100">
        <f>НОВЫЙ!I149</f>
        <v>0</v>
      </c>
      <c r="V46" s="194"/>
      <c r="W46" s="214"/>
    </row>
    <row r="47" spans="1:23" s="98" customFormat="1" ht="25.5" customHeight="1" x14ac:dyDescent="0.25">
      <c r="A47" s="110"/>
      <c r="B47" s="110"/>
      <c r="C47" s="76">
        <v>2026</v>
      </c>
      <c r="D47" s="100">
        <f>'80-ПП'!E142</f>
        <v>9000</v>
      </c>
      <c r="E47" s="100">
        <f>'80-ПП'!F142</f>
        <v>9000</v>
      </c>
      <c r="F47" s="100">
        <f>'80-ПП'!G142</f>
        <v>0</v>
      </c>
      <c r="G47" s="100">
        <f>'80-ПП'!H142</f>
        <v>0</v>
      </c>
      <c r="H47" s="100">
        <f>'80-ПП'!I142</f>
        <v>0</v>
      </c>
      <c r="I47" s="198"/>
      <c r="J47" s="14">
        <f t="shared" si="20"/>
        <v>0</v>
      </c>
      <c r="K47" s="14">
        <f t="shared" si="21"/>
        <v>0</v>
      </c>
      <c r="L47" s="14">
        <f t="shared" si="22"/>
        <v>0</v>
      </c>
      <c r="M47" s="14">
        <f t="shared" si="23"/>
        <v>0</v>
      </c>
      <c r="N47" s="14">
        <f t="shared" si="24"/>
        <v>0</v>
      </c>
      <c r="O47" s="195"/>
      <c r="P47" s="76">
        <v>2026</v>
      </c>
      <c r="Q47" s="100">
        <f>НОВЫЙ!E150</f>
        <v>9000</v>
      </c>
      <c r="R47" s="100">
        <f>НОВЫЙ!F150</f>
        <v>9000</v>
      </c>
      <c r="S47" s="100">
        <f>НОВЫЙ!G150</f>
        <v>0</v>
      </c>
      <c r="T47" s="100">
        <f>НОВЫЙ!H150</f>
        <v>0</v>
      </c>
      <c r="U47" s="100">
        <f>НОВЫЙ!I150</f>
        <v>0</v>
      </c>
      <c r="V47" s="194"/>
      <c r="W47" s="214"/>
    </row>
    <row r="48" spans="1:23" s="98" customFormat="1" ht="25.5" customHeight="1" x14ac:dyDescent="0.25">
      <c r="A48" s="108" t="s">
        <v>1126</v>
      </c>
      <c r="B48" s="108" t="s">
        <v>1127</v>
      </c>
      <c r="C48" s="76" t="s">
        <v>8</v>
      </c>
      <c r="D48" s="100">
        <f>'80-ПП'!E143</f>
        <v>250275.26501999999</v>
      </c>
      <c r="E48" s="100">
        <f>'80-ПП'!F143</f>
        <v>243000</v>
      </c>
      <c r="F48" s="100">
        <f>'80-ПП'!G143</f>
        <v>0</v>
      </c>
      <c r="G48" s="100">
        <f>'80-ПП'!H143</f>
        <v>7275.2650199999998</v>
      </c>
      <c r="H48" s="100">
        <f>'80-ПП'!I143</f>
        <v>0</v>
      </c>
      <c r="I48" s="196"/>
      <c r="J48" s="14">
        <f t="shared" si="20"/>
        <v>38284.658440000028</v>
      </c>
      <c r="K48" s="14">
        <f t="shared" si="21"/>
        <v>0</v>
      </c>
      <c r="L48" s="14">
        <f t="shared" si="22"/>
        <v>0</v>
      </c>
      <c r="M48" s="14">
        <f t="shared" si="23"/>
        <v>38284.658439999999</v>
      </c>
      <c r="N48" s="14">
        <f t="shared" si="24"/>
        <v>0</v>
      </c>
      <c r="O48" s="195"/>
      <c r="P48" s="76" t="s">
        <v>8</v>
      </c>
      <c r="Q48" s="100">
        <f>НОВЫЙ!E151</f>
        <v>288559.92346000002</v>
      </c>
      <c r="R48" s="100">
        <f>НОВЫЙ!F151</f>
        <v>243000</v>
      </c>
      <c r="S48" s="100">
        <f>НОВЫЙ!G151</f>
        <v>0</v>
      </c>
      <c r="T48" s="100">
        <f>НОВЫЙ!H151</f>
        <v>45559.923459999998</v>
      </c>
      <c r="U48" s="100">
        <f>НОВЫЙ!I151</f>
        <v>0</v>
      </c>
      <c r="V48" s="194"/>
      <c r="W48" s="214" t="s">
        <v>1810</v>
      </c>
    </row>
    <row r="49" spans="1:23" s="98" customFormat="1" ht="25.5" customHeight="1" x14ac:dyDescent="0.25">
      <c r="A49" s="109"/>
      <c r="B49" s="109"/>
      <c r="C49" s="76">
        <v>2021</v>
      </c>
      <c r="D49" s="100">
        <f>'80-ПП'!E144</f>
        <v>0</v>
      </c>
      <c r="E49" s="100">
        <f>'80-ПП'!F144</f>
        <v>0</v>
      </c>
      <c r="F49" s="100">
        <f>'80-ПП'!G144</f>
        <v>0</v>
      </c>
      <c r="G49" s="100">
        <f>'80-ПП'!H144</f>
        <v>0</v>
      </c>
      <c r="H49" s="100">
        <f>'80-ПП'!I144</f>
        <v>0</v>
      </c>
      <c r="I49" s="197"/>
      <c r="J49" s="14">
        <f t="shared" si="20"/>
        <v>0</v>
      </c>
      <c r="K49" s="14">
        <f t="shared" si="21"/>
        <v>0</v>
      </c>
      <c r="L49" s="14">
        <f t="shared" si="22"/>
        <v>0</v>
      </c>
      <c r="M49" s="14">
        <f t="shared" si="23"/>
        <v>0</v>
      </c>
      <c r="N49" s="14">
        <f t="shared" si="24"/>
        <v>0</v>
      </c>
      <c r="O49" s="195"/>
      <c r="P49" s="76">
        <v>2021</v>
      </c>
      <c r="Q49" s="100">
        <f>НОВЫЙ!E152</f>
        <v>0</v>
      </c>
      <c r="R49" s="100">
        <f>НОВЫЙ!F152</f>
        <v>0</v>
      </c>
      <c r="S49" s="100">
        <f>НОВЫЙ!G152</f>
        <v>0</v>
      </c>
      <c r="T49" s="100">
        <f>НОВЫЙ!H152</f>
        <v>0</v>
      </c>
      <c r="U49" s="100">
        <f>НОВЫЙ!I152</f>
        <v>0</v>
      </c>
      <c r="V49" s="194"/>
      <c r="W49" s="214"/>
    </row>
    <row r="50" spans="1:23" s="98" customFormat="1" ht="25.5" customHeight="1" x14ac:dyDescent="0.25">
      <c r="A50" s="109"/>
      <c r="B50" s="109"/>
      <c r="C50" s="76">
        <v>2022</v>
      </c>
      <c r="D50" s="100">
        <f>'80-ПП'!E145</f>
        <v>0</v>
      </c>
      <c r="E50" s="100">
        <f>'80-ПП'!F145</f>
        <v>0</v>
      </c>
      <c r="F50" s="100">
        <f>'80-ПП'!G145</f>
        <v>0</v>
      </c>
      <c r="G50" s="100">
        <f>'80-ПП'!H145</f>
        <v>0</v>
      </c>
      <c r="H50" s="100">
        <f>'80-ПП'!I145</f>
        <v>0</v>
      </c>
      <c r="I50" s="197"/>
      <c r="J50" s="14">
        <f t="shared" si="20"/>
        <v>0</v>
      </c>
      <c r="K50" s="14">
        <f t="shared" si="21"/>
        <v>0</v>
      </c>
      <c r="L50" s="14">
        <f t="shared" si="22"/>
        <v>0</v>
      </c>
      <c r="M50" s="14">
        <f t="shared" si="23"/>
        <v>0</v>
      </c>
      <c r="N50" s="14">
        <f t="shared" si="24"/>
        <v>0</v>
      </c>
      <c r="O50" s="195"/>
      <c r="P50" s="76">
        <v>2022</v>
      </c>
      <c r="Q50" s="100">
        <f>НОВЫЙ!E153</f>
        <v>0</v>
      </c>
      <c r="R50" s="100">
        <f>НОВЫЙ!F153</f>
        <v>0</v>
      </c>
      <c r="S50" s="100">
        <f>НОВЫЙ!G153</f>
        <v>0</v>
      </c>
      <c r="T50" s="100">
        <f>НОВЫЙ!H153</f>
        <v>0</v>
      </c>
      <c r="U50" s="100">
        <f>НОВЫЙ!I153</f>
        <v>0</v>
      </c>
      <c r="V50" s="194"/>
      <c r="W50" s="214"/>
    </row>
    <row r="51" spans="1:23" s="98" customFormat="1" ht="25.5" customHeight="1" x14ac:dyDescent="0.25">
      <c r="A51" s="109"/>
      <c r="B51" s="109"/>
      <c r="C51" s="76">
        <v>2023</v>
      </c>
      <c r="D51" s="100">
        <f>'80-ПП'!E146</f>
        <v>42275.265019999999</v>
      </c>
      <c r="E51" s="100">
        <f>'80-ПП'!F146</f>
        <v>35000</v>
      </c>
      <c r="F51" s="100">
        <f>'80-ПП'!G146</f>
        <v>0</v>
      </c>
      <c r="G51" s="100">
        <f>'80-ПП'!H146</f>
        <v>7275.2650199999998</v>
      </c>
      <c r="H51" s="100">
        <f>'80-ПП'!I146</f>
        <v>0</v>
      </c>
      <c r="I51" s="197"/>
      <c r="J51" s="14">
        <f t="shared" si="20"/>
        <v>0</v>
      </c>
      <c r="K51" s="14">
        <f t="shared" si="21"/>
        <v>0</v>
      </c>
      <c r="L51" s="14">
        <f t="shared" si="22"/>
        <v>0</v>
      </c>
      <c r="M51" s="14">
        <f t="shared" si="23"/>
        <v>0</v>
      </c>
      <c r="N51" s="14">
        <f t="shared" si="24"/>
        <v>0</v>
      </c>
      <c r="O51" s="195"/>
      <c r="P51" s="76">
        <v>2023</v>
      </c>
      <c r="Q51" s="100">
        <f>НОВЫЙ!E154</f>
        <v>42275.265019999999</v>
      </c>
      <c r="R51" s="100">
        <f>НОВЫЙ!F154</f>
        <v>35000</v>
      </c>
      <c r="S51" s="100">
        <f>НОВЫЙ!G154</f>
        <v>0</v>
      </c>
      <c r="T51" s="100">
        <f>НОВЫЙ!H154</f>
        <v>7275.2650199999998</v>
      </c>
      <c r="U51" s="100">
        <f>НОВЫЙ!I154</f>
        <v>0</v>
      </c>
      <c r="V51" s="194"/>
      <c r="W51" s="214"/>
    </row>
    <row r="52" spans="1:23" s="98" customFormat="1" ht="25.5" customHeight="1" x14ac:dyDescent="0.25">
      <c r="A52" s="109"/>
      <c r="B52" s="109"/>
      <c r="C52" s="76">
        <v>2024</v>
      </c>
      <c r="D52" s="100">
        <f>'80-ПП'!E147</f>
        <v>138000</v>
      </c>
      <c r="E52" s="100">
        <f>'80-ПП'!F147</f>
        <v>138000</v>
      </c>
      <c r="F52" s="100">
        <f>'80-ПП'!G147</f>
        <v>0</v>
      </c>
      <c r="G52" s="100">
        <f>'80-ПП'!H147</f>
        <v>0</v>
      </c>
      <c r="H52" s="100">
        <f>'80-ПП'!I147</f>
        <v>0</v>
      </c>
      <c r="I52" s="197"/>
      <c r="J52" s="14">
        <f t="shared" si="20"/>
        <v>38284.658439999999</v>
      </c>
      <c r="K52" s="14">
        <f t="shared" si="21"/>
        <v>0</v>
      </c>
      <c r="L52" s="14">
        <f t="shared" si="22"/>
        <v>0</v>
      </c>
      <c r="M52" s="14">
        <f t="shared" si="23"/>
        <v>38284.658439999999</v>
      </c>
      <c r="N52" s="14">
        <f t="shared" si="24"/>
        <v>0</v>
      </c>
      <c r="O52" s="195"/>
      <c r="P52" s="76">
        <v>2024</v>
      </c>
      <c r="Q52" s="100">
        <f>НОВЫЙ!E155</f>
        <v>176284.65844</v>
      </c>
      <c r="R52" s="100">
        <f>НОВЫЙ!F155</f>
        <v>138000</v>
      </c>
      <c r="S52" s="100">
        <f>НОВЫЙ!G155</f>
        <v>0</v>
      </c>
      <c r="T52" s="100">
        <f>НОВЫЙ!H155</f>
        <v>38284.658439999999</v>
      </c>
      <c r="U52" s="100">
        <f>НОВЫЙ!I155</f>
        <v>0</v>
      </c>
      <c r="V52" s="194"/>
      <c r="W52" s="214"/>
    </row>
    <row r="53" spans="1:23" s="98" customFormat="1" ht="25.5" customHeight="1" x14ac:dyDescent="0.25">
      <c r="A53" s="109"/>
      <c r="B53" s="109"/>
      <c r="C53" s="76">
        <v>2025</v>
      </c>
      <c r="D53" s="100">
        <f>'80-ПП'!E148</f>
        <v>35000</v>
      </c>
      <c r="E53" s="100">
        <f>'80-ПП'!F148</f>
        <v>35000</v>
      </c>
      <c r="F53" s="100">
        <f>'80-ПП'!G148</f>
        <v>0</v>
      </c>
      <c r="G53" s="100">
        <f>'80-ПП'!H148</f>
        <v>0</v>
      </c>
      <c r="H53" s="100">
        <f>'80-ПП'!I148</f>
        <v>0</v>
      </c>
      <c r="I53" s="197"/>
      <c r="J53" s="14">
        <f t="shared" si="20"/>
        <v>0</v>
      </c>
      <c r="K53" s="14">
        <f t="shared" si="21"/>
        <v>0</v>
      </c>
      <c r="L53" s="14">
        <f t="shared" si="22"/>
        <v>0</v>
      </c>
      <c r="M53" s="14">
        <f t="shared" si="23"/>
        <v>0</v>
      </c>
      <c r="N53" s="14">
        <f t="shared" si="24"/>
        <v>0</v>
      </c>
      <c r="O53" s="195"/>
      <c r="P53" s="76">
        <v>2025</v>
      </c>
      <c r="Q53" s="100">
        <f>НОВЫЙ!E156</f>
        <v>35000</v>
      </c>
      <c r="R53" s="100">
        <f>НОВЫЙ!F156</f>
        <v>35000</v>
      </c>
      <c r="S53" s="100">
        <f>НОВЫЙ!G156</f>
        <v>0</v>
      </c>
      <c r="T53" s="100">
        <f>НОВЫЙ!H156</f>
        <v>0</v>
      </c>
      <c r="U53" s="100">
        <f>НОВЫЙ!I156</f>
        <v>0</v>
      </c>
      <c r="V53" s="194"/>
      <c r="W53" s="214"/>
    </row>
    <row r="54" spans="1:23" s="98" customFormat="1" ht="25.5" customHeight="1" x14ac:dyDescent="0.25">
      <c r="A54" s="110"/>
      <c r="B54" s="110"/>
      <c r="C54" s="76">
        <v>2026</v>
      </c>
      <c r="D54" s="100">
        <f>'80-ПП'!E149</f>
        <v>35000</v>
      </c>
      <c r="E54" s="100">
        <f>'80-ПП'!F149</f>
        <v>35000</v>
      </c>
      <c r="F54" s="100">
        <f>'80-ПП'!G149</f>
        <v>0</v>
      </c>
      <c r="G54" s="100">
        <f>'80-ПП'!H149</f>
        <v>0</v>
      </c>
      <c r="H54" s="100">
        <f>'80-ПП'!I149</f>
        <v>0</v>
      </c>
      <c r="I54" s="198"/>
      <c r="J54" s="14">
        <f t="shared" si="20"/>
        <v>0</v>
      </c>
      <c r="K54" s="14">
        <f t="shared" si="21"/>
        <v>0</v>
      </c>
      <c r="L54" s="14">
        <f t="shared" si="22"/>
        <v>0</v>
      </c>
      <c r="M54" s="14">
        <f t="shared" si="23"/>
        <v>0</v>
      </c>
      <c r="N54" s="14">
        <f t="shared" si="24"/>
        <v>0</v>
      </c>
      <c r="O54" s="195"/>
      <c r="P54" s="76">
        <v>2026</v>
      </c>
      <c r="Q54" s="100">
        <f>НОВЫЙ!E157</f>
        <v>35000</v>
      </c>
      <c r="R54" s="100">
        <f>НОВЫЙ!F157</f>
        <v>35000</v>
      </c>
      <c r="S54" s="100">
        <f>НОВЫЙ!G157</f>
        <v>0</v>
      </c>
      <c r="T54" s="100">
        <f>НОВЫЙ!H157</f>
        <v>0</v>
      </c>
      <c r="U54" s="100">
        <f>НОВЫЙ!I157</f>
        <v>0</v>
      </c>
      <c r="V54" s="194"/>
      <c r="W54" s="214"/>
    </row>
    <row r="55" spans="1:23" s="102" customFormat="1" ht="25.5" customHeight="1" x14ac:dyDescent="0.25">
      <c r="A55" s="108">
        <v>2</v>
      </c>
      <c r="B55" s="108" t="s">
        <v>55</v>
      </c>
      <c r="C55" s="76" t="s">
        <v>8</v>
      </c>
      <c r="D55" s="100">
        <f>'80-ПП'!E196</f>
        <v>6910243.3069599997</v>
      </c>
      <c r="E55" s="100">
        <f>'80-ПП'!F196</f>
        <v>6743793.1767499996</v>
      </c>
      <c r="F55" s="100">
        <f>'80-ПП'!G196</f>
        <v>59542.783369999997</v>
      </c>
      <c r="G55" s="100">
        <f>'80-ПП'!H196</f>
        <v>106907.34684</v>
      </c>
      <c r="H55" s="100">
        <f>'80-ПП'!I196</f>
        <v>0</v>
      </c>
      <c r="I55" s="196"/>
      <c r="J55" s="14">
        <f t="shared" si="20"/>
        <v>1291.4429200002924</v>
      </c>
      <c r="K55" s="14">
        <f t="shared" si="21"/>
        <v>1209.4429200002924</v>
      </c>
      <c r="L55" s="14">
        <f t="shared" si="22"/>
        <v>82</v>
      </c>
      <c r="M55" s="14">
        <f t="shared" si="23"/>
        <v>0</v>
      </c>
      <c r="N55" s="14">
        <f t="shared" si="24"/>
        <v>0</v>
      </c>
      <c r="O55" s="203"/>
      <c r="P55" s="76" t="s">
        <v>8</v>
      </c>
      <c r="Q55" s="100">
        <f>НОВЫЙ!E207</f>
        <v>6911534.74988</v>
      </c>
      <c r="R55" s="100">
        <f>НОВЫЙ!F207</f>
        <v>6745002.6196699999</v>
      </c>
      <c r="S55" s="100">
        <f>НОВЫЙ!G207</f>
        <v>59624.783369999997</v>
      </c>
      <c r="T55" s="100">
        <f>НОВЫЙ!H207</f>
        <v>106907.34684</v>
      </c>
      <c r="U55" s="100">
        <f>НОВЫЙ!I207</f>
        <v>0</v>
      </c>
      <c r="V55" s="196"/>
      <c r="W55" s="200"/>
    </row>
    <row r="56" spans="1:23" s="102" customFormat="1" ht="25.5" customHeight="1" x14ac:dyDescent="0.25">
      <c r="A56" s="109"/>
      <c r="B56" s="109"/>
      <c r="C56" s="76">
        <v>2021</v>
      </c>
      <c r="D56" s="100">
        <f>'80-ПП'!E197</f>
        <v>891879.98959000001</v>
      </c>
      <c r="E56" s="100">
        <f>'80-ПП'!F197</f>
        <v>854371.18938</v>
      </c>
      <c r="F56" s="100">
        <f>'80-ПП'!G197</f>
        <v>24191.1</v>
      </c>
      <c r="G56" s="100">
        <f>'80-ПП'!H197</f>
        <v>13317.700210000001</v>
      </c>
      <c r="H56" s="100">
        <f>'80-ПП'!I197</f>
        <v>0</v>
      </c>
      <c r="I56" s="197"/>
      <c r="J56" s="14">
        <f t="shared" ref="J56:J69" si="25">Q56-D56</f>
        <v>0</v>
      </c>
      <c r="K56" s="14">
        <f t="shared" ref="K56:K69" si="26">R56-E56</f>
        <v>0</v>
      </c>
      <c r="L56" s="14">
        <f t="shared" ref="L56:L69" si="27">S56-F56</f>
        <v>0</v>
      </c>
      <c r="M56" s="14">
        <f t="shared" ref="M56:M69" si="28">T56-G56</f>
        <v>0</v>
      </c>
      <c r="N56" s="14">
        <f t="shared" ref="N56:N69" si="29">U56-H56</f>
        <v>0</v>
      </c>
      <c r="O56" s="204"/>
      <c r="P56" s="76">
        <v>2021</v>
      </c>
      <c r="Q56" s="100">
        <f>НОВЫЙ!E208</f>
        <v>891879.98959000001</v>
      </c>
      <c r="R56" s="100">
        <f>НОВЫЙ!F208</f>
        <v>854371.18938</v>
      </c>
      <c r="S56" s="100">
        <f>НОВЫЙ!G208</f>
        <v>24191.1</v>
      </c>
      <c r="T56" s="100">
        <f>НОВЫЙ!H208</f>
        <v>13317.700210000001</v>
      </c>
      <c r="U56" s="100">
        <f>НОВЫЙ!I208</f>
        <v>0</v>
      </c>
      <c r="V56" s="197"/>
      <c r="W56" s="201"/>
    </row>
    <row r="57" spans="1:23" s="102" customFormat="1" ht="25.5" customHeight="1" x14ac:dyDescent="0.25">
      <c r="A57" s="109"/>
      <c r="B57" s="109"/>
      <c r="C57" s="76">
        <v>2022</v>
      </c>
      <c r="D57" s="100">
        <f>'80-ПП'!E198</f>
        <v>1227311.4540000001</v>
      </c>
      <c r="E57" s="100">
        <f>'80-ПП'!F198</f>
        <v>1191344.9740000002</v>
      </c>
      <c r="F57" s="100">
        <f>'80-ПП'!G198</f>
        <v>16189.3</v>
      </c>
      <c r="G57" s="100">
        <f>'80-ПП'!H198</f>
        <v>19777.18</v>
      </c>
      <c r="H57" s="100">
        <f>'80-ПП'!I198</f>
        <v>0</v>
      </c>
      <c r="I57" s="197"/>
      <c r="J57" s="14">
        <f t="shared" si="25"/>
        <v>0</v>
      </c>
      <c r="K57" s="14">
        <f t="shared" si="26"/>
        <v>0</v>
      </c>
      <c r="L57" s="14">
        <f t="shared" si="27"/>
        <v>0</v>
      </c>
      <c r="M57" s="14">
        <f t="shared" si="28"/>
        <v>0</v>
      </c>
      <c r="N57" s="14">
        <f t="shared" si="29"/>
        <v>0</v>
      </c>
      <c r="O57" s="204"/>
      <c r="P57" s="76">
        <v>2022</v>
      </c>
      <c r="Q57" s="100">
        <f>НОВЫЙ!E209</f>
        <v>1227311.4540000001</v>
      </c>
      <c r="R57" s="100">
        <f>НОВЫЙ!F209</f>
        <v>1191344.9740000002</v>
      </c>
      <c r="S57" s="100">
        <f>НОВЫЙ!G209</f>
        <v>16189.3</v>
      </c>
      <c r="T57" s="100">
        <f>НОВЫЙ!H209</f>
        <v>19777.18</v>
      </c>
      <c r="U57" s="100">
        <f>НОВЫЙ!I209</f>
        <v>0</v>
      </c>
      <c r="V57" s="197"/>
      <c r="W57" s="201"/>
    </row>
    <row r="58" spans="1:23" s="102" customFormat="1" ht="25.5" customHeight="1" x14ac:dyDescent="0.25">
      <c r="A58" s="109"/>
      <c r="B58" s="109"/>
      <c r="C58" s="76">
        <v>2023</v>
      </c>
      <c r="D58" s="100">
        <f>'80-ПП'!E199</f>
        <v>1113485.8361899999</v>
      </c>
      <c r="E58" s="100">
        <f>'80-ПП'!F199</f>
        <v>1082614.0228200001</v>
      </c>
      <c r="F58" s="100">
        <f>'80-ПП'!G199</f>
        <v>11094.58337</v>
      </c>
      <c r="G58" s="100">
        <f>'80-ПП'!H199</f>
        <v>19777.23</v>
      </c>
      <c r="H58" s="100">
        <f>'80-ПП'!I199</f>
        <v>0</v>
      </c>
      <c r="I58" s="197"/>
      <c r="J58" s="14">
        <f t="shared" si="25"/>
        <v>0</v>
      </c>
      <c r="K58" s="14">
        <f t="shared" si="26"/>
        <v>0</v>
      </c>
      <c r="L58" s="14">
        <f t="shared" si="27"/>
        <v>0</v>
      </c>
      <c r="M58" s="14">
        <f t="shared" si="28"/>
        <v>0</v>
      </c>
      <c r="N58" s="14">
        <f t="shared" si="29"/>
        <v>0</v>
      </c>
      <c r="O58" s="204"/>
      <c r="P58" s="76">
        <v>2023</v>
      </c>
      <c r="Q58" s="100">
        <f>НОВЫЙ!E210</f>
        <v>1113485.8361899999</v>
      </c>
      <c r="R58" s="100">
        <f>НОВЫЙ!F210</f>
        <v>1082614.0228200001</v>
      </c>
      <c r="S58" s="100">
        <f>НОВЫЙ!G210</f>
        <v>11094.58337</v>
      </c>
      <c r="T58" s="100">
        <f>НОВЫЙ!H210</f>
        <v>19777.23</v>
      </c>
      <c r="U58" s="100">
        <f>НОВЫЙ!I210</f>
        <v>0</v>
      </c>
      <c r="V58" s="197"/>
      <c r="W58" s="201"/>
    </row>
    <row r="59" spans="1:23" s="102" customFormat="1" ht="25.5" customHeight="1" x14ac:dyDescent="0.25">
      <c r="A59" s="109"/>
      <c r="B59" s="109"/>
      <c r="C59" s="76">
        <v>2024</v>
      </c>
      <c r="D59" s="100">
        <f>'80-ПП'!E200</f>
        <v>1429592.2854599999</v>
      </c>
      <c r="E59" s="100">
        <f>'80-ПП'!F200</f>
        <v>1400668.2954599999</v>
      </c>
      <c r="F59" s="100">
        <f>'80-ПП'!G200</f>
        <v>8067.8</v>
      </c>
      <c r="G59" s="100">
        <f>'80-ПП'!H200</f>
        <v>20856.189999999999</v>
      </c>
      <c r="H59" s="100">
        <f>'80-ПП'!I200</f>
        <v>0</v>
      </c>
      <c r="I59" s="197"/>
      <c r="J59" s="14">
        <f t="shared" si="25"/>
        <v>1291.4429199998267</v>
      </c>
      <c r="K59" s="14">
        <f t="shared" si="26"/>
        <v>1209.4429199998267</v>
      </c>
      <c r="L59" s="14">
        <f t="shared" si="27"/>
        <v>82</v>
      </c>
      <c r="M59" s="14">
        <f t="shared" si="28"/>
        <v>0</v>
      </c>
      <c r="N59" s="14">
        <f t="shared" si="29"/>
        <v>0</v>
      </c>
      <c r="O59" s="204"/>
      <c r="P59" s="76">
        <v>2024</v>
      </c>
      <c r="Q59" s="100">
        <f>НОВЫЙ!E211</f>
        <v>1430883.7283799998</v>
      </c>
      <c r="R59" s="100">
        <f>НОВЫЙ!F211</f>
        <v>1401877.7383799998</v>
      </c>
      <c r="S59" s="100">
        <f>НОВЫЙ!G211</f>
        <v>8149.8</v>
      </c>
      <c r="T59" s="100">
        <f>НОВЫЙ!H211</f>
        <v>20856.189999999999</v>
      </c>
      <c r="U59" s="100">
        <f>НОВЫЙ!I211</f>
        <v>0</v>
      </c>
      <c r="V59" s="197"/>
      <c r="W59" s="201"/>
    </row>
    <row r="60" spans="1:23" s="102" customFormat="1" ht="25.5" customHeight="1" x14ac:dyDescent="0.25">
      <c r="A60" s="109"/>
      <c r="B60" s="109"/>
      <c r="C60" s="76">
        <v>2025</v>
      </c>
      <c r="D60" s="100">
        <f>'80-ПП'!E201</f>
        <v>1146360.4516799999</v>
      </c>
      <c r="E60" s="100">
        <f>'80-ПП'!F201</f>
        <v>1129770.9283499999</v>
      </c>
      <c r="F60" s="100">
        <f>'80-ПП'!G201</f>
        <v>0</v>
      </c>
      <c r="G60" s="100">
        <f>'80-ПП'!H201</f>
        <v>16589.52333</v>
      </c>
      <c r="H60" s="100">
        <f>'80-ПП'!I201</f>
        <v>0</v>
      </c>
      <c r="I60" s="197"/>
      <c r="J60" s="14">
        <f t="shared" si="25"/>
        <v>0</v>
      </c>
      <c r="K60" s="14">
        <f t="shared" si="26"/>
        <v>0</v>
      </c>
      <c r="L60" s="14">
        <f t="shared" si="27"/>
        <v>0</v>
      </c>
      <c r="M60" s="14">
        <f t="shared" si="28"/>
        <v>0</v>
      </c>
      <c r="N60" s="14">
        <f t="shared" si="29"/>
        <v>0</v>
      </c>
      <c r="O60" s="204"/>
      <c r="P60" s="76">
        <v>2025</v>
      </c>
      <c r="Q60" s="100">
        <f>НОВЫЙ!E212</f>
        <v>1146360.4516799999</v>
      </c>
      <c r="R60" s="100">
        <f>НОВЫЙ!F212</f>
        <v>1129770.9283499999</v>
      </c>
      <c r="S60" s="100">
        <f>НОВЫЙ!G212</f>
        <v>0</v>
      </c>
      <c r="T60" s="100">
        <f>НОВЫЙ!H212</f>
        <v>16589.52333</v>
      </c>
      <c r="U60" s="100">
        <f>НОВЫЙ!I212</f>
        <v>0</v>
      </c>
      <c r="V60" s="197"/>
      <c r="W60" s="201"/>
    </row>
    <row r="61" spans="1:23" s="102" customFormat="1" ht="25.5" customHeight="1" x14ac:dyDescent="0.25">
      <c r="A61" s="110"/>
      <c r="B61" s="110"/>
      <c r="C61" s="76">
        <v>2026</v>
      </c>
      <c r="D61" s="100">
        <f>'80-ПП'!E202</f>
        <v>1101613.2900400001</v>
      </c>
      <c r="E61" s="100">
        <f>'80-ПП'!F202</f>
        <v>1085023.7667400001</v>
      </c>
      <c r="F61" s="100">
        <f>'80-ПП'!G202</f>
        <v>0</v>
      </c>
      <c r="G61" s="100">
        <f>'80-ПП'!H202</f>
        <v>16589.523300000001</v>
      </c>
      <c r="H61" s="100">
        <f>'80-ПП'!I202</f>
        <v>0</v>
      </c>
      <c r="I61" s="198"/>
      <c r="J61" s="14">
        <f t="shared" si="25"/>
        <v>0</v>
      </c>
      <c r="K61" s="14">
        <f t="shared" si="26"/>
        <v>0</v>
      </c>
      <c r="L61" s="14">
        <f t="shared" si="27"/>
        <v>0</v>
      </c>
      <c r="M61" s="14">
        <f t="shared" si="28"/>
        <v>0</v>
      </c>
      <c r="N61" s="14">
        <f t="shared" si="29"/>
        <v>0</v>
      </c>
      <c r="O61" s="205"/>
      <c r="P61" s="76">
        <v>2026</v>
      </c>
      <c r="Q61" s="100">
        <f>НОВЫЙ!E213</f>
        <v>1101613.2900400001</v>
      </c>
      <c r="R61" s="100">
        <f>НОВЫЙ!F213</f>
        <v>1085023.7667400001</v>
      </c>
      <c r="S61" s="100">
        <f>НОВЫЙ!G213</f>
        <v>0</v>
      </c>
      <c r="T61" s="100">
        <f>НОВЫЙ!H213</f>
        <v>16589.523300000001</v>
      </c>
      <c r="U61" s="100">
        <f>НОВЫЙ!I213</f>
        <v>0</v>
      </c>
      <c r="V61" s="198"/>
      <c r="W61" s="201"/>
    </row>
    <row r="62" spans="1:23" s="102" customFormat="1" ht="25.5" customHeight="1" x14ac:dyDescent="0.25">
      <c r="A62" s="108" t="s">
        <v>84</v>
      </c>
      <c r="B62" s="108" t="s">
        <v>40</v>
      </c>
      <c r="C62" s="76" t="s">
        <v>8</v>
      </c>
      <c r="D62" s="100">
        <f>'80-ПП'!E368</f>
        <v>66582.603889999999</v>
      </c>
      <c r="E62" s="100">
        <f>'80-ПП'!F368</f>
        <v>7039.8205200000002</v>
      </c>
      <c r="F62" s="100">
        <f>'80-ПП'!G368</f>
        <v>59542.783369999997</v>
      </c>
      <c r="G62" s="100">
        <f>'80-ПП'!H368</f>
        <v>0</v>
      </c>
      <c r="H62" s="100">
        <f>'80-ПП'!I368</f>
        <v>0</v>
      </c>
      <c r="I62" s="196"/>
      <c r="J62" s="14">
        <f t="shared" si="25"/>
        <v>1291.4429200000013</v>
      </c>
      <c r="K62" s="14">
        <f t="shared" si="26"/>
        <v>1209.4429200000004</v>
      </c>
      <c r="L62" s="14">
        <f t="shared" si="27"/>
        <v>82</v>
      </c>
      <c r="M62" s="14">
        <f t="shared" si="28"/>
        <v>0</v>
      </c>
      <c r="N62" s="14">
        <f t="shared" si="29"/>
        <v>0</v>
      </c>
      <c r="O62" s="203"/>
      <c r="P62" s="76" t="s">
        <v>8</v>
      </c>
      <c r="Q62" s="100">
        <f>НОВЫЙ!E396</f>
        <v>67874.04681</v>
      </c>
      <c r="R62" s="100">
        <f>НОВЫЙ!F396</f>
        <v>8249.2634400000006</v>
      </c>
      <c r="S62" s="100">
        <f>НОВЫЙ!G396</f>
        <v>59624.783369999997</v>
      </c>
      <c r="T62" s="100">
        <f>НОВЫЙ!H396</f>
        <v>0</v>
      </c>
      <c r="U62" s="100">
        <f>НОВЫЙ!I396</f>
        <v>0</v>
      </c>
      <c r="V62" s="196"/>
      <c r="W62" s="214"/>
    </row>
    <row r="63" spans="1:23" s="102" customFormat="1" ht="25.5" customHeight="1" x14ac:dyDescent="0.25">
      <c r="A63" s="109"/>
      <c r="B63" s="109"/>
      <c r="C63" s="76">
        <v>2021</v>
      </c>
      <c r="D63" s="100">
        <f>'80-ПП'!E369</f>
        <v>27296.712679999997</v>
      </c>
      <c r="E63" s="100">
        <f>'80-ПП'!F369</f>
        <v>3105.6126800000002</v>
      </c>
      <c r="F63" s="100">
        <f>'80-ПП'!G369</f>
        <v>24191.1</v>
      </c>
      <c r="G63" s="100">
        <f>'80-ПП'!H369</f>
        <v>0</v>
      </c>
      <c r="H63" s="100">
        <f>'80-ПП'!I369</f>
        <v>0</v>
      </c>
      <c r="I63" s="197"/>
      <c r="J63" s="14">
        <f t="shared" si="25"/>
        <v>0</v>
      </c>
      <c r="K63" s="14">
        <f t="shared" si="26"/>
        <v>0</v>
      </c>
      <c r="L63" s="14">
        <f t="shared" si="27"/>
        <v>0</v>
      </c>
      <c r="M63" s="14">
        <f t="shared" si="28"/>
        <v>0</v>
      </c>
      <c r="N63" s="14">
        <f t="shared" si="29"/>
        <v>0</v>
      </c>
      <c r="O63" s="204"/>
      <c r="P63" s="76">
        <v>2021</v>
      </c>
      <c r="Q63" s="100">
        <f>НОВЫЙ!E397</f>
        <v>27296.712679999997</v>
      </c>
      <c r="R63" s="100">
        <f>НОВЫЙ!F397</f>
        <v>3105.6126800000002</v>
      </c>
      <c r="S63" s="100">
        <f>НОВЫЙ!G397</f>
        <v>24191.1</v>
      </c>
      <c r="T63" s="100">
        <f>НОВЫЙ!H397</f>
        <v>0</v>
      </c>
      <c r="U63" s="100">
        <f>НОВЫЙ!I397</f>
        <v>0</v>
      </c>
      <c r="V63" s="197"/>
      <c r="W63" s="214"/>
    </row>
    <row r="64" spans="1:23" s="102" customFormat="1" ht="25.5" customHeight="1" x14ac:dyDescent="0.25">
      <c r="A64" s="109"/>
      <c r="B64" s="109"/>
      <c r="C64" s="76">
        <v>2022</v>
      </c>
      <c r="D64" s="100">
        <f>'80-ПП'!E370</f>
        <v>18900.377</v>
      </c>
      <c r="E64" s="100">
        <f>'80-ПП'!F370</f>
        <v>2711.0770000000002</v>
      </c>
      <c r="F64" s="100">
        <f>'80-ПП'!G370</f>
        <v>16189.3</v>
      </c>
      <c r="G64" s="100">
        <f>'80-ПП'!H370</f>
        <v>0</v>
      </c>
      <c r="H64" s="100">
        <f>'80-ПП'!I370</f>
        <v>0</v>
      </c>
      <c r="I64" s="197"/>
      <c r="J64" s="14">
        <f t="shared" si="25"/>
        <v>0</v>
      </c>
      <c r="K64" s="14">
        <f t="shared" si="26"/>
        <v>0</v>
      </c>
      <c r="L64" s="14">
        <f t="shared" si="27"/>
        <v>0</v>
      </c>
      <c r="M64" s="14">
        <f t="shared" si="28"/>
        <v>0</v>
      </c>
      <c r="N64" s="14">
        <f t="shared" si="29"/>
        <v>0</v>
      </c>
      <c r="O64" s="204"/>
      <c r="P64" s="76">
        <v>2022</v>
      </c>
      <c r="Q64" s="100">
        <f>НОВЫЙ!E398</f>
        <v>18900.377</v>
      </c>
      <c r="R64" s="100">
        <f>НОВЫЙ!F398</f>
        <v>2711.0770000000002</v>
      </c>
      <c r="S64" s="100">
        <f>НОВЫЙ!G398</f>
        <v>16189.3</v>
      </c>
      <c r="T64" s="100">
        <f>НОВЫЙ!H398</f>
        <v>0</v>
      </c>
      <c r="U64" s="100">
        <f>НОВЫЙ!I398</f>
        <v>0</v>
      </c>
      <c r="V64" s="197"/>
      <c r="W64" s="214"/>
    </row>
    <row r="65" spans="1:23" s="102" customFormat="1" ht="25.5" customHeight="1" x14ac:dyDescent="0.25">
      <c r="A65" s="109"/>
      <c r="B65" s="109"/>
      <c r="C65" s="76">
        <v>2023</v>
      </c>
      <c r="D65" s="100">
        <f>'80-ПП'!E371</f>
        <v>11802.74826</v>
      </c>
      <c r="E65" s="100">
        <f>'80-ПП'!F371</f>
        <v>708.16489000000001</v>
      </c>
      <c r="F65" s="100">
        <f>'80-ПП'!G371</f>
        <v>11094.58337</v>
      </c>
      <c r="G65" s="100">
        <f>'80-ПП'!H371</f>
        <v>0</v>
      </c>
      <c r="H65" s="100">
        <f>'80-ПП'!I371</f>
        <v>0</v>
      </c>
      <c r="I65" s="197"/>
      <c r="J65" s="14">
        <f t="shared" si="25"/>
        <v>0</v>
      </c>
      <c r="K65" s="14">
        <f t="shared" si="26"/>
        <v>0</v>
      </c>
      <c r="L65" s="14">
        <f t="shared" si="27"/>
        <v>0</v>
      </c>
      <c r="M65" s="14">
        <f t="shared" si="28"/>
        <v>0</v>
      </c>
      <c r="N65" s="14">
        <f t="shared" si="29"/>
        <v>0</v>
      </c>
      <c r="O65" s="204"/>
      <c r="P65" s="76">
        <v>2023</v>
      </c>
      <c r="Q65" s="100">
        <f>НОВЫЙ!E399</f>
        <v>11802.74826</v>
      </c>
      <c r="R65" s="100">
        <f>НОВЫЙ!F399</f>
        <v>708.16489000000001</v>
      </c>
      <c r="S65" s="100">
        <f>НОВЫЙ!G399</f>
        <v>11094.58337</v>
      </c>
      <c r="T65" s="100">
        <f>НОВЫЙ!H399</f>
        <v>0</v>
      </c>
      <c r="U65" s="100">
        <f>НОВЫЙ!I399</f>
        <v>0</v>
      </c>
      <c r="V65" s="197"/>
      <c r="W65" s="214"/>
    </row>
    <row r="66" spans="1:23" s="102" customFormat="1" ht="25.5" customHeight="1" x14ac:dyDescent="0.25">
      <c r="A66" s="109"/>
      <c r="B66" s="109"/>
      <c r="C66" s="76">
        <v>2024</v>
      </c>
      <c r="D66" s="100">
        <f>'80-ПП'!E372</f>
        <v>8582.7659500000009</v>
      </c>
      <c r="E66" s="100">
        <f>'80-ПП'!F372</f>
        <v>514.96595000000002</v>
      </c>
      <c r="F66" s="100">
        <f>'80-ПП'!G372</f>
        <v>8067.8</v>
      </c>
      <c r="G66" s="100">
        <f>'80-ПП'!H372</f>
        <v>0</v>
      </c>
      <c r="H66" s="100">
        <f>'80-ПП'!I372</f>
        <v>0</v>
      </c>
      <c r="I66" s="197"/>
      <c r="J66" s="14">
        <f t="shared" si="25"/>
        <v>1291.4429199999995</v>
      </c>
      <c r="K66" s="14">
        <f t="shared" si="26"/>
        <v>1209.44292</v>
      </c>
      <c r="L66" s="14">
        <f t="shared" si="27"/>
        <v>82</v>
      </c>
      <c r="M66" s="14">
        <f t="shared" si="28"/>
        <v>0</v>
      </c>
      <c r="N66" s="14">
        <f t="shared" si="29"/>
        <v>0</v>
      </c>
      <c r="O66" s="204"/>
      <c r="P66" s="76">
        <v>2024</v>
      </c>
      <c r="Q66" s="100">
        <f>НОВЫЙ!E400</f>
        <v>9874.2088700000004</v>
      </c>
      <c r="R66" s="100">
        <f>НОВЫЙ!F400</f>
        <v>1724.40887</v>
      </c>
      <c r="S66" s="100">
        <f>НОВЫЙ!G400</f>
        <v>8149.8</v>
      </c>
      <c r="T66" s="100">
        <f>НОВЫЙ!H400</f>
        <v>0</v>
      </c>
      <c r="U66" s="100">
        <f>НОВЫЙ!I400</f>
        <v>0</v>
      </c>
      <c r="V66" s="197"/>
      <c r="W66" s="214"/>
    </row>
    <row r="67" spans="1:23" s="102" customFormat="1" ht="25.5" customHeight="1" x14ac:dyDescent="0.25">
      <c r="A67" s="109"/>
      <c r="B67" s="109"/>
      <c r="C67" s="76">
        <v>2025</v>
      </c>
      <c r="D67" s="100">
        <f>'80-ПП'!E373</f>
        <v>0</v>
      </c>
      <c r="E67" s="100">
        <f>'80-ПП'!F373</f>
        <v>0</v>
      </c>
      <c r="F67" s="100">
        <f>'80-ПП'!G373</f>
        <v>0</v>
      </c>
      <c r="G67" s="100">
        <f>'80-ПП'!H373</f>
        <v>0</v>
      </c>
      <c r="H67" s="100">
        <f>'80-ПП'!I373</f>
        <v>0</v>
      </c>
      <c r="I67" s="197"/>
      <c r="J67" s="14">
        <f t="shared" si="25"/>
        <v>0</v>
      </c>
      <c r="K67" s="14">
        <f t="shared" si="26"/>
        <v>0</v>
      </c>
      <c r="L67" s="14">
        <f t="shared" si="27"/>
        <v>0</v>
      </c>
      <c r="M67" s="14">
        <f t="shared" si="28"/>
        <v>0</v>
      </c>
      <c r="N67" s="14">
        <f t="shared" si="29"/>
        <v>0</v>
      </c>
      <c r="O67" s="204"/>
      <c r="P67" s="76">
        <v>2025</v>
      </c>
      <c r="Q67" s="100">
        <f>НОВЫЙ!E401</f>
        <v>0</v>
      </c>
      <c r="R67" s="100">
        <f>НОВЫЙ!F401</f>
        <v>0</v>
      </c>
      <c r="S67" s="100">
        <f>НОВЫЙ!G401</f>
        <v>0</v>
      </c>
      <c r="T67" s="100">
        <f>НОВЫЙ!H401</f>
        <v>0</v>
      </c>
      <c r="U67" s="100">
        <f>НОВЫЙ!I401</f>
        <v>0</v>
      </c>
      <c r="V67" s="197"/>
      <c r="W67" s="214"/>
    </row>
    <row r="68" spans="1:23" s="102" customFormat="1" ht="25.5" customHeight="1" x14ac:dyDescent="0.25">
      <c r="A68" s="110"/>
      <c r="B68" s="110"/>
      <c r="C68" s="76">
        <v>2026</v>
      </c>
      <c r="D68" s="100">
        <v>0</v>
      </c>
      <c r="E68" s="100">
        <v>0</v>
      </c>
      <c r="F68" s="100">
        <v>0</v>
      </c>
      <c r="G68" s="100">
        <v>0</v>
      </c>
      <c r="H68" s="100">
        <v>0</v>
      </c>
      <c r="I68" s="198"/>
      <c r="J68" s="14">
        <f t="shared" si="25"/>
        <v>0</v>
      </c>
      <c r="K68" s="14">
        <f t="shared" si="26"/>
        <v>0</v>
      </c>
      <c r="L68" s="14">
        <f t="shared" si="27"/>
        <v>0</v>
      </c>
      <c r="M68" s="14">
        <f t="shared" si="28"/>
        <v>0</v>
      </c>
      <c r="N68" s="14">
        <f t="shared" si="29"/>
        <v>0</v>
      </c>
      <c r="O68" s="205"/>
      <c r="P68" s="76">
        <v>2026</v>
      </c>
      <c r="Q68" s="100">
        <v>0</v>
      </c>
      <c r="R68" s="100">
        <v>0</v>
      </c>
      <c r="S68" s="100">
        <v>0</v>
      </c>
      <c r="T68" s="100">
        <v>0</v>
      </c>
      <c r="U68" s="100">
        <v>0</v>
      </c>
      <c r="V68" s="198"/>
      <c r="W68" s="214"/>
    </row>
    <row r="69" spans="1:23" s="102" customFormat="1" ht="25.5" customHeight="1" x14ac:dyDescent="0.25">
      <c r="A69" s="108" t="s">
        <v>855</v>
      </c>
      <c r="B69" s="108" t="s">
        <v>90</v>
      </c>
      <c r="C69" s="76" t="s">
        <v>8</v>
      </c>
      <c r="D69" s="100">
        <f>'80-ПП'!E380</f>
        <v>20997.27693</v>
      </c>
      <c r="E69" s="100">
        <f>'80-ПП'!F380</f>
        <v>4304.77693</v>
      </c>
      <c r="F69" s="100">
        <f>'80-ПП'!G380</f>
        <v>16692.5</v>
      </c>
      <c r="G69" s="100">
        <f>'80-ПП'!H380</f>
        <v>0</v>
      </c>
      <c r="H69" s="100">
        <f>'80-ПП'!I380</f>
        <v>0</v>
      </c>
      <c r="I69" s="196"/>
      <c r="J69" s="14">
        <f t="shared" si="25"/>
        <v>1291.4429200000013</v>
      </c>
      <c r="K69" s="14">
        <f t="shared" si="26"/>
        <v>1209.4429199999995</v>
      </c>
      <c r="L69" s="14">
        <f t="shared" si="27"/>
        <v>82</v>
      </c>
      <c r="M69" s="14">
        <f t="shared" si="28"/>
        <v>0</v>
      </c>
      <c r="N69" s="14">
        <f t="shared" si="29"/>
        <v>0</v>
      </c>
      <c r="O69" s="203"/>
      <c r="P69" s="76" t="s">
        <v>8</v>
      </c>
      <c r="Q69" s="100">
        <f>НОВЫЙ!E408</f>
        <v>22288.719850000001</v>
      </c>
      <c r="R69" s="100">
        <f>НОВЫЙ!F408</f>
        <v>5514.2198499999995</v>
      </c>
      <c r="S69" s="100">
        <f>НОВЫЙ!G408</f>
        <v>16774.5</v>
      </c>
      <c r="T69" s="100">
        <f>НОВЫЙ!H408</f>
        <v>0</v>
      </c>
      <c r="U69" s="100">
        <f>НОВЫЙ!I408</f>
        <v>0</v>
      </c>
      <c r="V69" s="196"/>
      <c r="W69" s="200" t="s">
        <v>1816</v>
      </c>
    </row>
    <row r="70" spans="1:23" s="102" customFormat="1" ht="25.5" customHeight="1" x14ac:dyDescent="0.25">
      <c r="A70" s="109"/>
      <c r="B70" s="109"/>
      <c r="C70" s="76">
        <v>2021</v>
      </c>
      <c r="D70" s="100">
        <f>'80-ПП'!E381</f>
        <v>6382.1126800000002</v>
      </c>
      <c r="E70" s="100">
        <f>'80-ПП'!F381</f>
        <v>1850.81268</v>
      </c>
      <c r="F70" s="100">
        <f>'80-ПП'!G381</f>
        <v>4531.3</v>
      </c>
      <c r="G70" s="100">
        <f>'80-ПП'!H381</f>
        <v>0</v>
      </c>
      <c r="H70" s="100">
        <f>'80-ПП'!I381</f>
        <v>0</v>
      </c>
      <c r="I70" s="197"/>
      <c r="J70" s="14">
        <f t="shared" ref="J70:J75" si="30">Q70-D70</f>
        <v>0</v>
      </c>
      <c r="K70" s="14">
        <f t="shared" ref="K70:K75" si="31">R70-E70</f>
        <v>0</v>
      </c>
      <c r="L70" s="14">
        <f t="shared" ref="L70:L75" si="32">S70-F70</f>
        <v>0</v>
      </c>
      <c r="M70" s="14">
        <f t="shared" ref="M70:M75" si="33">T70-G70</f>
        <v>0</v>
      </c>
      <c r="N70" s="14">
        <f t="shared" ref="N70:N75" si="34">U70-H70</f>
        <v>0</v>
      </c>
      <c r="O70" s="204"/>
      <c r="P70" s="76">
        <v>2021</v>
      </c>
      <c r="Q70" s="100">
        <f>НОВЫЙ!E409</f>
        <v>6382.1126800000002</v>
      </c>
      <c r="R70" s="100">
        <f>НОВЫЙ!F409</f>
        <v>1850.81268</v>
      </c>
      <c r="S70" s="100">
        <f>НОВЫЙ!G409</f>
        <v>4531.3</v>
      </c>
      <c r="T70" s="100">
        <f>НОВЫЙ!H409</f>
        <v>0</v>
      </c>
      <c r="U70" s="100">
        <f>НОВЫЙ!I409</f>
        <v>0</v>
      </c>
      <c r="V70" s="197"/>
      <c r="W70" s="201"/>
    </row>
    <row r="71" spans="1:23" s="102" customFormat="1" ht="25.5" customHeight="1" x14ac:dyDescent="0.25">
      <c r="A71" s="109"/>
      <c r="B71" s="109"/>
      <c r="C71" s="76">
        <v>2022</v>
      </c>
      <c r="D71" s="100">
        <f>'80-ПП'!E382</f>
        <v>6856.76</v>
      </c>
      <c r="E71" s="100">
        <f>'80-ПП'!F382</f>
        <v>1988.46</v>
      </c>
      <c r="F71" s="100">
        <f>'80-ПП'!G382</f>
        <v>4868.3</v>
      </c>
      <c r="G71" s="100">
        <f>'80-ПП'!H382</f>
        <v>0</v>
      </c>
      <c r="H71" s="100">
        <f>'80-ПП'!I382</f>
        <v>0</v>
      </c>
      <c r="I71" s="197"/>
      <c r="J71" s="14">
        <f t="shared" si="30"/>
        <v>0</v>
      </c>
      <c r="K71" s="14">
        <f t="shared" si="31"/>
        <v>0</v>
      </c>
      <c r="L71" s="14">
        <f t="shared" si="32"/>
        <v>0</v>
      </c>
      <c r="M71" s="14">
        <f t="shared" si="33"/>
        <v>0</v>
      </c>
      <c r="N71" s="14">
        <f t="shared" si="34"/>
        <v>0</v>
      </c>
      <c r="O71" s="204"/>
      <c r="P71" s="76">
        <v>2022</v>
      </c>
      <c r="Q71" s="100">
        <f>НОВЫЙ!E410</f>
        <v>6856.76</v>
      </c>
      <c r="R71" s="100">
        <f>НОВЫЙ!F410</f>
        <v>1988.46</v>
      </c>
      <c r="S71" s="100">
        <f>НОВЫЙ!G410</f>
        <v>4868.3</v>
      </c>
      <c r="T71" s="100">
        <f>НОВЫЙ!H410</f>
        <v>0</v>
      </c>
      <c r="U71" s="100">
        <f>НОВЫЙ!I410</f>
        <v>0</v>
      </c>
      <c r="V71" s="197"/>
      <c r="W71" s="201"/>
    </row>
    <row r="72" spans="1:23" s="102" customFormat="1" ht="25.5" customHeight="1" x14ac:dyDescent="0.25">
      <c r="A72" s="109"/>
      <c r="B72" s="109"/>
      <c r="C72" s="76">
        <v>2023</v>
      </c>
      <c r="D72" s="100">
        <f>'80-ПП'!E383</f>
        <v>4128.2978700000003</v>
      </c>
      <c r="E72" s="100">
        <f>'80-ПП'!F383</f>
        <v>247.69786999999997</v>
      </c>
      <c r="F72" s="100">
        <f>'80-ПП'!G383</f>
        <v>3880.6</v>
      </c>
      <c r="G72" s="100">
        <f>'80-ПП'!H383</f>
        <v>0</v>
      </c>
      <c r="H72" s="100">
        <f>'80-ПП'!I383</f>
        <v>0</v>
      </c>
      <c r="I72" s="197"/>
      <c r="J72" s="14">
        <f t="shared" si="30"/>
        <v>0</v>
      </c>
      <c r="K72" s="14">
        <f t="shared" si="31"/>
        <v>0</v>
      </c>
      <c r="L72" s="14">
        <f t="shared" si="32"/>
        <v>0</v>
      </c>
      <c r="M72" s="14">
        <f t="shared" si="33"/>
        <v>0</v>
      </c>
      <c r="N72" s="14">
        <f t="shared" si="34"/>
        <v>0</v>
      </c>
      <c r="O72" s="204"/>
      <c r="P72" s="76">
        <v>2023</v>
      </c>
      <c r="Q72" s="100">
        <f>НОВЫЙ!E411</f>
        <v>4128.2978700000003</v>
      </c>
      <c r="R72" s="100">
        <f>НОВЫЙ!F411</f>
        <v>247.69786999999997</v>
      </c>
      <c r="S72" s="100">
        <f>НОВЫЙ!G411</f>
        <v>3880.6</v>
      </c>
      <c r="T72" s="100">
        <f>НОВЫЙ!H411</f>
        <v>0</v>
      </c>
      <c r="U72" s="100">
        <f>НОВЫЙ!I411</f>
        <v>0</v>
      </c>
      <c r="V72" s="197"/>
      <c r="W72" s="201"/>
    </row>
    <row r="73" spans="1:23" s="102" customFormat="1" ht="25.5" customHeight="1" x14ac:dyDescent="0.25">
      <c r="A73" s="109"/>
      <c r="B73" s="109"/>
      <c r="C73" s="76">
        <v>2024</v>
      </c>
      <c r="D73" s="100">
        <f>'80-ПП'!E384</f>
        <v>3630.1063800000002</v>
      </c>
      <c r="E73" s="100">
        <f>'80-ПП'!F384</f>
        <v>217.80637999999999</v>
      </c>
      <c r="F73" s="100">
        <f>'80-ПП'!G384</f>
        <v>3412.3</v>
      </c>
      <c r="G73" s="100">
        <f>'80-ПП'!H384</f>
        <v>0</v>
      </c>
      <c r="H73" s="100">
        <f>'80-ПП'!I384</f>
        <v>0</v>
      </c>
      <c r="I73" s="197"/>
      <c r="J73" s="14">
        <f t="shared" si="30"/>
        <v>1291.4429200000004</v>
      </c>
      <c r="K73" s="14">
        <f t="shared" si="31"/>
        <v>1209.44292</v>
      </c>
      <c r="L73" s="14">
        <f t="shared" si="32"/>
        <v>82</v>
      </c>
      <c r="M73" s="14">
        <f t="shared" si="33"/>
        <v>0</v>
      </c>
      <c r="N73" s="14">
        <f t="shared" si="34"/>
        <v>0</v>
      </c>
      <c r="O73" s="204"/>
      <c r="P73" s="76">
        <v>2024</v>
      </c>
      <c r="Q73" s="100">
        <f>НОВЫЙ!E412</f>
        <v>4921.5493000000006</v>
      </c>
      <c r="R73" s="100">
        <f>НОВЫЙ!F412</f>
        <v>1427.2492999999999</v>
      </c>
      <c r="S73" s="100">
        <f>НОВЫЙ!G412</f>
        <v>3494.3</v>
      </c>
      <c r="T73" s="100">
        <f>НОВЫЙ!H412</f>
        <v>0</v>
      </c>
      <c r="U73" s="100">
        <f>НОВЫЙ!I412</f>
        <v>0</v>
      </c>
      <c r="V73" s="197"/>
      <c r="W73" s="201"/>
    </row>
    <row r="74" spans="1:23" s="102" customFormat="1" ht="25.5" customHeight="1" x14ac:dyDescent="0.25">
      <c r="A74" s="109"/>
      <c r="B74" s="109"/>
      <c r="C74" s="76">
        <v>2025</v>
      </c>
      <c r="D74" s="100">
        <f>'80-ПП'!E385</f>
        <v>0</v>
      </c>
      <c r="E74" s="100">
        <f>'80-ПП'!F385</f>
        <v>0</v>
      </c>
      <c r="F74" s="100">
        <f>'80-ПП'!G385</f>
        <v>0</v>
      </c>
      <c r="G74" s="100">
        <f>'80-ПП'!H385</f>
        <v>0</v>
      </c>
      <c r="H74" s="100">
        <f>'80-ПП'!I385</f>
        <v>0</v>
      </c>
      <c r="I74" s="197"/>
      <c r="J74" s="14">
        <f t="shared" si="30"/>
        <v>0</v>
      </c>
      <c r="K74" s="14">
        <f t="shared" si="31"/>
        <v>0</v>
      </c>
      <c r="L74" s="14">
        <f t="shared" si="32"/>
        <v>0</v>
      </c>
      <c r="M74" s="14">
        <f t="shared" si="33"/>
        <v>0</v>
      </c>
      <c r="N74" s="14">
        <f t="shared" si="34"/>
        <v>0</v>
      </c>
      <c r="O74" s="204"/>
      <c r="P74" s="76">
        <v>2025</v>
      </c>
      <c r="Q74" s="100">
        <f>НОВЫЙ!E413</f>
        <v>0</v>
      </c>
      <c r="R74" s="100">
        <f>НОВЫЙ!F413</f>
        <v>0</v>
      </c>
      <c r="S74" s="100">
        <f>НОВЫЙ!G413</f>
        <v>0</v>
      </c>
      <c r="T74" s="100">
        <f>НОВЫЙ!H413</f>
        <v>0</v>
      </c>
      <c r="U74" s="100">
        <f>НОВЫЙ!I413</f>
        <v>0</v>
      </c>
      <c r="V74" s="197"/>
      <c r="W74" s="201"/>
    </row>
    <row r="75" spans="1:23" s="102" customFormat="1" ht="25.5" customHeight="1" x14ac:dyDescent="0.25">
      <c r="A75" s="110"/>
      <c r="B75" s="110"/>
      <c r="C75" s="76">
        <v>2026</v>
      </c>
      <c r="D75" s="100">
        <v>0</v>
      </c>
      <c r="E75" s="100">
        <v>0</v>
      </c>
      <c r="F75" s="100">
        <v>0</v>
      </c>
      <c r="G75" s="100">
        <v>0</v>
      </c>
      <c r="H75" s="100">
        <v>0</v>
      </c>
      <c r="I75" s="198"/>
      <c r="J75" s="14">
        <f t="shared" si="30"/>
        <v>0</v>
      </c>
      <c r="K75" s="14">
        <f t="shared" si="31"/>
        <v>0</v>
      </c>
      <c r="L75" s="14">
        <f t="shared" si="32"/>
        <v>0</v>
      </c>
      <c r="M75" s="14">
        <f t="shared" si="33"/>
        <v>0</v>
      </c>
      <c r="N75" s="14">
        <f t="shared" si="34"/>
        <v>0</v>
      </c>
      <c r="O75" s="205"/>
      <c r="P75" s="76">
        <v>2026</v>
      </c>
      <c r="Q75" s="100">
        <v>0</v>
      </c>
      <c r="R75" s="100">
        <v>0</v>
      </c>
      <c r="S75" s="100">
        <v>0</v>
      </c>
      <c r="T75" s="100">
        <v>0</v>
      </c>
      <c r="U75" s="100">
        <v>0</v>
      </c>
      <c r="V75" s="198"/>
      <c r="W75" s="202"/>
    </row>
    <row r="76" spans="1:23" s="42" customFormat="1" ht="25.5" customHeight="1" x14ac:dyDescent="0.25">
      <c r="A76" s="108" t="s">
        <v>93</v>
      </c>
      <c r="B76" s="108" t="s">
        <v>94</v>
      </c>
      <c r="C76" s="76" t="s">
        <v>8</v>
      </c>
      <c r="D76" s="14">
        <f>'80-ПП'!E386</f>
        <v>5285916.7043147506</v>
      </c>
      <c r="E76" s="14">
        <f>'80-ПП'!F386</f>
        <v>3691931.4916900001</v>
      </c>
      <c r="F76" s="14">
        <f>'80-ПП'!G386</f>
        <v>1481797.0320000001</v>
      </c>
      <c r="G76" s="14">
        <f>'80-ПП'!H386</f>
        <v>112188.18062475088</v>
      </c>
      <c r="H76" s="14">
        <f>'80-ПП'!I386</f>
        <v>0</v>
      </c>
      <c r="I76" s="199"/>
      <c r="J76" s="14">
        <f t="shared" ref="J76" si="35">Q76-D76</f>
        <v>34922.732300000265</v>
      </c>
      <c r="K76" s="14">
        <f t="shared" ref="K76" si="36">R76-E76</f>
        <v>34922.732300000265</v>
      </c>
      <c r="L76" s="14">
        <f t="shared" ref="L76" si="37">S76-F76</f>
        <v>0</v>
      </c>
      <c r="M76" s="14">
        <f t="shared" ref="M76" si="38">T76-G76</f>
        <v>0</v>
      </c>
      <c r="N76" s="14">
        <f t="shared" ref="N76" si="39">U76-H76</f>
        <v>0</v>
      </c>
      <c r="O76" s="118"/>
      <c r="P76" s="76" t="s">
        <v>8</v>
      </c>
      <c r="Q76" s="14">
        <f>НОВЫЙ!E415</f>
        <v>5320839.4366147509</v>
      </c>
      <c r="R76" s="14">
        <f>НОВЫЙ!F415</f>
        <v>3726854.2239900003</v>
      </c>
      <c r="S76" s="14">
        <f>НОВЫЙ!G415</f>
        <v>1481797.0320000001</v>
      </c>
      <c r="T76" s="14">
        <f>НОВЫЙ!H415</f>
        <v>112188.18062475088</v>
      </c>
      <c r="U76" s="14">
        <f>НОВЫЙ!I415</f>
        <v>0</v>
      </c>
      <c r="V76" s="199"/>
      <c r="W76" s="197"/>
    </row>
    <row r="77" spans="1:23" s="42" customFormat="1" ht="25.5" customHeight="1" x14ac:dyDescent="0.25">
      <c r="A77" s="109"/>
      <c r="B77" s="109"/>
      <c r="C77" s="76">
        <v>2021</v>
      </c>
      <c r="D77" s="14">
        <f>'80-ПП'!E387</f>
        <v>542284.02945165033</v>
      </c>
      <c r="E77" s="14">
        <f>'80-ПП'!F387</f>
        <v>254674.71701999998</v>
      </c>
      <c r="F77" s="14">
        <f>'80-ПП'!G387</f>
        <v>257488.69899999999</v>
      </c>
      <c r="G77" s="14">
        <f>'80-ПП'!H387</f>
        <v>30120.613431650385</v>
      </c>
      <c r="H77" s="14">
        <f>'80-ПП'!I387</f>
        <v>0</v>
      </c>
      <c r="I77" s="199"/>
      <c r="J77" s="14">
        <f t="shared" ref="J77:J83" si="40">Q77-D77</f>
        <v>0</v>
      </c>
      <c r="K77" s="14">
        <f t="shared" ref="K77:K83" si="41">R77-E77</f>
        <v>0</v>
      </c>
      <c r="L77" s="14">
        <f t="shared" ref="L77:L83" si="42">S77-F77</f>
        <v>0</v>
      </c>
      <c r="M77" s="14">
        <f t="shared" ref="M77:M83" si="43">T77-G77</f>
        <v>0</v>
      </c>
      <c r="N77" s="14">
        <f t="shared" ref="N77:N83" si="44">U77-H77</f>
        <v>0</v>
      </c>
      <c r="O77" s="118"/>
      <c r="P77" s="76">
        <v>2021</v>
      </c>
      <c r="Q77" s="14">
        <f>НОВЫЙ!E416</f>
        <v>542284.02945165033</v>
      </c>
      <c r="R77" s="14">
        <f>НОВЫЙ!F416</f>
        <v>254674.71701999998</v>
      </c>
      <c r="S77" s="14">
        <f>НОВЫЙ!G416</f>
        <v>257488.69899999999</v>
      </c>
      <c r="T77" s="14">
        <f>НОВЫЙ!H416</f>
        <v>30120.613431650385</v>
      </c>
      <c r="U77" s="14">
        <f>НОВЫЙ!I416</f>
        <v>0</v>
      </c>
      <c r="V77" s="199"/>
      <c r="W77" s="197"/>
    </row>
    <row r="78" spans="1:23" s="75" customFormat="1" ht="25.5" customHeight="1" x14ac:dyDescent="0.25">
      <c r="A78" s="109"/>
      <c r="B78" s="109"/>
      <c r="C78" s="76">
        <v>2022</v>
      </c>
      <c r="D78" s="14">
        <f>'80-ПП'!E388</f>
        <v>1321007.9192131003</v>
      </c>
      <c r="E78" s="14">
        <f>'80-ПП'!F388</f>
        <v>1034922.16776</v>
      </c>
      <c r="F78" s="14">
        <f>'80-ПП'!G388</f>
        <v>225488.99299999999</v>
      </c>
      <c r="G78" s="14">
        <f>'80-ПП'!H388</f>
        <v>60596.75845310052</v>
      </c>
      <c r="H78" s="14">
        <f>'80-ПП'!I388</f>
        <v>0</v>
      </c>
      <c r="I78" s="199"/>
      <c r="J78" s="14">
        <f t="shared" si="40"/>
        <v>0</v>
      </c>
      <c r="K78" s="14">
        <f t="shared" si="41"/>
        <v>0</v>
      </c>
      <c r="L78" s="14">
        <f t="shared" si="42"/>
        <v>0</v>
      </c>
      <c r="M78" s="14">
        <f t="shared" si="43"/>
        <v>0</v>
      </c>
      <c r="N78" s="14">
        <f t="shared" si="44"/>
        <v>0</v>
      </c>
      <c r="O78" s="118"/>
      <c r="P78" s="76">
        <v>2022</v>
      </c>
      <c r="Q78" s="14">
        <f>НОВЫЙ!E417</f>
        <v>1321007.9192131003</v>
      </c>
      <c r="R78" s="14">
        <f>НОВЫЙ!F417</f>
        <v>1034922.16776</v>
      </c>
      <c r="S78" s="14">
        <f>НОВЫЙ!G417</f>
        <v>225488.99299999999</v>
      </c>
      <c r="T78" s="14">
        <f>НОВЫЙ!H417</f>
        <v>60596.75845310052</v>
      </c>
      <c r="U78" s="14">
        <f>НОВЫЙ!I417</f>
        <v>0</v>
      </c>
      <c r="V78" s="199"/>
      <c r="W78" s="197"/>
    </row>
    <row r="79" spans="1:23" s="42" customFormat="1" ht="25.5" customHeight="1" x14ac:dyDescent="0.25">
      <c r="A79" s="109"/>
      <c r="B79" s="109"/>
      <c r="C79" s="76">
        <v>2023</v>
      </c>
      <c r="D79" s="14">
        <f>'80-ПП'!E389</f>
        <v>689220.44319999998</v>
      </c>
      <c r="E79" s="14">
        <f>'80-ПП'!F389</f>
        <v>255347.42546</v>
      </c>
      <c r="F79" s="14">
        <f>'80-ПП'!G389</f>
        <v>424710.74</v>
      </c>
      <c r="G79" s="14">
        <f>'80-ПП'!H389</f>
        <v>9162.2777399999759</v>
      </c>
      <c r="H79" s="14">
        <f>'80-ПП'!I389</f>
        <v>0</v>
      </c>
      <c r="I79" s="199"/>
      <c r="J79" s="14">
        <f t="shared" si="40"/>
        <v>0</v>
      </c>
      <c r="K79" s="14">
        <f t="shared" si="41"/>
        <v>0</v>
      </c>
      <c r="L79" s="14">
        <f t="shared" si="42"/>
        <v>0</v>
      </c>
      <c r="M79" s="14">
        <f t="shared" si="43"/>
        <v>0</v>
      </c>
      <c r="N79" s="14">
        <f t="shared" si="44"/>
        <v>0</v>
      </c>
      <c r="O79" s="118"/>
      <c r="P79" s="76">
        <v>2023</v>
      </c>
      <c r="Q79" s="14">
        <f>НОВЫЙ!E418</f>
        <v>689220.44319999998</v>
      </c>
      <c r="R79" s="14">
        <f>НОВЫЙ!F418</f>
        <v>255347.42546</v>
      </c>
      <c r="S79" s="14">
        <f>НОВЫЙ!G418</f>
        <v>424710.74</v>
      </c>
      <c r="T79" s="14">
        <f>НОВЫЙ!H418</f>
        <v>9162.2777399999759</v>
      </c>
      <c r="U79" s="14">
        <f>НОВЫЙ!I418</f>
        <v>0</v>
      </c>
      <c r="V79" s="199"/>
      <c r="W79" s="197"/>
    </row>
    <row r="80" spans="1:23" s="42" customFormat="1" ht="25.5" customHeight="1" x14ac:dyDescent="0.25">
      <c r="A80" s="109"/>
      <c r="B80" s="109"/>
      <c r="C80" s="76">
        <v>2024</v>
      </c>
      <c r="D80" s="14">
        <f>'80-ПП'!E390</f>
        <v>1593502.46374</v>
      </c>
      <c r="E80" s="14">
        <f>'80-ПП'!F390</f>
        <v>1121877.9177399999</v>
      </c>
      <c r="F80" s="14">
        <f>'80-ПП'!G390</f>
        <v>460108.6</v>
      </c>
      <c r="G80" s="14">
        <f>'80-ПП'!H390</f>
        <v>11515.946</v>
      </c>
      <c r="H80" s="14">
        <f>'80-ПП'!I390</f>
        <v>0</v>
      </c>
      <c r="I80" s="199"/>
      <c r="J80" s="14">
        <f t="shared" si="40"/>
        <v>22922.7322999998</v>
      </c>
      <c r="K80" s="14">
        <f t="shared" si="41"/>
        <v>34922.732300000032</v>
      </c>
      <c r="L80" s="14">
        <f t="shared" si="42"/>
        <v>-12000</v>
      </c>
      <c r="M80" s="14">
        <f t="shared" si="43"/>
        <v>0</v>
      </c>
      <c r="N80" s="14">
        <f t="shared" si="44"/>
        <v>0</v>
      </c>
      <c r="O80" s="118"/>
      <c r="P80" s="76">
        <v>2024</v>
      </c>
      <c r="Q80" s="14">
        <f>НОВЫЙ!E419</f>
        <v>1616425.1960399998</v>
      </c>
      <c r="R80" s="14">
        <f>НОВЫЙ!F419</f>
        <v>1156800.65004</v>
      </c>
      <c r="S80" s="14">
        <f>НОВЫЙ!G419</f>
        <v>448108.6</v>
      </c>
      <c r="T80" s="14">
        <f>НОВЫЙ!H419</f>
        <v>11515.946</v>
      </c>
      <c r="U80" s="14">
        <f>НОВЫЙ!I419</f>
        <v>0</v>
      </c>
      <c r="V80" s="199"/>
      <c r="W80" s="197"/>
    </row>
    <row r="81" spans="1:23" s="42" customFormat="1" ht="25.5" customHeight="1" x14ac:dyDescent="0.25">
      <c r="A81" s="109"/>
      <c r="B81" s="109"/>
      <c r="C81" s="76">
        <v>2025</v>
      </c>
      <c r="D81" s="14">
        <f>'80-ПП'!E391</f>
        <v>708502.58260999992</v>
      </c>
      <c r="E81" s="14">
        <f>'80-ПП'!F391</f>
        <v>617709.99760999996</v>
      </c>
      <c r="F81" s="14">
        <f>'80-ПП'!G391</f>
        <v>90000</v>
      </c>
      <c r="G81" s="14">
        <f>'80-ПП'!H391</f>
        <v>792.58500000000004</v>
      </c>
      <c r="H81" s="14">
        <f>'80-ПП'!I391</f>
        <v>0</v>
      </c>
      <c r="I81" s="199"/>
      <c r="J81" s="14">
        <f t="shared" si="40"/>
        <v>0</v>
      </c>
      <c r="K81" s="14">
        <f t="shared" si="41"/>
        <v>0</v>
      </c>
      <c r="L81" s="14">
        <f t="shared" si="42"/>
        <v>0</v>
      </c>
      <c r="M81" s="14">
        <f t="shared" si="43"/>
        <v>0</v>
      </c>
      <c r="N81" s="14">
        <f t="shared" si="44"/>
        <v>0</v>
      </c>
      <c r="O81" s="118"/>
      <c r="P81" s="76">
        <v>2025</v>
      </c>
      <c r="Q81" s="14">
        <f>НОВЫЙ!E420</f>
        <v>708502.58260999992</v>
      </c>
      <c r="R81" s="14">
        <f>НОВЫЙ!F420</f>
        <v>617709.99760999996</v>
      </c>
      <c r="S81" s="14">
        <f>НОВЫЙ!G420</f>
        <v>90000</v>
      </c>
      <c r="T81" s="14">
        <f>НОВЫЙ!H420</f>
        <v>792.58500000000004</v>
      </c>
      <c r="U81" s="14">
        <f>НОВЫЙ!I420</f>
        <v>0</v>
      </c>
      <c r="V81" s="199"/>
      <c r="W81" s="197"/>
    </row>
    <row r="82" spans="1:23" s="42" customFormat="1" ht="25.5" customHeight="1" x14ac:dyDescent="0.25">
      <c r="A82" s="110"/>
      <c r="B82" s="110"/>
      <c r="C82" s="76">
        <v>2026</v>
      </c>
      <c r="D82" s="14">
        <f>'80-ПП'!E392</f>
        <v>431399.26610000007</v>
      </c>
      <c r="E82" s="14">
        <f>'80-ПП'!F392</f>
        <v>407399.26610000007</v>
      </c>
      <c r="F82" s="14">
        <f>'80-ПП'!G392</f>
        <v>24000</v>
      </c>
      <c r="G82" s="14">
        <f>'80-ПП'!H392</f>
        <v>0</v>
      </c>
      <c r="H82" s="14">
        <f>'80-ПП'!I392</f>
        <v>0</v>
      </c>
      <c r="I82" s="199"/>
      <c r="J82" s="14">
        <f t="shared" si="40"/>
        <v>12000</v>
      </c>
      <c r="K82" s="14">
        <f t="shared" si="41"/>
        <v>0</v>
      </c>
      <c r="L82" s="14">
        <f t="shared" si="42"/>
        <v>12000</v>
      </c>
      <c r="M82" s="14">
        <f t="shared" si="43"/>
        <v>0</v>
      </c>
      <c r="N82" s="14">
        <f t="shared" si="44"/>
        <v>0</v>
      </c>
      <c r="O82" s="118"/>
      <c r="P82" s="76">
        <v>2026</v>
      </c>
      <c r="Q82" s="14">
        <f>НОВЫЙ!E421</f>
        <v>443399.26610000007</v>
      </c>
      <c r="R82" s="14">
        <f>НОВЫЙ!F421</f>
        <v>407399.26610000007</v>
      </c>
      <c r="S82" s="14">
        <f>НОВЫЙ!G421</f>
        <v>36000</v>
      </c>
      <c r="T82" s="14">
        <f>НОВЫЙ!H421</f>
        <v>0</v>
      </c>
      <c r="U82" s="14">
        <f>НОВЫЙ!I421</f>
        <v>0</v>
      </c>
      <c r="V82" s="199"/>
      <c r="W82" s="198"/>
    </row>
    <row r="83" spans="1:23" s="13" customFormat="1" ht="25.5" customHeight="1" x14ac:dyDescent="0.25">
      <c r="A83" s="108" t="s">
        <v>1210</v>
      </c>
      <c r="B83" s="108" t="s">
        <v>1211</v>
      </c>
      <c r="C83" s="76" t="s">
        <v>8</v>
      </c>
      <c r="D83" s="14">
        <f>'80-ПП'!E746</f>
        <v>365311.47109000001</v>
      </c>
      <c r="E83" s="14">
        <f>'80-ПП'!F746</f>
        <v>113430.37809</v>
      </c>
      <c r="F83" s="14">
        <f>'80-ПП'!G746</f>
        <v>251881.09299999999</v>
      </c>
      <c r="G83" s="14">
        <f>'80-ПП'!H746</f>
        <v>0</v>
      </c>
      <c r="H83" s="14">
        <f>'80-ПП'!I746</f>
        <v>0</v>
      </c>
      <c r="I83" s="196"/>
      <c r="J83" s="14">
        <f t="shared" si="40"/>
        <v>-1209.4429200000013</v>
      </c>
      <c r="K83" s="14">
        <f t="shared" si="41"/>
        <v>-1209.4429200000013</v>
      </c>
      <c r="L83" s="14">
        <f t="shared" si="42"/>
        <v>0</v>
      </c>
      <c r="M83" s="14">
        <f t="shared" si="43"/>
        <v>0</v>
      </c>
      <c r="N83" s="14">
        <f t="shared" si="44"/>
        <v>0</v>
      </c>
      <c r="O83" s="203"/>
      <c r="P83" s="76" t="s">
        <v>8</v>
      </c>
      <c r="Q83" s="14">
        <f>НОВЫЙ!E826</f>
        <v>364102.02817000001</v>
      </c>
      <c r="R83" s="14">
        <f>НОВЫЙ!F826</f>
        <v>112220.93517</v>
      </c>
      <c r="S83" s="14">
        <f>НОВЫЙ!G826</f>
        <v>251881.09299999999</v>
      </c>
      <c r="T83" s="14">
        <f>НОВЫЙ!H826</f>
        <v>0</v>
      </c>
      <c r="U83" s="14">
        <f>НОВЫЙ!I826</f>
        <v>0</v>
      </c>
      <c r="V83" s="196"/>
      <c r="W83" s="200"/>
    </row>
    <row r="84" spans="1:23" s="13" customFormat="1" ht="25.5" customHeight="1" x14ac:dyDescent="0.25">
      <c r="A84" s="109"/>
      <c r="B84" s="109"/>
      <c r="C84" s="76">
        <v>2021</v>
      </c>
      <c r="D84" s="14">
        <f>'80-ПП'!E747</f>
        <v>0</v>
      </c>
      <c r="E84" s="14">
        <f>'80-ПП'!F747</f>
        <v>0</v>
      </c>
      <c r="F84" s="14">
        <f>'80-ПП'!G747</f>
        <v>0</v>
      </c>
      <c r="G84" s="14">
        <f>'80-ПП'!H747</f>
        <v>0</v>
      </c>
      <c r="H84" s="14">
        <f>'80-ПП'!I747</f>
        <v>0</v>
      </c>
      <c r="I84" s="197"/>
      <c r="J84" s="14">
        <f t="shared" ref="J84:J97" si="45">Q84-D84</f>
        <v>0</v>
      </c>
      <c r="K84" s="14">
        <f t="shared" ref="K84:K97" si="46">R84-E84</f>
        <v>0</v>
      </c>
      <c r="L84" s="14">
        <f t="shared" ref="L84:L97" si="47">S84-F84</f>
        <v>0</v>
      </c>
      <c r="M84" s="14">
        <f t="shared" ref="M84:M97" si="48">T84-G84</f>
        <v>0</v>
      </c>
      <c r="N84" s="14">
        <f t="shared" ref="N84:N97" si="49">U84-H84</f>
        <v>0</v>
      </c>
      <c r="O84" s="204"/>
      <c r="P84" s="76">
        <v>2021</v>
      </c>
      <c r="Q84" s="14">
        <f>НОВЫЙ!E827</f>
        <v>0</v>
      </c>
      <c r="R84" s="14">
        <f>НОВЫЙ!F827</f>
        <v>0</v>
      </c>
      <c r="S84" s="14">
        <f>НОВЫЙ!G827</f>
        <v>0</v>
      </c>
      <c r="T84" s="14">
        <f>НОВЫЙ!H827</f>
        <v>0</v>
      </c>
      <c r="U84" s="14">
        <f>НОВЫЙ!I827</f>
        <v>0</v>
      </c>
      <c r="V84" s="197"/>
      <c r="W84" s="201"/>
    </row>
    <row r="85" spans="1:23" s="13" customFormat="1" ht="25.5" customHeight="1" x14ac:dyDescent="0.25">
      <c r="A85" s="109"/>
      <c r="B85" s="109"/>
      <c r="C85" s="76">
        <v>2022</v>
      </c>
      <c r="D85" s="14">
        <f>'80-ПП'!E748</f>
        <v>67438.159</v>
      </c>
      <c r="E85" s="14">
        <f>'80-ПП'!F748</f>
        <v>19557.065999999999</v>
      </c>
      <c r="F85" s="14">
        <f>'80-ПП'!G748</f>
        <v>47881.093000000001</v>
      </c>
      <c r="G85" s="14">
        <f>'80-ПП'!H748</f>
        <v>0</v>
      </c>
      <c r="H85" s="14">
        <f>'80-ПП'!I748</f>
        <v>0</v>
      </c>
      <c r="I85" s="197"/>
      <c r="J85" s="14">
        <f t="shared" si="45"/>
        <v>0</v>
      </c>
      <c r="K85" s="14">
        <f t="shared" si="46"/>
        <v>0</v>
      </c>
      <c r="L85" s="14">
        <f t="shared" si="47"/>
        <v>0</v>
      </c>
      <c r="M85" s="14">
        <f t="shared" si="48"/>
        <v>0</v>
      </c>
      <c r="N85" s="14">
        <f t="shared" si="49"/>
        <v>0</v>
      </c>
      <c r="O85" s="204"/>
      <c r="P85" s="76">
        <v>2022</v>
      </c>
      <c r="Q85" s="14">
        <f>НОВЫЙ!E828</f>
        <v>67438.159</v>
      </c>
      <c r="R85" s="14">
        <f>НОВЫЙ!F828</f>
        <v>19557.065999999999</v>
      </c>
      <c r="S85" s="14">
        <f>НОВЫЙ!G828</f>
        <v>47881.093000000001</v>
      </c>
      <c r="T85" s="14">
        <f>НОВЫЙ!H828</f>
        <v>0</v>
      </c>
      <c r="U85" s="14">
        <f>НОВЫЙ!I828</f>
        <v>0</v>
      </c>
      <c r="V85" s="197"/>
      <c r="W85" s="201"/>
    </row>
    <row r="86" spans="1:23" s="13" customFormat="1" ht="25.5" customHeight="1" x14ac:dyDescent="0.25">
      <c r="A86" s="109"/>
      <c r="B86" s="109"/>
      <c r="C86" s="76">
        <v>2023</v>
      </c>
      <c r="D86" s="14">
        <f>'80-ПП'!E749</f>
        <v>0</v>
      </c>
      <c r="E86" s="14">
        <f>'80-ПП'!F749</f>
        <v>0</v>
      </c>
      <c r="F86" s="14">
        <f>'80-ПП'!G749</f>
        <v>0</v>
      </c>
      <c r="G86" s="14">
        <f>'80-ПП'!H749</f>
        <v>0</v>
      </c>
      <c r="H86" s="14">
        <f>'80-ПП'!I749</f>
        <v>0</v>
      </c>
      <c r="I86" s="197"/>
      <c r="J86" s="14">
        <f t="shared" si="45"/>
        <v>0</v>
      </c>
      <c r="K86" s="14">
        <f t="shared" si="46"/>
        <v>0</v>
      </c>
      <c r="L86" s="14">
        <f t="shared" si="47"/>
        <v>0</v>
      </c>
      <c r="M86" s="14">
        <f t="shared" si="48"/>
        <v>0</v>
      </c>
      <c r="N86" s="14">
        <f t="shared" si="49"/>
        <v>0</v>
      </c>
      <c r="O86" s="204"/>
      <c r="P86" s="76">
        <v>2023</v>
      </c>
      <c r="Q86" s="14">
        <f>НОВЫЙ!E829</f>
        <v>0</v>
      </c>
      <c r="R86" s="14">
        <f>НОВЫЙ!F829</f>
        <v>0</v>
      </c>
      <c r="S86" s="14">
        <f>НОВЫЙ!G829</f>
        <v>0</v>
      </c>
      <c r="T86" s="14">
        <f>НОВЫЙ!H829</f>
        <v>0</v>
      </c>
      <c r="U86" s="14">
        <f>НОВЫЙ!I829</f>
        <v>0</v>
      </c>
      <c r="V86" s="197"/>
      <c r="W86" s="201"/>
    </row>
    <row r="87" spans="1:23" s="13" customFormat="1" ht="25.5" customHeight="1" x14ac:dyDescent="0.25">
      <c r="A87" s="109"/>
      <c r="B87" s="109"/>
      <c r="C87" s="76">
        <v>2024</v>
      </c>
      <c r="D87" s="14">
        <f>'80-ПП'!E750</f>
        <v>126760.56338000001</v>
      </c>
      <c r="E87" s="14">
        <f>'80-ПП'!F750</f>
        <v>36760.56338</v>
      </c>
      <c r="F87" s="14">
        <f>'80-ПП'!G750</f>
        <v>90000</v>
      </c>
      <c r="G87" s="14">
        <f>'80-ПП'!H750</f>
        <v>0</v>
      </c>
      <c r="H87" s="14">
        <f>'80-ПП'!I750</f>
        <v>0</v>
      </c>
      <c r="I87" s="197"/>
      <c r="J87" s="14">
        <f t="shared" si="45"/>
        <v>-13209.442920000001</v>
      </c>
      <c r="K87" s="14">
        <f t="shared" si="46"/>
        <v>-1209.4429200000013</v>
      </c>
      <c r="L87" s="14">
        <f t="shared" si="47"/>
        <v>-12000</v>
      </c>
      <c r="M87" s="14">
        <f t="shared" si="48"/>
        <v>0</v>
      </c>
      <c r="N87" s="14">
        <f t="shared" si="49"/>
        <v>0</v>
      </c>
      <c r="O87" s="204"/>
      <c r="P87" s="76">
        <v>2024</v>
      </c>
      <c r="Q87" s="14">
        <f>НОВЫЙ!E830</f>
        <v>113551.12046000001</v>
      </c>
      <c r="R87" s="14">
        <f>НОВЫЙ!F830</f>
        <v>35551.120459999998</v>
      </c>
      <c r="S87" s="14">
        <f>НОВЫЙ!G830</f>
        <v>78000</v>
      </c>
      <c r="T87" s="14">
        <f>НОВЫЙ!H830</f>
        <v>0</v>
      </c>
      <c r="U87" s="14">
        <f>НОВЫЙ!I830</f>
        <v>0</v>
      </c>
      <c r="V87" s="197"/>
      <c r="W87" s="201"/>
    </row>
    <row r="88" spans="1:23" s="13" customFormat="1" ht="25.5" customHeight="1" x14ac:dyDescent="0.25">
      <c r="A88" s="109"/>
      <c r="B88" s="109"/>
      <c r="C88" s="76">
        <v>2025</v>
      </c>
      <c r="D88" s="14">
        <f>'80-ПП'!E751</f>
        <v>130434.78260999999</v>
      </c>
      <c r="E88" s="14">
        <f>'80-ПП'!F751</f>
        <v>40434.782610000002</v>
      </c>
      <c r="F88" s="14">
        <f>'80-ПП'!G751</f>
        <v>90000</v>
      </c>
      <c r="G88" s="14">
        <f>'80-ПП'!H751</f>
        <v>0</v>
      </c>
      <c r="H88" s="14">
        <f>'80-ПП'!I751</f>
        <v>0</v>
      </c>
      <c r="I88" s="197"/>
      <c r="J88" s="14">
        <f t="shared" si="45"/>
        <v>0</v>
      </c>
      <c r="K88" s="14">
        <f t="shared" si="46"/>
        <v>0</v>
      </c>
      <c r="L88" s="14">
        <f t="shared" si="47"/>
        <v>0</v>
      </c>
      <c r="M88" s="14">
        <f t="shared" si="48"/>
        <v>0</v>
      </c>
      <c r="N88" s="14">
        <f t="shared" si="49"/>
        <v>0</v>
      </c>
      <c r="O88" s="204"/>
      <c r="P88" s="76">
        <v>2025</v>
      </c>
      <c r="Q88" s="14">
        <f>НОВЫЙ!E831</f>
        <v>130434.78260999999</v>
      </c>
      <c r="R88" s="14">
        <f>НОВЫЙ!F831</f>
        <v>40434.782610000002</v>
      </c>
      <c r="S88" s="14">
        <f>НОВЫЙ!G831</f>
        <v>90000</v>
      </c>
      <c r="T88" s="14">
        <f>НОВЫЙ!H831</f>
        <v>0</v>
      </c>
      <c r="U88" s="14">
        <f>НОВЫЙ!I831</f>
        <v>0</v>
      </c>
      <c r="V88" s="197"/>
      <c r="W88" s="201"/>
    </row>
    <row r="89" spans="1:23" s="44" customFormat="1" ht="25.5" customHeight="1" x14ac:dyDescent="0.25">
      <c r="A89" s="110"/>
      <c r="B89" s="110"/>
      <c r="C89" s="76">
        <v>2026</v>
      </c>
      <c r="D89" s="14">
        <f>'80-ПП'!E752</f>
        <v>40677.966100000005</v>
      </c>
      <c r="E89" s="14">
        <f>'80-ПП'!F752</f>
        <v>16677.966100000001</v>
      </c>
      <c r="F89" s="14">
        <f>'80-ПП'!G752</f>
        <v>24000</v>
      </c>
      <c r="G89" s="14">
        <f>'80-ПП'!H752</f>
        <v>0</v>
      </c>
      <c r="H89" s="14">
        <f>'80-ПП'!I752</f>
        <v>0</v>
      </c>
      <c r="I89" s="198"/>
      <c r="J89" s="14">
        <f t="shared" si="45"/>
        <v>12000</v>
      </c>
      <c r="K89" s="14">
        <f t="shared" si="46"/>
        <v>0</v>
      </c>
      <c r="L89" s="14">
        <f t="shared" si="47"/>
        <v>12000</v>
      </c>
      <c r="M89" s="14">
        <f t="shared" si="48"/>
        <v>0</v>
      </c>
      <c r="N89" s="14">
        <f t="shared" si="49"/>
        <v>0</v>
      </c>
      <c r="O89" s="205"/>
      <c r="P89" s="76">
        <v>2026</v>
      </c>
      <c r="Q89" s="14">
        <f>НОВЫЙ!E832</f>
        <v>52677.966100000005</v>
      </c>
      <c r="R89" s="14">
        <f>НОВЫЙ!F832</f>
        <v>16677.966100000001</v>
      </c>
      <c r="S89" s="14">
        <f>НОВЫЙ!G832</f>
        <v>36000</v>
      </c>
      <c r="T89" s="14">
        <f>НОВЫЙ!H832</f>
        <v>0</v>
      </c>
      <c r="U89" s="14">
        <f>НОВЫЙ!I832</f>
        <v>0</v>
      </c>
      <c r="V89" s="198"/>
      <c r="W89" s="202"/>
    </row>
    <row r="90" spans="1:23" s="30" customFormat="1" ht="25.5" customHeight="1" x14ac:dyDescent="0.25">
      <c r="A90" s="108" t="s">
        <v>1212</v>
      </c>
      <c r="B90" s="108" t="s">
        <v>1736</v>
      </c>
      <c r="C90" s="76" t="s">
        <v>8</v>
      </c>
      <c r="D90" s="14">
        <f>'80-ПП'!E753</f>
        <v>365311.47109000001</v>
      </c>
      <c r="E90" s="14">
        <f>'80-ПП'!F753</f>
        <v>113430.37809</v>
      </c>
      <c r="F90" s="14">
        <f>'80-ПП'!G753</f>
        <v>251881.09299999999</v>
      </c>
      <c r="G90" s="14">
        <f>'80-ПП'!H753</f>
        <v>0</v>
      </c>
      <c r="H90" s="14">
        <f>'80-ПП'!I753</f>
        <v>0</v>
      </c>
      <c r="I90" s="196"/>
      <c r="J90" s="14">
        <f t="shared" si="45"/>
        <v>-1209.4429200000013</v>
      </c>
      <c r="K90" s="14">
        <f t="shared" si="46"/>
        <v>-1209.4429200000013</v>
      </c>
      <c r="L90" s="14">
        <f t="shared" si="47"/>
        <v>0</v>
      </c>
      <c r="M90" s="14">
        <f t="shared" si="48"/>
        <v>0</v>
      </c>
      <c r="N90" s="14">
        <f t="shared" si="49"/>
        <v>0</v>
      </c>
      <c r="O90" s="203"/>
      <c r="P90" s="76" t="s">
        <v>8</v>
      </c>
      <c r="Q90" s="14">
        <f>НОВЫЙ!E833</f>
        <v>364102.02817000001</v>
      </c>
      <c r="R90" s="14">
        <f>НОВЫЙ!F833</f>
        <v>112220.93517</v>
      </c>
      <c r="S90" s="14">
        <f>НОВЫЙ!G833</f>
        <v>251881.09299999999</v>
      </c>
      <c r="T90" s="14">
        <f>НОВЫЙ!H833</f>
        <v>0</v>
      </c>
      <c r="U90" s="14">
        <f>НОВЫЙ!I833</f>
        <v>0</v>
      </c>
      <c r="V90" s="196"/>
      <c r="W90" s="200" t="s">
        <v>1815</v>
      </c>
    </row>
    <row r="91" spans="1:23" s="30" customFormat="1" ht="25.5" customHeight="1" x14ac:dyDescent="0.25">
      <c r="A91" s="109"/>
      <c r="B91" s="109"/>
      <c r="C91" s="76">
        <v>2021</v>
      </c>
      <c r="D91" s="14">
        <f>'80-ПП'!E754</f>
        <v>0</v>
      </c>
      <c r="E91" s="14">
        <f>'80-ПП'!F754</f>
        <v>0</v>
      </c>
      <c r="F91" s="14">
        <f>'80-ПП'!G754</f>
        <v>0</v>
      </c>
      <c r="G91" s="14">
        <f>'80-ПП'!H754</f>
        <v>0</v>
      </c>
      <c r="H91" s="14">
        <f>'80-ПП'!I754</f>
        <v>0</v>
      </c>
      <c r="I91" s="197"/>
      <c r="J91" s="14">
        <f t="shared" si="45"/>
        <v>0</v>
      </c>
      <c r="K91" s="14">
        <f t="shared" si="46"/>
        <v>0</v>
      </c>
      <c r="L91" s="14">
        <f t="shared" si="47"/>
        <v>0</v>
      </c>
      <c r="M91" s="14">
        <f t="shared" si="48"/>
        <v>0</v>
      </c>
      <c r="N91" s="14">
        <f t="shared" si="49"/>
        <v>0</v>
      </c>
      <c r="O91" s="204"/>
      <c r="P91" s="76">
        <v>2021</v>
      </c>
      <c r="Q91" s="14">
        <f>НОВЫЙ!E834</f>
        <v>0</v>
      </c>
      <c r="R91" s="14">
        <f>НОВЫЙ!F834</f>
        <v>0</v>
      </c>
      <c r="S91" s="14">
        <f>НОВЫЙ!G834</f>
        <v>0</v>
      </c>
      <c r="T91" s="14">
        <f>НОВЫЙ!H834</f>
        <v>0</v>
      </c>
      <c r="U91" s="14">
        <f>НОВЫЙ!I834</f>
        <v>0</v>
      </c>
      <c r="V91" s="197"/>
      <c r="W91" s="201"/>
    </row>
    <row r="92" spans="1:23" s="30" customFormat="1" ht="25.5" customHeight="1" x14ac:dyDescent="0.25">
      <c r="A92" s="109"/>
      <c r="B92" s="109"/>
      <c r="C92" s="76">
        <v>2022</v>
      </c>
      <c r="D92" s="14">
        <f>'80-ПП'!E755</f>
        <v>67438.159</v>
      </c>
      <c r="E92" s="14">
        <f>'80-ПП'!F755</f>
        <v>19557.065999999999</v>
      </c>
      <c r="F92" s="14">
        <f>'80-ПП'!G755</f>
        <v>47881.093000000001</v>
      </c>
      <c r="G92" s="14">
        <f>'80-ПП'!H755</f>
        <v>0</v>
      </c>
      <c r="H92" s="14">
        <f>'80-ПП'!I755</f>
        <v>0</v>
      </c>
      <c r="I92" s="197"/>
      <c r="J92" s="14">
        <f t="shared" si="45"/>
        <v>0</v>
      </c>
      <c r="K92" s="14">
        <f t="shared" si="46"/>
        <v>0</v>
      </c>
      <c r="L92" s="14">
        <f t="shared" si="47"/>
        <v>0</v>
      </c>
      <c r="M92" s="14">
        <f t="shared" si="48"/>
        <v>0</v>
      </c>
      <c r="N92" s="14">
        <f t="shared" si="49"/>
        <v>0</v>
      </c>
      <c r="O92" s="204"/>
      <c r="P92" s="76">
        <v>2022</v>
      </c>
      <c r="Q92" s="14">
        <f>НОВЫЙ!E835</f>
        <v>67438.159</v>
      </c>
      <c r="R92" s="14">
        <f>НОВЫЙ!F835</f>
        <v>19557.065999999999</v>
      </c>
      <c r="S92" s="14">
        <f>НОВЫЙ!G835</f>
        <v>47881.093000000001</v>
      </c>
      <c r="T92" s="14">
        <f>НОВЫЙ!H835</f>
        <v>0</v>
      </c>
      <c r="U92" s="14">
        <f>НОВЫЙ!I835</f>
        <v>0</v>
      </c>
      <c r="V92" s="197"/>
      <c r="W92" s="201"/>
    </row>
    <row r="93" spans="1:23" s="30" customFormat="1" ht="25.5" customHeight="1" x14ac:dyDescent="0.25">
      <c r="A93" s="109"/>
      <c r="B93" s="109"/>
      <c r="C93" s="76">
        <v>2023</v>
      </c>
      <c r="D93" s="14">
        <f>'80-ПП'!E756</f>
        <v>0</v>
      </c>
      <c r="E93" s="14">
        <f>'80-ПП'!F756</f>
        <v>0</v>
      </c>
      <c r="F93" s="14">
        <f>'80-ПП'!G756</f>
        <v>0</v>
      </c>
      <c r="G93" s="14">
        <f>'80-ПП'!H756</f>
        <v>0</v>
      </c>
      <c r="H93" s="14">
        <f>'80-ПП'!I756</f>
        <v>0</v>
      </c>
      <c r="I93" s="197"/>
      <c r="J93" s="14">
        <f t="shared" si="45"/>
        <v>0</v>
      </c>
      <c r="K93" s="14">
        <f t="shared" si="46"/>
        <v>0</v>
      </c>
      <c r="L93" s="14">
        <f t="shared" si="47"/>
        <v>0</v>
      </c>
      <c r="M93" s="14">
        <f t="shared" si="48"/>
        <v>0</v>
      </c>
      <c r="N93" s="14">
        <f t="shared" si="49"/>
        <v>0</v>
      </c>
      <c r="O93" s="204"/>
      <c r="P93" s="76">
        <v>2023</v>
      </c>
      <c r="Q93" s="14">
        <f>НОВЫЙ!E836</f>
        <v>0</v>
      </c>
      <c r="R93" s="14">
        <f>НОВЫЙ!F836</f>
        <v>0</v>
      </c>
      <c r="S93" s="14">
        <f>НОВЫЙ!G836</f>
        <v>0</v>
      </c>
      <c r="T93" s="14">
        <f>НОВЫЙ!H836</f>
        <v>0</v>
      </c>
      <c r="U93" s="14">
        <f>НОВЫЙ!I836</f>
        <v>0</v>
      </c>
      <c r="V93" s="197"/>
      <c r="W93" s="201"/>
    </row>
    <row r="94" spans="1:23" s="30" customFormat="1" ht="25.5" customHeight="1" x14ac:dyDescent="0.25">
      <c r="A94" s="109"/>
      <c r="B94" s="109"/>
      <c r="C94" s="76">
        <v>2024</v>
      </c>
      <c r="D94" s="14">
        <f>'80-ПП'!E757</f>
        <v>126760.56338000001</v>
      </c>
      <c r="E94" s="14">
        <f>'80-ПП'!F757</f>
        <v>36760.56338</v>
      </c>
      <c r="F94" s="14">
        <f>'80-ПП'!G757</f>
        <v>90000</v>
      </c>
      <c r="G94" s="14">
        <f>'80-ПП'!H757</f>
        <v>0</v>
      </c>
      <c r="H94" s="14">
        <f>'80-ПП'!I757</f>
        <v>0</v>
      </c>
      <c r="I94" s="197"/>
      <c r="J94" s="14">
        <f t="shared" si="45"/>
        <v>-13209.442920000001</v>
      </c>
      <c r="K94" s="14">
        <f t="shared" si="46"/>
        <v>-1209.4429200000013</v>
      </c>
      <c r="L94" s="14">
        <f t="shared" si="47"/>
        <v>-12000</v>
      </c>
      <c r="M94" s="14">
        <f t="shared" si="48"/>
        <v>0</v>
      </c>
      <c r="N94" s="14">
        <f t="shared" si="49"/>
        <v>0</v>
      </c>
      <c r="O94" s="204"/>
      <c r="P94" s="76">
        <v>2024</v>
      </c>
      <c r="Q94" s="14">
        <f>НОВЫЙ!E837</f>
        <v>113551.12046000001</v>
      </c>
      <c r="R94" s="14">
        <f>НОВЫЙ!F837</f>
        <v>35551.120459999998</v>
      </c>
      <c r="S94" s="14">
        <f>НОВЫЙ!G837</f>
        <v>78000</v>
      </c>
      <c r="T94" s="14">
        <f>НОВЫЙ!H837</f>
        <v>0</v>
      </c>
      <c r="U94" s="14">
        <f>НОВЫЙ!I837</f>
        <v>0</v>
      </c>
      <c r="V94" s="197"/>
      <c r="W94" s="201"/>
    </row>
    <row r="95" spans="1:23" s="30" customFormat="1" ht="25.5" customHeight="1" x14ac:dyDescent="0.25">
      <c r="A95" s="109"/>
      <c r="B95" s="109"/>
      <c r="C95" s="76">
        <v>2025</v>
      </c>
      <c r="D95" s="14">
        <f>'80-ПП'!E758</f>
        <v>130434.78260999999</v>
      </c>
      <c r="E95" s="14">
        <f>'80-ПП'!F758</f>
        <v>40434.782610000002</v>
      </c>
      <c r="F95" s="14">
        <f>'80-ПП'!G758</f>
        <v>90000</v>
      </c>
      <c r="G95" s="14">
        <f>'80-ПП'!H758</f>
        <v>0</v>
      </c>
      <c r="H95" s="14">
        <f>'80-ПП'!I758</f>
        <v>0</v>
      </c>
      <c r="I95" s="197"/>
      <c r="J95" s="14">
        <f t="shared" si="45"/>
        <v>0</v>
      </c>
      <c r="K95" s="14">
        <f t="shared" si="46"/>
        <v>0</v>
      </c>
      <c r="L95" s="14">
        <f t="shared" si="47"/>
        <v>0</v>
      </c>
      <c r="M95" s="14">
        <f t="shared" si="48"/>
        <v>0</v>
      </c>
      <c r="N95" s="14">
        <f t="shared" si="49"/>
        <v>0</v>
      </c>
      <c r="O95" s="204"/>
      <c r="P95" s="76">
        <v>2025</v>
      </c>
      <c r="Q95" s="14">
        <f>НОВЫЙ!E838</f>
        <v>130434.78260999999</v>
      </c>
      <c r="R95" s="14">
        <f>НОВЫЙ!F838</f>
        <v>40434.782610000002</v>
      </c>
      <c r="S95" s="14">
        <f>НОВЫЙ!G838</f>
        <v>90000</v>
      </c>
      <c r="T95" s="14">
        <f>НОВЫЙ!H838</f>
        <v>0</v>
      </c>
      <c r="U95" s="14">
        <f>НОВЫЙ!I838</f>
        <v>0</v>
      </c>
      <c r="V95" s="197"/>
      <c r="W95" s="201"/>
    </row>
    <row r="96" spans="1:23" s="42" customFormat="1" ht="25.5" customHeight="1" x14ac:dyDescent="0.25">
      <c r="A96" s="110"/>
      <c r="B96" s="110"/>
      <c r="C96" s="76">
        <v>2026</v>
      </c>
      <c r="D96" s="14">
        <f>'80-ПП'!E759</f>
        <v>40677.966100000005</v>
      </c>
      <c r="E96" s="14">
        <f>'80-ПП'!F759</f>
        <v>16677.966100000001</v>
      </c>
      <c r="F96" s="14">
        <f>'80-ПП'!G759</f>
        <v>24000</v>
      </c>
      <c r="G96" s="14">
        <f>'80-ПП'!H759</f>
        <v>0</v>
      </c>
      <c r="H96" s="14">
        <f>'80-ПП'!I759</f>
        <v>0</v>
      </c>
      <c r="I96" s="198"/>
      <c r="J96" s="14">
        <f t="shared" si="45"/>
        <v>12000</v>
      </c>
      <c r="K96" s="14">
        <f t="shared" si="46"/>
        <v>0</v>
      </c>
      <c r="L96" s="14">
        <f t="shared" si="47"/>
        <v>12000</v>
      </c>
      <c r="M96" s="14">
        <f t="shared" si="48"/>
        <v>0</v>
      </c>
      <c r="N96" s="14">
        <f t="shared" si="49"/>
        <v>0</v>
      </c>
      <c r="O96" s="205"/>
      <c r="P96" s="76">
        <v>2026</v>
      </c>
      <c r="Q96" s="14">
        <f>НОВЫЙ!E839</f>
        <v>52677.966100000005</v>
      </c>
      <c r="R96" s="14">
        <f>НОВЫЙ!F839</f>
        <v>16677.966100000001</v>
      </c>
      <c r="S96" s="14">
        <f>НОВЫЙ!G839</f>
        <v>36000</v>
      </c>
      <c r="T96" s="14">
        <f>НОВЫЙ!H839</f>
        <v>0</v>
      </c>
      <c r="U96" s="14">
        <f>НОВЫЙ!I839</f>
        <v>0</v>
      </c>
      <c r="V96" s="198"/>
      <c r="W96" s="202"/>
    </row>
    <row r="97" spans="1:23" s="81" customFormat="1" ht="25.5" customHeight="1" x14ac:dyDescent="0.25">
      <c r="A97" s="108" t="s">
        <v>1214</v>
      </c>
      <c r="B97" s="108" t="s">
        <v>1215</v>
      </c>
      <c r="C97" s="76" t="s">
        <v>8</v>
      </c>
      <c r="D97" s="14">
        <f>'80-ПП'!E760</f>
        <v>1965199.79856</v>
      </c>
      <c r="E97" s="3">
        <f>'80-ПП'!F760</f>
        <v>1667880.05856</v>
      </c>
      <c r="F97" s="3">
        <f>'80-ПП'!G760</f>
        <v>297319.74</v>
      </c>
      <c r="G97" s="14">
        <f>'80-ПП'!H760</f>
        <v>0</v>
      </c>
      <c r="H97" s="14">
        <f>'80-ПП'!I760</f>
        <v>0</v>
      </c>
      <c r="I97" s="196"/>
      <c r="J97" s="14">
        <f t="shared" si="45"/>
        <v>36132.175219999859</v>
      </c>
      <c r="K97" s="3">
        <f t="shared" si="46"/>
        <v>-333976.42478</v>
      </c>
      <c r="L97" s="14">
        <f t="shared" si="47"/>
        <v>370108.6</v>
      </c>
      <c r="M97" s="14">
        <f t="shared" si="48"/>
        <v>0</v>
      </c>
      <c r="N97" s="14">
        <f t="shared" si="49"/>
        <v>0</v>
      </c>
      <c r="O97" s="203"/>
      <c r="P97" s="76" t="s">
        <v>8</v>
      </c>
      <c r="Q97" s="14">
        <f>НОВЫЙ!E840</f>
        <v>2001331.9737799999</v>
      </c>
      <c r="R97" s="3">
        <f>НОВЫЙ!F840</f>
        <v>1333903.63378</v>
      </c>
      <c r="S97" s="3">
        <f>НОВЫЙ!G840</f>
        <v>667428.34</v>
      </c>
      <c r="T97" s="14">
        <f>НОВЫЙ!H840</f>
        <v>0</v>
      </c>
      <c r="U97" s="14">
        <f>НОВЫЙ!I840</f>
        <v>0</v>
      </c>
      <c r="V97" s="196"/>
      <c r="W97" s="101" t="s">
        <v>1811</v>
      </c>
    </row>
    <row r="98" spans="1:23" s="81" customFormat="1" ht="25.5" customHeight="1" x14ac:dyDescent="0.25">
      <c r="A98" s="109"/>
      <c r="B98" s="109"/>
      <c r="C98" s="76">
        <v>2021</v>
      </c>
      <c r="D98" s="14">
        <f>'80-ПП'!E761</f>
        <v>0</v>
      </c>
      <c r="E98" s="14">
        <f>'80-ПП'!F761</f>
        <v>0</v>
      </c>
      <c r="F98" s="14">
        <f>'80-ПП'!G761</f>
        <v>0</v>
      </c>
      <c r="G98" s="14">
        <f>'80-ПП'!H761</f>
        <v>0</v>
      </c>
      <c r="H98" s="14">
        <f>'80-ПП'!I761</f>
        <v>0</v>
      </c>
      <c r="I98" s="197"/>
      <c r="J98" s="14">
        <f t="shared" ref="J98:J110" si="50">Q98-D98</f>
        <v>0</v>
      </c>
      <c r="K98" s="14">
        <f t="shared" ref="K98:K110" si="51">R98-E98</f>
        <v>0</v>
      </c>
      <c r="L98" s="14">
        <f t="shared" ref="L98:L110" si="52">S98-F98</f>
        <v>0</v>
      </c>
      <c r="M98" s="14">
        <f t="shared" ref="M98:M110" si="53">T98-G98</f>
        <v>0</v>
      </c>
      <c r="N98" s="14">
        <f t="shared" ref="N98:N110" si="54">U98-H98</f>
        <v>0</v>
      </c>
      <c r="O98" s="204"/>
      <c r="P98" s="76">
        <v>2021</v>
      </c>
      <c r="Q98" s="14">
        <f>НОВЫЙ!E841</f>
        <v>0</v>
      </c>
      <c r="R98" s="14">
        <f>НОВЫЙ!F841</f>
        <v>0</v>
      </c>
      <c r="S98" s="14">
        <f>НОВЫЙ!G841</f>
        <v>0</v>
      </c>
      <c r="T98" s="14">
        <f>НОВЫЙ!H841</f>
        <v>0</v>
      </c>
      <c r="U98" s="14">
        <f>НОВЫЙ!I841</f>
        <v>0</v>
      </c>
      <c r="V98" s="197"/>
      <c r="W98" s="200"/>
    </row>
    <row r="99" spans="1:23" s="81" customFormat="1" ht="25.5" customHeight="1" x14ac:dyDescent="0.25">
      <c r="A99" s="109"/>
      <c r="B99" s="109"/>
      <c r="C99" s="76">
        <v>2022</v>
      </c>
      <c r="D99" s="14">
        <f>'80-ПП'!E762</f>
        <v>0</v>
      </c>
      <c r="E99" s="14">
        <f>'80-ПП'!F762</f>
        <v>0</v>
      </c>
      <c r="F99" s="14">
        <f>'80-ПП'!G762</f>
        <v>0</v>
      </c>
      <c r="G99" s="14">
        <f>'80-ПП'!H762</f>
        <v>0</v>
      </c>
      <c r="H99" s="14">
        <f>'80-ПП'!I762</f>
        <v>0</v>
      </c>
      <c r="I99" s="197"/>
      <c r="J99" s="14">
        <f t="shared" si="50"/>
        <v>0</v>
      </c>
      <c r="K99" s="14">
        <f t="shared" si="51"/>
        <v>0</v>
      </c>
      <c r="L99" s="14">
        <f t="shared" si="52"/>
        <v>0</v>
      </c>
      <c r="M99" s="14">
        <f t="shared" si="53"/>
        <v>0</v>
      </c>
      <c r="N99" s="14">
        <f t="shared" si="54"/>
        <v>0</v>
      </c>
      <c r="O99" s="204"/>
      <c r="P99" s="76">
        <v>2022</v>
      </c>
      <c r="Q99" s="14">
        <f>НОВЫЙ!E842</f>
        <v>0</v>
      </c>
      <c r="R99" s="14">
        <f>НОВЫЙ!F842</f>
        <v>0</v>
      </c>
      <c r="S99" s="14">
        <f>НОВЫЙ!G842</f>
        <v>0</v>
      </c>
      <c r="T99" s="14">
        <f>НОВЫЙ!H842</f>
        <v>0</v>
      </c>
      <c r="U99" s="14">
        <f>НОВЫЙ!I842</f>
        <v>0</v>
      </c>
      <c r="V99" s="197"/>
      <c r="W99" s="201"/>
    </row>
    <row r="100" spans="1:23" s="81" customFormat="1" ht="25.5" customHeight="1" x14ac:dyDescent="0.25">
      <c r="A100" s="109"/>
      <c r="B100" s="109"/>
      <c r="C100" s="76">
        <v>2023</v>
      </c>
      <c r="D100" s="14">
        <f>'80-ПП'!E763</f>
        <v>381844.82530999999</v>
      </c>
      <c r="E100" s="14">
        <f>'80-ПП'!F763</f>
        <v>84525.085309999995</v>
      </c>
      <c r="F100" s="14">
        <f>'80-ПП'!G763</f>
        <v>297319.74</v>
      </c>
      <c r="G100" s="14">
        <f>'80-ПП'!H763</f>
        <v>0</v>
      </c>
      <c r="H100" s="14">
        <f>'80-ПП'!I763</f>
        <v>0</v>
      </c>
      <c r="I100" s="197"/>
      <c r="J100" s="14">
        <f t="shared" si="50"/>
        <v>0</v>
      </c>
      <c r="K100" s="14">
        <f t="shared" si="51"/>
        <v>0</v>
      </c>
      <c r="L100" s="14">
        <f t="shared" si="52"/>
        <v>0</v>
      </c>
      <c r="M100" s="14">
        <f t="shared" si="53"/>
        <v>0</v>
      </c>
      <c r="N100" s="14">
        <f t="shared" si="54"/>
        <v>0</v>
      </c>
      <c r="O100" s="204"/>
      <c r="P100" s="76">
        <v>2023</v>
      </c>
      <c r="Q100" s="3">
        <f>НОВЫЙ!E843</f>
        <v>381844.82530999999</v>
      </c>
      <c r="R100" s="3">
        <f>НОВЫЙ!F843</f>
        <v>84525.085309999995</v>
      </c>
      <c r="S100" s="3">
        <f>НОВЫЙ!G843</f>
        <v>297319.74</v>
      </c>
      <c r="T100" s="14">
        <f>НОВЫЙ!H843</f>
        <v>0</v>
      </c>
      <c r="U100" s="14">
        <f>НОВЫЙ!I843</f>
        <v>0</v>
      </c>
      <c r="V100" s="197"/>
      <c r="W100" s="201"/>
    </row>
    <row r="101" spans="1:23" s="81" customFormat="1" ht="25.5" customHeight="1" x14ac:dyDescent="0.25">
      <c r="A101" s="109"/>
      <c r="B101" s="109"/>
      <c r="C101" s="76">
        <v>2024</v>
      </c>
      <c r="D101" s="14">
        <f>'80-ПП'!E764</f>
        <v>1101184.97325</v>
      </c>
      <c r="E101" s="14">
        <f>'80-ПП'!F764</f>
        <v>731076.37324999995</v>
      </c>
      <c r="F101" s="14">
        <f>'80-ПП'!G764</f>
        <v>370108.6</v>
      </c>
      <c r="G101" s="14">
        <f>'80-ПП'!H764</f>
        <v>0</v>
      </c>
      <c r="H101" s="14">
        <f>'80-ПП'!I764</f>
        <v>0</v>
      </c>
      <c r="I101" s="197"/>
      <c r="J101" s="14">
        <f t="shared" si="50"/>
        <v>36132.175219999859</v>
      </c>
      <c r="K101" s="14">
        <f t="shared" si="51"/>
        <v>36132.175220000092</v>
      </c>
      <c r="L101" s="14">
        <f t="shared" si="52"/>
        <v>0</v>
      </c>
      <c r="M101" s="14">
        <f t="shared" si="53"/>
        <v>0</v>
      </c>
      <c r="N101" s="14">
        <f t="shared" si="54"/>
        <v>0</v>
      </c>
      <c r="O101" s="204"/>
      <c r="P101" s="76">
        <v>2024</v>
      </c>
      <c r="Q101" s="14">
        <f>НОВЫЙ!E844</f>
        <v>1137317.1484699999</v>
      </c>
      <c r="R101" s="14">
        <f>НОВЫЙ!F844</f>
        <v>767208.54847000004</v>
      </c>
      <c r="S101" s="14">
        <f>НОВЫЙ!G844</f>
        <v>370108.6</v>
      </c>
      <c r="T101" s="14">
        <f>НОВЫЙ!H844</f>
        <v>0</v>
      </c>
      <c r="U101" s="14">
        <f>НОВЫЙ!I844</f>
        <v>0</v>
      </c>
      <c r="V101" s="197"/>
      <c r="W101" s="201"/>
    </row>
    <row r="102" spans="1:23" s="81" customFormat="1" ht="25.5" customHeight="1" x14ac:dyDescent="0.25">
      <c r="A102" s="109"/>
      <c r="B102" s="109"/>
      <c r="C102" s="76">
        <v>2025</v>
      </c>
      <c r="D102" s="14">
        <f>'80-ПП'!E765</f>
        <v>482170</v>
      </c>
      <c r="E102" s="14">
        <f>'80-ПП'!F765</f>
        <v>482170</v>
      </c>
      <c r="F102" s="14">
        <f>'80-ПП'!G765</f>
        <v>0</v>
      </c>
      <c r="G102" s="14">
        <f>'80-ПП'!H765</f>
        <v>0</v>
      </c>
      <c r="H102" s="14">
        <f>'80-ПП'!I765</f>
        <v>0</v>
      </c>
      <c r="I102" s="197"/>
      <c r="J102" s="14">
        <f t="shared" si="50"/>
        <v>0</v>
      </c>
      <c r="K102" s="14">
        <f t="shared" si="51"/>
        <v>0</v>
      </c>
      <c r="L102" s="14">
        <f t="shared" si="52"/>
        <v>0</v>
      </c>
      <c r="M102" s="14">
        <f t="shared" si="53"/>
        <v>0</v>
      </c>
      <c r="N102" s="14">
        <f t="shared" si="54"/>
        <v>0</v>
      </c>
      <c r="O102" s="204"/>
      <c r="P102" s="76">
        <v>2025</v>
      </c>
      <c r="Q102" s="14">
        <f>НОВЫЙ!E845</f>
        <v>482170</v>
      </c>
      <c r="R102" s="14">
        <f>НОВЫЙ!F845</f>
        <v>482170</v>
      </c>
      <c r="S102" s="14">
        <f>НОВЫЙ!G845</f>
        <v>0</v>
      </c>
      <c r="T102" s="14">
        <f>НОВЫЙ!H845</f>
        <v>0</v>
      </c>
      <c r="U102" s="14">
        <f>НОВЫЙ!I845</f>
        <v>0</v>
      </c>
      <c r="V102" s="197"/>
      <c r="W102" s="201"/>
    </row>
    <row r="103" spans="1:23" s="81" customFormat="1" ht="25.5" customHeight="1" x14ac:dyDescent="0.25">
      <c r="A103" s="110"/>
      <c r="B103" s="110"/>
      <c r="C103" s="76">
        <v>2026</v>
      </c>
      <c r="D103" s="14">
        <v>0</v>
      </c>
      <c r="E103" s="14">
        <v>0</v>
      </c>
      <c r="F103" s="14">
        <v>0</v>
      </c>
      <c r="G103" s="14">
        <v>0</v>
      </c>
      <c r="H103" s="14">
        <v>0</v>
      </c>
      <c r="I103" s="198"/>
      <c r="J103" s="14">
        <f t="shared" si="50"/>
        <v>0</v>
      </c>
      <c r="K103" s="14">
        <f t="shared" si="51"/>
        <v>0</v>
      </c>
      <c r="L103" s="14">
        <f t="shared" si="52"/>
        <v>0</v>
      </c>
      <c r="M103" s="14">
        <f t="shared" si="53"/>
        <v>0</v>
      </c>
      <c r="N103" s="14">
        <f t="shared" si="54"/>
        <v>0</v>
      </c>
      <c r="O103" s="205"/>
      <c r="P103" s="76">
        <v>2026</v>
      </c>
      <c r="Q103" s="14">
        <f>НОВЫЙ!E846</f>
        <v>0</v>
      </c>
      <c r="R103" s="14">
        <f>НОВЫЙ!F846</f>
        <v>0</v>
      </c>
      <c r="S103" s="14">
        <f>НОВЫЙ!G846</f>
        <v>0</v>
      </c>
      <c r="T103" s="14">
        <f>НОВЫЙ!H846</f>
        <v>0</v>
      </c>
      <c r="U103" s="14">
        <f>НОВЫЙ!I846</f>
        <v>0</v>
      </c>
      <c r="V103" s="198"/>
      <c r="W103" s="202"/>
    </row>
    <row r="104" spans="1:23" s="30" customFormat="1" ht="25.5" customHeight="1" x14ac:dyDescent="0.25">
      <c r="A104" s="108" t="s">
        <v>1218</v>
      </c>
      <c r="B104" s="108" t="s">
        <v>101</v>
      </c>
      <c r="C104" s="76" t="s">
        <v>8</v>
      </c>
      <c r="D104" s="14">
        <f>'80-ПП'!E766</f>
        <v>884016.68856000004</v>
      </c>
      <c r="E104" s="14">
        <f>'80-ПП'!F766</f>
        <v>333431.45856</v>
      </c>
      <c r="F104" s="14">
        <f>'80-ПП'!G766</f>
        <v>550585.23</v>
      </c>
      <c r="G104" s="14">
        <f>'80-ПП'!H766</f>
        <v>0</v>
      </c>
      <c r="H104" s="14">
        <f>'80-ПП'!I766</f>
        <v>0</v>
      </c>
      <c r="I104" s="196"/>
      <c r="J104" s="14">
        <f t="shared" si="50"/>
        <v>36132.175219999976</v>
      </c>
      <c r="K104" s="14">
        <f t="shared" si="51"/>
        <v>36132.175219999976</v>
      </c>
      <c r="L104" s="14">
        <f t="shared" si="52"/>
        <v>0</v>
      </c>
      <c r="M104" s="14">
        <f t="shared" si="53"/>
        <v>0</v>
      </c>
      <c r="N104" s="14">
        <f t="shared" si="54"/>
        <v>0</v>
      </c>
      <c r="O104" s="203"/>
      <c r="P104" s="76" t="s">
        <v>8</v>
      </c>
      <c r="Q104" s="14">
        <f>НОВЫЙ!E847</f>
        <v>920148.86378000001</v>
      </c>
      <c r="R104" s="14">
        <f>НОВЫЙ!F847</f>
        <v>369563.63377999997</v>
      </c>
      <c r="S104" s="14">
        <f>НОВЫЙ!G847</f>
        <v>550585.23</v>
      </c>
      <c r="T104" s="14">
        <f>НОВЫЙ!H847</f>
        <v>0</v>
      </c>
      <c r="U104" s="14">
        <f>НОВЫЙ!I847</f>
        <v>0</v>
      </c>
      <c r="V104" s="196"/>
      <c r="W104" s="215" t="s">
        <v>1814</v>
      </c>
    </row>
    <row r="105" spans="1:23" s="30" customFormat="1" ht="25.5" customHeight="1" x14ac:dyDescent="0.25">
      <c r="A105" s="109"/>
      <c r="B105" s="109"/>
      <c r="C105" s="76">
        <v>2021</v>
      </c>
      <c r="D105" s="14">
        <f>'80-ПП'!E767</f>
        <v>0</v>
      </c>
      <c r="E105" s="14">
        <f>'80-ПП'!F767</f>
        <v>0</v>
      </c>
      <c r="F105" s="14">
        <f>'80-ПП'!G767</f>
        <v>0</v>
      </c>
      <c r="G105" s="14">
        <f>'80-ПП'!H767</f>
        <v>0</v>
      </c>
      <c r="H105" s="14">
        <f>'80-ПП'!I767</f>
        <v>0</v>
      </c>
      <c r="I105" s="197"/>
      <c r="J105" s="14">
        <f t="shared" si="50"/>
        <v>0</v>
      </c>
      <c r="K105" s="14">
        <f t="shared" si="51"/>
        <v>0</v>
      </c>
      <c r="L105" s="14">
        <f t="shared" si="52"/>
        <v>0</v>
      </c>
      <c r="M105" s="14">
        <f t="shared" si="53"/>
        <v>0</v>
      </c>
      <c r="N105" s="14">
        <f t="shared" si="54"/>
        <v>0</v>
      </c>
      <c r="O105" s="204"/>
      <c r="P105" s="76">
        <v>2021</v>
      </c>
      <c r="Q105" s="14">
        <f>НОВЫЙ!E848</f>
        <v>0</v>
      </c>
      <c r="R105" s="14">
        <f>НОВЫЙ!F848</f>
        <v>0</v>
      </c>
      <c r="S105" s="14">
        <f>НОВЫЙ!G848</f>
        <v>0</v>
      </c>
      <c r="T105" s="14">
        <f>НОВЫЙ!H848</f>
        <v>0</v>
      </c>
      <c r="U105" s="14">
        <f>НОВЫЙ!I848</f>
        <v>0</v>
      </c>
      <c r="V105" s="197"/>
      <c r="W105" s="216"/>
    </row>
    <row r="106" spans="1:23" s="30" customFormat="1" ht="25.5" customHeight="1" x14ac:dyDescent="0.25">
      <c r="A106" s="109"/>
      <c r="B106" s="109"/>
      <c r="C106" s="76">
        <v>2022</v>
      </c>
      <c r="D106" s="14">
        <f>'80-ПП'!E768</f>
        <v>0</v>
      </c>
      <c r="E106" s="14">
        <f>'80-ПП'!F768</f>
        <v>0</v>
      </c>
      <c r="F106" s="14">
        <f>'80-ПП'!G768</f>
        <v>0</v>
      </c>
      <c r="G106" s="14">
        <f>'80-ПП'!H768</f>
        <v>0</v>
      </c>
      <c r="H106" s="14">
        <f>'80-ПП'!I768</f>
        <v>0</v>
      </c>
      <c r="I106" s="197"/>
      <c r="J106" s="14">
        <f t="shared" si="50"/>
        <v>0</v>
      </c>
      <c r="K106" s="14">
        <f t="shared" si="51"/>
        <v>0</v>
      </c>
      <c r="L106" s="14">
        <f t="shared" si="52"/>
        <v>0</v>
      </c>
      <c r="M106" s="14">
        <f t="shared" si="53"/>
        <v>0</v>
      </c>
      <c r="N106" s="14">
        <f t="shared" si="54"/>
        <v>0</v>
      </c>
      <c r="O106" s="204"/>
      <c r="P106" s="76">
        <v>2022</v>
      </c>
      <c r="Q106" s="14">
        <f>НОВЫЙ!E849</f>
        <v>0</v>
      </c>
      <c r="R106" s="14">
        <f>НОВЫЙ!F849</f>
        <v>0</v>
      </c>
      <c r="S106" s="14">
        <f>НОВЫЙ!G849</f>
        <v>0</v>
      </c>
      <c r="T106" s="14">
        <f>НОВЫЙ!H849</f>
        <v>0</v>
      </c>
      <c r="U106" s="14">
        <f>НОВЫЙ!I849</f>
        <v>0</v>
      </c>
      <c r="V106" s="197"/>
      <c r="W106" s="216"/>
    </row>
    <row r="107" spans="1:23" s="30" customFormat="1" ht="25.5" customHeight="1" x14ac:dyDescent="0.25">
      <c r="A107" s="109"/>
      <c r="B107" s="109"/>
      <c r="C107" s="76">
        <v>2023</v>
      </c>
      <c r="D107" s="14">
        <f>'80-ПП'!E769</f>
        <v>265001.71531</v>
      </c>
      <c r="E107" s="14">
        <f>'80-ПП'!F769</f>
        <v>84525.085309999995</v>
      </c>
      <c r="F107" s="14">
        <f>'80-ПП'!G769</f>
        <v>180476.63</v>
      </c>
      <c r="G107" s="14">
        <f>'80-ПП'!H769</f>
        <v>0</v>
      </c>
      <c r="H107" s="14">
        <f>'80-ПП'!I769</f>
        <v>0</v>
      </c>
      <c r="I107" s="197"/>
      <c r="J107" s="14">
        <f t="shared" si="50"/>
        <v>0</v>
      </c>
      <c r="K107" s="14">
        <f t="shared" si="51"/>
        <v>0</v>
      </c>
      <c r="L107" s="14">
        <f t="shared" si="52"/>
        <v>0</v>
      </c>
      <c r="M107" s="14">
        <f t="shared" si="53"/>
        <v>0</v>
      </c>
      <c r="N107" s="14">
        <f t="shared" si="54"/>
        <v>0</v>
      </c>
      <c r="O107" s="204"/>
      <c r="P107" s="76">
        <v>2023</v>
      </c>
      <c r="Q107" s="14">
        <f>НОВЫЙ!E850</f>
        <v>265001.71531</v>
      </c>
      <c r="R107" s="14">
        <f>НОВЫЙ!F850</f>
        <v>84525.085309999995</v>
      </c>
      <c r="S107" s="14">
        <f>НОВЫЙ!G850</f>
        <v>180476.63</v>
      </c>
      <c r="T107" s="14">
        <f>НОВЫЙ!H850</f>
        <v>0</v>
      </c>
      <c r="U107" s="14">
        <f>НОВЫЙ!I850</f>
        <v>0</v>
      </c>
      <c r="V107" s="197"/>
      <c r="W107" s="216"/>
    </row>
    <row r="108" spans="1:23" s="30" customFormat="1" ht="25.5" customHeight="1" x14ac:dyDescent="0.25">
      <c r="A108" s="109"/>
      <c r="B108" s="109"/>
      <c r="C108" s="76">
        <v>2024</v>
      </c>
      <c r="D108" s="14">
        <f>'80-ПП'!E770</f>
        <v>619014.97325000004</v>
      </c>
      <c r="E108" s="14">
        <f>'80-ПП'!F770</f>
        <v>248906.37325</v>
      </c>
      <c r="F108" s="14">
        <f>'80-ПП'!G770</f>
        <v>370108.6</v>
      </c>
      <c r="G108" s="14">
        <f>'80-ПП'!H770</f>
        <v>0</v>
      </c>
      <c r="H108" s="14">
        <f>'80-ПП'!I770</f>
        <v>0</v>
      </c>
      <c r="I108" s="197"/>
      <c r="J108" s="14">
        <f t="shared" si="50"/>
        <v>36132.175219999976</v>
      </c>
      <c r="K108" s="14">
        <f t="shared" si="51"/>
        <v>36132.175219999976</v>
      </c>
      <c r="L108" s="14">
        <f t="shared" si="52"/>
        <v>0</v>
      </c>
      <c r="M108" s="14">
        <f t="shared" si="53"/>
        <v>0</v>
      </c>
      <c r="N108" s="14">
        <f t="shared" si="54"/>
        <v>0</v>
      </c>
      <c r="O108" s="204"/>
      <c r="P108" s="76">
        <v>2024</v>
      </c>
      <c r="Q108" s="14">
        <f>НОВЫЙ!E851</f>
        <v>655147.14847000001</v>
      </c>
      <c r="R108" s="14">
        <f>НОВЫЙ!F851</f>
        <v>285038.54846999998</v>
      </c>
      <c r="S108" s="14">
        <f>НОВЫЙ!G851</f>
        <v>370108.6</v>
      </c>
      <c r="T108" s="14">
        <f>НОВЫЙ!H851</f>
        <v>0</v>
      </c>
      <c r="U108" s="14">
        <f>НОВЫЙ!I851</f>
        <v>0</v>
      </c>
      <c r="V108" s="197"/>
      <c r="W108" s="216"/>
    </row>
    <row r="109" spans="1:23" s="30" customFormat="1" ht="25.5" customHeight="1" x14ac:dyDescent="0.25">
      <c r="A109" s="109"/>
      <c r="B109" s="109"/>
      <c r="C109" s="76">
        <v>2025</v>
      </c>
      <c r="D109" s="14">
        <f>'80-ПП'!E771</f>
        <v>0</v>
      </c>
      <c r="E109" s="14">
        <f>'80-ПП'!F771</f>
        <v>0</v>
      </c>
      <c r="F109" s="14">
        <f>'80-ПП'!G771</f>
        <v>0</v>
      </c>
      <c r="G109" s="14">
        <f>'80-ПП'!H771</f>
        <v>0</v>
      </c>
      <c r="H109" s="14">
        <f>'80-ПП'!I771</f>
        <v>0</v>
      </c>
      <c r="I109" s="197"/>
      <c r="J109" s="14">
        <f t="shared" si="50"/>
        <v>0</v>
      </c>
      <c r="K109" s="14">
        <f t="shared" si="51"/>
        <v>0</v>
      </c>
      <c r="L109" s="14">
        <f t="shared" si="52"/>
        <v>0</v>
      </c>
      <c r="M109" s="14">
        <f t="shared" si="53"/>
        <v>0</v>
      </c>
      <c r="N109" s="14">
        <f t="shared" si="54"/>
        <v>0</v>
      </c>
      <c r="O109" s="204"/>
      <c r="P109" s="76">
        <v>2025</v>
      </c>
      <c r="Q109" s="14">
        <f>НОВЫЙ!E852</f>
        <v>0</v>
      </c>
      <c r="R109" s="14">
        <f>НОВЫЙ!F852</f>
        <v>0</v>
      </c>
      <c r="S109" s="14">
        <f>НОВЫЙ!G852</f>
        <v>0</v>
      </c>
      <c r="T109" s="14">
        <f>НОВЫЙ!H852</f>
        <v>0</v>
      </c>
      <c r="U109" s="14">
        <f>НОВЫЙ!I852</f>
        <v>0</v>
      </c>
      <c r="V109" s="197"/>
      <c r="W109" s="216"/>
    </row>
    <row r="110" spans="1:23" s="42" customFormat="1" ht="25.5" customHeight="1" x14ac:dyDescent="0.25">
      <c r="A110" s="110"/>
      <c r="B110" s="110"/>
      <c r="C110" s="76">
        <v>2026</v>
      </c>
      <c r="D110" s="14">
        <f>'80-ПП'!E773</f>
        <v>0</v>
      </c>
      <c r="E110" s="14">
        <f>'80-ПП'!F773</f>
        <v>0</v>
      </c>
      <c r="F110" s="14">
        <f>'80-ПП'!G773</f>
        <v>0</v>
      </c>
      <c r="G110" s="14">
        <f>'80-ПП'!H773</f>
        <v>0</v>
      </c>
      <c r="H110" s="14">
        <f>'80-ПП'!I773</f>
        <v>0</v>
      </c>
      <c r="I110" s="198"/>
      <c r="J110" s="14">
        <f t="shared" si="50"/>
        <v>0</v>
      </c>
      <c r="K110" s="14">
        <f t="shared" si="51"/>
        <v>0</v>
      </c>
      <c r="L110" s="14">
        <f t="shared" si="52"/>
        <v>0</v>
      </c>
      <c r="M110" s="14">
        <f t="shared" si="53"/>
        <v>0</v>
      </c>
      <c r="N110" s="14">
        <f t="shared" si="54"/>
        <v>0</v>
      </c>
      <c r="O110" s="205"/>
      <c r="P110" s="76">
        <v>2026</v>
      </c>
      <c r="Q110" s="14">
        <f>НОВЫЙ!E853</f>
        <v>0</v>
      </c>
      <c r="R110" s="14">
        <f>НОВЫЙ!F853</f>
        <v>0</v>
      </c>
      <c r="S110" s="14">
        <f>НОВЫЙ!G853</f>
        <v>0</v>
      </c>
      <c r="T110" s="14">
        <f>НОВЫЙ!H853</f>
        <v>0</v>
      </c>
      <c r="U110" s="14">
        <f>НОВЫЙ!I853</f>
        <v>0</v>
      </c>
      <c r="V110" s="198"/>
      <c r="W110" s="217"/>
    </row>
  </sheetData>
  <mergeCells count="98">
    <mergeCell ref="I55:I61"/>
    <mergeCell ref="I62:I68"/>
    <mergeCell ref="I69:I75"/>
    <mergeCell ref="O69:O75"/>
    <mergeCell ref="O62:O68"/>
    <mergeCell ref="O55:O61"/>
    <mergeCell ref="V69:V75"/>
    <mergeCell ref="V62:V68"/>
    <mergeCell ref="V55:V61"/>
    <mergeCell ref="W55:W61"/>
    <mergeCell ref="W62:W68"/>
    <mergeCell ref="W69:W75"/>
    <mergeCell ref="O104:O110"/>
    <mergeCell ref="B97:B103"/>
    <mergeCell ref="W98:W103"/>
    <mergeCell ref="V104:V110"/>
    <mergeCell ref="W104:W110"/>
    <mergeCell ref="V97:V103"/>
    <mergeCell ref="O97:O103"/>
    <mergeCell ref="A104:A110"/>
    <mergeCell ref="I104:I110"/>
    <mergeCell ref="A90:A96"/>
    <mergeCell ref="I90:I96"/>
    <mergeCell ref="B104:B110"/>
    <mergeCell ref="A97:A103"/>
    <mergeCell ref="I97:I103"/>
    <mergeCell ref="B90:B96"/>
    <mergeCell ref="V48:V54"/>
    <mergeCell ref="W48:W54"/>
    <mergeCell ref="W27:W33"/>
    <mergeCell ref="W34:W40"/>
    <mergeCell ref="V41:V47"/>
    <mergeCell ref="W41:W47"/>
    <mergeCell ref="W83:W89"/>
    <mergeCell ref="W76:W82"/>
    <mergeCell ref="O90:O96"/>
    <mergeCell ref="V90:V96"/>
    <mergeCell ref="W90:W96"/>
    <mergeCell ref="V76:V82"/>
    <mergeCell ref="V83:V89"/>
    <mergeCell ref="O83:O89"/>
    <mergeCell ref="O76:O82"/>
    <mergeCell ref="I6:I12"/>
    <mergeCell ref="B6:B12"/>
    <mergeCell ref="A6:A12"/>
    <mergeCell ref="B13:B19"/>
    <mergeCell ref="V6:V12"/>
    <mergeCell ref="A13:A19"/>
    <mergeCell ref="I13:I19"/>
    <mergeCell ref="T1:W1"/>
    <mergeCell ref="A2:W2"/>
    <mergeCell ref="A4:A5"/>
    <mergeCell ref="B4:B5"/>
    <mergeCell ref="C4:I4"/>
    <mergeCell ref="J4:N4"/>
    <mergeCell ref="O4:V4"/>
    <mergeCell ref="W4:W5"/>
    <mergeCell ref="W20:W26"/>
    <mergeCell ref="B20:B26"/>
    <mergeCell ref="A20:A26"/>
    <mergeCell ref="I20:I26"/>
    <mergeCell ref="O20:O26"/>
    <mergeCell ref="V20:V26"/>
    <mergeCell ref="W6:W12"/>
    <mergeCell ref="V13:V19"/>
    <mergeCell ref="W13:W19"/>
    <mergeCell ref="O6:O12"/>
    <mergeCell ref="O13:O19"/>
    <mergeCell ref="A76:A82"/>
    <mergeCell ref="A83:A89"/>
    <mergeCell ref="B48:B54"/>
    <mergeCell ref="A48:A54"/>
    <mergeCell ref="O48:O54"/>
    <mergeCell ref="I48:I54"/>
    <mergeCell ref="B76:B82"/>
    <mergeCell ref="I83:I89"/>
    <mergeCell ref="B83:B89"/>
    <mergeCell ref="I76:I82"/>
    <mergeCell ref="B69:B75"/>
    <mergeCell ref="A69:A75"/>
    <mergeCell ref="B55:B61"/>
    <mergeCell ref="A55:A61"/>
    <mergeCell ref="B62:B68"/>
    <mergeCell ref="A62:A68"/>
    <mergeCell ref="B41:B47"/>
    <mergeCell ref="A41:A47"/>
    <mergeCell ref="B34:B40"/>
    <mergeCell ref="A34:A40"/>
    <mergeCell ref="O34:O40"/>
    <mergeCell ref="O41:O47"/>
    <mergeCell ref="I41:I47"/>
    <mergeCell ref="B27:B33"/>
    <mergeCell ref="A27:A33"/>
    <mergeCell ref="I34:I40"/>
    <mergeCell ref="V34:V40"/>
    <mergeCell ref="I27:I33"/>
    <mergeCell ref="O27:O33"/>
    <mergeCell ref="V27:V33"/>
  </mergeCells>
  <pageMargins left="0.19685039370078741" right="0.23622047244094491" top="0.19685039370078741" bottom="0.19685039370078741" header="0" footer="0"/>
  <pageSetup paperSize="9" scale="33" firstPageNumber="4294967295" fitToHeight="7"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946"/>
  <sheetViews>
    <sheetView tabSelected="1" zoomScaleNormal="100" workbookViewId="0">
      <pane xSplit="3" ySplit="4" topLeftCell="D5" activePane="bottomRight" state="frozen"/>
      <selection activeCell="J305" sqref="J305:J310"/>
      <selection pane="topRight"/>
      <selection pane="bottomLeft"/>
      <selection pane="bottomRight" activeCell="F953" sqref="F953"/>
    </sheetView>
  </sheetViews>
  <sheetFormatPr defaultRowHeight="15" outlineLevelRow="1" x14ac:dyDescent="0.25"/>
  <cols>
    <col min="1" max="1" width="7.42578125" style="17" customWidth="1"/>
    <col min="2" max="2" width="36.42578125" style="16" customWidth="1"/>
    <col min="3" max="3" width="12.7109375" style="9" customWidth="1"/>
    <col min="4" max="4" width="8.85546875" style="9" customWidth="1"/>
    <col min="5" max="5" width="17.140625" style="9" customWidth="1"/>
    <col min="6" max="6" width="18" style="9" customWidth="1"/>
    <col min="7" max="7" width="15" style="9" customWidth="1"/>
    <col min="8" max="8" width="11.7109375" style="9" customWidth="1"/>
    <col min="9" max="9" width="15.5703125" style="9" customWidth="1"/>
    <col min="10" max="10" width="49.28515625" style="9" customWidth="1"/>
    <col min="11" max="11" width="32.7109375" style="9" customWidth="1"/>
    <col min="12" max="12" width="0.140625" style="67" hidden="1" customWidth="1"/>
    <col min="13" max="13" width="12.85546875" style="55" customWidth="1"/>
    <col min="14" max="14" width="39.85546875" style="55" customWidth="1"/>
    <col min="15" max="15" width="12.5703125" style="55" customWidth="1"/>
    <col min="16" max="16" width="13.5703125" style="55" customWidth="1"/>
    <col min="17" max="16384" width="9.140625" style="67"/>
  </cols>
  <sheetData>
    <row r="1" spans="1:15" ht="15.75" customHeight="1" x14ac:dyDescent="0.25">
      <c r="A1" s="157" t="s">
        <v>1782</v>
      </c>
      <c r="B1" s="157"/>
      <c r="C1" s="157"/>
      <c r="D1" s="157"/>
      <c r="E1" s="157"/>
      <c r="F1" s="157"/>
      <c r="G1" s="157"/>
      <c r="H1" s="157"/>
      <c r="I1" s="157"/>
      <c r="J1" s="157"/>
      <c r="K1" s="157"/>
    </row>
    <row r="2" spans="1:15" x14ac:dyDescent="0.25">
      <c r="A2" s="158"/>
      <c r="B2" s="158"/>
      <c r="C2" s="158"/>
      <c r="D2" s="158"/>
      <c r="E2" s="158"/>
      <c r="F2" s="158"/>
      <c r="G2" s="158"/>
      <c r="H2" s="158"/>
      <c r="I2" s="158"/>
      <c r="J2" s="158"/>
      <c r="K2" s="158"/>
    </row>
    <row r="3" spans="1:15" ht="39.75" customHeight="1" x14ac:dyDescent="0.25">
      <c r="A3" s="117" t="s">
        <v>1</v>
      </c>
      <c r="B3" s="118" t="s">
        <v>2</v>
      </c>
      <c r="C3" s="119" t="s">
        <v>3</v>
      </c>
      <c r="D3" s="159" t="s">
        <v>4</v>
      </c>
      <c r="E3" s="159"/>
      <c r="F3" s="159"/>
      <c r="G3" s="159"/>
      <c r="H3" s="159"/>
      <c r="I3" s="159"/>
      <c r="J3" s="119" t="s">
        <v>5</v>
      </c>
      <c r="K3" s="119" t="s">
        <v>6</v>
      </c>
    </row>
    <row r="4" spans="1:15" ht="36.75" customHeight="1" x14ac:dyDescent="0.25">
      <c r="A4" s="117"/>
      <c r="B4" s="118"/>
      <c r="C4" s="119"/>
      <c r="D4" s="68" t="s">
        <v>7</v>
      </c>
      <c r="E4" s="68" t="s">
        <v>8</v>
      </c>
      <c r="F4" s="68" t="s">
        <v>9</v>
      </c>
      <c r="G4" s="68" t="s">
        <v>10</v>
      </c>
      <c r="H4" s="68" t="s">
        <v>11</v>
      </c>
      <c r="I4" s="68" t="s">
        <v>12</v>
      </c>
      <c r="J4" s="119"/>
      <c r="K4" s="119"/>
      <c r="M4" s="56">
        <f>SUM(E37,E72,E86,E93,E100,E107,E127,E148,E155,E162,E176,E225,E232,E239,E246,E253,E323,E365,E372,F386,F393,E406,E412,E592,E704,E837,E900,E942)</f>
        <v>2103857.0475299996</v>
      </c>
      <c r="N4" s="78">
        <v>0</v>
      </c>
    </row>
    <row r="5" spans="1:15" ht="15" customHeight="1" x14ac:dyDescent="0.25">
      <c r="A5" s="108"/>
      <c r="B5" s="108" t="s">
        <v>13</v>
      </c>
      <c r="C5" s="108" t="s">
        <v>828</v>
      </c>
      <c r="D5" s="68" t="s">
        <v>8</v>
      </c>
      <c r="E5" s="8">
        <f t="shared" ref="E5:E31" si="0">SUM(F5:I5)</f>
        <v>14270912.454374753</v>
      </c>
      <c r="F5" s="8">
        <f>SUM(F6:F11)</f>
        <v>12434302.813480001</v>
      </c>
      <c r="G5" s="8">
        <f>SUM(G6:G11)</f>
        <v>1565105.1228499999</v>
      </c>
      <c r="H5" s="8">
        <f>SUM(H6:H11)</f>
        <v>271504.5180447509</v>
      </c>
      <c r="I5" s="8">
        <f>SUM(I6:I10)</f>
        <v>0</v>
      </c>
      <c r="J5" s="114"/>
      <c r="K5" s="114" t="s">
        <v>482</v>
      </c>
      <c r="M5" s="55">
        <f>E12+E19</f>
        <v>14270912.454374751</v>
      </c>
    </row>
    <row r="6" spans="1:15" x14ac:dyDescent="0.25">
      <c r="A6" s="109"/>
      <c r="B6" s="109"/>
      <c r="C6" s="109"/>
      <c r="D6" s="68">
        <v>2021</v>
      </c>
      <c r="E6" s="8">
        <f t="shared" si="0"/>
        <v>1613228.6017916503</v>
      </c>
      <c r="F6" s="8">
        <f t="shared" ref="F6:I10" si="1">F27+F208+F416+F925</f>
        <v>1267910.29015</v>
      </c>
      <c r="G6" s="8">
        <f t="shared" si="1"/>
        <v>301879.99800000002</v>
      </c>
      <c r="H6" s="8">
        <f t="shared" si="1"/>
        <v>43438.313641650384</v>
      </c>
      <c r="I6" s="8">
        <f t="shared" si="1"/>
        <v>0</v>
      </c>
      <c r="J6" s="115"/>
      <c r="K6" s="115"/>
    </row>
    <row r="7" spans="1:15" x14ac:dyDescent="0.25">
      <c r="A7" s="109"/>
      <c r="B7" s="109"/>
      <c r="C7" s="109"/>
      <c r="D7" s="68">
        <v>2022</v>
      </c>
      <c r="E7" s="8">
        <f t="shared" si="0"/>
        <v>2883391.4108731011</v>
      </c>
      <c r="F7" s="8">
        <f t="shared" si="1"/>
        <v>2558971.7024200005</v>
      </c>
      <c r="G7" s="8">
        <f t="shared" si="1"/>
        <v>244045.77</v>
      </c>
      <c r="H7" s="8">
        <f t="shared" si="1"/>
        <v>80373.93845310052</v>
      </c>
      <c r="I7" s="8">
        <f t="shared" si="1"/>
        <v>0</v>
      </c>
      <c r="J7" s="115"/>
      <c r="K7" s="115"/>
    </row>
    <row r="8" spans="1:15" x14ac:dyDescent="0.25">
      <c r="A8" s="109"/>
      <c r="B8" s="109"/>
      <c r="C8" s="109"/>
      <c r="D8" s="68">
        <v>2023</v>
      </c>
      <c r="E8" s="8">
        <f t="shared" si="0"/>
        <v>2154380.0654199999</v>
      </c>
      <c r="F8" s="8">
        <f t="shared" si="1"/>
        <v>1676033.8114900002</v>
      </c>
      <c r="G8" s="8">
        <f t="shared" si="1"/>
        <v>436920.95484999998</v>
      </c>
      <c r="H8" s="8">
        <f t="shared" si="1"/>
        <v>41425.299079999975</v>
      </c>
      <c r="I8" s="8">
        <f t="shared" si="1"/>
        <v>0</v>
      </c>
      <c r="J8" s="115"/>
      <c r="K8" s="115"/>
    </row>
    <row r="9" spans="1:15" x14ac:dyDescent="0.25">
      <c r="A9" s="109"/>
      <c r="B9" s="109"/>
      <c r="C9" s="109"/>
      <c r="D9" s="68">
        <v>2024</v>
      </c>
      <c r="E9" s="8">
        <f t="shared" si="0"/>
        <v>3610937.3131099995</v>
      </c>
      <c r="F9" s="8">
        <f t="shared" si="1"/>
        <v>3082383.5778699997</v>
      </c>
      <c r="G9" s="8">
        <f t="shared" si="1"/>
        <v>456258.39999999997</v>
      </c>
      <c r="H9" s="8">
        <f t="shared" si="1"/>
        <v>72295.33524</v>
      </c>
      <c r="I9" s="8">
        <f t="shared" si="1"/>
        <v>0</v>
      </c>
      <c r="J9" s="115"/>
      <c r="K9" s="115"/>
    </row>
    <row r="10" spans="1:15" x14ac:dyDescent="0.25">
      <c r="A10" s="109"/>
      <c r="B10" s="109"/>
      <c r="C10" s="109"/>
      <c r="D10" s="68">
        <v>2025</v>
      </c>
      <c r="E10" s="8">
        <f t="shared" si="0"/>
        <v>2159394.9740800001</v>
      </c>
      <c r="F10" s="8">
        <f t="shared" si="1"/>
        <v>2052012.8657499999</v>
      </c>
      <c r="G10" s="8">
        <f t="shared" si="1"/>
        <v>90000</v>
      </c>
      <c r="H10" s="8">
        <f t="shared" si="1"/>
        <v>17382.108329999999</v>
      </c>
      <c r="I10" s="8">
        <f t="shared" si="1"/>
        <v>0</v>
      </c>
      <c r="J10" s="115"/>
      <c r="K10" s="115"/>
    </row>
    <row r="11" spans="1:15" x14ac:dyDescent="0.25">
      <c r="A11" s="110"/>
      <c r="B11" s="110"/>
      <c r="C11" s="110"/>
      <c r="D11" s="68">
        <v>2026</v>
      </c>
      <c r="E11" s="8">
        <f>SUM(F11:I11)</f>
        <v>1849580.0891000002</v>
      </c>
      <c r="F11" s="8">
        <f>SUM(F32,F213,F421,F930)</f>
        <v>1796990.5658000002</v>
      </c>
      <c r="G11" s="8">
        <f>SUM(G32,G213,G421,G930)</f>
        <v>36000</v>
      </c>
      <c r="H11" s="8">
        <f>SUM(H32,H213,H421,H930)</f>
        <v>16589.523300000001</v>
      </c>
      <c r="I11" s="8">
        <f>SUM(I32,I213,I421,I930)</f>
        <v>0</v>
      </c>
      <c r="J11" s="116"/>
      <c r="K11" s="116"/>
    </row>
    <row r="12" spans="1:15" ht="15" customHeight="1" x14ac:dyDescent="0.25">
      <c r="A12" s="108"/>
      <c r="B12" s="108" t="s">
        <v>483</v>
      </c>
      <c r="C12" s="108" t="s">
        <v>828</v>
      </c>
      <c r="D12" s="68" t="s">
        <v>8</v>
      </c>
      <c r="E12" s="8">
        <f t="shared" ref="E12:E24" si="2">SUM(F12:I12)</f>
        <v>9947875.7374578435</v>
      </c>
      <c r="F12" s="8">
        <f>SUM(F13:F18)</f>
        <v>9444880.1123600006</v>
      </c>
      <c r="G12" s="8">
        <f>SUM(G13:G18)</f>
        <v>335189.18385000003</v>
      </c>
      <c r="H12" s="8">
        <f>SUM(H13:H18)</f>
        <v>167806.44124784268</v>
      </c>
      <c r="I12" s="8">
        <v>0</v>
      </c>
      <c r="J12" s="114"/>
      <c r="K12" s="114" t="s">
        <v>484</v>
      </c>
    </row>
    <row r="13" spans="1:15" x14ac:dyDescent="0.25">
      <c r="A13" s="109"/>
      <c r="B13" s="109"/>
      <c r="C13" s="109"/>
      <c r="D13" s="68">
        <v>2021</v>
      </c>
      <c r="E13" s="8">
        <f t="shared" si="2"/>
        <v>1143437.1402100001</v>
      </c>
      <c r="F13" s="8">
        <f t="shared" ref="F13:I18" si="3">F6-F20</f>
        <v>1079783.2501300001</v>
      </c>
      <c r="G13" s="8">
        <f t="shared" si="3"/>
        <v>44391.299000000028</v>
      </c>
      <c r="H13" s="8">
        <f t="shared" si="3"/>
        <v>19262.591080000006</v>
      </c>
      <c r="I13" s="8">
        <v>0</v>
      </c>
      <c r="J13" s="115"/>
      <c r="K13" s="115"/>
      <c r="M13" s="55" t="s">
        <v>9</v>
      </c>
      <c r="N13" s="55" t="s">
        <v>10</v>
      </c>
      <c r="O13" s="55" t="s">
        <v>11</v>
      </c>
    </row>
    <row r="14" spans="1:15" x14ac:dyDescent="0.25">
      <c r="A14" s="109"/>
      <c r="B14" s="109"/>
      <c r="C14" s="109"/>
      <c r="D14" s="68">
        <v>2022</v>
      </c>
      <c r="E14" s="8">
        <f t="shared" si="2"/>
        <v>1725609.8373178432</v>
      </c>
      <c r="F14" s="8">
        <f t="shared" si="3"/>
        <v>1637815.2563600005</v>
      </c>
      <c r="G14" s="8">
        <f t="shared" si="3"/>
        <v>66437.87</v>
      </c>
      <c r="H14" s="8">
        <f t="shared" si="3"/>
        <v>21356.710957842668</v>
      </c>
      <c r="I14" s="8">
        <v>0</v>
      </c>
      <c r="J14" s="115"/>
      <c r="K14" s="115"/>
      <c r="M14" s="56">
        <f>SUM(F28,F209,F452,F466,F557,F583,F590,F597,F604,F667,F702,F772,F779,F786,F793,F828,F898,F926)</f>
        <v>1637815.2563600005</v>
      </c>
      <c r="N14" s="55">
        <f>SUM(G28,G209,G452,G466,G557,G583,G590,G597,G604,G667,G702,G772,G779,G786,G793,G828,G898,G926)</f>
        <v>66437.87</v>
      </c>
      <c r="O14" s="55">
        <f>SUM(H28,H209,H452,H466,H557,H583,H590,H597,H604,H667,H702,H772,H779,H786,H793,H828,H898,H926)</f>
        <v>21356.710957842668</v>
      </c>
    </row>
    <row r="15" spans="1:15" x14ac:dyDescent="0.25">
      <c r="A15" s="109"/>
      <c r="B15" s="109"/>
      <c r="C15" s="109"/>
      <c r="D15" s="68">
        <v>2023</v>
      </c>
      <c r="E15" s="8">
        <f t="shared" si="2"/>
        <v>1506558.2592200004</v>
      </c>
      <c r="F15" s="8">
        <f t="shared" si="3"/>
        <v>1461119.3410300002</v>
      </c>
      <c r="G15" s="8">
        <f t="shared" si="3"/>
        <v>12210.214849999989</v>
      </c>
      <c r="H15" s="8">
        <f t="shared" si="3"/>
        <v>33228.70334</v>
      </c>
      <c r="I15" s="8">
        <v>0</v>
      </c>
      <c r="J15" s="115"/>
      <c r="K15" s="115"/>
    </row>
    <row r="16" spans="1:15" x14ac:dyDescent="0.25">
      <c r="A16" s="109"/>
      <c r="B16" s="109"/>
      <c r="C16" s="109"/>
      <c r="D16" s="68">
        <v>2024</v>
      </c>
      <c r="E16" s="8">
        <f t="shared" si="2"/>
        <v>2124713.2375299996</v>
      </c>
      <c r="F16" s="8">
        <f t="shared" si="3"/>
        <v>1977784.0482899996</v>
      </c>
      <c r="G16" s="8">
        <f t="shared" si="3"/>
        <v>86149.799999999988</v>
      </c>
      <c r="H16" s="8">
        <f t="shared" si="3"/>
        <v>60779.389240000004</v>
      </c>
      <c r="I16" s="8">
        <v>0</v>
      </c>
      <c r="J16" s="115"/>
      <c r="K16" s="115"/>
      <c r="M16" s="56">
        <f>SUM(F30,F211,F454,F468,F559,F585,F592,F599,F606,F669,F704,F774,F781,F788,F795,F830,F900,F928)</f>
        <v>1977784.0482899996</v>
      </c>
      <c r="N16" s="55">
        <f>SUM(G30,G211,G454,G468,G559,G585,G592,G599,G606,G669,G704,G774,G781,G788,G795,G830,G900,G928)</f>
        <v>86149.8</v>
      </c>
      <c r="O16" s="55">
        <f>SUM(H30,H211,H454,H468,H559,H585,H592,H599,H606,H669,H704,H774,H781,H788,H795,H830,H900,H928)</f>
        <v>60779.389240000004</v>
      </c>
    </row>
    <row r="17" spans="1:15" x14ac:dyDescent="0.25">
      <c r="A17" s="109"/>
      <c r="B17" s="109"/>
      <c r="C17" s="109"/>
      <c r="D17" s="68">
        <v>2025</v>
      </c>
      <c r="E17" s="8">
        <f t="shared" si="2"/>
        <v>1597977.17408</v>
      </c>
      <c r="F17" s="8">
        <f t="shared" si="3"/>
        <v>1491387.65075</v>
      </c>
      <c r="G17" s="8">
        <f t="shared" si="3"/>
        <v>90000</v>
      </c>
      <c r="H17" s="8">
        <f t="shared" si="3"/>
        <v>16589.52333</v>
      </c>
      <c r="I17" s="8">
        <v>0</v>
      </c>
      <c r="J17" s="115"/>
      <c r="K17" s="115"/>
      <c r="M17" s="55">
        <f>SUM(F31,F212,F456,F470,F561,F587,F593,F601,F608,F671,F705,F776,F783,F790,F797,F831,F901,F929)</f>
        <v>1491387.65075</v>
      </c>
      <c r="N17" s="55">
        <f>SUM(G31,G212,G456,G470,G561,G587,G593,G601,G608,G671,G705,G776,G783,G790,G797,G831,G901,G929)</f>
        <v>90000</v>
      </c>
      <c r="O17" s="55">
        <f>SUM(H31,H212,H456,H470,H561,H587,H593,H601,H608,H671,H705,H776,H783,H790,H797,H831,H901,H929)</f>
        <v>16589.52333</v>
      </c>
    </row>
    <row r="18" spans="1:15" x14ac:dyDescent="0.25">
      <c r="A18" s="110"/>
      <c r="B18" s="110"/>
      <c r="C18" s="110"/>
      <c r="D18" s="68">
        <v>2026</v>
      </c>
      <c r="E18" s="8">
        <f>SUM(F18:I18)</f>
        <v>1849580.0891000002</v>
      </c>
      <c r="F18" s="8">
        <f t="shared" si="3"/>
        <v>1796990.5658000002</v>
      </c>
      <c r="G18" s="8">
        <f t="shared" si="3"/>
        <v>36000</v>
      </c>
      <c r="H18" s="8">
        <f t="shared" si="3"/>
        <v>16589.523300000001</v>
      </c>
      <c r="I18" s="8">
        <f t="shared" si="3"/>
        <v>0</v>
      </c>
      <c r="J18" s="116"/>
      <c r="K18" s="116"/>
    </row>
    <row r="19" spans="1:15" ht="15" customHeight="1" x14ac:dyDescent="0.25">
      <c r="A19" s="108"/>
      <c r="B19" s="108" t="s">
        <v>18</v>
      </c>
      <c r="C19" s="108" t="s">
        <v>828</v>
      </c>
      <c r="D19" s="68" t="s">
        <v>8</v>
      </c>
      <c r="E19" s="8">
        <f t="shared" si="2"/>
        <v>4323036.7169169076</v>
      </c>
      <c r="F19" s="8">
        <f>F20+F21+F22+F23+F24</f>
        <v>2989422.7011200003</v>
      </c>
      <c r="G19" s="8">
        <f t="shared" ref="G19:H19" si="4">G20+G21+G22+G23+G24</f>
        <v>1229915.9389999998</v>
      </c>
      <c r="H19" s="8">
        <f t="shared" si="4"/>
        <v>103698.07679690821</v>
      </c>
      <c r="I19" s="8">
        <f t="shared" ref="I19" si="5">I20+I21+I22+I23</f>
        <v>0</v>
      </c>
      <c r="J19" s="114"/>
      <c r="K19" s="114" t="s">
        <v>20</v>
      </c>
      <c r="N19" s="56">
        <f>F74+F88+F95+F102+F109+F129+F150+F157+F164+F192+F199+F227+F234+F241+F248+F255+F325+F395+F594+F706+F818+F825+F839+F902+F944</f>
        <v>1796990.5658000002</v>
      </c>
    </row>
    <row r="20" spans="1:15" x14ac:dyDescent="0.25">
      <c r="A20" s="109"/>
      <c r="B20" s="109"/>
      <c r="C20" s="109"/>
      <c r="D20" s="68">
        <v>2021</v>
      </c>
      <c r="E20" s="8">
        <f t="shared" si="2"/>
        <v>469791.46158165036</v>
      </c>
      <c r="F20" s="8">
        <f t="shared" ref="F20:H21" si="6">F430+F437+F444+F458+F493+F507+F514+F549+F610+F617+F624+F631+F645+F652+F673+F680+F687+F694+F708+F715+F722+F729+F736+F743+F750+F757+F764+F799+F806+F848+F904+F911+F918+F535+F869+F855</f>
        <v>188127.04001999999</v>
      </c>
      <c r="G20" s="8">
        <f t="shared" si="6"/>
        <v>257488.69899999999</v>
      </c>
      <c r="H20" s="8">
        <f t="shared" si="6"/>
        <v>24175.722561650378</v>
      </c>
      <c r="I20" s="8">
        <f>I6-I13</f>
        <v>0</v>
      </c>
      <c r="J20" s="115"/>
      <c r="K20" s="115"/>
    </row>
    <row r="21" spans="1:15" x14ac:dyDescent="0.25">
      <c r="A21" s="109"/>
      <c r="B21" s="109"/>
      <c r="C21" s="109"/>
      <c r="D21" s="68">
        <v>2022</v>
      </c>
      <c r="E21" s="8">
        <f t="shared" si="2"/>
        <v>1157781.5735552579</v>
      </c>
      <c r="F21" s="8">
        <f t="shared" si="6"/>
        <v>921156.4460600001</v>
      </c>
      <c r="G21" s="8">
        <f t="shared" si="6"/>
        <v>177607.9</v>
      </c>
      <c r="H21" s="8">
        <f t="shared" si="6"/>
        <v>59017.227495257852</v>
      </c>
      <c r="I21" s="8">
        <f>I7-I14</f>
        <v>0</v>
      </c>
      <c r="J21" s="115"/>
      <c r="K21" s="115"/>
    </row>
    <row r="22" spans="1:15" x14ac:dyDescent="0.25">
      <c r="A22" s="109"/>
      <c r="B22" s="109"/>
      <c r="C22" s="109"/>
      <c r="D22" s="68">
        <v>2023</v>
      </c>
      <c r="E22" s="8">
        <f>SUM(F22:I22)</f>
        <v>647821.80619999999</v>
      </c>
      <c r="F22" s="8">
        <f>F432+F439+F446+F460+F495+F509+F516+F551+F612+F619+F626+F633+F647+F654+F675+F682+F689+F696+F710+F717+F724+F731+F738+F745+F752+F759+F766+F801+F808+F850+F906+F913+F920+F537+F871+F857</f>
        <v>214914.47045999998</v>
      </c>
      <c r="G22" s="8">
        <f>G432+G439+G446+G460+G495+G509+G516+G551+G612+G619+G626+G633+G647+G654+G675+G682+G689+G696+G710+G717+G724+G731+G738+G745+G752+G759+G766+G801+G808+G850+G906+G913+G920+G537+G871+G857+G864</f>
        <v>424710.74</v>
      </c>
      <c r="H22" s="8">
        <f>H432+H439+H446+H460+H495+H509+H516+H551+H612+H619+H626+H633+H647+H654+H675+H682+H689+H696+H710+H717+H724+H731+H738+H745+H752+H759+H766+H801+H808+H850+H906+H913+H920+H537+H871+H857</f>
        <v>8196.5957399999752</v>
      </c>
      <c r="I22" s="8">
        <f>I432+I439+I446+I460+I495+I509+I516+I551+I612+I619+I626+I633+I647+I654+I668+I675+I682+I689+I696+I710+I717+I724+I731+I738+I745+I752+I759+I766+I801+I808+I850+I906+I913+I920+I537+I871</f>
        <v>0</v>
      </c>
      <c r="J22" s="115"/>
      <c r="K22" s="115"/>
    </row>
    <row r="23" spans="1:15" x14ac:dyDescent="0.25">
      <c r="A23" s="109"/>
      <c r="B23" s="109"/>
      <c r="C23" s="109"/>
      <c r="D23" s="68">
        <v>2024</v>
      </c>
      <c r="E23" s="8">
        <f t="shared" si="2"/>
        <v>1486224.0755799999</v>
      </c>
      <c r="F23" s="8">
        <f>F433+F440+F447+F461+F496+F510+F517+F552+F613+F620+F627+F634+F648+F655+F676+F683+F690+F697+F711+F718+F725+F732+F739+F746+F753+F760+F767+F802+F809+F907+F914+F921+F538+F872+F844+F566+F572</f>
        <v>1104599.5295800001</v>
      </c>
      <c r="G23" s="8">
        <f>G433+G440+G447+G461+G496+G510+G517+G552+G613+G620+G627+G634+G648+G655+G676+G683+G690+G697+G711+G718+G725+G732+G739+G746+G753+G760+G767+G802+G809+G851+G907+G914+G921+G538+G872+G858</f>
        <v>370108.6</v>
      </c>
      <c r="H23" s="8">
        <f>H433+H440+H447+H461+H496+H510+H517+H552+H613+H620+H627+H634+H648+H655+H676+H683+H690+H697+H711+H718+H725+H732+H739+H746+H753+H760+H767+H802+H809+H851+H907+H914+H921+H538+H872+H858</f>
        <v>11515.946</v>
      </c>
      <c r="I23" s="8">
        <f>I433+I440+I447+I461+I496+I510+I517+I552+I613+I620+I627+I634+I648+I655+I669+I676+I683+I690+I697+I711+I718+I725+I732+I739+I746+I753+I760+I767+I802+I809+I851+I907+I914+I921+I538+I872+I873</f>
        <v>0</v>
      </c>
      <c r="J23" s="115"/>
      <c r="K23" s="115"/>
      <c r="M23" s="56"/>
      <c r="N23" s="56"/>
    </row>
    <row r="24" spans="1:15" x14ac:dyDescent="0.25">
      <c r="A24" s="109"/>
      <c r="B24" s="109"/>
      <c r="C24" s="109"/>
      <c r="D24" s="68">
        <v>2025</v>
      </c>
      <c r="E24" s="8">
        <f t="shared" si="2"/>
        <v>561417.79999999993</v>
      </c>
      <c r="F24" s="8">
        <f>F435+F442+F449+F463+F498+F512+F519+F554+F615+F622+F629+F636+F650+F657+F678+F685+F692+F699+F713+F720+F727+F734+F741+F748+F755+F762+F769+F804+F811+F908+F915+F922+F540+F873+F845</f>
        <v>560625.21499999997</v>
      </c>
      <c r="G24" s="8">
        <f>G435+G442+G449+G463+G498+G512+G519+G554+G615+G622+G629+G636+G650+G657+G678+G685+G692+G699+G713+G720+G727+G734+G741+G748+G755+G762+G769+G804+G811+G852+G908+G915+G922+G540+G873+G859</f>
        <v>0</v>
      </c>
      <c r="H24" s="8">
        <f>H435+H442+H449+H463+H498+H512+H519+H554+H615+H622+H629+H636+H650+H657+H678+H685+H692+H699+H713+H720+H727+H734+H741+H748+H755+H762+H769+H804+H811+H852+H908+H915+H922+H540+H873+H859</f>
        <v>792.58500000000004</v>
      </c>
      <c r="I24" s="8">
        <f>I10-I17</f>
        <v>0</v>
      </c>
      <c r="J24" s="115"/>
      <c r="K24" s="115"/>
    </row>
    <row r="25" spans="1:15" x14ac:dyDescent="0.25">
      <c r="A25" s="110"/>
      <c r="B25" s="110"/>
      <c r="C25" s="110"/>
      <c r="D25" s="68">
        <v>2026</v>
      </c>
      <c r="E25" s="8">
        <v>0</v>
      </c>
      <c r="F25" s="8">
        <v>0</v>
      </c>
      <c r="G25" s="8">
        <v>0</v>
      </c>
      <c r="H25" s="8">
        <v>0</v>
      </c>
      <c r="I25" s="8">
        <v>0</v>
      </c>
      <c r="J25" s="116"/>
      <c r="K25" s="116"/>
    </row>
    <row r="26" spans="1:15" ht="15" customHeight="1" x14ac:dyDescent="0.25">
      <c r="A26" s="108" t="s">
        <v>806</v>
      </c>
      <c r="B26" s="108" t="s">
        <v>818</v>
      </c>
      <c r="C26" s="108" t="s">
        <v>828</v>
      </c>
      <c r="D26" s="68" t="s">
        <v>8</v>
      </c>
      <c r="E26" s="8">
        <f t="shared" si="0"/>
        <v>1721484.62742</v>
      </c>
      <c r="F26" s="8">
        <f>SUM(F27:F32)</f>
        <v>1645392.3293600001</v>
      </c>
      <c r="G26" s="8">
        <f>SUM(G27:G31)</f>
        <v>23683.307479999996</v>
      </c>
      <c r="H26" s="8">
        <f>SUM(H27:H31)</f>
        <v>52408.990579999998</v>
      </c>
      <c r="I26" s="8">
        <f>SUM(I27:I31)</f>
        <v>0</v>
      </c>
      <c r="J26" s="114"/>
      <c r="K26" s="108" t="s">
        <v>486</v>
      </c>
      <c r="L26" s="124" t="s">
        <v>1111</v>
      </c>
    </row>
    <row r="27" spans="1:15" x14ac:dyDescent="0.25">
      <c r="A27" s="109"/>
      <c r="B27" s="109"/>
      <c r="C27" s="109"/>
      <c r="D27" s="68">
        <v>2021</v>
      </c>
      <c r="E27" s="8">
        <f t="shared" si="0"/>
        <v>138607.88275000002</v>
      </c>
      <c r="F27" s="8">
        <f t="shared" ref="F27:I30" si="7">F34+F62+F173</f>
        <v>118407.68375000001</v>
      </c>
      <c r="G27" s="8">
        <f t="shared" si="7"/>
        <v>20200.198999999997</v>
      </c>
      <c r="H27" s="8">
        <f t="shared" si="7"/>
        <v>0</v>
      </c>
      <c r="I27" s="8">
        <f t="shared" si="7"/>
        <v>0</v>
      </c>
      <c r="J27" s="115"/>
      <c r="K27" s="109"/>
      <c r="L27" s="124"/>
    </row>
    <row r="28" spans="1:15" x14ac:dyDescent="0.25">
      <c r="A28" s="109"/>
      <c r="B28" s="109"/>
      <c r="C28" s="109"/>
      <c r="D28" s="68">
        <v>2022</v>
      </c>
      <c r="E28" s="8">
        <f t="shared" si="0"/>
        <v>284204.41166000004</v>
      </c>
      <c r="F28" s="8">
        <f t="shared" si="7"/>
        <v>281836.93466000003</v>
      </c>
      <c r="G28" s="8">
        <f t="shared" si="7"/>
        <v>2367.4769999999999</v>
      </c>
      <c r="H28" s="8">
        <f t="shared" si="7"/>
        <v>0</v>
      </c>
      <c r="I28" s="8">
        <f t="shared" si="7"/>
        <v>0</v>
      </c>
      <c r="J28" s="115"/>
      <c r="K28" s="109"/>
      <c r="L28" s="124"/>
    </row>
    <row r="29" spans="1:15" x14ac:dyDescent="0.25">
      <c r="A29" s="109"/>
      <c r="B29" s="109"/>
      <c r="C29" s="109"/>
      <c r="D29" s="68">
        <v>2023</v>
      </c>
      <c r="E29" s="8">
        <f t="shared" si="0"/>
        <v>296877.74302999995</v>
      </c>
      <c r="F29" s="8">
        <f t="shared" si="7"/>
        <v>283276.32020999998</v>
      </c>
      <c r="G29" s="8">
        <f t="shared" si="7"/>
        <v>1115.63148</v>
      </c>
      <c r="H29" s="8">
        <f t="shared" si="7"/>
        <v>12485.79134</v>
      </c>
      <c r="I29" s="8">
        <f t="shared" si="7"/>
        <v>0</v>
      </c>
      <c r="J29" s="115"/>
      <c r="K29" s="109"/>
      <c r="L29" s="124"/>
    </row>
    <row r="30" spans="1:15" x14ac:dyDescent="0.25">
      <c r="A30" s="109"/>
      <c r="B30" s="109"/>
      <c r="C30" s="109"/>
      <c r="D30" s="68">
        <v>2024</v>
      </c>
      <c r="E30" s="8">
        <f t="shared" si="0"/>
        <v>506679.79281999997</v>
      </c>
      <c r="F30" s="8">
        <f t="shared" si="7"/>
        <v>466756.59357999999</v>
      </c>
      <c r="G30" s="8">
        <f t="shared" si="7"/>
        <v>0</v>
      </c>
      <c r="H30" s="8">
        <f t="shared" si="7"/>
        <v>39923.199240000002</v>
      </c>
      <c r="I30" s="8">
        <f t="shared" si="7"/>
        <v>0</v>
      </c>
      <c r="J30" s="115"/>
      <c r="K30" s="109"/>
      <c r="L30" s="124"/>
    </row>
    <row r="31" spans="1:15" x14ac:dyDescent="0.25">
      <c r="A31" s="109"/>
      <c r="B31" s="109"/>
      <c r="C31" s="109"/>
      <c r="D31" s="68">
        <v>2025</v>
      </c>
      <c r="E31" s="8">
        <f t="shared" si="0"/>
        <v>247557.39858000001</v>
      </c>
      <c r="F31" s="8">
        <f>F39+F66+F177</f>
        <v>247557.39858000001</v>
      </c>
      <c r="G31" s="8">
        <f>G39+G66+G177</f>
        <v>0</v>
      </c>
      <c r="H31" s="8">
        <f>H39+H66+H177</f>
        <v>0</v>
      </c>
      <c r="I31" s="8">
        <f>I39+I66+I177</f>
        <v>0</v>
      </c>
      <c r="J31" s="115"/>
      <c r="K31" s="109"/>
      <c r="L31" s="124"/>
    </row>
    <row r="32" spans="1:15" x14ac:dyDescent="0.25">
      <c r="A32" s="110"/>
      <c r="B32" s="110"/>
      <c r="C32" s="110"/>
      <c r="D32" s="68">
        <v>2026</v>
      </c>
      <c r="E32" s="8">
        <f>SUM(F32:I32)</f>
        <v>247557.39858000001</v>
      </c>
      <c r="F32" s="8">
        <f>SUM(F67,F178)</f>
        <v>247557.39858000001</v>
      </c>
      <c r="G32" s="8">
        <f t="shared" ref="G32:I32" si="8">SUM(G67,G178)</f>
        <v>0</v>
      </c>
      <c r="H32" s="8">
        <f t="shared" si="8"/>
        <v>0</v>
      </c>
      <c r="I32" s="8">
        <f t="shared" si="8"/>
        <v>0</v>
      </c>
      <c r="J32" s="116"/>
      <c r="K32" s="110"/>
    </row>
    <row r="33" spans="1:16" x14ac:dyDescent="0.25">
      <c r="A33" s="117" t="s">
        <v>23</v>
      </c>
      <c r="B33" s="118" t="s">
        <v>24</v>
      </c>
      <c r="C33" s="108" t="s">
        <v>828</v>
      </c>
      <c r="D33" s="68" t="s">
        <v>8</v>
      </c>
      <c r="E33" s="8">
        <f t="shared" ref="E33:E46" si="9">SUM(F33:I33)</f>
        <v>5422.4259999999995</v>
      </c>
      <c r="F33" s="8">
        <f>SUM(F34:F39)</f>
        <v>5422.4259999999995</v>
      </c>
      <c r="G33" s="8">
        <f>SUM(G34:G39)</f>
        <v>0</v>
      </c>
      <c r="H33" s="8">
        <f>SUM(H34:H39)</f>
        <v>0</v>
      </c>
      <c r="I33" s="8">
        <f>SUM(I34:I39)</f>
        <v>0</v>
      </c>
      <c r="J33" s="119" t="s">
        <v>487</v>
      </c>
      <c r="K33" s="119" t="s">
        <v>488</v>
      </c>
      <c r="L33" s="124"/>
    </row>
    <row r="34" spans="1:16" x14ac:dyDescent="0.25">
      <c r="A34" s="117"/>
      <c r="B34" s="118"/>
      <c r="C34" s="109"/>
      <c r="D34" s="68">
        <v>2021</v>
      </c>
      <c r="E34" s="8">
        <f t="shared" si="9"/>
        <v>3054.4259999999999</v>
      </c>
      <c r="F34" s="8">
        <f t="shared" ref="F34:I36" si="10">F41+F48</f>
        <v>3054.4259999999999</v>
      </c>
      <c r="G34" s="8">
        <f t="shared" si="10"/>
        <v>0</v>
      </c>
      <c r="H34" s="8">
        <f t="shared" si="10"/>
        <v>0</v>
      </c>
      <c r="I34" s="8">
        <f t="shared" si="10"/>
        <v>0</v>
      </c>
      <c r="J34" s="119"/>
      <c r="K34" s="119"/>
      <c r="L34" s="124"/>
    </row>
    <row r="35" spans="1:16" x14ac:dyDescent="0.25">
      <c r="A35" s="117"/>
      <c r="B35" s="118"/>
      <c r="C35" s="109"/>
      <c r="D35" s="68">
        <v>2022</v>
      </c>
      <c r="E35" s="8">
        <f t="shared" si="9"/>
        <v>0</v>
      </c>
      <c r="F35" s="8">
        <f t="shared" si="10"/>
        <v>0</v>
      </c>
      <c r="G35" s="8">
        <f t="shared" si="10"/>
        <v>0</v>
      </c>
      <c r="H35" s="8">
        <f t="shared" si="10"/>
        <v>0</v>
      </c>
      <c r="I35" s="8">
        <f t="shared" si="10"/>
        <v>0</v>
      </c>
      <c r="J35" s="119"/>
      <c r="K35" s="119"/>
      <c r="L35" s="124"/>
    </row>
    <row r="36" spans="1:16" x14ac:dyDescent="0.25">
      <c r="A36" s="117"/>
      <c r="B36" s="118"/>
      <c r="C36" s="109"/>
      <c r="D36" s="68">
        <v>2023</v>
      </c>
      <c r="E36" s="8">
        <f t="shared" si="9"/>
        <v>0</v>
      </c>
      <c r="F36" s="8">
        <f t="shared" si="10"/>
        <v>0</v>
      </c>
      <c r="G36" s="8">
        <f t="shared" si="10"/>
        <v>0</v>
      </c>
      <c r="H36" s="8">
        <f t="shared" si="10"/>
        <v>0</v>
      </c>
      <c r="I36" s="8">
        <f t="shared" si="10"/>
        <v>0</v>
      </c>
      <c r="J36" s="119"/>
      <c r="K36" s="119"/>
      <c r="L36" s="124"/>
    </row>
    <row r="37" spans="1:16" x14ac:dyDescent="0.25">
      <c r="A37" s="117"/>
      <c r="B37" s="118"/>
      <c r="C37" s="109"/>
      <c r="D37" s="68">
        <v>2024</v>
      </c>
      <c r="E37" s="8">
        <f t="shared" si="9"/>
        <v>2368</v>
      </c>
      <c r="F37" s="8">
        <f>F44+F51+F58</f>
        <v>2368</v>
      </c>
      <c r="G37" s="8">
        <f>G44+G51</f>
        <v>0</v>
      </c>
      <c r="H37" s="8">
        <f>H44+H51</f>
        <v>0</v>
      </c>
      <c r="I37" s="8">
        <f>I44+I51</f>
        <v>0</v>
      </c>
      <c r="J37" s="119"/>
      <c r="K37" s="119"/>
      <c r="L37" s="124"/>
    </row>
    <row r="38" spans="1:16" s="80" customFormat="1" x14ac:dyDescent="0.25">
      <c r="A38" s="117"/>
      <c r="B38" s="118"/>
      <c r="C38" s="109"/>
      <c r="D38" s="79">
        <v>2025</v>
      </c>
      <c r="E38" s="8">
        <v>0</v>
      </c>
      <c r="F38" s="8">
        <v>0</v>
      </c>
      <c r="G38" s="8">
        <v>0</v>
      </c>
      <c r="H38" s="8">
        <v>0</v>
      </c>
      <c r="I38" s="8">
        <v>0</v>
      </c>
      <c r="J38" s="119"/>
      <c r="K38" s="119"/>
      <c r="L38" s="124"/>
      <c r="M38" s="55"/>
      <c r="N38" s="55"/>
      <c r="O38" s="55"/>
      <c r="P38" s="55"/>
    </row>
    <row r="39" spans="1:16" x14ac:dyDescent="0.25">
      <c r="A39" s="117"/>
      <c r="B39" s="118"/>
      <c r="C39" s="110"/>
      <c r="D39" s="68">
        <v>2026</v>
      </c>
      <c r="E39" s="8">
        <f t="shared" si="9"/>
        <v>0</v>
      </c>
      <c r="F39" s="8">
        <f t="shared" ref="F39:I39" si="11">F46+F53</f>
        <v>0</v>
      </c>
      <c r="G39" s="8">
        <f t="shared" si="11"/>
        <v>0</v>
      </c>
      <c r="H39" s="8">
        <f t="shared" si="11"/>
        <v>0</v>
      </c>
      <c r="I39" s="8">
        <f t="shared" si="11"/>
        <v>0</v>
      </c>
      <c r="J39" s="119"/>
      <c r="K39" s="119"/>
      <c r="L39" s="124"/>
    </row>
    <row r="40" spans="1:16" x14ac:dyDescent="0.25">
      <c r="A40" s="117" t="s">
        <v>27</v>
      </c>
      <c r="B40" s="118" t="s">
        <v>489</v>
      </c>
      <c r="C40" s="117" t="s">
        <v>490</v>
      </c>
      <c r="D40" s="68" t="s">
        <v>8</v>
      </c>
      <c r="E40" s="8">
        <f t="shared" si="9"/>
        <v>0</v>
      </c>
      <c r="F40" s="8">
        <f>SUM(F41:F46)</f>
        <v>0</v>
      </c>
      <c r="G40" s="8">
        <f>SUM(G41:G46)</f>
        <v>0</v>
      </c>
      <c r="H40" s="8">
        <f>SUM(H41:H46)</f>
        <v>0</v>
      </c>
      <c r="I40" s="8">
        <f>SUM(I41:I46)</f>
        <v>0</v>
      </c>
      <c r="J40" s="119" t="s">
        <v>29</v>
      </c>
      <c r="K40" s="119" t="s">
        <v>486</v>
      </c>
    </row>
    <row r="41" spans="1:16" x14ac:dyDescent="0.25">
      <c r="A41" s="117"/>
      <c r="B41" s="118"/>
      <c r="C41" s="117"/>
      <c r="D41" s="68">
        <v>2021</v>
      </c>
      <c r="E41" s="8">
        <f t="shared" si="9"/>
        <v>0</v>
      </c>
      <c r="F41" s="8">
        <v>0</v>
      </c>
      <c r="G41" s="8">
        <v>0</v>
      </c>
      <c r="H41" s="8">
        <v>0</v>
      </c>
      <c r="I41" s="8">
        <v>0</v>
      </c>
      <c r="J41" s="119"/>
      <c r="K41" s="119"/>
    </row>
    <row r="42" spans="1:16" x14ac:dyDescent="0.25">
      <c r="A42" s="117"/>
      <c r="B42" s="118"/>
      <c r="C42" s="117"/>
      <c r="D42" s="68">
        <v>2022</v>
      </c>
      <c r="E42" s="8">
        <f t="shared" si="9"/>
        <v>0</v>
      </c>
      <c r="F42" s="8">
        <v>0</v>
      </c>
      <c r="G42" s="8">
        <v>0</v>
      </c>
      <c r="H42" s="8">
        <v>0</v>
      </c>
      <c r="I42" s="8">
        <v>0</v>
      </c>
      <c r="J42" s="119"/>
      <c r="K42" s="119"/>
    </row>
    <row r="43" spans="1:16" x14ac:dyDescent="0.25">
      <c r="A43" s="117"/>
      <c r="B43" s="118"/>
      <c r="C43" s="117"/>
      <c r="D43" s="68">
        <v>2023</v>
      </c>
      <c r="E43" s="8">
        <f t="shared" si="9"/>
        <v>0</v>
      </c>
      <c r="F43" s="8">
        <v>0</v>
      </c>
      <c r="G43" s="8">
        <v>0</v>
      </c>
      <c r="H43" s="8">
        <v>0</v>
      </c>
      <c r="I43" s="8">
        <v>0</v>
      </c>
      <c r="J43" s="119"/>
      <c r="K43" s="119"/>
    </row>
    <row r="44" spans="1:16" x14ac:dyDescent="0.25">
      <c r="A44" s="117"/>
      <c r="B44" s="118"/>
      <c r="C44" s="117"/>
      <c r="D44" s="68">
        <v>2024</v>
      </c>
      <c r="E44" s="8">
        <f t="shared" si="9"/>
        <v>0</v>
      </c>
      <c r="F44" s="8">
        <v>0</v>
      </c>
      <c r="G44" s="8">
        <v>0</v>
      </c>
      <c r="H44" s="8">
        <v>0</v>
      </c>
      <c r="I44" s="8">
        <v>0</v>
      </c>
      <c r="J44" s="119"/>
      <c r="K44" s="119"/>
    </row>
    <row r="45" spans="1:16" s="80" customFormat="1" x14ac:dyDescent="0.25">
      <c r="A45" s="117"/>
      <c r="B45" s="118"/>
      <c r="C45" s="117"/>
      <c r="D45" s="79">
        <v>2025</v>
      </c>
      <c r="E45" s="8">
        <v>0</v>
      </c>
      <c r="F45" s="8">
        <v>0</v>
      </c>
      <c r="G45" s="8">
        <v>0</v>
      </c>
      <c r="H45" s="8">
        <v>0</v>
      </c>
      <c r="I45" s="8">
        <v>0</v>
      </c>
      <c r="J45" s="119"/>
      <c r="K45" s="119"/>
      <c r="M45" s="55"/>
      <c r="N45" s="55"/>
      <c r="O45" s="55"/>
      <c r="P45" s="55"/>
    </row>
    <row r="46" spans="1:16" x14ac:dyDescent="0.25">
      <c r="A46" s="117"/>
      <c r="B46" s="118"/>
      <c r="C46" s="117"/>
      <c r="D46" s="68">
        <v>2026</v>
      </c>
      <c r="E46" s="8">
        <f t="shared" si="9"/>
        <v>0</v>
      </c>
      <c r="F46" s="8">
        <v>0</v>
      </c>
      <c r="G46" s="8">
        <v>0</v>
      </c>
      <c r="H46" s="8">
        <v>0</v>
      </c>
      <c r="I46" s="8">
        <v>0</v>
      </c>
      <c r="J46" s="119"/>
      <c r="K46" s="119"/>
    </row>
    <row r="47" spans="1:16" x14ac:dyDescent="0.25">
      <c r="A47" s="117" t="s">
        <v>491</v>
      </c>
      <c r="B47" s="118" t="s">
        <v>492</v>
      </c>
      <c r="C47" s="117" t="s">
        <v>490</v>
      </c>
      <c r="D47" s="68" t="s">
        <v>8</v>
      </c>
      <c r="E47" s="8">
        <f>SUM(E48:E53)</f>
        <v>3054.4259999999999</v>
      </c>
      <c r="F47" s="8">
        <f>SUM(F48:F53)</f>
        <v>3054.4259999999999</v>
      </c>
      <c r="G47" s="8">
        <f>SUM(G48:G53)</f>
        <v>0</v>
      </c>
      <c r="H47" s="8">
        <f>SUM(H48:H53)</f>
        <v>0</v>
      </c>
      <c r="I47" s="8">
        <f>SUM(I48:I53)</f>
        <v>0</v>
      </c>
      <c r="J47" s="119" t="s">
        <v>493</v>
      </c>
      <c r="K47" s="119" t="s">
        <v>494</v>
      </c>
      <c r="L47" s="124"/>
    </row>
    <row r="48" spans="1:16" x14ac:dyDescent="0.25">
      <c r="A48" s="117"/>
      <c r="B48" s="118"/>
      <c r="C48" s="117"/>
      <c r="D48" s="68">
        <v>2021</v>
      </c>
      <c r="E48" s="8">
        <f t="shared" ref="E48:E127" si="12">SUM(F48:I48)</f>
        <v>3054.4259999999999</v>
      </c>
      <c r="F48" s="8">
        <v>3054.4259999999999</v>
      </c>
      <c r="G48" s="8">
        <v>0</v>
      </c>
      <c r="H48" s="8">
        <v>0</v>
      </c>
      <c r="I48" s="8">
        <v>0</v>
      </c>
      <c r="J48" s="119"/>
      <c r="K48" s="119"/>
      <c r="L48" s="124"/>
    </row>
    <row r="49" spans="1:16" x14ac:dyDescent="0.25">
      <c r="A49" s="117"/>
      <c r="B49" s="118"/>
      <c r="C49" s="117"/>
      <c r="D49" s="68">
        <v>2022</v>
      </c>
      <c r="E49" s="8">
        <f t="shared" si="12"/>
        <v>0</v>
      </c>
      <c r="F49" s="8">
        <v>0</v>
      </c>
      <c r="G49" s="8">
        <v>0</v>
      </c>
      <c r="H49" s="8">
        <v>0</v>
      </c>
      <c r="I49" s="8">
        <v>0</v>
      </c>
      <c r="J49" s="119"/>
      <c r="K49" s="119"/>
      <c r="L49" s="124"/>
    </row>
    <row r="50" spans="1:16" x14ac:dyDescent="0.25">
      <c r="A50" s="117"/>
      <c r="B50" s="118"/>
      <c r="C50" s="117"/>
      <c r="D50" s="68">
        <v>2023</v>
      </c>
      <c r="E50" s="8">
        <f t="shared" si="12"/>
        <v>0</v>
      </c>
      <c r="F50" s="8">
        <v>0</v>
      </c>
      <c r="G50" s="8">
        <v>0</v>
      </c>
      <c r="H50" s="8">
        <v>0</v>
      </c>
      <c r="I50" s="8">
        <v>0</v>
      </c>
      <c r="J50" s="119"/>
      <c r="K50" s="119"/>
      <c r="L50" s="124"/>
    </row>
    <row r="51" spans="1:16" x14ac:dyDescent="0.25">
      <c r="A51" s="117"/>
      <c r="B51" s="118"/>
      <c r="C51" s="117"/>
      <c r="D51" s="68">
        <v>2024</v>
      </c>
      <c r="E51" s="8">
        <f t="shared" si="12"/>
        <v>0</v>
      </c>
      <c r="F51" s="8">
        <v>0</v>
      </c>
      <c r="G51" s="8">
        <v>0</v>
      </c>
      <c r="H51" s="8">
        <v>0</v>
      </c>
      <c r="I51" s="8">
        <v>0</v>
      </c>
      <c r="J51" s="119"/>
      <c r="K51" s="119"/>
      <c r="L51" s="124"/>
    </row>
    <row r="52" spans="1:16" s="80" customFormat="1" x14ac:dyDescent="0.25">
      <c r="A52" s="117"/>
      <c r="B52" s="118"/>
      <c r="C52" s="117"/>
      <c r="D52" s="79">
        <v>2025</v>
      </c>
      <c r="E52" s="8">
        <v>0</v>
      </c>
      <c r="F52" s="8">
        <v>0</v>
      </c>
      <c r="G52" s="8">
        <v>0</v>
      </c>
      <c r="H52" s="8">
        <v>0</v>
      </c>
      <c r="I52" s="8">
        <v>0</v>
      </c>
      <c r="J52" s="119"/>
      <c r="K52" s="119"/>
      <c r="L52" s="124"/>
      <c r="M52" s="55"/>
      <c r="N52" s="55"/>
      <c r="O52" s="55"/>
      <c r="P52" s="55"/>
    </row>
    <row r="53" spans="1:16" x14ac:dyDescent="0.25">
      <c r="A53" s="117"/>
      <c r="B53" s="118"/>
      <c r="C53" s="117"/>
      <c r="D53" s="68">
        <v>2026</v>
      </c>
      <c r="E53" s="8">
        <f t="shared" si="12"/>
        <v>0</v>
      </c>
      <c r="F53" s="8">
        <v>0</v>
      </c>
      <c r="G53" s="8">
        <v>0</v>
      </c>
      <c r="H53" s="8">
        <v>0</v>
      </c>
      <c r="I53" s="8">
        <v>0</v>
      </c>
      <c r="J53" s="119"/>
      <c r="K53" s="119"/>
      <c r="L53" s="124"/>
    </row>
    <row r="54" spans="1:16" x14ac:dyDescent="0.25">
      <c r="A54" s="152" t="s">
        <v>1773</v>
      </c>
      <c r="B54" s="118" t="s">
        <v>1772</v>
      </c>
      <c r="C54" s="108" t="s">
        <v>828</v>
      </c>
      <c r="D54" s="68" t="s">
        <v>8</v>
      </c>
      <c r="E54" s="8">
        <f>SUM(E55:E60)</f>
        <v>2368</v>
      </c>
      <c r="F54" s="8">
        <f>SUM(F55:F60)</f>
        <v>2368</v>
      </c>
      <c r="G54" s="8">
        <f>SUM(G55:G60)</f>
        <v>0</v>
      </c>
      <c r="H54" s="8">
        <f>SUM(H55:H60)</f>
        <v>0</v>
      </c>
      <c r="I54" s="8">
        <f>SUM(I55:I60)</f>
        <v>0</v>
      </c>
      <c r="J54" s="119" t="s">
        <v>1774</v>
      </c>
      <c r="K54" s="119" t="s">
        <v>515</v>
      </c>
      <c r="L54" s="124"/>
    </row>
    <row r="55" spans="1:16" x14ac:dyDescent="0.25">
      <c r="A55" s="152"/>
      <c r="B55" s="118"/>
      <c r="C55" s="109"/>
      <c r="D55" s="68">
        <v>2021</v>
      </c>
      <c r="E55" s="8">
        <f t="shared" ref="E55:E60" si="13">SUM(F55:I55)</f>
        <v>0</v>
      </c>
      <c r="F55" s="8">
        <v>0</v>
      </c>
      <c r="G55" s="8">
        <v>0</v>
      </c>
      <c r="H55" s="8">
        <v>0</v>
      </c>
      <c r="I55" s="8">
        <v>0</v>
      </c>
      <c r="J55" s="119"/>
      <c r="K55" s="119"/>
      <c r="L55" s="124"/>
    </row>
    <row r="56" spans="1:16" x14ac:dyDescent="0.25">
      <c r="A56" s="152"/>
      <c r="B56" s="118"/>
      <c r="C56" s="109"/>
      <c r="D56" s="68">
        <v>2022</v>
      </c>
      <c r="E56" s="8">
        <f t="shared" si="13"/>
        <v>0</v>
      </c>
      <c r="F56" s="8">
        <v>0</v>
      </c>
      <c r="G56" s="8">
        <v>0</v>
      </c>
      <c r="H56" s="8">
        <v>0</v>
      </c>
      <c r="I56" s="8">
        <v>0</v>
      </c>
      <c r="J56" s="119"/>
      <c r="K56" s="119"/>
      <c r="L56" s="124"/>
    </row>
    <row r="57" spans="1:16" x14ac:dyDescent="0.25">
      <c r="A57" s="152"/>
      <c r="B57" s="118"/>
      <c r="C57" s="109"/>
      <c r="D57" s="68">
        <v>2023</v>
      </c>
      <c r="E57" s="8">
        <f t="shared" si="13"/>
        <v>0</v>
      </c>
      <c r="F57" s="8">
        <v>0</v>
      </c>
      <c r="G57" s="8">
        <v>0</v>
      </c>
      <c r="H57" s="8">
        <v>0</v>
      </c>
      <c r="I57" s="8">
        <v>0</v>
      </c>
      <c r="J57" s="119"/>
      <c r="K57" s="119"/>
      <c r="L57" s="124"/>
    </row>
    <row r="58" spans="1:16" x14ac:dyDescent="0.25">
      <c r="A58" s="152"/>
      <c r="B58" s="118"/>
      <c r="C58" s="109"/>
      <c r="D58" s="68">
        <v>2024</v>
      </c>
      <c r="E58" s="8">
        <f t="shared" si="13"/>
        <v>2368</v>
      </c>
      <c r="F58" s="8">
        <v>2368</v>
      </c>
      <c r="G58" s="8">
        <v>0</v>
      </c>
      <c r="H58" s="8">
        <v>0</v>
      </c>
      <c r="I58" s="8">
        <v>0</v>
      </c>
      <c r="J58" s="119"/>
      <c r="K58" s="119"/>
      <c r="L58" s="124"/>
      <c r="N58" s="55">
        <f>SUBTOTAL(9,F58,F72,F86,F93,F100,F107,F127,F148,F155,F162,F176,F225,F232,F246,F253,F365,F323,F372,F379,F386,F393,F400,G400,F578,F837,G837,F900,F942)</f>
        <v>2111689.0282899998</v>
      </c>
    </row>
    <row r="59" spans="1:16" s="80" customFormat="1" x14ac:dyDescent="0.25">
      <c r="A59" s="152"/>
      <c r="B59" s="118"/>
      <c r="C59" s="109"/>
      <c r="D59" s="79">
        <v>2025</v>
      </c>
      <c r="E59" s="8">
        <v>0</v>
      </c>
      <c r="F59" s="8">
        <v>0</v>
      </c>
      <c r="G59" s="8">
        <v>0</v>
      </c>
      <c r="H59" s="8">
        <v>0</v>
      </c>
      <c r="I59" s="8">
        <v>0</v>
      </c>
      <c r="J59" s="119"/>
      <c r="K59" s="119"/>
      <c r="L59" s="124"/>
      <c r="M59" s="55"/>
      <c r="N59" s="55"/>
      <c r="O59" s="55"/>
      <c r="P59" s="55"/>
    </row>
    <row r="60" spans="1:16" x14ac:dyDescent="0.25">
      <c r="A60" s="152"/>
      <c r="B60" s="118"/>
      <c r="C60" s="110"/>
      <c r="D60" s="68">
        <v>2026</v>
      </c>
      <c r="E60" s="8">
        <f t="shared" si="13"/>
        <v>0</v>
      </c>
      <c r="F60" s="8">
        <v>0</v>
      </c>
      <c r="G60" s="8">
        <v>0</v>
      </c>
      <c r="H60" s="8">
        <v>0</v>
      </c>
      <c r="I60" s="8">
        <v>0</v>
      </c>
      <c r="J60" s="119"/>
      <c r="K60" s="119"/>
      <c r="L60" s="124"/>
    </row>
    <row r="61" spans="1:16" ht="27.75" customHeight="1" x14ac:dyDescent="0.25">
      <c r="A61" s="108" t="s">
        <v>30</v>
      </c>
      <c r="B61" s="108" t="s">
        <v>608</v>
      </c>
      <c r="C61" s="108" t="s">
        <v>828</v>
      </c>
      <c r="D61" s="68" t="s">
        <v>8</v>
      </c>
      <c r="E61" s="8">
        <f t="shared" si="12"/>
        <v>1638507.9166699997</v>
      </c>
      <c r="F61" s="8">
        <f>SUM(F62:F67)</f>
        <v>1586098.9260899997</v>
      </c>
      <c r="G61" s="8">
        <f t="shared" ref="G61:I61" si="14">SUM(G62:G67)</f>
        <v>0</v>
      </c>
      <c r="H61" s="8">
        <f t="shared" si="14"/>
        <v>52408.990579999998</v>
      </c>
      <c r="I61" s="8">
        <f t="shared" si="14"/>
        <v>0</v>
      </c>
      <c r="J61" s="171" t="s">
        <v>1790</v>
      </c>
      <c r="K61" s="108" t="s">
        <v>486</v>
      </c>
      <c r="N61" s="187" t="s">
        <v>1772</v>
      </c>
    </row>
    <row r="62" spans="1:16" ht="27.75" customHeight="1" x14ac:dyDescent="0.25">
      <c r="A62" s="109"/>
      <c r="B62" s="109"/>
      <c r="C62" s="109"/>
      <c r="D62" s="68">
        <v>2021</v>
      </c>
      <c r="E62" s="8">
        <f t="shared" si="12"/>
        <v>108436.894</v>
      </c>
      <c r="F62" s="8">
        <f>SUM(F69+F76+F83+F90+F97+F104+F111+F124+F131+F138+F159)</f>
        <v>108436.894</v>
      </c>
      <c r="G62" s="8">
        <f t="shared" ref="G62:I63" si="15">SUM(G69+G76+G83+G90+G97+G104+G111+G124+G131+G138)</f>
        <v>0</v>
      </c>
      <c r="H62" s="8">
        <f t="shared" si="15"/>
        <v>0</v>
      </c>
      <c r="I62" s="8">
        <f t="shared" si="15"/>
        <v>0</v>
      </c>
      <c r="J62" s="172"/>
      <c r="K62" s="109"/>
      <c r="N62" s="187"/>
    </row>
    <row r="63" spans="1:16" ht="27.75" customHeight="1" x14ac:dyDescent="0.25">
      <c r="A63" s="109"/>
      <c r="B63" s="109"/>
      <c r="C63" s="109"/>
      <c r="D63" s="68">
        <v>2022</v>
      </c>
      <c r="E63" s="8">
        <f t="shared" si="12"/>
        <v>274226.68966000003</v>
      </c>
      <c r="F63" s="8">
        <f>SUM(F70+F77+F84+F91+F98+F105+F112+F125+F132+F139+F160)</f>
        <v>274226.68966000003</v>
      </c>
      <c r="G63" s="8">
        <f t="shared" si="15"/>
        <v>0</v>
      </c>
      <c r="H63" s="8">
        <f t="shared" si="15"/>
        <v>0</v>
      </c>
      <c r="I63" s="8">
        <f t="shared" si="15"/>
        <v>0</v>
      </c>
      <c r="J63" s="172"/>
      <c r="K63" s="109"/>
      <c r="N63" s="187"/>
    </row>
    <row r="64" spans="1:16" ht="27.75" customHeight="1" x14ac:dyDescent="0.25">
      <c r="A64" s="109"/>
      <c r="B64" s="109"/>
      <c r="C64" s="109"/>
      <c r="D64" s="68">
        <v>2023</v>
      </c>
      <c r="E64" s="8">
        <f t="shared" si="12"/>
        <v>286735.94302999997</v>
      </c>
      <c r="F64" s="8">
        <f>SUM(F71+F78+F85+F92+F99+F106+F113+F126+F133+F140+F161+F147+F154+F168)</f>
        <v>274250.15168999997</v>
      </c>
      <c r="G64" s="8">
        <f>SUM(G71+G78+G85+G92+G99+G106+G113+G126+G133+G140+G161+G147+G154)</f>
        <v>0</v>
      </c>
      <c r="H64" s="8">
        <f>SUM(H71+H78+H85+H92+H99+H106+H113+H126+H133+H140+H161+H147+H154)</f>
        <v>12485.79134</v>
      </c>
      <c r="I64" s="8">
        <f>SUM(I71+I78+I85+I92+I99+I106+I113+I126+I133+I140)</f>
        <v>0</v>
      </c>
      <c r="J64" s="172"/>
      <c r="K64" s="109"/>
      <c r="N64" s="187"/>
    </row>
    <row r="65" spans="1:16" ht="27.75" customHeight="1" x14ac:dyDescent="0.25">
      <c r="A65" s="109"/>
      <c r="B65" s="109"/>
      <c r="C65" s="109"/>
      <c r="D65" s="68">
        <v>2024</v>
      </c>
      <c r="E65" s="8">
        <f t="shared" si="12"/>
        <v>488311.79281999997</v>
      </c>
      <c r="F65" s="8">
        <f>SUM(F72+F79+F86+F93+F100+F107+F114+F127+F134+F141+F162+F148+F155)</f>
        <v>448388.59357999999</v>
      </c>
      <c r="G65" s="8">
        <f>SUM(G72+G79+G86+G93+G100+G107+G114+G127+G134+G141)</f>
        <v>0</v>
      </c>
      <c r="H65" s="8">
        <f>SUM(H148,H155)</f>
        <v>39923.199240000002</v>
      </c>
      <c r="I65" s="8">
        <f>SUM(I72+I79+I86+I93+I100+I107+I114+I127+I134+I141)</f>
        <v>0</v>
      </c>
      <c r="J65" s="172"/>
      <c r="K65" s="109"/>
      <c r="N65" s="187"/>
    </row>
    <row r="66" spans="1:16" ht="27.75" customHeight="1" x14ac:dyDescent="0.25">
      <c r="A66" s="109"/>
      <c r="B66" s="109"/>
      <c r="C66" s="109"/>
      <c r="D66" s="68">
        <v>2025</v>
      </c>
      <c r="E66" s="8">
        <f t="shared" si="12"/>
        <v>240398.29858</v>
      </c>
      <c r="F66" s="8">
        <f>SUM(F73+F81+F87+F94+F101+F108+F116+F128+F136+F143+F163+F149+F156)</f>
        <v>240398.29858</v>
      </c>
      <c r="G66" s="8">
        <f>SUM(G73+G81+G87+G94+G101+G108+G116+G128+G136+G143)</f>
        <v>0</v>
      </c>
      <c r="H66" s="8">
        <f>SUM(H73+H81+H87+H94+H101+H108+H116+H128+H136+H143)</f>
        <v>0</v>
      </c>
      <c r="I66" s="8">
        <f>SUM(I73+I81+I87+I94+I101+I108+I116+I128+I136+I143)</f>
        <v>0</v>
      </c>
      <c r="J66" s="172"/>
      <c r="K66" s="109"/>
      <c r="N66" s="187"/>
    </row>
    <row r="67" spans="1:16" ht="17.25" customHeight="1" x14ac:dyDescent="0.25">
      <c r="A67" s="110"/>
      <c r="B67" s="110"/>
      <c r="C67" s="110"/>
      <c r="D67" s="68">
        <v>2026</v>
      </c>
      <c r="E67" s="8">
        <f>SUM(F67:I67)</f>
        <v>240398.29858</v>
      </c>
      <c r="F67" s="8">
        <f>SUM(F74,F88,F95,F102,F109,F129,F150,F157,F164)</f>
        <v>240398.29858</v>
      </c>
      <c r="G67" s="8">
        <f t="shared" ref="G67:I67" si="16">SUM(G74,G88,G95,G102,G109,G129,G150,G157,G164)</f>
        <v>0</v>
      </c>
      <c r="H67" s="8">
        <f t="shared" si="16"/>
        <v>0</v>
      </c>
      <c r="I67" s="8">
        <f t="shared" si="16"/>
        <v>0</v>
      </c>
      <c r="J67" s="173"/>
      <c r="K67" s="110"/>
      <c r="N67" s="187"/>
    </row>
    <row r="68" spans="1:16" ht="15" customHeight="1" x14ac:dyDescent="0.25">
      <c r="A68" s="108" t="s">
        <v>33</v>
      </c>
      <c r="B68" s="108" t="s">
        <v>496</v>
      </c>
      <c r="C68" s="108" t="s">
        <v>828</v>
      </c>
      <c r="D68" s="68" t="s">
        <v>8</v>
      </c>
      <c r="E68" s="8">
        <f t="shared" si="12"/>
        <v>274200</v>
      </c>
      <c r="F68" s="8">
        <f>SUM(F69:F74)</f>
        <v>274200</v>
      </c>
      <c r="G68" s="8">
        <f>SUM(G69:G73)</f>
        <v>0</v>
      </c>
      <c r="H68" s="8">
        <f>SUM(H69:H73)</f>
        <v>0</v>
      </c>
      <c r="I68" s="8">
        <f>SUM(I69:I73)</f>
        <v>0</v>
      </c>
      <c r="J68" s="108" t="s">
        <v>819</v>
      </c>
      <c r="K68" s="108" t="s">
        <v>484</v>
      </c>
    </row>
    <row r="69" spans="1:16" x14ac:dyDescent="0.25">
      <c r="A69" s="109"/>
      <c r="B69" s="109"/>
      <c r="C69" s="109"/>
      <c r="D69" s="68">
        <v>2021</v>
      </c>
      <c r="E69" s="8">
        <f t="shared" si="12"/>
        <v>43000</v>
      </c>
      <c r="F69" s="8">
        <v>43000</v>
      </c>
      <c r="G69" s="8">
        <v>0</v>
      </c>
      <c r="H69" s="8">
        <v>0</v>
      </c>
      <c r="I69" s="8">
        <v>0</v>
      </c>
      <c r="J69" s="109"/>
      <c r="K69" s="109"/>
    </row>
    <row r="70" spans="1:16" x14ac:dyDescent="0.25">
      <c r="A70" s="109"/>
      <c r="B70" s="109"/>
      <c r="C70" s="109"/>
      <c r="D70" s="68">
        <v>2022</v>
      </c>
      <c r="E70" s="8">
        <f t="shared" si="12"/>
        <v>45000</v>
      </c>
      <c r="F70" s="8">
        <v>45000</v>
      </c>
      <c r="G70" s="8">
        <v>0</v>
      </c>
      <c r="H70" s="8">
        <v>0</v>
      </c>
      <c r="I70" s="8">
        <v>0</v>
      </c>
      <c r="J70" s="109"/>
      <c r="K70" s="109"/>
    </row>
    <row r="71" spans="1:16" x14ac:dyDescent="0.25">
      <c r="A71" s="109"/>
      <c r="B71" s="109"/>
      <c r="C71" s="109"/>
      <c r="D71" s="68">
        <v>2023</v>
      </c>
      <c r="E71" s="8">
        <f t="shared" si="12"/>
        <v>61200</v>
      </c>
      <c r="F71" s="8">
        <f>30000+10000+9000+12200</f>
        <v>61200</v>
      </c>
      <c r="G71" s="8">
        <v>0</v>
      </c>
      <c r="H71" s="8">
        <v>0</v>
      </c>
      <c r="I71" s="8">
        <v>0</v>
      </c>
      <c r="J71" s="109"/>
      <c r="K71" s="109"/>
    </row>
    <row r="72" spans="1:16" x14ac:dyDescent="0.25">
      <c r="A72" s="109"/>
      <c r="B72" s="109"/>
      <c r="C72" s="109"/>
      <c r="D72" s="68">
        <v>2024</v>
      </c>
      <c r="E72" s="8">
        <f t="shared" si="12"/>
        <v>65000</v>
      </c>
      <c r="F72" s="8">
        <v>65000</v>
      </c>
      <c r="G72" s="8">
        <v>0</v>
      </c>
      <c r="H72" s="8">
        <v>0</v>
      </c>
      <c r="I72" s="8">
        <v>0</v>
      </c>
      <c r="J72" s="109"/>
      <c r="K72" s="109"/>
      <c r="N72" s="77"/>
    </row>
    <row r="73" spans="1:16" x14ac:dyDescent="0.25">
      <c r="A73" s="109"/>
      <c r="B73" s="109"/>
      <c r="C73" s="109"/>
      <c r="D73" s="68">
        <v>2025</v>
      </c>
      <c r="E73" s="8">
        <f t="shared" si="12"/>
        <v>30000</v>
      </c>
      <c r="F73" s="8">
        <v>30000</v>
      </c>
      <c r="G73" s="8">
        <v>0</v>
      </c>
      <c r="H73" s="8">
        <v>0</v>
      </c>
      <c r="I73" s="8">
        <v>0</v>
      </c>
      <c r="J73" s="109"/>
      <c r="K73" s="109"/>
    </row>
    <row r="74" spans="1:16" x14ac:dyDescent="0.25">
      <c r="A74" s="110"/>
      <c r="B74" s="110"/>
      <c r="C74" s="110"/>
      <c r="D74" s="68">
        <v>2026</v>
      </c>
      <c r="E74" s="8">
        <f>SUM(F74:I74)</f>
        <v>30000</v>
      </c>
      <c r="F74" s="8">
        <v>30000</v>
      </c>
      <c r="G74" s="8"/>
      <c r="H74" s="8"/>
      <c r="I74" s="8"/>
      <c r="J74" s="110"/>
      <c r="K74" s="110"/>
    </row>
    <row r="75" spans="1:16" ht="13.5" customHeight="1" outlineLevel="1" x14ac:dyDescent="0.25">
      <c r="A75" s="117" t="s">
        <v>36</v>
      </c>
      <c r="B75" s="118" t="s">
        <v>498</v>
      </c>
      <c r="C75" s="108">
        <v>2021</v>
      </c>
      <c r="D75" s="68" t="s">
        <v>8</v>
      </c>
      <c r="E75" s="8">
        <f t="shared" si="12"/>
        <v>0</v>
      </c>
      <c r="F75" s="8">
        <f>SUM(F76:F81)</f>
        <v>0</v>
      </c>
      <c r="G75" s="8">
        <f>SUM(G76:G81)</f>
        <v>0</v>
      </c>
      <c r="H75" s="8">
        <f>SUM(H76:H81)</f>
        <v>0</v>
      </c>
      <c r="I75" s="8">
        <f>SUM(I76:I81)</f>
        <v>0</v>
      </c>
      <c r="J75" s="119" t="s">
        <v>499</v>
      </c>
      <c r="K75" s="108" t="s">
        <v>484</v>
      </c>
    </row>
    <row r="76" spans="1:16" ht="13.5" customHeight="1" outlineLevel="1" x14ac:dyDescent="0.25">
      <c r="A76" s="117"/>
      <c r="B76" s="118"/>
      <c r="C76" s="109"/>
      <c r="D76" s="68">
        <v>2021</v>
      </c>
      <c r="E76" s="8">
        <f t="shared" si="12"/>
        <v>0</v>
      </c>
      <c r="F76" s="8">
        <v>0</v>
      </c>
      <c r="G76" s="8">
        <v>0</v>
      </c>
      <c r="H76" s="8">
        <v>0</v>
      </c>
      <c r="I76" s="8">
        <v>0</v>
      </c>
      <c r="J76" s="119"/>
      <c r="K76" s="109"/>
    </row>
    <row r="77" spans="1:16" ht="13.5" customHeight="1" outlineLevel="1" x14ac:dyDescent="0.25">
      <c r="A77" s="117"/>
      <c r="B77" s="118"/>
      <c r="C77" s="109"/>
      <c r="D77" s="68">
        <v>2022</v>
      </c>
      <c r="E77" s="8">
        <f t="shared" si="12"/>
        <v>0</v>
      </c>
      <c r="F77" s="8">
        <v>0</v>
      </c>
      <c r="G77" s="8">
        <v>0</v>
      </c>
      <c r="H77" s="8">
        <v>0</v>
      </c>
      <c r="I77" s="8">
        <v>0</v>
      </c>
      <c r="J77" s="119"/>
      <c r="K77" s="109"/>
    </row>
    <row r="78" spans="1:16" ht="13.5" customHeight="1" outlineLevel="1" x14ac:dyDescent="0.25">
      <c r="A78" s="117"/>
      <c r="B78" s="118"/>
      <c r="C78" s="109"/>
      <c r="D78" s="68">
        <v>2023</v>
      </c>
      <c r="E78" s="8">
        <f t="shared" si="12"/>
        <v>0</v>
      </c>
      <c r="F78" s="8">
        <v>0</v>
      </c>
      <c r="G78" s="8">
        <v>0</v>
      </c>
      <c r="H78" s="8">
        <v>0</v>
      </c>
      <c r="I78" s="8">
        <v>0</v>
      </c>
      <c r="J78" s="119"/>
      <c r="K78" s="109"/>
    </row>
    <row r="79" spans="1:16" ht="13.5" customHeight="1" outlineLevel="1" x14ac:dyDescent="0.25">
      <c r="A79" s="117"/>
      <c r="B79" s="118"/>
      <c r="C79" s="109"/>
      <c r="D79" s="68">
        <v>2024</v>
      </c>
      <c r="E79" s="8">
        <f t="shared" si="12"/>
        <v>0</v>
      </c>
      <c r="F79" s="8">
        <v>0</v>
      </c>
      <c r="G79" s="8">
        <v>0</v>
      </c>
      <c r="H79" s="8">
        <v>0</v>
      </c>
      <c r="I79" s="8">
        <v>0</v>
      </c>
      <c r="J79" s="119"/>
      <c r="K79" s="109"/>
    </row>
    <row r="80" spans="1:16" s="80" customFormat="1" ht="13.5" customHeight="1" outlineLevel="1" x14ac:dyDescent="0.25">
      <c r="A80" s="117"/>
      <c r="B80" s="118"/>
      <c r="C80" s="109"/>
      <c r="D80" s="79">
        <v>2025</v>
      </c>
      <c r="E80" s="8">
        <v>0</v>
      </c>
      <c r="F80" s="8">
        <v>0</v>
      </c>
      <c r="G80" s="8">
        <v>0</v>
      </c>
      <c r="H80" s="8">
        <v>0</v>
      </c>
      <c r="I80" s="8">
        <v>0</v>
      </c>
      <c r="J80" s="119"/>
      <c r="K80" s="109"/>
      <c r="M80" s="55"/>
      <c r="N80" s="55"/>
      <c r="O80" s="55"/>
      <c r="P80" s="55"/>
    </row>
    <row r="81" spans="1:13" ht="13.5" customHeight="1" outlineLevel="1" x14ac:dyDescent="0.25">
      <c r="A81" s="117"/>
      <c r="B81" s="118"/>
      <c r="C81" s="110"/>
      <c r="D81" s="68">
        <v>2026</v>
      </c>
      <c r="E81" s="8">
        <f t="shared" si="12"/>
        <v>0</v>
      </c>
      <c r="F81" s="8">
        <v>0</v>
      </c>
      <c r="G81" s="8">
        <v>0</v>
      </c>
      <c r="H81" s="8">
        <v>0</v>
      </c>
      <c r="I81" s="8">
        <v>0</v>
      </c>
      <c r="J81" s="119"/>
      <c r="K81" s="110"/>
    </row>
    <row r="82" spans="1:13" ht="13.5" customHeight="1" outlineLevel="1" x14ac:dyDescent="0.25">
      <c r="A82" s="108" t="s">
        <v>500</v>
      </c>
      <c r="B82" s="108" t="s">
        <v>501</v>
      </c>
      <c r="C82" s="108" t="s">
        <v>828</v>
      </c>
      <c r="D82" s="68" t="s">
        <v>8</v>
      </c>
      <c r="E82" s="8">
        <f t="shared" si="12"/>
        <v>257993.769</v>
      </c>
      <c r="F82" s="8">
        <f>SUM(F83:F88)</f>
        <v>257993.769</v>
      </c>
      <c r="G82" s="8">
        <f>SUM(G83:G87)</f>
        <v>0</v>
      </c>
      <c r="H82" s="8">
        <f>SUM(H83:H87)</f>
        <v>0</v>
      </c>
      <c r="I82" s="8">
        <f>SUM(I83:I87)</f>
        <v>0</v>
      </c>
      <c r="J82" s="108" t="s">
        <v>820</v>
      </c>
      <c r="K82" s="108" t="s">
        <v>484</v>
      </c>
    </row>
    <row r="83" spans="1:13" ht="13.5" customHeight="1" outlineLevel="1" x14ac:dyDescent="0.25">
      <c r="A83" s="109"/>
      <c r="B83" s="109"/>
      <c r="C83" s="109"/>
      <c r="D83" s="68">
        <v>2021</v>
      </c>
      <c r="E83" s="8">
        <f t="shared" si="12"/>
        <v>33993.769</v>
      </c>
      <c r="F83" s="8">
        <v>33993.769</v>
      </c>
      <c r="G83" s="8">
        <v>0</v>
      </c>
      <c r="H83" s="8">
        <v>0</v>
      </c>
      <c r="I83" s="8">
        <v>0</v>
      </c>
      <c r="J83" s="109"/>
      <c r="K83" s="109"/>
    </row>
    <row r="84" spans="1:13" ht="13.5" customHeight="1" outlineLevel="1" x14ac:dyDescent="0.25">
      <c r="A84" s="109"/>
      <c r="B84" s="109"/>
      <c r="C84" s="109"/>
      <c r="D84" s="68">
        <v>2022</v>
      </c>
      <c r="E84" s="8">
        <f t="shared" si="12"/>
        <v>40000</v>
      </c>
      <c r="F84" s="8">
        <v>40000</v>
      </c>
      <c r="G84" s="8">
        <v>0</v>
      </c>
      <c r="H84" s="8">
        <v>0</v>
      </c>
      <c r="I84" s="8">
        <v>0</v>
      </c>
      <c r="J84" s="109"/>
      <c r="K84" s="109"/>
    </row>
    <row r="85" spans="1:13" ht="13.5" customHeight="1" outlineLevel="1" x14ac:dyDescent="0.25">
      <c r="A85" s="109"/>
      <c r="B85" s="109"/>
      <c r="C85" s="109"/>
      <c r="D85" s="68">
        <v>2023</v>
      </c>
      <c r="E85" s="8">
        <f t="shared" si="12"/>
        <v>49000</v>
      </c>
      <c r="F85" s="8">
        <f>40000+9000</f>
        <v>49000</v>
      </c>
      <c r="G85" s="8">
        <v>0</v>
      </c>
      <c r="H85" s="8">
        <v>0</v>
      </c>
      <c r="I85" s="8">
        <v>0</v>
      </c>
      <c r="J85" s="109"/>
      <c r="K85" s="109"/>
    </row>
    <row r="86" spans="1:13" ht="13.5" customHeight="1" outlineLevel="1" x14ac:dyDescent="0.25">
      <c r="A86" s="109"/>
      <c r="B86" s="109"/>
      <c r="C86" s="109"/>
      <c r="D86" s="68">
        <v>2024</v>
      </c>
      <c r="E86" s="8">
        <f t="shared" si="12"/>
        <v>55000</v>
      </c>
      <c r="F86" s="8">
        <v>55000</v>
      </c>
      <c r="G86" s="8">
        <v>0</v>
      </c>
      <c r="H86" s="8">
        <v>0</v>
      </c>
      <c r="I86" s="8">
        <v>0</v>
      </c>
      <c r="J86" s="109"/>
      <c r="K86" s="109"/>
    </row>
    <row r="87" spans="1:13" ht="13.5" customHeight="1" outlineLevel="1" x14ac:dyDescent="0.25">
      <c r="A87" s="109"/>
      <c r="B87" s="109"/>
      <c r="C87" s="109"/>
      <c r="D87" s="68">
        <v>2025</v>
      </c>
      <c r="E87" s="8">
        <f t="shared" si="12"/>
        <v>40000</v>
      </c>
      <c r="F87" s="8">
        <v>40000</v>
      </c>
      <c r="G87" s="8">
        <v>0</v>
      </c>
      <c r="H87" s="8">
        <v>0</v>
      </c>
      <c r="I87" s="8">
        <v>0</v>
      </c>
      <c r="J87" s="109"/>
      <c r="K87" s="109"/>
    </row>
    <row r="88" spans="1:13" ht="13.5" customHeight="1" outlineLevel="1" x14ac:dyDescent="0.25">
      <c r="A88" s="110"/>
      <c r="B88" s="110"/>
      <c r="C88" s="110"/>
      <c r="D88" s="68">
        <v>2026</v>
      </c>
      <c r="E88" s="8">
        <f>SUM(F88:I88)</f>
        <v>40000</v>
      </c>
      <c r="F88" s="8">
        <v>40000</v>
      </c>
      <c r="G88" s="8">
        <v>0</v>
      </c>
      <c r="H88" s="8">
        <v>0</v>
      </c>
      <c r="I88" s="8">
        <v>0</v>
      </c>
      <c r="J88" s="110"/>
      <c r="K88" s="110"/>
    </row>
    <row r="89" spans="1:13" ht="13.5" customHeight="1" outlineLevel="1" x14ac:dyDescent="0.25">
      <c r="A89" s="108" t="s">
        <v>503</v>
      </c>
      <c r="B89" s="108" t="s">
        <v>1112</v>
      </c>
      <c r="C89" s="108" t="s">
        <v>828</v>
      </c>
      <c r="D89" s="68" t="s">
        <v>8</v>
      </c>
      <c r="E89" s="8">
        <f t="shared" si="12"/>
        <v>23634.921689999999</v>
      </c>
      <c r="F89" s="8">
        <f>SUM(F90:F95)</f>
        <v>23634.921689999999</v>
      </c>
      <c r="G89" s="8">
        <f>SUM(G90:G94)</f>
        <v>0</v>
      </c>
      <c r="H89" s="8">
        <f>SUM(H90:H94)</f>
        <v>0</v>
      </c>
      <c r="I89" s="8">
        <f>SUM(I90:I94)</f>
        <v>0</v>
      </c>
      <c r="J89" s="108" t="s">
        <v>505</v>
      </c>
      <c r="K89" s="108" t="s">
        <v>484</v>
      </c>
    </row>
    <row r="90" spans="1:13" ht="13.5" customHeight="1" outlineLevel="1" x14ac:dyDescent="0.25">
      <c r="A90" s="109"/>
      <c r="B90" s="109"/>
      <c r="C90" s="109"/>
      <c r="D90" s="68">
        <v>2021</v>
      </c>
      <c r="E90" s="8">
        <f t="shared" si="12"/>
        <v>2000</v>
      </c>
      <c r="F90" s="8">
        <v>2000</v>
      </c>
      <c r="G90" s="8">
        <v>0</v>
      </c>
      <c r="H90" s="8">
        <v>0</v>
      </c>
      <c r="I90" s="8">
        <v>0</v>
      </c>
      <c r="J90" s="109"/>
      <c r="K90" s="109"/>
    </row>
    <row r="91" spans="1:13" ht="13.5" customHeight="1" outlineLevel="1" x14ac:dyDescent="0.25">
      <c r="A91" s="109"/>
      <c r="B91" s="109"/>
      <c r="C91" s="109"/>
      <c r="D91" s="68">
        <v>2022</v>
      </c>
      <c r="E91" s="8">
        <f t="shared" si="12"/>
        <v>2900</v>
      </c>
      <c r="F91" s="8">
        <v>2900</v>
      </c>
      <c r="G91" s="8">
        <v>0</v>
      </c>
      <c r="H91" s="8">
        <v>0</v>
      </c>
      <c r="I91" s="8">
        <v>0</v>
      </c>
      <c r="J91" s="109"/>
      <c r="K91" s="109"/>
    </row>
    <row r="92" spans="1:13" ht="13.5" customHeight="1" outlineLevel="1" x14ac:dyDescent="0.25">
      <c r="A92" s="109"/>
      <c r="B92" s="109"/>
      <c r="C92" s="109"/>
      <c r="D92" s="68">
        <v>2023</v>
      </c>
      <c r="E92" s="8">
        <f t="shared" si="12"/>
        <v>1934.9216900000004</v>
      </c>
      <c r="F92" s="8">
        <f>5600-3148.56931-134.432-300-82.077</f>
        <v>1934.9216900000004</v>
      </c>
      <c r="G92" s="8">
        <v>0</v>
      </c>
      <c r="H92" s="8">
        <v>0</v>
      </c>
      <c r="I92" s="8">
        <v>0</v>
      </c>
      <c r="J92" s="109"/>
      <c r="K92" s="109"/>
      <c r="M92" s="55" t="s">
        <v>1743</v>
      </c>
    </row>
    <row r="93" spans="1:13" ht="13.5" customHeight="1" outlineLevel="1" x14ac:dyDescent="0.25">
      <c r="A93" s="109"/>
      <c r="B93" s="109"/>
      <c r="C93" s="109"/>
      <c r="D93" s="68">
        <v>2024</v>
      </c>
      <c r="E93" s="8">
        <f t="shared" si="12"/>
        <v>5600</v>
      </c>
      <c r="F93" s="8">
        <v>5600</v>
      </c>
      <c r="G93" s="8">
        <v>0</v>
      </c>
      <c r="H93" s="8">
        <v>0</v>
      </c>
      <c r="I93" s="8">
        <v>0</v>
      </c>
      <c r="J93" s="109"/>
      <c r="K93" s="109"/>
    </row>
    <row r="94" spans="1:13" ht="13.5" customHeight="1" outlineLevel="1" x14ac:dyDescent="0.25">
      <c r="A94" s="109"/>
      <c r="B94" s="109"/>
      <c r="C94" s="109"/>
      <c r="D94" s="68">
        <v>2025</v>
      </c>
      <c r="E94" s="8">
        <f t="shared" si="12"/>
        <v>5600</v>
      </c>
      <c r="F94" s="8">
        <v>5600</v>
      </c>
      <c r="G94" s="8">
        <v>0</v>
      </c>
      <c r="H94" s="8">
        <v>0</v>
      </c>
      <c r="I94" s="8">
        <v>0</v>
      </c>
      <c r="J94" s="109"/>
      <c r="K94" s="109"/>
    </row>
    <row r="95" spans="1:13" ht="13.5" customHeight="1" outlineLevel="1" x14ac:dyDescent="0.25">
      <c r="A95" s="110"/>
      <c r="B95" s="110"/>
      <c r="C95" s="110"/>
      <c r="D95" s="68">
        <v>2026</v>
      </c>
      <c r="E95" s="8">
        <f>SUM(F95:I95)</f>
        <v>5600</v>
      </c>
      <c r="F95" s="8">
        <v>5600</v>
      </c>
      <c r="G95" s="8">
        <v>0</v>
      </c>
      <c r="H95" s="8">
        <v>0</v>
      </c>
      <c r="I95" s="8">
        <v>0</v>
      </c>
      <c r="J95" s="110"/>
      <c r="K95" s="110"/>
    </row>
    <row r="96" spans="1:13" ht="13.5" customHeight="1" outlineLevel="1" x14ac:dyDescent="0.25">
      <c r="A96" s="108" t="s">
        <v>506</v>
      </c>
      <c r="B96" s="108" t="s">
        <v>1225</v>
      </c>
      <c r="C96" s="108" t="s">
        <v>828</v>
      </c>
      <c r="D96" s="68" t="s">
        <v>8</v>
      </c>
      <c r="E96" s="8">
        <f t="shared" si="12"/>
        <v>441460.98374</v>
      </c>
      <c r="F96" s="8">
        <f>SUM(F97:F102)</f>
        <v>441460.98374</v>
      </c>
      <c r="G96" s="8">
        <f>SUM(G97:G101)</f>
        <v>0</v>
      </c>
      <c r="H96" s="8">
        <f>SUM(H97:H101)</f>
        <v>0</v>
      </c>
      <c r="I96" s="8">
        <f>SUM(I97:I101)</f>
        <v>0</v>
      </c>
      <c r="J96" s="108" t="s">
        <v>508</v>
      </c>
      <c r="K96" s="108" t="s">
        <v>486</v>
      </c>
    </row>
    <row r="97" spans="1:11" ht="13.5" customHeight="1" outlineLevel="1" x14ac:dyDescent="0.25">
      <c r="A97" s="109"/>
      <c r="B97" s="109"/>
      <c r="C97" s="109"/>
      <c r="D97" s="68">
        <v>2021</v>
      </c>
      <c r="E97" s="8">
        <f t="shared" si="12"/>
        <v>29443.125</v>
      </c>
      <c r="F97" s="8">
        <f>29443125/1000</f>
        <v>29443.125</v>
      </c>
      <c r="G97" s="8">
        <v>0</v>
      </c>
      <c r="H97" s="8">
        <v>0</v>
      </c>
      <c r="I97" s="8">
        <v>0</v>
      </c>
      <c r="J97" s="109"/>
      <c r="K97" s="109"/>
    </row>
    <row r="98" spans="1:11" ht="13.5" customHeight="1" outlineLevel="1" x14ac:dyDescent="0.25">
      <c r="A98" s="109"/>
      <c r="B98" s="109"/>
      <c r="C98" s="109"/>
      <c r="D98" s="68">
        <v>2022</v>
      </c>
      <c r="E98" s="8">
        <f t="shared" si="12"/>
        <v>99747.438999999998</v>
      </c>
      <c r="F98" s="8">
        <v>99747.438999999998</v>
      </c>
      <c r="G98" s="8">
        <v>0</v>
      </c>
      <c r="H98" s="8">
        <v>0</v>
      </c>
      <c r="I98" s="8">
        <v>0</v>
      </c>
      <c r="J98" s="109"/>
      <c r="K98" s="109"/>
    </row>
    <row r="99" spans="1:11" ht="13.5" customHeight="1" outlineLevel="1" x14ac:dyDescent="0.25">
      <c r="A99" s="109"/>
      <c r="B99" s="109"/>
      <c r="C99" s="109"/>
      <c r="D99" s="68">
        <v>2023</v>
      </c>
      <c r="E99" s="8">
        <f t="shared" si="12"/>
        <v>74885.229000000007</v>
      </c>
      <c r="F99" s="8">
        <f>56948.035+1000+16937.194</f>
        <v>74885.229000000007</v>
      </c>
      <c r="G99" s="8">
        <v>0</v>
      </c>
      <c r="H99" s="8">
        <v>0</v>
      </c>
      <c r="I99" s="8">
        <v>0</v>
      </c>
      <c r="J99" s="109"/>
      <c r="K99" s="109"/>
    </row>
    <row r="100" spans="1:11" ht="13.5" customHeight="1" outlineLevel="1" x14ac:dyDescent="0.25">
      <c r="A100" s="109"/>
      <c r="B100" s="109"/>
      <c r="C100" s="109"/>
      <c r="D100" s="68">
        <v>2024</v>
      </c>
      <c r="E100" s="8">
        <f t="shared" si="12"/>
        <v>115788.59358</v>
      </c>
      <c r="F100" s="8">
        <v>115788.59358</v>
      </c>
      <c r="G100" s="8">
        <v>0</v>
      </c>
      <c r="H100" s="8">
        <v>0</v>
      </c>
      <c r="I100" s="8">
        <v>0</v>
      </c>
      <c r="J100" s="109"/>
      <c r="K100" s="109"/>
    </row>
    <row r="101" spans="1:11" ht="13.5" customHeight="1" outlineLevel="1" x14ac:dyDescent="0.25">
      <c r="A101" s="109"/>
      <c r="B101" s="109"/>
      <c r="C101" s="109"/>
      <c r="D101" s="68">
        <v>2025</v>
      </c>
      <c r="E101" s="8">
        <f t="shared" si="12"/>
        <v>60798.298580000002</v>
      </c>
      <c r="F101" s="8">
        <v>60798.298580000002</v>
      </c>
      <c r="G101" s="8">
        <v>0</v>
      </c>
      <c r="H101" s="8">
        <v>0</v>
      </c>
      <c r="I101" s="8">
        <v>0</v>
      </c>
      <c r="J101" s="109"/>
      <c r="K101" s="109"/>
    </row>
    <row r="102" spans="1:11" ht="13.5" customHeight="1" outlineLevel="1" x14ac:dyDescent="0.25">
      <c r="A102" s="110"/>
      <c r="B102" s="110"/>
      <c r="C102" s="110"/>
      <c r="D102" s="68">
        <v>2026</v>
      </c>
      <c r="E102" s="8">
        <f>SUM(F102:I102)</f>
        <v>60798.298580000002</v>
      </c>
      <c r="F102" s="8">
        <v>60798.298580000002</v>
      </c>
      <c r="G102" s="8">
        <v>0</v>
      </c>
      <c r="H102" s="8">
        <v>0</v>
      </c>
      <c r="I102" s="8">
        <v>0</v>
      </c>
      <c r="J102" s="110"/>
      <c r="K102" s="110"/>
    </row>
    <row r="103" spans="1:11" ht="13.5" customHeight="1" outlineLevel="1" x14ac:dyDescent="0.25">
      <c r="A103" s="108" t="s">
        <v>821</v>
      </c>
      <c r="B103" s="108" t="s">
        <v>822</v>
      </c>
      <c r="C103" s="108" t="s">
        <v>1777</v>
      </c>
      <c r="D103" s="68" t="s">
        <v>8</v>
      </c>
      <c r="E103" s="8">
        <f t="shared" si="12"/>
        <v>100000</v>
      </c>
      <c r="F103" s="8">
        <f>SUM(F104:F109)</f>
        <v>100000</v>
      </c>
      <c r="G103" s="8">
        <f>SUM(G104:G108)</f>
        <v>0</v>
      </c>
      <c r="H103" s="8">
        <f>SUM(H104:H108)</f>
        <v>0</v>
      </c>
      <c r="I103" s="8">
        <f>SUM(I104:I108)</f>
        <v>0</v>
      </c>
      <c r="J103" s="114" t="s">
        <v>823</v>
      </c>
      <c r="K103" s="108" t="s">
        <v>484</v>
      </c>
    </row>
    <row r="104" spans="1:11" ht="13.5" customHeight="1" outlineLevel="1" x14ac:dyDescent="0.25">
      <c r="A104" s="109"/>
      <c r="B104" s="109"/>
      <c r="C104" s="109"/>
      <c r="D104" s="68">
        <v>2021</v>
      </c>
      <c r="E104" s="8">
        <f t="shared" si="12"/>
        <v>0</v>
      </c>
      <c r="F104" s="8">
        <v>0</v>
      </c>
      <c r="G104" s="8">
        <v>0</v>
      </c>
      <c r="H104" s="8">
        <v>0</v>
      </c>
      <c r="I104" s="8">
        <v>0</v>
      </c>
      <c r="J104" s="115"/>
      <c r="K104" s="109"/>
    </row>
    <row r="105" spans="1:11" ht="13.5" customHeight="1" outlineLevel="1" x14ac:dyDescent="0.25">
      <c r="A105" s="109"/>
      <c r="B105" s="109"/>
      <c r="C105" s="109"/>
      <c r="D105" s="68">
        <v>2022</v>
      </c>
      <c r="E105" s="8">
        <f t="shared" si="12"/>
        <v>20000</v>
      </c>
      <c r="F105" s="8">
        <v>20000</v>
      </c>
      <c r="G105" s="8">
        <v>0</v>
      </c>
      <c r="H105" s="8">
        <v>0</v>
      </c>
      <c r="I105" s="8">
        <v>0</v>
      </c>
      <c r="J105" s="115"/>
      <c r="K105" s="109"/>
    </row>
    <row r="106" spans="1:11" ht="13.5" customHeight="1" outlineLevel="1" x14ac:dyDescent="0.25">
      <c r="A106" s="109"/>
      <c r="B106" s="109"/>
      <c r="C106" s="109"/>
      <c r="D106" s="68">
        <v>2023</v>
      </c>
      <c r="E106" s="8">
        <f t="shared" si="12"/>
        <v>20000</v>
      </c>
      <c r="F106" s="8">
        <v>20000</v>
      </c>
      <c r="G106" s="8">
        <v>0</v>
      </c>
      <c r="H106" s="8">
        <v>0</v>
      </c>
      <c r="I106" s="8">
        <v>0</v>
      </c>
      <c r="J106" s="115"/>
      <c r="K106" s="109"/>
    </row>
    <row r="107" spans="1:11" ht="13.5" customHeight="1" outlineLevel="1" x14ac:dyDescent="0.25">
      <c r="A107" s="109"/>
      <c r="B107" s="109"/>
      <c r="C107" s="109"/>
      <c r="D107" s="68">
        <v>2024</v>
      </c>
      <c r="E107" s="8">
        <f t="shared" si="12"/>
        <v>20000</v>
      </c>
      <c r="F107" s="8">
        <v>20000</v>
      </c>
      <c r="G107" s="8">
        <v>0</v>
      </c>
      <c r="H107" s="8">
        <v>0</v>
      </c>
      <c r="I107" s="8">
        <v>0</v>
      </c>
      <c r="J107" s="115"/>
      <c r="K107" s="109"/>
    </row>
    <row r="108" spans="1:11" ht="13.5" customHeight="1" outlineLevel="1" x14ac:dyDescent="0.25">
      <c r="A108" s="109"/>
      <c r="B108" s="109"/>
      <c r="C108" s="109"/>
      <c r="D108" s="68">
        <v>2025</v>
      </c>
      <c r="E108" s="8">
        <f t="shared" si="12"/>
        <v>20000</v>
      </c>
      <c r="F108" s="8">
        <v>20000</v>
      </c>
      <c r="G108" s="8">
        <v>0</v>
      </c>
      <c r="H108" s="8">
        <v>0</v>
      </c>
      <c r="I108" s="8">
        <v>0</v>
      </c>
      <c r="J108" s="115"/>
      <c r="K108" s="109"/>
    </row>
    <row r="109" spans="1:11" ht="13.5" customHeight="1" outlineLevel="1" x14ac:dyDescent="0.25">
      <c r="A109" s="110"/>
      <c r="B109" s="110"/>
      <c r="C109" s="110"/>
      <c r="D109" s="68">
        <v>2026</v>
      </c>
      <c r="E109" s="8">
        <f>SUM(F109:I109)</f>
        <v>20000</v>
      </c>
      <c r="F109" s="8">
        <v>20000</v>
      </c>
      <c r="G109" s="8">
        <v>0</v>
      </c>
      <c r="H109" s="8">
        <v>0</v>
      </c>
      <c r="I109" s="8">
        <v>0</v>
      </c>
      <c r="J109" s="116"/>
      <c r="K109" s="110"/>
    </row>
    <row r="110" spans="1:11" ht="13.5" customHeight="1" outlineLevel="1" x14ac:dyDescent="0.25">
      <c r="A110" s="117" t="s">
        <v>824</v>
      </c>
      <c r="B110" s="118" t="s">
        <v>1114</v>
      </c>
      <c r="C110" s="117" t="s">
        <v>828</v>
      </c>
      <c r="D110" s="68" t="s">
        <v>8</v>
      </c>
      <c r="E110" s="8">
        <f t="shared" si="12"/>
        <v>3220</v>
      </c>
      <c r="F110" s="8">
        <f>SUM(F111:F116)</f>
        <v>3220</v>
      </c>
      <c r="G110" s="8">
        <f>SUM(G111:G116)</f>
        <v>0</v>
      </c>
      <c r="H110" s="8">
        <f>SUM(H111:H116)</f>
        <v>0</v>
      </c>
      <c r="I110" s="8">
        <f>SUM(I111:I116)</f>
        <v>0</v>
      </c>
      <c r="J110" s="119" t="s">
        <v>1115</v>
      </c>
      <c r="K110" s="119" t="s">
        <v>484</v>
      </c>
    </row>
    <row r="111" spans="1:11" ht="13.5" customHeight="1" outlineLevel="1" x14ac:dyDescent="0.25">
      <c r="A111" s="117"/>
      <c r="B111" s="118"/>
      <c r="C111" s="117"/>
      <c r="D111" s="68">
        <v>2021</v>
      </c>
      <c r="E111" s="8">
        <f t="shared" si="12"/>
        <v>0</v>
      </c>
      <c r="F111" s="8">
        <v>0</v>
      </c>
      <c r="G111" s="8">
        <v>0</v>
      </c>
      <c r="H111" s="8">
        <v>0</v>
      </c>
      <c r="I111" s="8">
        <v>0</v>
      </c>
      <c r="J111" s="119"/>
      <c r="K111" s="119"/>
    </row>
    <row r="112" spans="1:11" ht="13.5" customHeight="1" outlineLevel="1" x14ac:dyDescent="0.25">
      <c r="A112" s="117"/>
      <c r="B112" s="118"/>
      <c r="C112" s="117"/>
      <c r="D112" s="68">
        <v>2022</v>
      </c>
      <c r="E112" s="8">
        <f t="shared" si="12"/>
        <v>3220</v>
      </c>
      <c r="F112" s="8">
        <f>3360-140</f>
        <v>3220</v>
      </c>
      <c r="G112" s="8">
        <v>0</v>
      </c>
      <c r="H112" s="8">
        <v>0</v>
      </c>
      <c r="I112" s="8">
        <v>0</v>
      </c>
      <c r="J112" s="119"/>
      <c r="K112" s="119"/>
    </row>
    <row r="113" spans="1:16" ht="13.5" customHeight="1" outlineLevel="1" x14ac:dyDescent="0.25">
      <c r="A113" s="117"/>
      <c r="B113" s="118"/>
      <c r="C113" s="117"/>
      <c r="D113" s="68">
        <v>2023</v>
      </c>
      <c r="E113" s="8">
        <f t="shared" si="12"/>
        <v>0</v>
      </c>
      <c r="F113" s="8">
        <v>0</v>
      </c>
      <c r="G113" s="8">
        <v>0</v>
      </c>
      <c r="H113" s="8">
        <v>0</v>
      </c>
      <c r="I113" s="8">
        <v>0</v>
      </c>
      <c r="J113" s="119"/>
      <c r="K113" s="119"/>
    </row>
    <row r="114" spans="1:16" ht="13.5" customHeight="1" outlineLevel="1" x14ac:dyDescent="0.25">
      <c r="A114" s="117"/>
      <c r="B114" s="118"/>
      <c r="C114" s="117"/>
      <c r="D114" s="68">
        <v>2024</v>
      </c>
      <c r="E114" s="8">
        <f t="shared" si="12"/>
        <v>0</v>
      </c>
      <c r="F114" s="8">
        <v>0</v>
      </c>
      <c r="G114" s="8">
        <v>0</v>
      </c>
      <c r="H114" s="8">
        <v>0</v>
      </c>
      <c r="I114" s="8">
        <v>0</v>
      </c>
      <c r="J114" s="119"/>
      <c r="K114" s="119"/>
    </row>
    <row r="115" spans="1:16" s="80" customFormat="1" ht="13.5" customHeight="1" outlineLevel="1" x14ac:dyDescent="0.25">
      <c r="A115" s="117"/>
      <c r="B115" s="118"/>
      <c r="C115" s="117"/>
      <c r="D115" s="79">
        <v>2025</v>
      </c>
      <c r="E115" s="8">
        <v>0</v>
      </c>
      <c r="F115" s="8">
        <v>0</v>
      </c>
      <c r="G115" s="8">
        <v>0</v>
      </c>
      <c r="H115" s="8">
        <v>0</v>
      </c>
      <c r="I115" s="8">
        <v>0</v>
      </c>
      <c r="J115" s="119"/>
      <c r="K115" s="119"/>
      <c r="M115" s="55"/>
      <c r="N115" s="55"/>
      <c r="O115" s="55"/>
      <c r="P115" s="55"/>
    </row>
    <row r="116" spans="1:16" ht="13.5" customHeight="1" outlineLevel="1" x14ac:dyDescent="0.25">
      <c r="A116" s="117"/>
      <c r="B116" s="118"/>
      <c r="C116" s="117"/>
      <c r="D116" s="68">
        <v>2026</v>
      </c>
      <c r="E116" s="8">
        <f t="shared" si="12"/>
        <v>0</v>
      </c>
      <c r="F116" s="8">
        <v>0</v>
      </c>
      <c r="G116" s="8">
        <v>0</v>
      </c>
      <c r="H116" s="8">
        <v>0</v>
      </c>
      <c r="I116" s="8">
        <v>0</v>
      </c>
      <c r="J116" s="119"/>
      <c r="K116" s="119"/>
    </row>
    <row r="117" spans="1:16" ht="23.25" customHeight="1" outlineLevel="1" x14ac:dyDescent="0.25">
      <c r="A117" s="117" t="s">
        <v>826</v>
      </c>
      <c r="B117" s="118" t="s">
        <v>1116</v>
      </c>
      <c r="C117" s="117" t="s">
        <v>828</v>
      </c>
      <c r="D117" s="68" t="s">
        <v>8</v>
      </c>
      <c r="E117" s="8">
        <f t="shared" si="12"/>
        <v>0</v>
      </c>
      <c r="F117" s="8">
        <f>SUM(F118:F122)</f>
        <v>0</v>
      </c>
      <c r="G117" s="8">
        <f>SUM(G118:G122)</f>
        <v>0</v>
      </c>
      <c r="H117" s="8">
        <f>SUM(H118:H122)</f>
        <v>0</v>
      </c>
      <c r="I117" s="8">
        <f>SUM(I118:I122)</f>
        <v>0</v>
      </c>
      <c r="J117" s="119" t="s">
        <v>829</v>
      </c>
      <c r="K117" s="119" t="s">
        <v>484</v>
      </c>
    </row>
    <row r="118" spans="1:16" ht="13.5" customHeight="1" outlineLevel="1" x14ac:dyDescent="0.25">
      <c r="A118" s="117"/>
      <c r="B118" s="118"/>
      <c r="C118" s="117"/>
      <c r="D118" s="68">
        <v>2021</v>
      </c>
      <c r="E118" s="8">
        <f t="shared" si="12"/>
        <v>0</v>
      </c>
      <c r="F118" s="8">
        <v>0</v>
      </c>
      <c r="G118" s="8">
        <v>0</v>
      </c>
      <c r="H118" s="8">
        <v>0</v>
      </c>
      <c r="I118" s="8">
        <v>0</v>
      </c>
      <c r="J118" s="119"/>
      <c r="K118" s="119"/>
    </row>
    <row r="119" spans="1:16" ht="13.5" customHeight="1" outlineLevel="1" x14ac:dyDescent="0.25">
      <c r="A119" s="117"/>
      <c r="B119" s="118"/>
      <c r="C119" s="117"/>
      <c r="D119" s="68">
        <v>2022</v>
      </c>
      <c r="E119" s="8">
        <f t="shared" si="12"/>
        <v>0</v>
      </c>
      <c r="F119" s="8">
        <v>0</v>
      </c>
      <c r="G119" s="8">
        <v>0</v>
      </c>
      <c r="H119" s="8">
        <v>0</v>
      </c>
      <c r="I119" s="8">
        <v>0</v>
      </c>
      <c r="J119" s="119"/>
      <c r="K119" s="119"/>
    </row>
    <row r="120" spans="1:16" ht="13.5" customHeight="1" outlineLevel="1" x14ac:dyDescent="0.25">
      <c r="A120" s="117"/>
      <c r="B120" s="118"/>
      <c r="C120" s="117"/>
      <c r="D120" s="68">
        <v>2023</v>
      </c>
      <c r="E120" s="8">
        <f t="shared" si="12"/>
        <v>0</v>
      </c>
      <c r="F120" s="8">
        <v>0</v>
      </c>
      <c r="G120" s="8">
        <v>0</v>
      </c>
      <c r="H120" s="8">
        <v>0</v>
      </c>
      <c r="I120" s="8">
        <v>0</v>
      </c>
      <c r="J120" s="119"/>
      <c r="K120" s="119"/>
    </row>
    <row r="121" spans="1:16" ht="13.5" customHeight="1" outlineLevel="1" x14ac:dyDescent="0.25">
      <c r="A121" s="117"/>
      <c r="B121" s="118"/>
      <c r="C121" s="117"/>
      <c r="D121" s="68">
        <v>2024</v>
      </c>
      <c r="E121" s="8">
        <f t="shared" si="12"/>
        <v>0</v>
      </c>
      <c r="F121" s="8">
        <v>0</v>
      </c>
      <c r="G121" s="8">
        <v>0</v>
      </c>
      <c r="H121" s="8">
        <v>0</v>
      </c>
      <c r="I121" s="8">
        <v>0</v>
      </c>
      <c r="J121" s="119"/>
      <c r="K121" s="119"/>
    </row>
    <row r="122" spans="1:16" ht="13.5" customHeight="1" outlineLevel="1" x14ac:dyDescent="0.25">
      <c r="A122" s="117"/>
      <c r="B122" s="118"/>
      <c r="C122" s="117"/>
      <c r="D122" s="68">
        <v>2025</v>
      </c>
      <c r="E122" s="8">
        <v>0</v>
      </c>
      <c r="F122" s="8">
        <v>0</v>
      </c>
      <c r="G122" s="8">
        <v>0</v>
      </c>
      <c r="H122" s="8">
        <v>0</v>
      </c>
      <c r="I122" s="8">
        <v>0</v>
      </c>
      <c r="J122" s="119"/>
      <c r="K122" s="119"/>
    </row>
    <row r="123" spans="1:16" ht="13.5" customHeight="1" outlineLevel="1" x14ac:dyDescent="0.25">
      <c r="A123" s="108" t="s">
        <v>830</v>
      </c>
      <c r="B123" s="132" t="s">
        <v>1117</v>
      </c>
      <c r="C123" s="108" t="s">
        <v>1777</v>
      </c>
      <c r="D123" s="68" t="s">
        <v>8</v>
      </c>
      <c r="E123" s="8">
        <f t="shared" si="12"/>
        <v>121500</v>
      </c>
      <c r="F123" s="8">
        <f>SUM(F124:F129)</f>
        <v>121500</v>
      </c>
      <c r="G123" s="8">
        <f>SUM(G124:G128)</f>
        <v>0</v>
      </c>
      <c r="H123" s="8">
        <f>SUM(H124:H128)</f>
        <v>0</v>
      </c>
      <c r="I123" s="8">
        <f>SUM(I124:I128)</f>
        <v>0</v>
      </c>
      <c r="J123" s="149" t="s">
        <v>1118</v>
      </c>
      <c r="K123" s="132" t="s">
        <v>515</v>
      </c>
    </row>
    <row r="124" spans="1:16" ht="13.5" customHeight="1" outlineLevel="1" x14ac:dyDescent="0.25">
      <c r="A124" s="109"/>
      <c r="B124" s="133"/>
      <c r="C124" s="109"/>
      <c r="D124" s="68">
        <v>2021</v>
      </c>
      <c r="E124" s="8">
        <f t="shared" si="12"/>
        <v>0</v>
      </c>
      <c r="F124" s="8">
        <v>0</v>
      </c>
      <c r="G124" s="8">
        <v>0</v>
      </c>
      <c r="H124" s="8">
        <v>0</v>
      </c>
      <c r="I124" s="8">
        <v>0</v>
      </c>
      <c r="J124" s="150"/>
      <c r="K124" s="133"/>
    </row>
    <row r="125" spans="1:16" ht="13.5" customHeight="1" outlineLevel="1" x14ac:dyDescent="0.25">
      <c r="A125" s="109"/>
      <c r="B125" s="133"/>
      <c r="C125" s="109"/>
      <c r="D125" s="68">
        <v>2022</v>
      </c>
      <c r="E125" s="8">
        <f t="shared" si="12"/>
        <v>21000</v>
      </c>
      <c r="F125" s="8">
        <v>21000</v>
      </c>
      <c r="G125" s="8">
        <v>0</v>
      </c>
      <c r="H125" s="8">
        <v>0</v>
      </c>
      <c r="I125" s="8">
        <v>0</v>
      </c>
      <c r="J125" s="150"/>
      <c r="K125" s="133"/>
    </row>
    <row r="126" spans="1:16" ht="13.5" customHeight="1" outlineLevel="1" x14ac:dyDescent="0.25">
      <c r="A126" s="109"/>
      <c r="B126" s="133"/>
      <c r="C126" s="109"/>
      <c r="D126" s="68">
        <v>2023</v>
      </c>
      <c r="E126" s="8">
        <f t="shared" si="12"/>
        <v>22500</v>
      </c>
      <c r="F126" s="8">
        <f>26000-3500</f>
        <v>22500</v>
      </c>
      <c r="G126" s="8">
        <v>0</v>
      </c>
      <c r="H126" s="8">
        <v>0</v>
      </c>
      <c r="I126" s="8">
        <v>0</v>
      </c>
      <c r="J126" s="150"/>
      <c r="K126" s="133"/>
    </row>
    <row r="127" spans="1:16" ht="13.5" customHeight="1" outlineLevel="1" x14ac:dyDescent="0.25">
      <c r="A127" s="109"/>
      <c r="B127" s="133"/>
      <c r="C127" s="109"/>
      <c r="D127" s="68">
        <v>2024</v>
      </c>
      <c r="E127" s="8">
        <f t="shared" si="12"/>
        <v>26000</v>
      </c>
      <c r="F127" s="8">
        <v>26000</v>
      </c>
      <c r="G127" s="8">
        <v>0</v>
      </c>
      <c r="H127" s="8">
        <v>0</v>
      </c>
      <c r="I127" s="8">
        <v>0</v>
      </c>
      <c r="J127" s="150"/>
      <c r="K127" s="133"/>
    </row>
    <row r="128" spans="1:16" ht="13.5" customHeight="1" outlineLevel="1" x14ac:dyDescent="0.25">
      <c r="A128" s="109"/>
      <c r="B128" s="133"/>
      <c r="C128" s="109"/>
      <c r="D128" s="68">
        <v>2025</v>
      </c>
      <c r="E128" s="8">
        <f t="shared" ref="E128:H145" si="17">SUM(F128:I128)</f>
        <v>26000</v>
      </c>
      <c r="F128" s="8">
        <v>26000</v>
      </c>
      <c r="G128" s="8">
        <v>0</v>
      </c>
      <c r="H128" s="8">
        <v>0</v>
      </c>
      <c r="I128" s="8">
        <v>0</v>
      </c>
      <c r="J128" s="150"/>
      <c r="K128" s="133"/>
    </row>
    <row r="129" spans="1:16" ht="13.5" customHeight="1" outlineLevel="1" x14ac:dyDescent="0.25">
      <c r="A129" s="110"/>
      <c r="B129" s="134"/>
      <c r="C129" s="110"/>
      <c r="D129" s="68"/>
      <c r="E129" s="8">
        <f>SUM(F129:I129)</f>
        <v>26000</v>
      </c>
      <c r="F129" s="8">
        <v>26000</v>
      </c>
      <c r="G129" s="8"/>
      <c r="H129" s="8"/>
      <c r="I129" s="8"/>
      <c r="J129" s="151"/>
      <c r="K129" s="134"/>
    </row>
    <row r="130" spans="1:16" ht="18" customHeight="1" outlineLevel="1" x14ac:dyDescent="0.25">
      <c r="A130" s="117" t="s">
        <v>832</v>
      </c>
      <c r="B130" s="118" t="s">
        <v>1119</v>
      </c>
      <c r="C130" s="108" t="s">
        <v>124</v>
      </c>
      <c r="D130" s="68" t="s">
        <v>8</v>
      </c>
      <c r="E130" s="8">
        <f t="shared" si="17"/>
        <v>9000</v>
      </c>
      <c r="F130" s="8">
        <f>SUM(F131:F136)</f>
        <v>9000</v>
      </c>
      <c r="G130" s="8">
        <f>SUM(G131:G136)</f>
        <v>0</v>
      </c>
      <c r="H130" s="8">
        <f>SUM(H131:H136)</f>
        <v>0</v>
      </c>
      <c r="I130" s="8">
        <f>SUM(I131:I136)</f>
        <v>0</v>
      </c>
      <c r="J130" s="119" t="s">
        <v>1120</v>
      </c>
      <c r="K130" s="119" t="s">
        <v>515</v>
      </c>
    </row>
    <row r="131" spans="1:16" ht="22.5" customHeight="1" outlineLevel="1" x14ac:dyDescent="0.25">
      <c r="A131" s="117"/>
      <c r="B131" s="118"/>
      <c r="C131" s="109"/>
      <c r="D131" s="68">
        <v>2021</v>
      </c>
      <c r="E131" s="8">
        <f t="shared" si="17"/>
        <v>0</v>
      </c>
      <c r="F131" s="8">
        <v>0</v>
      </c>
      <c r="G131" s="8">
        <v>0</v>
      </c>
      <c r="H131" s="8">
        <v>0</v>
      </c>
      <c r="I131" s="8">
        <v>0</v>
      </c>
      <c r="J131" s="119"/>
      <c r="K131" s="119"/>
    </row>
    <row r="132" spans="1:16" ht="26.25" customHeight="1" outlineLevel="1" x14ac:dyDescent="0.25">
      <c r="A132" s="117"/>
      <c r="B132" s="118"/>
      <c r="C132" s="109"/>
      <c r="D132" s="68">
        <v>2022</v>
      </c>
      <c r="E132" s="8">
        <f t="shared" si="17"/>
        <v>9000</v>
      </c>
      <c r="F132" s="8">
        <v>9000</v>
      </c>
      <c r="G132" s="8">
        <v>0</v>
      </c>
      <c r="H132" s="8">
        <v>0</v>
      </c>
      <c r="I132" s="8">
        <v>0</v>
      </c>
      <c r="J132" s="119"/>
      <c r="K132" s="119"/>
    </row>
    <row r="133" spans="1:16" ht="32.25" customHeight="1" outlineLevel="1" x14ac:dyDescent="0.25">
      <c r="A133" s="117"/>
      <c r="B133" s="118"/>
      <c r="C133" s="109"/>
      <c r="D133" s="68">
        <v>2023</v>
      </c>
      <c r="E133" s="8">
        <f t="shared" si="17"/>
        <v>0</v>
      </c>
      <c r="F133" s="8">
        <v>0</v>
      </c>
      <c r="G133" s="8">
        <v>0</v>
      </c>
      <c r="H133" s="8">
        <v>0</v>
      </c>
      <c r="I133" s="8">
        <v>0</v>
      </c>
      <c r="J133" s="119"/>
      <c r="K133" s="119"/>
    </row>
    <row r="134" spans="1:16" ht="22.5" customHeight="1" outlineLevel="1" x14ac:dyDescent="0.25">
      <c r="A134" s="117"/>
      <c r="B134" s="118"/>
      <c r="C134" s="109"/>
      <c r="D134" s="68">
        <v>2024</v>
      </c>
      <c r="E134" s="8">
        <f t="shared" si="17"/>
        <v>0</v>
      </c>
      <c r="F134" s="8">
        <v>0</v>
      </c>
      <c r="G134" s="8">
        <v>0</v>
      </c>
      <c r="H134" s="8">
        <v>0</v>
      </c>
      <c r="I134" s="8">
        <v>0</v>
      </c>
      <c r="J134" s="119"/>
      <c r="K134" s="119"/>
    </row>
    <row r="135" spans="1:16" s="80" customFormat="1" ht="22.5" customHeight="1" outlineLevel="1" x14ac:dyDescent="0.25">
      <c r="A135" s="117"/>
      <c r="B135" s="118"/>
      <c r="C135" s="109"/>
      <c r="D135" s="79">
        <v>2025</v>
      </c>
      <c r="E135" s="8">
        <v>0</v>
      </c>
      <c r="F135" s="8">
        <v>0</v>
      </c>
      <c r="G135" s="8">
        <v>0</v>
      </c>
      <c r="H135" s="8">
        <v>0</v>
      </c>
      <c r="I135" s="8">
        <v>0</v>
      </c>
      <c r="J135" s="119"/>
      <c r="K135" s="119"/>
      <c r="M135" s="55"/>
      <c r="N135" s="55"/>
      <c r="O135" s="55"/>
      <c r="P135" s="55"/>
    </row>
    <row r="136" spans="1:16" ht="21" customHeight="1" outlineLevel="1" x14ac:dyDescent="0.25">
      <c r="A136" s="117"/>
      <c r="B136" s="118"/>
      <c r="C136" s="110"/>
      <c r="D136" s="68">
        <v>2026</v>
      </c>
      <c r="E136" s="8">
        <f t="shared" si="17"/>
        <v>0</v>
      </c>
      <c r="F136" s="8">
        <v>0</v>
      </c>
      <c r="G136" s="8">
        <v>0</v>
      </c>
      <c r="H136" s="8">
        <v>0</v>
      </c>
      <c r="I136" s="8">
        <v>0</v>
      </c>
      <c r="J136" s="119"/>
      <c r="K136" s="119"/>
    </row>
    <row r="137" spans="1:16" ht="15.75" customHeight="1" outlineLevel="1" x14ac:dyDescent="0.25">
      <c r="A137" s="117" t="s">
        <v>1121</v>
      </c>
      <c r="B137" s="118" t="s">
        <v>1122</v>
      </c>
      <c r="C137" s="108">
        <v>2022</v>
      </c>
      <c r="D137" s="68" t="s">
        <v>8</v>
      </c>
      <c r="E137" s="8">
        <f>SUM(F137:I137)</f>
        <v>33359.250659999998</v>
      </c>
      <c r="F137" s="8">
        <f>SUM(F138:F143)</f>
        <v>33359.250659999998</v>
      </c>
      <c r="G137" s="8">
        <f>SUM(G138:G143)</f>
        <v>0</v>
      </c>
      <c r="H137" s="8">
        <f>SUM(H138:H143)</f>
        <v>0</v>
      </c>
      <c r="I137" s="8">
        <f>SUM(I138:I143)</f>
        <v>0</v>
      </c>
      <c r="J137" s="119" t="s">
        <v>1120</v>
      </c>
      <c r="K137" s="119" t="s">
        <v>515</v>
      </c>
    </row>
    <row r="138" spans="1:16" ht="15.75" customHeight="1" outlineLevel="1" x14ac:dyDescent="0.25">
      <c r="A138" s="117"/>
      <c r="B138" s="118"/>
      <c r="C138" s="109"/>
      <c r="D138" s="68">
        <v>2021</v>
      </c>
      <c r="E138" s="8">
        <f t="shared" si="17"/>
        <v>0</v>
      </c>
      <c r="F138" s="8">
        <v>0</v>
      </c>
      <c r="G138" s="8">
        <v>0</v>
      </c>
      <c r="H138" s="8">
        <v>0</v>
      </c>
      <c r="I138" s="8">
        <v>0</v>
      </c>
      <c r="J138" s="119"/>
      <c r="K138" s="119"/>
    </row>
    <row r="139" spans="1:16" ht="15.75" customHeight="1" outlineLevel="1" x14ac:dyDescent="0.25">
      <c r="A139" s="117"/>
      <c r="B139" s="118"/>
      <c r="C139" s="109"/>
      <c r="D139" s="68">
        <v>2022</v>
      </c>
      <c r="E139" s="8">
        <f t="shared" si="17"/>
        <v>33359.250659999998</v>
      </c>
      <c r="F139" s="8">
        <f>33194.388+164.86266</f>
        <v>33359.250659999998</v>
      </c>
      <c r="G139" s="8">
        <v>0</v>
      </c>
      <c r="H139" s="8">
        <v>0</v>
      </c>
      <c r="I139" s="8">
        <v>0</v>
      </c>
      <c r="J139" s="119"/>
      <c r="K139" s="119"/>
    </row>
    <row r="140" spans="1:16" ht="15.75" customHeight="1" outlineLevel="1" x14ac:dyDescent="0.25">
      <c r="A140" s="117"/>
      <c r="B140" s="118"/>
      <c r="C140" s="109"/>
      <c r="D140" s="68">
        <v>2023</v>
      </c>
      <c r="E140" s="8">
        <f t="shared" si="17"/>
        <v>0</v>
      </c>
      <c r="F140" s="8">
        <f t="shared" si="17"/>
        <v>0</v>
      </c>
      <c r="G140" s="8">
        <f t="shared" si="17"/>
        <v>0</v>
      </c>
      <c r="H140" s="8">
        <f t="shared" si="17"/>
        <v>0</v>
      </c>
      <c r="I140" s="8">
        <v>0</v>
      </c>
      <c r="J140" s="119"/>
      <c r="K140" s="119"/>
    </row>
    <row r="141" spans="1:16" ht="15.75" customHeight="1" outlineLevel="1" x14ac:dyDescent="0.25">
      <c r="A141" s="117"/>
      <c r="B141" s="118"/>
      <c r="C141" s="109"/>
      <c r="D141" s="68">
        <v>2024</v>
      </c>
      <c r="E141" s="8">
        <f t="shared" si="17"/>
        <v>0</v>
      </c>
      <c r="F141" s="8">
        <f t="shared" si="17"/>
        <v>0</v>
      </c>
      <c r="G141" s="8">
        <f t="shared" si="17"/>
        <v>0</v>
      </c>
      <c r="H141" s="8">
        <f t="shared" si="17"/>
        <v>0</v>
      </c>
      <c r="I141" s="8">
        <v>0</v>
      </c>
      <c r="J141" s="119"/>
      <c r="K141" s="119"/>
    </row>
    <row r="142" spans="1:16" s="80" customFormat="1" ht="15.75" customHeight="1" outlineLevel="1" x14ac:dyDescent="0.25">
      <c r="A142" s="117"/>
      <c r="B142" s="118"/>
      <c r="C142" s="109"/>
      <c r="D142" s="79">
        <v>2025</v>
      </c>
      <c r="E142" s="8">
        <v>0</v>
      </c>
      <c r="F142" s="8">
        <v>0</v>
      </c>
      <c r="G142" s="8">
        <v>0</v>
      </c>
      <c r="H142" s="8">
        <v>0</v>
      </c>
      <c r="I142" s="8">
        <v>0</v>
      </c>
      <c r="J142" s="119"/>
      <c r="K142" s="119"/>
      <c r="M142" s="55"/>
      <c r="N142" s="55"/>
      <c r="O142" s="55"/>
      <c r="P142" s="55"/>
    </row>
    <row r="143" spans="1:16" ht="15.75" customHeight="1" outlineLevel="1" x14ac:dyDescent="0.25">
      <c r="A143" s="117"/>
      <c r="B143" s="118"/>
      <c r="C143" s="110"/>
      <c r="D143" s="68">
        <v>2026</v>
      </c>
      <c r="E143" s="8">
        <f t="shared" si="17"/>
        <v>0</v>
      </c>
      <c r="F143" s="8">
        <f t="shared" si="17"/>
        <v>0</v>
      </c>
      <c r="G143" s="8">
        <f t="shared" si="17"/>
        <v>0</v>
      </c>
      <c r="H143" s="8">
        <f t="shared" si="17"/>
        <v>0</v>
      </c>
      <c r="I143" s="8">
        <v>0</v>
      </c>
      <c r="J143" s="119"/>
      <c r="K143" s="119"/>
    </row>
    <row r="144" spans="1:16" ht="15.75" customHeight="1" outlineLevel="1" x14ac:dyDescent="0.25">
      <c r="A144" s="108" t="s">
        <v>1123</v>
      </c>
      <c r="B144" s="108" t="s">
        <v>1124</v>
      </c>
      <c r="C144" s="108" t="s">
        <v>1778</v>
      </c>
      <c r="D144" s="68" t="s">
        <v>8</v>
      </c>
      <c r="E144" s="8">
        <f t="shared" si="17"/>
        <v>42849.06712</v>
      </c>
      <c r="F144" s="8">
        <f>SUM(F145:F150)</f>
        <v>36000</v>
      </c>
      <c r="G144" s="8">
        <f>SUM(G145:G149)</f>
        <v>0</v>
      </c>
      <c r="H144" s="8">
        <f>SUM(H145:H149)</f>
        <v>6849.0671199999997</v>
      </c>
      <c r="I144" s="8">
        <f>SUM(I145:I149)</f>
        <v>0</v>
      </c>
      <c r="J144" s="135" t="s">
        <v>1764</v>
      </c>
      <c r="K144" s="108" t="s">
        <v>515</v>
      </c>
    </row>
    <row r="145" spans="1:11" ht="15.75" customHeight="1" outlineLevel="1" x14ac:dyDescent="0.25">
      <c r="A145" s="109"/>
      <c r="B145" s="109"/>
      <c r="C145" s="109"/>
      <c r="D145" s="68">
        <v>2021</v>
      </c>
      <c r="E145" s="8">
        <f t="shared" si="17"/>
        <v>0</v>
      </c>
      <c r="F145" s="8">
        <v>0</v>
      </c>
      <c r="G145" s="8">
        <v>0</v>
      </c>
      <c r="H145" s="8">
        <v>0</v>
      </c>
      <c r="I145" s="8">
        <v>0</v>
      </c>
      <c r="J145" s="136"/>
      <c r="K145" s="109"/>
    </row>
    <row r="146" spans="1:11" ht="15.75" customHeight="1" outlineLevel="1" x14ac:dyDescent="0.25">
      <c r="A146" s="109"/>
      <c r="B146" s="109"/>
      <c r="C146" s="109"/>
      <c r="D146" s="68">
        <v>2022</v>
      </c>
      <c r="E146" s="8">
        <f t="shared" ref="E146:E226" si="18">SUM(F146:I146)</f>
        <v>0</v>
      </c>
      <c r="F146" s="8">
        <v>0</v>
      </c>
      <c r="G146" s="8">
        <v>0</v>
      </c>
      <c r="H146" s="8">
        <v>0</v>
      </c>
      <c r="I146" s="8">
        <v>0</v>
      </c>
      <c r="J146" s="136"/>
      <c r="K146" s="109"/>
    </row>
    <row r="147" spans="1:11" ht="15.75" customHeight="1" outlineLevel="1" x14ac:dyDescent="0.25">
      <c r="A147" s="109"/>
      <c r="B147" s="109"/>
      <c r="C147" s="109"/>
      <c r="D147" s="68">
        <v>2023</v>
      </c>
      <c r="E147" s="8">
        <f t="shared" si="18"/>
        <v>14210.526320000001</v>
      </c>
      <c r="F147" s="8">
        <v>9000</v>
      </c>
      <c r="G147" s="8">
        <v>0</v>
      </c>
      <c r="H147" s="8">
        <v>5210.5263199999999</v>
      </c>
      <c r="I147" s="8">
        <v>0</v>
      </c>
      <c r="J147" s="136"/>
      <c r="K147" s="109"/>
    </row>
    <row r="148" spans="1:11" ht="15.75" customHeight="1" outlineLevel="1" x14ac:dyDescent="0.25">
      <c r="A148" s="109"/>
      <c r="B148" s="109"/>
      <c r="C148" s="109"/>
      <c r="D148" s="68">
        <v>2024</v>
      </c>
      <c r="E148" s="8">
        <f t="shared" si="18"/>
        <v>10638.540800000001</v>
      </c>
      <c r="F148" s="8">
        <v>9000</v>
      </c>
      <c r="G148" s="8">
        <v>0</v>
      </c>
      <c r="H148" s="74">
        <v>1638.5408</v>
      </c>
      <c r="I148" s="8">
        <v>0</v>
      </c>
      <c r="J148" s="136"/>
      <c r="K148" s="109"/>
    </row>
    <row r="149" spans="1:11" ht="15.75" customHeight="1" outlineLevel="1" x14ac:dyDescent="0.25">
      <c r="A149" s="109"/>
      <c r="B149" s="109"/>
      <c r="C149" s="109"/>
      <c r="D149" s="68">
        <v>2025</v>
      </c>
      <c r="E149" s="8">
        <f t="shared" si="18"/>
        <v>9000</v>
      </c>
      <c r="F149" s="8">
        <v>9000</v>
      </c>
      <c r="G149" s="8">
        <v>0</v>
      </c>
      <c r="H149" s="8">
        <v>0</v>
      </c>
      <c r="I149" s="8">
        <v>0</v>
      </c>
      <c r="J149" s="136"/>
      <c r="K149" s="109"/>
    </row>
    <row r="150" spans="1:11" ht="15.75" customHeight="1" outlineLevel="1" x14ac:dyDescent="0.25">
      <c r="A150" s="110"/>
      <c r="B150" s="110"/>
      <c r="C150" s="110"/>
      <c r="D150" s="68">
        <v>2026</v>
      </c>
      <c r="E150" s="8">
        <f>SUM(F150:I150)</f>
        <v>9000</v>
      </c>
      <c r="F150" s="8">
        <v>9000</v>
      </c>
      <c r="G150" s="8">
        <v>0</v>
      </c>
      <c r="H150" s="8">
        <v>0</v>
      </c>
      <c r="I150" s="8"/>
      <c r="J150" s="137"/>
      <c r="K150" s="110"/>
    </row>
    <row r="151" spans="1:11" ht="15.75" customHeight="1" outlineLevel="1" x14ac:dyDescent="0.25">
      <c r="A151" s="108" t="s">
        <v>1126</v>
      </c>
      <c r="B151" s="108" t="s">
        <v>1127</v>
      </c>
      <c r="C151" s="108" t="s">
        <v>1778</v>
      </c>
      <c r="D151" s="68" t="s">
        <v>8</v>
      </c>
      <c r="E151" s="8">
        <f t="shared" si="18"/>
        <v>288559.92346000002</v>
      </c>
      <c r="F151" s="8">
        <f>SUM(F152:F157)</f>
        <v>243000</v>
      </c>
      <c r="G151" s="8">
        <f>SUM(G152:G156)</f>
        <v>0</v>
      </c>
      <c r="H151" s="8">
        <f>SUM(H152:H156)</f>
        <v>45559.923459999998</v>
      </c>
      <c r="I151" s="8">
        <f>SUM(I152:I156)</f>
        <v>0</v>
      </c>
      <c r="J151" s="135" t="s">
        <v>1765</v>
      </c>
      <c r="K151" s="108" t="s">
        <v>515</v>
      </c>
    </row>
    <row r="152" spans="1:11" ht="15.75" customHeight="1" outlineLevel="1" x14ac:dyDescent="0.25">
      <c r="A152" s="109"/>
      <c r="B152" s="109"/>
      <c r="C152" s="109"/>
      <c r="D152" s="68">
        <v>2021</v>
      </c>
      <c r="E152" s="8">
        <f t="shared" si="18"/>
        <v>0</v>
      </c>
      <c r="F152" s="8">
        <v>0</v>
      </c>
      <c r="G152" s="8">
        <f t="shared" ref="G152:H156" si="19">SUM(H152:K152)</f>
        <v>0</v>
      </c>
      <c r="H152" s="8">
        <f t="shared" si="19"/>
        <v>0</v>
      </c>
      <c r="I152" s="8">
        <v>0</v>
      </c>
      <c r="J152" s="136"/>
      <c r="K152" s="109"/>
    </row>
    <row r="153" spans="1:11" ht="15.75" customHeight="1" outlineLevel="1" x14ac:dyDescent="0.25">
      <c r="A153" s="109"/>
      <c r="B153" s="109"/>
      <c r="C153" s="109"/>
      <c r="D153" s="68">
        <v>2022</v>
      </c>
      <c r="E153" s="8">
        <f t="shared" si="18"/>
        <v>0</v>
      </c>
      <c r="F153" s="8">
        <v>0</v>
      </c>
      <c r="G153" s="8">
        <f t="shared" si="19"/>
        <v>0</v>
      </c>
      <c r="H153" s="8">
        <f t="shared" si="19"/>
        <v>0</v>
      </c>
      <c r="I153" s="8">
        <v>0</v>
      </c>
      <c r="J153" s="136"/>
      <c r="K153" s="109"/>
    </row>
    <row r="154" spans="1:11" ht="15.75" customHeight="1" outlineLevel="1" x14ac:dyDescent="0.25">
      <c r="A154" s="109"/>
      <c r="B154" s="109"/>
      <c r="C154" s="109"/>
      <c r="D154" s="68">
        <v>2023</v>
      </c>
      <c r="E154" s="8">
        <f t="shared" si="18"/>
        <v>42275.265019999999</v>
      </c>
      <c r="F154" s="8">
        <v>35000</v>
      </c>
      <c r="G154" s="8"/>
      <c r="H154" s="8">
        <v>7275.2650199999998</v>
      </c>
      <c r="I154" s="8">
        <v>0</v>
      </c>
      <c r="J154" s="136"/>
      <c r="K154" s="109"/>
    </row>
    <row r="155" spans="1:11" ht="15.75" customHeight="1" outlineLevel="1" x14ac:dyDescent="0.25">
      <c r="A155" s="109"/>
      <c r="B155" s="109"/>
      <c r="C155" s="109"/>
      <c r="D155" s="68">
        <v>2024</v>
      </c>
      <c r="E155" s="8">
        <f t="shared" si="18"/>
        <v>176284.65844</v>
      </c>
      <c r="F155" s="8">
        <v>138000</v>
      </c>
      <c r="G155" s="39">
        <v>0</v>
      </c>
      <c r="H155" s="39">
        <v>38284.658439999999</v>
      </c>
      <c r="I155" s="8">
        <v>0</v>
      </c>
      <c r="J155" s="136"/>
      <c r="K155" s="109"/>
    </row>
    <row r="156" spans="1:11" ht="15.75" customHeight="1" outlineLevel="1" x14ac:dyDescent="0.25">
      <c r="A156" s="109"/>
      <c r="B156" s="109"/>
      <c r="C156" s="109"/>
      <c r="D156" s="68">
        <v>2025</v>
      </c>
      <c r="E156" s="8">
        <f t="shared" si="18"/>
        <v>35000</v>
      </c>
      <c r="F156" s="8">
        <v>35000</v>
      </c>
      <c r="G156" s="8">
        <f t="shared" si="19"/>
        <v>0</v>
      </c>
      <c r="H156" s="8">
        <f t="shared" si="19"/>
        <v>0</v>
      </c>
      <c r="I156" s="8">
        <v>0</v>
      </c>
      <c r="J156" s="136"/>
      <c r="K156" s="109"/>
    </row>
    <row r="157" spans="1:11" ht="15.75" customHeight="1" outlineLevel="1" x14ac:dyDescent="0.25">
      <c r="A157" s="110"/>
      <c r="B157" s="110"/>
      <c r="C157" s="110"/>
      <c r="D157" s="68">
        <v>2026</v>
      </c>
      <c r="E157" s="8">
        <f>SUM(F157:I157)</f>
        <v>35000</v>
      </c>
      <c r="F157" s="8">
        <v>35000</v>
      </c>
      <c r="G157" s="8">
        <v>0</v>
      </c>
      <c r="H157" s="8">
        <v>0</v>
      </c>
      <c r="I157" s="8">
        <v>0</v>
      </c>
      <c r="J157" s="137"/>
      <c r="K157" s="110"/>
    </row>
    <row r="158" spans="1:11" ht="15.75" customHeight="1" outlineLevel="1" x14ac:dyDescent="0.25">
      <c r="A158" s="108" t="s">
        <v>1128</v>
      </c>
      <c r="B158" s="108" t="s">
        <v>1129</v>
      </c>
      <c r="C158" s="108" t="s">
        <v>1778</v>
      </c>
      <c r="D158" s="68" t="s">
        <v>8</v>
      </c>
      <c r="E158" s="8">
        <f t="shared" si="18"/>
        <v>42730.001000000004</v>
      </c>
      <c r="F158" s="8">
        <f>SUM(F159:F164)</f>
        <v>42730.001000000004</v>
      </c>
      <c r="G158" s="8">
        <f t="shared" ref="G158:H172" si="20">SUM(G159:G163)</f>
        <v>0</v>
      </c>
      <c r="H158" s="8">
        <f t="shared" si="20"/>
        <v>0</v>
      </c>
      <c r="I158" s="8">
        <f>SUM(I159:I163)</f>
        <v>0</v>
      </c>
      <c r="J158" s="108" t="s">
        <v>1130</v>
      </c>
      <c r="K158" s="108" t="s">
        <v>484</v>
      </c>
    </row>
    <row r="159" spans="1:11" ht="15.75" customHeight="1" outlineLevel="1" x14ac:dyDescent="0.25">
      <c r="A159" s="109"/>
      <c r="B159" s="109"/>
      <c r="C159" s="109"/>
      <c r="D159" s="68">
        <v>2021</v>
      </c>
      <c r="E159" s="8">
        <f t="shared" si="18"/>
        <v>0</v>
      </c>
      <c r="F159" s="8">
        <v>0</v>
      </c>
      <c r="G159" s="8">
        <v>0</v>
      </c>
      <c r="H159" s="8">
        <v>0</v>
      </c>
      <c r="I159" s="8">
        <v>0</v>
      </c>
      <c r="J159" s="109"/>
      <c r="K159" s="109"/>
    </row>
    <row r="160" spans="1:11" ht="15.75" customHeight="1" outlineLevel="1" x14ac:dyDescent="0.25">
      <c r="A160" s="109"/>
      <c r="B160" s="109"/>
      <c r="C160" s="109"/>
      <c r="D160" s="68">
        <v>2022</v>
      </c>
      <c r="E160" s="8">
        <f t="shared" si="18"/>
        <v>0</v>
      </c>
      <c r="F160" s="8">
        <v>0</v>
      </c>
      <c r="G160" s="8">
        <v>0</v>
      </c>
      <c r="H160" s="8">
        <v>0</v>
      </c>
      <c r="I160" s="8">
        <v>0</v>
      </c>
      <c r="J160" s="109"/>
      <c r="K160" s="109"/>
    </row>
    <row r="161" spans="1:16" ht="15.75" customHeight="1" outlineLevel="1" x14ac:dyDescent="0.25">
      <c r="A161" s="109"/>
      <c r="B161" s="109"/>
      <c r="C161" s="109"/>
      <c r="D161" s="68">
        <v>2023</v>
      </c>
      <c r="E161" s="8">
        <f t="shared" si="18"/>
        <v>730.00100000000009</v>
      </c>
      <c r="F161" s="8">
        <f>14000-5000-8105.321-164.678</f>
        <v>730.00100000000009</v>
      </c>
      <c r="G161" s="8">
        <v>0</v>
      </c>
      <c r="H161" s="8">
        <v>0</v>
      </c>
      <c r="I161" s="8">
        <v>0</v>
      </c>
      <c r="J161" s="109"/>
      <c r="K161" s="109"/>
    </row>
    <row r="162" spans="1:16" ht="15.75" customHeight="1" outlineLevel="1" x14ac:dyDescent="0.25">
      <c r="A162" s="109"/>
      <c r="B162" s="109"/>
      <c r="C162" s="109"/>
      <c r="D162" s="68">
        <v>2024</v>
      </c>
      <c r="E162" s="8">
        <f t="shared" si="18"/>
        <v>14000</v>
      </c>
      <c r="F162" s="8">
        <v>14000</v>
      </c>
      <c r="G162" s="8">
        <v>0</v>
      </c>
      <c r="H162" s="8">
        <v>0</v>
      </c>
      <c r="I162" s="8">
        <v>0</v>
      </c>
      <c r="J162" s="109"/>
      <c r="K162" s="109"/>
    </row>
    <row r="163" spans="1:16" ht="15.75" customHeight="1" outlineLevel="1" x14ac:dyDescent="0.25">
      <c r="A163" s="109"/>
      <c r="B163" s="109"/>
      <c r="C163" s="109"/>
      <c r="D163" s="68">
        <v>2025</v>
      </c>
      <c r="E163" s="8">
        <f t="shared" si="18"/>
        <v>14000</v>
      </c>
      <c r="F163" s="8">
        <v>14000</v>
      </c>
      <c r="G163" s="8">
        <v>0</v>
      </c>
      <c r="H163" s="8">
        <v>0</v>
      </c>
      <c r="I163" s="8">
        <v>0</v>
      </c>
      <c r="J163" s="109"/>
      <c r="K163" s="109"/>
    </row>
    <row r="164" spans="1:16" ht="15.75" customHeight="1" outlineLevel="1" x14ac:dyDescent="0.25">
      <c r="A164" s="110"/>
      <c r="B164" s="110"/>
      <c r="C164" s="110"/>
      <c r="D164" s="68">
        <v>2026</v>
      </c>
      <c r="E164" s="8">
        <f>SUM(F164:I164)</f>
        <v>14000</v>
      </c>
      <c r="F164" s="8">
        <v>14000</v>
      </c>
      <c r="G164" s="8">
        <v>0</v>
      </c>
      <c r="H164" s="8">
        <v>0</v>
      </c>
      <c r="I164" s="8">
        <v>0</v>
      </c>
      <c r="J164" s="110"/>
      <c r="K164" s="110"/>
    </row>
    <row r="165" spans="1:16" ht="15.75" customHeight="1" outlineLevel="1" x14ac:dyDescent="0.25">
      <c r="A165" s="117" t="s">
        <v>1738</v>
      </c>
      <c r="B165" s="118" t="s">
        <v>1744</v>
      </c>
      <c r="C165" s="108" t="s">
        <v>1125</v>
      </c>
      <c r="D165" s="68" t="s">
        <v>8</v>
      </c>
      <c r="E165" s="8">
        <f>SUM(E166:E171)</f>
        <v>0</v>
      </c>
      <c r="F165" s="8">
        <v>0</v>
      </c>
      <c r="G165" s="8">
        <v>0</v>
      </c>
      <c r="H165" s="8">
        <v>0</v>
      </c>
      <c r="I165" s="8">
        <v>0</v>
      </c>
      <c r="J165" s="108" t="s">
        <v>1739</v>
      </c>
      <c r="K165" s="108" t="s">
        <v>484</v>
      </c>
    </row>
    <row r="166" spans="1:16" ht="15.75" customHeight="1" outlineLevel="1" x14ac:dyDescent="0.25">
      <c r="A166" s="117"/>
      <c r="B166" s="118"/>
      <c r="C166" s="109"/>
      <c r="D166" s="68">
        <v>2021</v>
      </c>
      <c r="E166" s="8">
        <f>SUM(F166:I166)</f>
        <v>0</v>
      </c>
      <c r="F166" s="8">
        <v>0</v>
      </c>
      <c r="G166" s="8">
        <v>0</v>
      </c>
      <c r="H166" s="8">
        <v>0</v>
      </c>
      <c r="I166" s="8">
        <v>0</v>
      </c>
      <c r="J166" s="109"/>
      <c r="K166" s="109"/>
    </row>
    <row r="167" spans="1:16" ht="15.75" customHeight="1" outlineLevel="1" x14ac:dyDescent="0.25">
      <c r="A167" s="117"/>
      <c r="B167" s="118"/>
      <c r="C167" s="109"/>
      <c r="D167" s="68">
        <v>2022</v>
      </c>
      <c r="E167" s="8">
        <f>SUM(F167:I167)</f>
        <v>0</v>
      </c>
      <c r="F167" s="8">
        <v>0</v>
      </c>
      <c r="G167" s="8">
        <v>0</v>
      </c>
      <c r="H167" s="8">
        <v>0</v>
      </c>
      <c r="I167" s="8">
        <v>0</v>
      </c>
      <c r="J167" s="109"/>
      <c r="K167" s="109"/>
    </row>
    <row r="168" spans="1:16" ht="15.75" customHeight="1" outlineLevel="1" x14ac:dyDescent="0.25">
      <c r="A168" s="117"/>
      <c r="B168" s="118"/>
      <c r="C168" s="109"/>
      <c r="D168" s="68">
        <v>2023</v>
      </c>
      <c r="E168" s="8">
        <f>SUM(F168:I168)</f>
        <v>0</v>
      </c>
      <c r="F168" s="8">
        <v>0</v>
      </c>
      <c r="G168" s="8">
        <v>0</v>
      </c>
      <c r="H168" s="8"/>
      <c r="I168" s="8">
        <v>0</v>
      </c>
      <c r="J168" s="109"/>
      <c r="K168" s="109"/>
    </row>
    <row r="169" spans="1:16" ht="15.75" customHeight="1" outlineLevel="1" x14ac:dyDescent="0.25">
      <c r="A169" s="117"/>
      <c r="B169" s="118"/>
      <c r="C169" s="109"/>
      <c r="D169" s="68">
        <v>2024</v>
      </c>
      <c r="E169" s="8">
        <f>SUM(F169:I169)</f>
        <v>0</v>
      </c>
      <c r="F169" s="8">
        <v>0</v>
      </c>
      <c r="G169" s="8">
        <v>0</v>
      </c>
      <c r="H169" s="8">
        <v>0</v>
      </c>
      <c r="I169" s="8">
        <v>0</v>
      </c>
      <c r="J169" s="109"/>
      <c r="K169" s="109"/>
    </row>
    <row r="170" spans="1:16" s="80" customFormat="1" ht="15.75" customHeight="1" outlineLevel="1" x14ac:dyDescent="0.25">
      <c r="A170" s="117"/>
      <c r="B170" s="118"/>
      <c r="C170" s="109"/>
      <c r="D170" s="79">
        <v>2025</v>
      </c>
      <c r="E170" s="8">
        <v>0</v>
      </c>
      <c r="F170" s="8">
        <v>0</v>
      </c>
      <c r="G170" s="8">
        <v>0</v>
      </c>
      <c r="H170" s="8">
        <v>0</v>
      </c>
      <c r="I170" s="8">
        <v>0</v>
      </c>
      <c r="J170" s="109"/>
      <c r="K170" s="109"/>
      <c r="M170" s="55"/>
      <c r="N170" s="55"/>
      <c r="O170" s="55"/>
      <c r="P170" s="55"/>
    </row>
    <row r="171" spans="1:16" ht="15.75" customHeight="1" outlineLevel="1" x14ac:dyDescent="0.25">
      <c r="A171" s="117"/>
      <c r="B171" s="118"/>
      <c r="C171" s="110"/>
      <c r="D171" s="68">
        <v>2026</v>
      </c>
      <c r="E171" s="8">
        <f>SUM(F171:I171)</f>
        <v>0</v>
      </c>
      <c r="F171" s="8">
        <v>0</v>
      </c>
      <c r="G171" s="8">
        <v>0</v>
      </c>
      <c r="H171" s="8">
        <v>0</v>
      </c>
      <c r="I171" s="8">
        <v>0</v>
      </c>
      <c r="J171" s="110"/>
      <c r="K171" s="110"/>
    </row>
    <row r="172" spans="1:16" ht="15" customHeight="1" outlineLevel="1" x14ac:dyDescent="0.25">
      <c r="A172" s="108" t="s">
        <v>39</v>
      </c>
      <c r="B172" s="108" t="s">
        <v>40</v>
      </c>
      <c r="C172" s="108" t="s">
        <v>828</v>
      </c>
      <c r="D172" s="68" t="s">
        <v>8</v>
      </c>
      <c r="E172" s="8">
        <f t="shared" si="18"/>
        <v>77554.284749999992</v>
      </c>
      <c r="F172" s="8">
        <f>SUM(F173:F178)</f>
        <v>53870.977269999996</v>
      </c>
      <c r="G172" s="8">
        <f t="shared" si="20"/>
        <v>23683.307479999996</v>
      </c>
      <c r="H172" s="8">
        <f>SUM(H173:H177)</f>
        <v>0</v>
      </c>
      <c r="I172" s="8">
        <f>SUM(I173:I177)</f>
        <v>0</v>
      </c>
      <c r="J172" s="108" t="s">
        <v>1791</v>
      </c>
      <c r="K172" s="108" t="s">
        <v>510</v>
      </c>
    </row>
    <row r="173" spans="1:16" outlineLevel="1" x14ac:dyDescent="0.25">
      <c r="A173" s="109"/>
      <c r="B173" s="109"/>
      <c r="C173" s="109"/>
      <c r="D173" s="68">
        <v>2021</v>
      </c>
      <c r="E173" s="8">
        <f t="shared" si="18"/>
        <v>27116.562749999997</v>
      </c>
      <c r="F173" s="8">
        <f t="shared" ref="F173:I176" si="21">F187+F201+F180+F194</f>
        <v>6916.3637500000004</v>
      </c>
      <c r="G173" s="8">
        <f t="shared" si="21"/>
        <v>20200.198999999997</v>
      </c>
      <c r="H173" s="8">
        <f t="shared" si="21"/>
        <v>0</v>
      </c>
      <c r="I173" s="8">
        <f t="shared" si="21"/>
        <v>0</v>
      </c>
      <c r="J173" s="109"/>
      <c r="K173" s="109"/>
    </row>
    <row r="174" spans="1:16" outlineLevel="1" x14ac:dyDescent="0.25">
      <c r="A174" s="109"/>
      <c r="B174" s="109"/>
      <c r="C174" s="109"/>
      <c r="D174" s="68">
        <v>2022</v>
      </c>
      <c r="E174" s="8">
        <f t="shared" si="18"/>
        <v>9977.7219999999998</v>
      </c>
      <c r="F174" s="8">
        <f t="shared" si="21"/>
        <v>7610.2449999999999</v>
      </c>
      <c r="G174" s="8">
        <f t="shared" si="21"/>
        <v>2367.4769999999999</v>
      </c>
      <c r="H174" s="8">
        <f t="shared" si="21"/>
        <v>0</v>
      </c>
      <c r="I174" s="8">
        <f t="shared" si="21"/>
        <v>0</v>
      </c>
      <c r="J174" s="109"/>
      <c r="K174" s="109"/>
    </row>
    <row r="175" spans="1:16" outlineLevel="1" x14ac:dyDescent="0.25">
      <c r="A175" s="109"/>
      <c r="B175" s="109"/>
      <c r="C175" s="109"/>
      <c r="D175" s="68">
        <v>2023</v>
      </c>
      <c r="E175" s="8">
        <f t="shared" si="18"/>
        <v>10141.799999999999</v>
      </c>
      <c r="F175" s="8">
        <f t="shared" si="21"/>
        <v>9026.1685199999993</v>
      </c>
      <c r="G175" s="8">
        <f t="shared" si="21"/>
        <v>1115.63148</v>
      </c>
      <c r="H175" s="8">
        <f t="shared" si="21"/>
        <v>0</v>
      </c>
      <c r="I175" s="8">
        <f t="shared" si="21"/>
        <v>0</v>
      </c>
      <c r="J175" s="109"/>
      <c r="K175" s="109"/>
    </row>
    <row r="176" spans="1:16" outlineLevel="1" x14ac:dyDescent="0.25">
      <c r="A176" s="109"/>
      <c r="B176" s="109"/>
      <c r="C176" s="109"/>
      <c r="D176" s="68">
        <v>2024</v>
      </c>
      <c r="E176" s="8">
        <f t="shared" si="18"/>
        <v>16000</v>
      </c>
      <c r="F176" s="8">
        <f t="shared" si="21"/>
        <v>16000</v>
      </c>
      <c r="G176" s="8">
        <f t="shared" si="21"/>
        <v>0</v>
      </c>
      <c r="H176" s="8">
        <f t="shared" si="21"/>
        <v>0</v>
      </c>
      <c r="I176" s="8">
        <f t="shared" si="21"/>
        <v>0</v>
      </c>
      <c r="J176" s="109"/>
      <c r="K176" s="109"/>
    </row>
    <row r="177" spans="1:16" outlineLevel="1" x14ac:dyDescent="0.25">
      <c r="A177" s="109"/>
      <c r="B177" s="109"/>
      <c r="C177" s="109"/>
      <c r="D177" s="68">
        <v>2025</v>
      </c>
      <c r="E177" s="8">
        <f t="shared" si="18"/>
        <v>7159.1</v>
      </c>
      <c r="F177" s="8">
        <f>F191+F206+F185+F198</f>
        <v>7159.1</v>
      </c>
      <c r="G177" s="8">
        <f>G191+G206+G185+G198</f>
        <v>0</v>
      </c>
      <c r="H177" s="8">
        <f>H191+H206+H185+H198</f>
        <v>0</v>
      </c>
      <c r="I177" s="8">
        <f>I191+I206+I185+I198</f>
        <v>0</v>
      </c>
      <c r="J177" s="109"/>
      <c r="K177" s="109"/>
    </row>
    <row r="178" spans="1:16" outlineLevel="1" x14ac:dyDescent="0.25">
      <c r="A178" s="110"/>
      <c r="B178" s="110"/>
      <c r="C178" s="110"/>
      <c r="D178" s="68">
        <v>2026</v>
      </c>
      <c r="E178" s="8">
        <f>SUM(F178:I178)</f>
        <v>7159.1</v>
      </c>
      <c r="F178" s="8">
        <f>SUM(F192,F199)</f>
        <v>7159.1</v>
      </c>
      <c r="G178" s="8">
        <f t="shared" ref="G178:I178" si="22">SUM(G192,G199)</f>
        <v>0</v>
      </c>
      <c r="H178" s="8">
        <f t="shared" si="22"/>
        <v>0</v>
      </c>
      <c r="I178" s="8">
        <f t="shared" si="22"/>
        <v>0</v>
      </c>
      <c r="J178" s="110"/>
      <c r="K178" s="110"/>
    </row>
    <row r="179" spans="1:16" outlineLevel="1" x14ac:dyDescent="0.25">
      <c r="A179" s="117" t="s">
        <v>44</v>
      </c>
      <c r="B179" s="118" t="s">
        <v>45</v>
      </c>
      <c r="C179" s="108" t="s">
        <v>41</v>
      </c>
      <c r="D179" s="68" t="s">
        <v>8</v>
      </c>
      <c r="E179" s="8">
        <f t="shared" si="18"/>
        <v>5045.5297499999997</v>
      </c>
      <c r="F179" s="8">
        <f>SUM(F180:F185)</f>
        <v>302.73126999999999</v>
      </c>
      <c r="G179" s="8">
        <f>SUM(G180:G185)</f>
        <v>4742.7984799999995</v>
      </c>
      <c r="H179" s="8">
        <f>SUM(H180:H185)</f>
        <v>0</v>
      </c>
      <c r="I179" s="8">
        <f>SUM(I180:I185)</f>
        <v>0</v>
      </c>
      <c r="J179" s="108" t="s">
        <v>1740</v>
      </c>
      <c r="K179" s="117" t="s">
        <v>512</v>
      </c>
    </row>
    <row r="180" spans="1:16" outlineLevel="1" x14ac:dyDescent="0.25">
      <c r="A180" s="117"/>
      <c r="B180" s="118"/>
      <c r="C180" s="109"/>
      <c r="D180" s="68">
        <v>2021</v>
      </c>
      <c r="E180" s="8">
        <f t="shared" si="18"/>
        <v>1340.09575</v>
      </c>
      <c r="F180" s="8">
        <v>80.405749999999998</v>
      </c>
      <c r="G180" s="8">
        <v>1259.69</v>
      </c>
      <c r="H180" s="8">
        <v>0</v>
      </c>
      <c r="I180" s="8">
        <v>0</v>
      </c>
      <c r="J180" s="109"/>
      <c r="K180" s="117"/>
    </row>
    <row r="181" spans="1:16" outlineLevel="1" x14ac:dyDescent="0.25">
      <c r="A181" s="117"/>
      <c r="B181" s="118"/>
      <c r="C181" s="109"/>
      <c r="D181" s="68">
        <v>2022</v>
      </c>
      <c r="E181" s="8">
        <f t="shared" si="18"/>
        <v>2518.5919999999996</v>
      </c>
      <c r="F181" s="8">
        <v>151.11500000000001</v>
      </c>
      <c r="G181" s="8">
        <v>2367.4769999999999</v>
      </c>
      <c r="H181" s="8">
        <v>0</v>
      </c>
      <c r="I181" s="8">
        <v>0</v>
      </c>
      <c r="J181" s="109"/>
      <c r="K181" s="117"/>
    </row>
    <row r="182" spans="1:16" outlineLevel="1" x14ac:dyDescent="0.25">
      <c r="A182" s="117"/>
      <c r="B182" s="118"/>
      <c r="C182" s="109"/>
      <c r="D182" s="68">
        <v>2023</v>
      </c>
      <c r="E182" s="8">
        <f t="shared" si="18"/>
        <v>1186.8420000000001</v>
      </c>
      <c r="F182" s="8">
        <v>71.210520000000002</v>
      </c>
      <c r="G182" s="8">
        <v>1115.63148</v>
      </c>
      <c r="H182" s="8">
        <v>0</v>
      </c>
      <c r="I182" s="8">
        <v>0</v>
      </c>
      <c r="J182" s="109"/>
      <c r="K182" s="117"/>
    </row>
    <row r="183" spans="1:16" outlineLevel="1" x14ac:dyDescent="0.25">
      <c r="A183" s="117"/>
      <c r="B183" s="118"/>
      <c r="C183" s="109"/>
      <c r="D183" s="68">
        <v>2024</v>
      </c>
      <c r="E183" s="8">
        <f t="shared" si="18"/>
        <v>0</v>
      </c>
      <c r="F183" s="8">
        <v>0</v>
      </c>
      <c r="G183" s="8">
        <v>0</v>
      </c>
      <c r="H183" s="8">
        <v>0</v>
      </c>
      <c r="I183" s="8">
        <v>0</v>
      </c>
      <c r="J183" s="109"/>
      <c r="K183" s="117"/>
    </row>
    <row r="184" spans="1:16" s="80" customFormat="1" outlineLevel="1" x14ac:dyDescent="0.25">
      <c r="A184" s="117"/>
      <c r="B184" s="118"/>
      <c r="C184" s="109"/>
      <c r="D184" s="79">
        <v>2025</v>
      </c>
      <c r="E184" s="8">
        <v>0</v>
      </c>
      <c r="F184" s="8">
        <v>0</v>
      </c>
      <c r="G184" s="8">
        <v>0</v>
      </c>
      <c r="H184" s="8">
        <v>0</v>
      </c>
      <c r="I184" s="8">
        <v>0</v>
      </c>
      <c r="J184" s="109"/>
      <c r="K184" s="117"/>
      <c r="M184" s="55"/>
      <c r="N184" s="55"/>
      <c r="O184" s="55"/>
      <c r="P184" s="55"/>
    </row>
    <row r="185" spans="1:16" outlineLevel="1" x14ac:dyDescent="0.25">
      <c r="A185" s="117"/>
      <c r="B185" s="118"/>
      <c r="C185" s="110"/>
      <c r="D185" s="68">
        <v>2026</v>
      </c>
      <c r="E185" s="8">
        <f t="shared" si="18"/>
        <v>0</v>
      </c>
      <c r="F185" s="8">
        <v>0</v>
      </c>
      <c r="G185" s="8">
        <v>0</v>
      </c>
      <c r="H185" s="8">
        <v>0</v>
      </c>
      <c r="I185" s="8">
        <v>0</v>
      </c>
      <c r="J185" s="110"/>
      <c r="K185" s="117"/>
    </row>
    <row r="186" spans="1:16" ht="15" customHeight="1" outlineLevel="1" x14ac:dyDescent="0.25">
      <c r="A186" s="108" t="s">
        <v>48</v>
      </c>
      <c r="B186" s="108" t="s">
        <v>1131</v>
      </c>
      <c r="C186" s="108" t="s">
        <v>828</v>
      </c>
      <c r="D186" s="68" t="s">
        <v>8</v>
      </c>
      <c r="E186" s="8">
        <f t="shared" si="18"/>
        <v>22562.968999999997</v>
      </c>
      <c r="F186" s="8">
        <f>SUM(F187:F192)</f>
        <v>22562.968999999997</v>
      </c>
      <c r="G186" s="8">
        <f>SUM(G187:G191)</f>
        <v>0</v>
      </c>
      <c r="H186" s="8">
        <f>SUM(H187:H191)</f>
        <v>0</v>
      </c>
      <c r="I186" s="8">
        <f>SUM(I187:I191)</f>
        <v>0</v>
      </c>
      <c r="J186" s="108" t="s">
        <v>50</v>
      </c>
      <c r="K186" s="108" t="s">
        <v>484</v>
      </c>
      <c r="L186" s="124"/>
    </row>
    <row r="187" spans="1:16" outlineLevel="1" x14ac:dyDescent="0.25">
      <c r="A187" s="109"/>
      <c r="B187" s="109"/>
      <c r="C187" s="109"/>
      <c r="D187" s="68">
        <v>2021</v>
      </c>
      <c r="E187" s="8">
        <f t="shared" si="18"/>
        <v>1631.52</v>
      </c>
      <c r="F187" s="8">
        <v>1631.52</v>
      </c>
      <c r="G187" s="8">
        <v>0</v>
      </c>
      <c r="H187" s="8">
        <v>0</v>
      </c>
      <c r="I187" s="8">
        <v>0</v>
      </c>
      <c r="J187" s="109"/>
      <c r="K187" s="109"/>
      <c r="L187" s="124"/>
    </row>
    <row r="188" spans="1:16" outlineLevel="1" x14ac:dyDescent="0.25">
      <c r="A188" s="109"/>
      <c r="B188" s="109"/>
      <c r="C188" s="109"/>
      <c r="D188" s="68">
        <v>2022</v>
      </c>
      <c r="E188" s="8">
        <f t="shared" si="18"/>
        <v>3459.13</v>
      </c>
      <c r="F188" s="8">
        <v>3459.13</v>
      </c>
      <c r="G188" s="8">
        <v>0</v>
      </c>
      <c r="H188" s="8">
        <v>0</v>
      </c>
      <c r="I188" s="8">
        <v>0</v>
      </c>
      <c r="J188" s="109"/>
      <c r="K188" s="109"/>
      <c r="L188" s="124"/>
    </row>
    <row r="189" spans="1:16" outlineLevel="1" x14ac:dyDescent="0.25">
      <c r="A189" s="109"/>
      <c r="B189" s="109"/>
      <c r="C189" s="109"/>
      <c r="D189" s="68">
        <v>2023</v>
      </c>
      <c r="E189" s="8">
        <f t="shared" si="18"/>
        <v>3154.1189999999997</v>
      </c>
      <c r="F189" s="39">
        <f>3159.1-4.981</f>
        <v>3154.1189999999997</v>
      </c>
      <c r="G189" s="8">
        <v>0</v>
      </c>
      <c r="H189" s="8">
        <v>0</v>
      </c>
      <c r="I189" s="8">
        <v>0</v>
      </c>
      <c r="J189" s="109"/>
      <c r="K189" s="109"/>
      <c r="L189" s="124"/>
    </row>
    <row r="190" spans="1:16" outlineLevel="1" x14ac:dyDescent="0.25">
      <c r="A190" s="109"/>
      <c r="B190" s="109"/>
      <c r="C190" s="109"/>
      <c r="D190" s="68">
        <v>2024</v>
      </c>
      <c r="E190" s="8">
        <f t="shared" si="18"/>
        <v>8000</v>
      </c>
      <c r="F190" s="8">
        <v>8000</v>
      </c>
      <c r="G190" s="8">
        <v>0</v>
      </c>
      <c r="H190" s="8">
        <v>0</v>
      </c>
      <c r="I190" s="8">
        <v>0</v>
      </c>
      <c r="J190" s="109"/>
      <c r="K190" s="109"/>
      <c r="L190" s="124"/>
    </row>
    <row r="191" spans="1:16" outlineLevel="1" x14ac:dyDescent="0.25">
      <c r="A191" s="109"/>
      <c r="B191" s="109"/>
      <c r="C191" s="109"/>
      <c r="D191" s="68">
        <v>2025</v>
      </c>
      <c r="E191" s="8">
        <f t="shared" si="18"/>
        <v>3159.1</v>
      </c>
      <c r="F191" s="8">
        <v>3159.1</v>
      </c>
      <c r="G191" s="8">
        <v>0</v>
      </c>
      <c r="H191" s="8">
        <v>0</v>
      </c>
      <c r="I191" s="8">
        <v>0</v>
      </c>
      <c r="J191" s="109"/>
      <c r="K191" s="109"/>
      <c r="L191" s="124"/>
    </row>
    <row r="192" spans="1:16" outlineLevel="1" x14ac:dyDescent="0.25">
      <c r="A192" s="110"/>
      <c r="B192" s="110"/>
      <c r="C192" s="110"/>
      <c r="D192" s="68">
        <v>2026</v>
      </c>
      <c r="E192" s="8">
        <f>SUM(F192:I192)</f>
        <v>3159.1</v>
      </c>
      <c r="F192" s="8">
        <v>3159.1</v>
      </c>
      <c r="G192" s="8">
        <v>0</v>
      </c>
      <c r="H192" s="8">
        <v>0</v>
      </c>
      <c r="I192" s="8">
        <v>0</v>
      </c>
      <c r="J192" s="110"/>
      <c r="K192" s="110"/>
    </row>
    <row r="193" spans="1:16" ht="18" customHeight="1" outlineLevel="1" x14ac:dyDescent="0.25">
      <c r="A193" s="108" t="s">
        <v>51</v>
      </c>
      <c r="B193" s="108" t="s">
        <v>52</v>
      </c>
      <c r="C193" s="108" t="s">
        <v>828</v>
      </c>
      <c r="D193" s="68" t="s">
        <v>8</v>
      </c>
      <c r="E193" s="8">
        <f t="shared" si="18"/>
        <v>29796.309000000001</v>
      </c>
      <c r="F193" s="8">
        <f>SUM(F194:F199)</f>
        <v>29796.309000000001</v>
      </c>
      <c r="G193" s="8">
        <f>SUM(G194:G198)</f>
        <v>0</v>
      </c>
      <c r="H193" s="8">
        <f>SUM(H194:H198)</f>
        <v>0</v>
      </c>
      <c r="I193" s="8">
        <f>SUM(I194:I198)</f>
        <v>0</v>
      </c>
      <c r="J193" s="108" t="s">
        <v>514</v>
      </c>
      <c r="K193" s="108" t="s">
        <v>515</v>
      </c>
    </row>
    <row r="194" spans="1:16" ht="18" customHeight="1" outlineLevel="1" x14ac:dyDescent="0.25">
      <c r="A194" s="109"/>
      <c r="B194" s="109"/>
      <c r="C194" s="109"/>
      <c r="D194" s="68">
        <v>2021</v>
      </c>
      <c r="E194" s="8">
        <f t="shared" si="18"/>
        <v>3995.47</v>
      </c>
      <c r="F194" s="8">
        <v>3995.47</v>
      </c>
      <c r="G194" s="8">
        <v>0</v>
      </c>
      <c r="H194" s="8">
        <v>0</v>
      </c>
      <c r="I194" s="8">
        <v>0</v>
      </c>
      <c r="J194" s="109"/>
      <c r="K194" s="109"/>
    </row>
    <row r="195" spans="1:16" ht="18" customHeight="1" outlineLevel="1" x14ac:dyDescent="0.25">
      <c r="A195" s="109"/>
      <c r="B195" s="109"/>
      <c r="C195" s="109"/>
      <c r="D195" s="68">
        <v>2022</v>
      </c>
      <c r="E195" s="8">
        <f t="shared" si="18"/>
        <v>4000</v>
      </c>
      <c r="F195" s="8">
        <v>4000</v>
      </c>
      <c r="G195" s="8">
        <v>0</v>
      </c>
      <c r="H195" s="8">
        <v>0</v>
      </c>
      <c r="I195" s="8">
        <v>0</v>
      </c>
      <c r="J195" s="109"/>
      <c r="K195" s="109"/>
    </row>
    <row r="196" spans="1:16" ht="18" customHeight="1" outlineLevel="1" x14ac:dyDescent="0.25">
      <c r="A196" s="109"/>
      <c r="B196" s="109"/>
      <c r="C196" s="109"/>
      <c r="D196" s="68">
        <v>2023</v>
      </c>
      <c r="E196" s="8">
        <f t="shared" si="18"/>
        <v>5800.8389999999999</v>
      </c>
      <c r="F196" s="8">
        <f>4000+164.678+1500+136.161</f>
        <v>5800.8389999999999</v>
      </c>
      <c r="G196" s="8">
        <v>0</v>
      </c>
      <c r="H196" s="8">
        <v>0</v>
      </c>
      <c r="I196" s="8">
        <v>0</v>
      </c>
      <c r="J196" s="109"/>
      <c r="K196" s="109"/>
    </row>
    <row r="197" spans="1:16" ht="18" customHeight="1" outlineLevel="1" x14ac:dyDescent="0.25">
      <c r="A197" s="109"/>
      <c r="B197" s="109"/>
      <c r="C197" s="109"/>
      <c r="D197" s="68">
        <v>2024</v>
      </c>
      <c r="E197" s="8">
        <f t="shared" si="18"/>
        <v>8000</v>
      </c>
      <c r="F197" s="8">
        <v>8000</v>
      </c>
      <c r="G197" s="8">
        <v>0</v>
      </c>
      <c r="H197" s="8">
        <v>0</v>
      </c>
      <c r="I197" s="8">
        <v>0</v>
      </c>
      <c r="J197" s="109"/>
      <c r="K197" s="109"/>
    </row>
    <row r="198" spans="1:16" ht="18" customHeight="1" outlineLevel="1" x14ac:dyDescent="0.25">
      <c r="A198" s="109"/>
      <c r="B198" s="109"/>
      <c r="C198" s="109"/>
      <c r="D198" s="68">
        <v>2025</v>
      </c>
      <c r="E198" s="8">
        <f t="shared" si="18"/>
        <v>4000</v>
      </c>
      <c r="F198" s="8">
        <v>4000</v>
      </c>
      <c r="G198" s="8">
        <v>0</v>
      </c>
      <c r="H198" s="8">
        <v>0</v>
      </c>
      <c r="I198" s="8">
        <v>0</v>
      </c>
      <c r="J198" s="109"/>
      <c r="K198" s="109"/>
    </row>
    <row r="199" spans="1:16" ht="18" customHeight="1" outlineLevel="1" x14ac:dyDescent="0.25">
      <c r="A199" s="110"/>
      <c r="B199" s="110"/>
      <c r="C199" s="110"/>
      <c r="D199" s="68">
        <v>2026</v>
      </c>
      <c r="E199" s="8">
        <f>SUM(F199:I199)</f>
        <v>4000</v>
      </c>
      <c r="F199" s="8">
        <v>4000</v>
      </c>
      <c r="G199" s="8">
        <v>0</v>
      </c>
      <c r="H199" s="8">
        <v>0</v>
      </c>
      <c r="I199" s="8">
        <v>0</v>
      </c>
      <c r="J199" s="110"/>
      <c r="K199" s="110"/>
    </row>
    <row r="200" spans="1:16" ht="13.5" customHeight="1" outlineLevel="1" x14ac:dyDescent="0.25">
      <c r="A200" s="117" t="s">
        <v>516</v>
      </c>
      <c r="B200" s="118" t="s">
        <v>45</v>
      </c>
      <c r="C200" s="108" t="s">
        <v>828</v>
      </c>
      <c r="D200" s="68" t="s">
        <v>8</v>
      </c>
      <c r="E200" s="8">
        <f t="shared" si="18"/>
        <v>20149.476999999999</v>
      </c>
      <c r="F200" s="8">
        <f>SUM(F201:F206)</f>
        <v>1208.9680000000001</v>
      </c>
      <c r="G200" s="8">
        <f>SUM(G201:G206)</f>
        <v>18940.508999999998</v>
      </c>
      <c r="H200" s="8">
        <f>SUM(H201:H206)</f>
        <v>0</v>
      </c>
      <c r="I200" s="8">
        <f>SUM(I201:I206)</f>
        <v>0</v>
      </c>
      <c r="J200" s="108" t="s">
        <v>517</v>
      </c>
      <c r="K200" s="108" t="s">
        <v>515</v>
      </c>
    </row>
    <row r="201" spans="1:16" ht="13.5" customHeight="1" outlineLevel="1" x14ac:dyDescent="0.25">
      <c r="A201" s="117"/>
      <c r="B201" s="118"/>
      <c r="C201" s="109"/>
      <c r="D201" s="68">
        <v>2021</v>
      </c>
      <c r="E201" s="8">
        <f t="shared" si="18"/>
        <v>20149.476999999999</v>
      </c>
      <c r="F201" s="8">
        <v>1208.9680000000001</v>
      </c>
      <c r="G201" s="8">
        <v>18940.508999999998</v>
      </c>
      <c r="H201" s="8">
        <v>0</v>
      </c>
      <c r="I201" s="8">
        <v>0</v>
      </c>
      <c r="J201" s="109"/>
      <c r="K201" s="109"/>
    </row>
    <row r="202" spans="1:16" ht="13.5" customHeight="1" outlineLevel="1" x14ac:dyDescent="0.25">
      <c r="A202" s="117"/>
      <c r="B202" s="118"/>
      <c r="C202" s="109"/>
      <c r="D202" s="68">
        <v>2022</v>
      </c>
      <c r="E202" s="8">
        <f t="shared" si="18"/>
        <v>0</v>
      </c>
      <c r="F202" s="8">
        <v>0</v>
      </c>
      <c r="G202" s="8">
        <v>0</v>
      </c>
      <c r="H202" s="8">
        <v>0</v>
      </c>
      <c r="I202" s="8">
        <v>0</v>
      </c>
      <c r="J202" s="109"/>
      <c r="K202" s="109"/>
    </row>
    <row r="203" spans="1:16" ht="13.5" customHeight="1" outlineLevel="1" x14ac:dyDescent="0.25">
      <c r="A203" s="117"/>
      <c r="B203" s="118"/>
      <c r="C203" s="109"/>
      <c r="D203" s="68">
        <v>2023</v>
      </c>
      <c r="E203" s="8">
        <f t="shared" si="18"/>
        <v>0</v>
      </c>
      <c r="F203" s="8">
        <v>0</v>
      </c>
      <c r="G203" s="8">
        <v>0</v>
      </c>
      <c r="H203" s="8">
        <v>0</v>
      </c>
      <c r="I203" s="8">
        <v>0</v>
      </c>
      <c r="J203" s="109"/>
      <c r="K203" s="109"/>
    </row>
    <row r="204" spans="1:16" ht="13.5" customHeight="1" outlineLevel="1" x14ac:dyDescent="0.25">
      <c r="A204" s="117"/>
      <c r="B204" s="118"/>
      <c r="C204" s="109"/>
      <c r="D204" s="68">
        <v>2024</v>
      </c>
      <c r="E204" s="8">
        <f t="shared" si="18"/>
        <v>0</v>
      </c>
      <c r="F204" s="8">
        <v>0</v>
      </c>
      <c r="G204" s="8">
        <v>0</v>
      </c>
      <c r="H204" s="8">
        <v>0</v>
      </c>
      <c r="I204" s="8">
        <v>0</v>
      </c>
      <c r="J204" s="109"/>
      <c r="K204" s="109"/>
    </row>
    <row r="205" spans="1:16" s="80" customFormat="1" ht="13.5" customHeight="1" outlineLevel="1" x14ac:dyDescent="0.25">
      <c r="A205" s="117"/>
      <c r="B205" s="118"/>
      <c r="C205" s="109"/>
      <c r="D205" s="79">
        <v>2025</v>
      </c>
      <c r="E205" s="8">
        <v>0</v>
      </c>
      <c r="F205" s="8">
        <v>0</v>
      </c>
      <c r="G205" s="8">
        <v>0</v>
      </c>
      <c r="H205" s="8">
        <v>0</v>
      </c>
      <c r="I205" s="8">
        <v>0</v>
      </c>
      <c r="J205" s="109"/>
      <c r="K205" s="109"/>
      <c r="M205" s="55"/>
      <c r="N205" s="55"/>
      <c r="O205" s="55"/>
      <c r="P205" s="55"/>
    </row>
    <row r="206" spans="1:16" ht="13.5" customHeight="1" outlineLevel="1" x14ac:dyDescent="0.25">
      <c r="A206" s="117"/>
      <c r="B206" s="118"/>
      <c r="C206" s="110"/>
      <c r="D206" s="68">
        <v>2026</v>
      </c>
      <c r="E206" s="8">
        <f t="shared" si="18"/>
        <v>0</v>
      </c>
      <c r="F206" s="8">
        <v>0</v>
      </c>
      <c r="G206" s="8">
        <v>0</v>
      </c>
      <c r="H206" s="8">
        <v>0</v>
      </c>
      <c r="I206" s="8">
        <v>0</v>
      </c>
      <c r="J206" s="110"/>
      <c r="K206" s="110"/>
    </row>
    <row r="207" spans="1:16" ht="15" customHeight="1" x14ac:dyDescent="0.25">
      <c r="A207" s="108">
        <v>2</v>
      </c>
      <c r="B207" s="108" t="s">
        <v>55</v>
      </c>
      <c r="C207" s="108" t="s">
        <v>828</v>
      </c>
      <c r="D207" s="106" t="s">
        <v>8</v>
      </c>
      <c r="E207" s="8">
        <f t="shared" si="18"/>
        <v>6911534.74988</v>
      </c>
      <c r="F207" s="8">
        <f>SUM(F208:F213)</f>
        <v>6745002.6196699999</v>
      </c>
      <c r="G207" s="8">
        <f>SUM(G208:G212)</f>
        <v>59624.783369999997</v>
      </c>
      <c r="H207" s="8">
        <f>SUM(H208:H213)</f>
        <v>106907.34684</v>
      </c>
      <c r="I207" s="8">
        <f>SUM(I208:I212)</f>
        <v>0</v>
      </c>
      <c r="J207" s="114"/>
      <c r="K207" s="108" t="s">
        <v>510</v>
      </c>
      <c r="L207" s="67" t="s">
        <v>1132</v>
      </c>
    </row>
    <row r="208" spans="1:16" x14ac:dyDescent="0.25">
      <c r="A208" s="109"/>
      <c r="B208" s="109"/>
      <c r="C208" s="109"/>
      <c r="D208" s="106">
        <v>2021</v>
      </c>
      <c r="E208" s="8">
        <f t="shared" si="18"/>
        <v>891879.98959000001</v>
      </c>
      <c r="F208" s="8">
        <f t="shared" ref="F208:I212" si="23">F215+F376+F397</f>
        <v>854371.18938</v>
      </c>
      <c r="G208" s="8">
        <f t="shared" si="23"/>
        <v>24191.1</v>
      </c>
      <c r="H208" s="8">
        <f t="shared" si="23"/>
        <v>13317.700210000001</v>
      </c>
      <c r="I208" s="8">
        <f t="shared" si="23"/>
        <v>0</v>
      </c>
      <c r="J208" s="115"/>
      <c r="K208" s="109"/>
    </row>
    <row r="209" spans="1:13" x14ac:dyDescent="0.25">
      <c r="A209" s="109"/>
      <c r="B209" s="109"/>
      <c r="C209" s="109"/>
      <c r="D209" s="106">
        <v>2022</v>
      </c>
      <c r="E209" s="8">
        <f t="shared" si="18"/>
        <v>1227311.4540000001</v>
      </c>
      <c r="F209" s="8">
        <f t="shared" si="23"/>
        <v>1191344.9740000002</v>
      </c>
      <c r="G209" s="8">
        <f t="shared" si="23"/>
        <v>16189.3</v>
      </c>
      <c r="H209" s="8">
        <f t="shared" si="23"/>
        <v>19777.18</v>
      </c>
      <c r="I209" s="8">
        <f t="shared" si="23"/>
        <v>0</v>
      </c>
      <c r="J209" s="115"/>
      <c r="K209" s="109"/>
    </row>
    <row r="210" spans="1:13" x14ac:dyDescent="0.25">
      <c r="A210" s="109"/>
      <c r="B210" s="109"/>
      <c r="C210" s="109"/>
      <c r="D210" s="106">
        <v>2023</v>
      </c>
      <c r="E210" s="8">
        <f t="shared" si="18"/>
        <v>1113485.8361899999</v>
      </c>
      <c r="F210" s="8">
        <f t="shared" si="23"/>
        <v>1082614.0228200001</v>
      </c>
      <c r="G210" s="8">
        <f t="shared" si="23"/>
        <v>11094.58337</v>
      </c>
      <c r="H210" s="8">
        <f t="shared" si="23"/>
        <v>19777.23</v>
      </c>
      <c r="I210" s="8">
        <f t="shared" si="23"/>
        <v>0</v>
      </c>
      <c r="J210" s="115"/>
      <c r="K210" s="109"/>
    </row>
    <row r="211" spans="1:13" x14ac:dyDescent="0.25">
      <c r="A211" s="109"/>
      <c r="B211" s="109"/>
      <c r="C211" s="109"/>
      <c r="D211" s="106">
        <v>2024</v>
      </c>
      <c r="E211" s="8">
        <f t="shared" si="18"/>
        <v>1430883.7283799998</v>
      </c>
      <c r="F211" s="8">
        <f t="shared" si="23"/>
        <v>1401877.7383799998</v>
      </c>
      <c r="G211" s="8">
        <f t="shared" si="23"/>
        <v>8149.8</v>
      </c>
      <c r="H211" s="8">
        <f t="shared" si="23"/>
        <v>20856.189999999999</v>
      </c>
      <c r="I211" s="8">
        <f t="shared" si="23"/>
        <v>0</v>
      </c>
      <c r="J211" s="115"/>
      <c r="K211" s="109"/>
    </row>
    <row r="212" spans="1:13" x14ac:dyDescent="0.25">
      <c r="A212" s="109"/>
      <c r="B212" s="109"/>
      <c r="C212" s="109"/>
      <c r="D212" s="106">
        <v>2025</v>
      </c>
      <c r="E212" s="8">
        <f t="shared" si="18"/>
        <v>1146360.4516799999</v>
      </c>
      <c r="F212" s="8">
        <f t="shared" si="23"/>
        <v>1129770.9283499999</v>
      </c>
      <c r="G212" s="8">
        <f t="shared" si="23"/>
        <v>0</v>
      </c>
      <c r="H212" s="8">
        <f t="shared" si="23"/>
        <v>16589.52333</v>
      </c>
      <c r="I212" s="8">
        <f t="shared" si="23"/>
        <v>0</v>
      </c>
      <c r="J212" s="115"/>
      <c r="K212" s="109"/>
    </row>
    <row r="213" spans="1:13" x14ac:dyDescent="0.25">
      <c r="A213" s="110"/>
      <c r="B213" s="110"/>
      <c r="C213" s="110"/>
      <c r="D213" s="106">
        <v>2026</v>
      </c>
      <c r="E213" s="8">
        <f>SUM(F213:I213)</f>
        <v>1101613.2900400001</v>
      </c>
      <c r="F213" s="8">
        <f>SUM(F220,F381)</f>
        <v>1085023.7667400001</v>
      </c>
      <c r="G213" s="8">
        <f>SUM(G220,G381)</f>
        <v>0</v>
      </c>
      <c r="H213" s="8">
        <f>SUM(H220,H381)</f>
        <v>16589.523300000001</v>
      </c>
      <c r="I213" s="8">
        <f>SUM(I220,I381)</f>
        <v>0</v>
      </c>
      <c r="J213" s="116"/>
      <c r="K213" s="110"/>
    </row>
    <row r="214" spans="1:13" ht="13.5" customHeight="1" outlineLevel="1" x14ac:dyDescent="0.25">
      <c r="A214" s="108" t="s">
        <v>56</v>
      </c>
      <c r="B214" s="108" t="s">
        <v>518</v>
      </c>
      <c r="C214" s="108" t="s">
        <v>828</v>
      </c>
      <c r="D214" s="68" t="s">
        <v>8</v>
      </c>
      <c r="E214" s="8">
        <f t="shared" si="18"/>
        <v>6469153.3562299991</v>
      </c>
      <c r="F214" s="8">
        <f>SUM(F215:F220)</f>
        <v>6469153.3562299991</v>
      </c>
      <c r="G214" s="8">
        <f>SUM(G215:G219)</f>
        <v>0</v>
      </c>
      <c r="H214" s="8">
        <f>SUM(H215:H219)</f>
        <v>0</v>
      </c>
      <c r="I214" s="8">
        <f>SUM(I215:I219)</f>
        <v>0</v>
      </c>
      <c r="J214" s="108" t="s">
        <v>519</v>
      </c>
      <c r="K214" s="108" t="s">
        <v>486</v>
      </c>
      <c r="L214" s="124"/>
    </row>
    <row r="215" spans="1:13" ht="13.5" customHeight="1" outlineLevel="1" x14ac:dyDescent="0.25">
      <c r="A215" s="109"/>
      <c r="B215" s="109"/>
      <c r="C215" s="109"/>
      <c r="D215" s="68">
        <v>2021</v>
      </c>
      <c r="E215" s="8">
        <f t="shared" si="18"/>
        <v>809865.57669999998</v>
      </c>
      <c r="F215" s="8">
        <f>F222+F229+F236+F243+F250+F257++F264+F271+F278+F285+F292+F299+F306+F313+F320+F327+F334+F341+F355+F348</f>
        <v>809865.57669999998</v>
      </c>
      <c r="G215" s="8">
        <f t="shared" ref="G215:I218" si="24">G222+G229+G236+G243+G250+G257++G264+G271+G278+G285+G292+G299+G306+G313+G320+G327+G334+G341+G355</f>
        <v>0</v>
      </c>
      <c r="H215" s="8">
        <f t="shared" si="24"/>
        <v>0</v>
      </c>
      <c r="I215" s="8">
        <f t="shared" si="24"/>
        <v>0</v>
      </c>
      <c r="J215" s="109"/>
      <c r="K215" s="109"/>
      <c r="L215" s="124"/>
    </row>
    <row r="216" spans="1:13" ht="13.5" customHeight="1" outlineLevel="1" x14ac:dyDescent="0.25">
      <c r="A216" s="109"/>
      <c r="B216" s="109"/>
      <c r="C216" s="109"/>
      <c r="D216" s="68">
        <v>2022</v>
      </c>
      <c r="E216" s="8">
        <f t="shared" si="18"/>
        <v>1140833.8970000001</v>
      </c>
      <c r="F216" s="8">
        <f>F223+F230+F237+F244+F251+F258++F265+F272+F279+F286+F293+F300+F307+F314+F321+F328+F335+F342+F356</f>
        <v>1140833.8970000001</v>
      </c>
      <c r="G216" s="8">
        <f t="shared" si="24"/>
        <v>0</v>
      </c>
      <c r="H216" s="8">
        <f t="shared" si="24"/>
        <v>0</v>
      </c>
      <c r="I216" s="8">
        <f t="shared" si="24"/>
        <v>0</v>
      </c>
      <c r="J216" s="109"/>
      <c r="K216" s="109"/>
      <c r="L216" s="124"/>
    </row>
    <row r="217" spans="1:13" ht="13.5" customHeight="1" outlineLevel="1" x14ac:dyDescent="0.25">
      <c r="A217" s="109"/>
      <c r="B217" s="109"/>
      <c r="C217" s="109"/>
      <c r="D217" s="68">
        <v>2023</v>
      </c>
      <c r="E217" s="8">
        <f t="shared" si="18"/>
        <v>1034105.8579300002</v>
      </c>
      <c r="F217" s="8">
        <f>F224+F231+F238+F245+F252+F259++F266+F273+F280+F287+F294+F301+F308+F315+F322+F329+F336+F343+F357+F364</f>
        <v>1034105.8579300002</v>
      </c>
      <c r="G217" s="8">
        <f t="shared" si="24"/>
        <v>0</v>
      </c>
      <c r="H217" s="8">
        <f t="shared" si="24"/>
        <v>0</v>
      </c>
      <c r="I217" s="8">
        <f t="shared" si="24"/>
        <v>0</v>
      </c>
      <c r="J217" s="109"/>
      <c r="K217" s="109"/>
      <c r="L217" s="124"/>
    </row>
    <row r="218" spans="1:13" ht="13.5" customHeight="1" outlineLevel="1" x14ac:dyDescent="0.25">
      <c r="A218" s="109"/>
      <c r="B218" s="109"/>
      <c r="C218" s="109"/>
      <c r="D218" s="68">
        <v>2024</v>
      </c>
      <c r="E218" s="8">
        <f t="shared" si="18"/>
        <v>1352353.3295099998</v>
      </c>
      <c r="F218" s="8">
        <f>F225+F232+F239+F246+F253+F260++F267+F274+F281+F288+F295+F302+F309+F316+F323+F330+F337+F344+F358+F365+F372</f>
        <v>1352353.3295099998</v>
      </c>
      <c r="G218" s="8">
        <f t="shared" si="24"/>
        <v>0</v>
      </c>
      <c r="H218" s="8">
        <f t="shared" si="24"/>
        <v>0</v>
      </c>
      <c r="I218" s="8">
        <f t="shared" si="24"/>
        <v>0</v>
      </c>
      <c r="J218" s="109"/>
      <c r="K218" s="109"/>
      <c r="L218" s="124"/>
    </row>
    <row r="219" spans="1:13" ht="28.5" customHeight="1" outlineLevel="1" x14ac:dyDescent="0.25">
      <c r="A219" s="109"/>
      <c r="B219" s="109"/>
      <c r="C219" s="109"/>
      <c r="D219" s="68">
        <v>2025</v>
      </c>
      <c r="E219" s="8">
        <f t="shared" si="18"/>
        <v>1088370.9283499999</v>
      </c>
      <c r="F219" s="8">
        <f t="shared" ref="F219" si="25">F226+F233+F240+F247+F254+F262++F269+F276+F283+F290+F297+F304+F311+F318+F324+F332+F339+F346+F360</f>
        <v>1088370.9283499999</v>
      </c>
      <c r="G219" s="8">
        <f>G226+G233+G240+G247+G254+G262++G269+G276+G283+G290+G297+G304+G311+G318+G324+G332+G339+G346+G360</f>
        <v>0</v>
      </c>
      <c r="H219" s="8">
        <f>H226+H233+H240+H247+H254+H262++H269+H276+H283+H290+H297+H304+H311+H318+H324+H332+H339+H346+H360</f>
        <v>0</v>
      </c>
      <c r="I219" s="8">
        <f>I226+I233+I240+I247+I254+I262++I269+I276+I283+I290+I297+I304+I311+I318+I324+I332+I339+I346+I360</f>
        <v>0</v>
      </c>
      <c r="J219" s="109"/>
      <c r="K219" s="109"/>
      <c r="L219" s="124"/>
    </row>
    <row r="220" spans="1:13" ht="28.5" customHeight="1" outlineLevel="1" x14ac:dyDescent="0.25">
      <c r="A220" s="110"/>
      <c r="B220" s="110"/>
      <c r="C220" s="110"/>
      <c r="D220" s="68">
        <v>2026</v>
      </c>
      <c r="E220" s="8">
        <f>SUM(F220:I220)</f>
        <v>1043623.7667400001</v>
      </c>
      <c r="F220" s="8">
        <f>SUM(F227,F234,F241,F248,F255,F325)</f>
        <v>1043623.7667400001</v>
      </c>
      <c r="G220" s="8">
        <f t="shared" ref="G220:I220" si="26">SUM(G227,G234,G241,G248,G255,G325)</f>
        <v>0</v>
      </c>
      <c r="H220" s="8">
        <f t="shared" si="26"/>
        <v>0</v>
      </c>
      <c r="I220" s="8">
        <f t="shared" si="26"/>
        <v>0</v>
      </c>
      <c r="J220" s="110"/>
      <c r="K220" s="110"/>
    </row>
    <row r="221" spans="1:13" ht="13.5" customHeight="1" outlineLevel="1" x14ac:dyDescent="0.25">
      <c r="A221" s="108" t="s">
        <v>60</v>
      </c>
      <c r="B221" s="108" t="s">
        <v>835</v>
      </c>
      <c r="C221" s="108" t="s">
        <v>828</v>
      </c>
      <c r="D221" s="68" t="s">
        <v>8</v>
      </c>
      <c r="E221" s="8">
        <f t="shared" si="18"/>
        <v>15007.20577</v>
      </c>
      <c r="F221" s="8">
        <f>SUM(F222:F227)</f>
        <v>15007.20577</v>
      </c>
      <c r="G221" s="8">
        <f>SUM(G222:G226)</f>
        <v>0</v>
      </c>
      <c r="H221" s="8">
        <f>SUM(H222:H226)</f>
        <v>0</v>
      </c>
      <c r="I221" s="8">
        <f>SUM(I222:I226)</f>
        <v>0</v>
      </c>
      <c r="J221" s="108" t="s">
        <v>62</v>
      </c>
      <c r="K221" s="108" t="s">
        <v>484</v>
      </c>
      <c r="L221" s="124"/>
    </row>
    <row r="222" spans="1:13" ht="13.5" customHeight="1" outlineLevel="1" x14ac:dyDescent="0.25">
      <c r="A222" s="109"/>
      <c r="B222" s="109"/>
      <c r="C222" s="109"/>
      <c r="D222" s="68">
        <v>2021</v>
      </c>
      <c r="E222" s="8">
        <f t="shared" si="18"/>
        <v>2106.6577000000002</v>
      </c>
      <c r="F222" s="8">
        <f>2106.6577</f>
        <v>2106.6577000000002</v>
      </c>
      <c r="G222" s="8">
        <v>0</v>
      </c>
      <c r="H222" s="8">
        <v>0</v>
      </c>
      <c r="I222" s="8">
        <v>0</v>
      </c>
      <c r="J222" s="109"/>
      <c r="K222" s="109"/>
      <c r="L222" s="124"/>
    </row>
    <row r="223" spans="1:13" ht="13.5" customHeight="1" outlineLevel="1" x14ac:dyDescent="0.25">
      <c r="A223" s="109"/>
      <c r="B223" s="109"/>
      <c r="C223" s="109"/>
      <c r="D223" s="68">
        <v>2022</v>
      </c>
      <c r="E223" s="8">
        <f t="shared" si="18"/>
        <v>5343.0770000000002</v>
      </c>
      <c r="F223" s="8">
        <f>5912.957-569.88</f>
        <v>5343.0770000000002</v>
      </c>
      <c r="G223" s="8">
        <v>0</v>
      </c>
      <c r="H223" s="8">
        <v>0</v>
      </c>
      <c r="I223" s="8">
        <v>0</v>
      </c>
      <c r="J223" s="109"/>
      <c r="K223" s="109"/>
      <c r="L223" s="124"/>
    </row>
    <row r="224" spans="1:13" ht="13.5" customHeight="1" outlineLevel="1" x14ac:dyDescent="0.25">
      <c r="A224" s="109"/>
      <c r="B224" s="109"/>
      <c r="C224" s="109"/>
      <c r="D224" s="68">
        <v>2023</v>
      </c>
      <c r="E224" s="8">
        <f t="shared" si="18"/>
        <v>1237.58797</v>
      </c>
      <c r="F224" s="8">
        <f>2106.657+(30930.97/1000)-900</f>
        <v>1237.58797</v>
      </c>
      <c r="G224" s="8">
        <v>0</v>
      </c>
      <c r="H224" s="8">
        <v>0</v>
      </c>
      <c r="I224" s="8">
        <v>0</v>
      </c>
      <c r="J224" s="109"/>
      <c r="K224" s="109"/>
      <c r="L224" s="124"/>
      <c r="M224" s="55" t="s">
        <v>1741</v>
      </c>
    </row>
    <row r="225" spans="1:12" ht="13.5" customHeight="1" outlineLevel="1" x14ac:dyDescent="0.25">
      <c r="A225" s="109"/>
      <c r="B225" s="109"/>
      <c r="C225" s="109"/>
      <c r="D225" s="68">
        <v>2024</v>
      </c>
      <c r="E225" s="8">
        <f t="shared" si="18"/>
        <v>2106.6577000000002</v>
      </c>
      <c r="F225" s="8">
        <v>2106.6577000000002</v>
      </c>
      <c r="G225" s="8">
        <v>0</v>
      </c>
      <c r="H225" s="8">
        <v>0</v>
      </c>
      <c r="I225" s="8">
        <v>0</v>
      </c>
      <c r="J225" s="109"/>
      <c r="K225" s="109"/>
      <c r="L225" s="124"/>
    </row>
    <row r="226" spans="1:12" ht="13.5" customHeight="1" outlineLevel="1" x14ac:dyDescent="0.25">
      <c r="A226" s="109"/>
      <c r="B226" s="109"/>
      <c r="C226" s="109"/>
      <c r="D226" s="68">
        <v>2025</v>
      </c>
      <c r="E226" s="8">
        <f t="shared" si="18"/>
        <v>2106.5677000000001</v>
      </c>
      <c r="F226" s="8">
        <v>2106.5677000000001</v>
      </c>
      <c r="G226" s="8">
        <f>+G233+G240+G247+G276</f>
        <v>0</v>
      </c>
      <c r="H226" s="8">
        <v>0</v>
      </c>
      <c r="I226" s="8">
        <v>0</v>
      </c>
      <c r="J226" s="109"/>
      <c r="K226" s="109"/>
      <c r="L226" s="124"/>
    </row>
    <row r="227" spans="1:12" ht="13.5" customHeight="1" outlineLevel="1" x14ac:dyDescent="0.25">
      <c r="A227" s="110"/>
      <c r="B227" s="110"/>
      <c r="C227" s="110"/>
      <c r="D227" s="68">
        <v>2026</v>
      </c>
      <c r="E227" s="8">
        <f>SUM(F227:I227)</f>
        <v>2106.6577000000002</v>
      </c>
      <c r="F227" s="8">
        <v>2106.6577000000002</v>
      </c>
      <c r="G227" s="8">
        <v>0</v>
      </c>
      <c r="H227" s="8">
        <v>0</v>
      </c>
      <c r="I227" s="8">
        <v>0</v>
      </c>
      <c r="J227" s="110"/>
      <c r="K227" s="110"/>
    </row>
    <row r="228" spans="1:12" ht="26.25" customHeight="1" outlineLevel="1" x14ac:dyDescent="0.25">
      <c r="A228" s="108" t="s">
        <v>63</v>
      </c>
      <c r="B228" s="108" t="s">
        <v>1133</v>
      </c>
      <c r="C228" s="108" t="s">
        <v>828</v>
      </c>
      <c r="D228" s="68" t="s">
        <v>8</v>
      </c>
      <c r="E228" s="8">
        <f t="shared" ref="E228:E301" si="27">SUM(F228:I228)</f>
        <v>276767.99965999997</v>
      </c>
      <c r="F228" s="8">
        <f>SUM(F229:F234)</f>
        <v>276767.99965999997</v>
      </c>
      <c r="G228" s="8">
        <f>SUM(G229:G233)</f>
        <v>0</v>
      </c>
      <c r="H228" s="8">
        <f>SUM(H229:H233)</f>
        <v>0</v>
      </c>
      <c r="I228" s="8">
        <f>SUM(I229:I233)</f>
        <v>0</v>
      </c>
      <c r="J228" s="108" t="s">
        <v>521</v>
      </c>
      <c r="K228" s="108" t="s">
        <v>484</v>
      </c>
    </row>
    <row r="229" spans="1:12" ht="22.5" customHeight="1" outlineLevel="1" x14ac:dyDescent="0.25">
      <c r="A229" s="109"/>
      <c r="B229" s="109"/>
      <c r="C229" s="109"/>
      <c r="D229" s="68">
        <v>2021</v>
      </c>
      <c r="E229" s="8">
        <f t="shared" si="27"/>
        <v>456</v>
      </c>
      <c r="F229" s="8">
        <v>456</v>
      </c>
      <c r="G229" s="8">
        <v>0</v>
      </c>
      <c r="H229" s="8">
        <v>0</v>
      </c>
      <c r="I229" s="8">
        <v>0</v>
      </c>
      <c r="J229" s="109"/>
      <c r="K229" s="109"/>
    </row>
    <row r="230" spans="1:12" ht="21.75" customHeight="1" outlineLevel="1" x14ac:dyDescent="0.25">
      <c r="A230" s="109"/>
      <c r="B230" s="109"/>
      <c r="C230" s="109"/>
      <c r="D230" s="68">
        <v>2022</v>
      </c>
      <c r="E230" s="8">
        <f t="shared" si="27"/>
        <v>52700</v>
      </c>
      <c r="F230" s="8">
        <v>52700</v>
      </c>
      <c r="G230" s="8">
        <v>0</v>
      </c>
      <c r="H230" s="8">
        <v>0</v>
      </c>
      <c r="I230" s="8">
        <v>0</v>
      </c>
      <c r="J230" s="109"/>
      <c r="K230" s="109"/>
    </row>
    <row r="231" spans="1:12" ht="24" customHeight="1" outlineLevel="1" x14ac:dyDescent="0.25">
      <c r="A231" s="109"/>
      <c r="B231" s="109"/>
      <c r="C231" s="109"/>
      <c r="D231" s="68">
        <v>2023</v>
      </c>
      <c r="E231" s="8">
        <f t="shared" si="27"/>
        <v>67599.999660000001</v>
      </c>
      <c r="F231" s="8">
        <f>52004+7490.67866+8105.321</f>
        <v>67599.999660000001</v>
      </c>
      <c r="G231" s="8">
        <v>0</v>
      </c>
      <c r="H231" s="8">
        <v>0</v>
      </c>
      <c r="I231" s="8">
        <v>0</v>
      </c>
      <c r="J231" s="109"/>
      <c r="K231" s="109"/>
    </row>
    <row r="232" spans="1:12" ht="24.75" customHeight="1" outlineLevel="1" x14ac:dyDescent="0.25">
      <c r="A232" s="109"/>
      <c r="B232" s="109"/>
      <c r="C232" s="109"/>
      <c r="D232" s="68">
        <v>2024</v>
      </c>
      <c r="E232" s="8">
        <f t="shared" si="27"/>
        <v>52004</v>
      </c>
      <c r="F232" s="8">
        <v>52004</v>
      </c>
      <c r="G232" s="8">
        <v>0</v>
      </c>
      <c r="H232" s="8">
        <v>0</v>
      </c>
      <c r="I232" s="8">
        <v>0</v>
      </c>
      <c r="J232" s="109"/>
      <c r="K232" s="109"/>
    </row>
    <row r="233" spans="1:12" ht="24" customHeight="1" outlineLevel="1" x14ac:dyDescent="0.25">
      <c r="A233" s="109"/>
      <c r="B233" s="109"/>
      <c r="C233" s="109"/>
      <c r="D233" s="68">
        <v>2025</v>
      </c>
      <c r="E233" s="8">
        <f t="shared" si="27"/>
        <v>52004</v>
      </c>
      <c r="F233" s="8">
        <v>52004</v>
      </c>
      <c r="G233" s="8">
        <v>0</v>
      </c>
      <c r="H233" s="8">
        <v>0</v>
      </c>
      <c r="I233" s="8">
        <v>0</v>
      </c>
      <c r="J233" s="109"/>
      <c r="K233" s="109"/>
    </row>
    <row r="234" spans="1:12" ht="24" customHeight="1" outlineLevel="1" x14ac:dyDescent="0.25">
      <c r="A234" s="110"/>
      <c r="B234" s="110"/>
      <c r="C234" s="110"/>
      <c r="D234" s="68">
        <v>2026</v>
      </c>
      <c r="E234" s="8">
        <f>SUM(F234:I234)</f>
        <v>52004</v>
      </c>
      <c r="F234" s="8">
        <v>52004</v>
      </c>
      <c r="G234" s="8">
        <v>0</v>
      </c>
      <c r="H234" s="8">
        <v>0</v>
      </c>
      <c r="I234" s="8">
        <v>0</v>
      </c>
      <c r="J234" s="110"/>
      <c r="K234" s="110"/>
    </row>
    <row r="235" spans="1:12" ht="15.75" customHeight="1" outlineLevel="1" x14ac:dyDescent="0.25">
      <c r="A235" s="108" t="s">
        <v>66</v>
      </c>
      <c r="B235" s="108" t="s">
        <v>67</v>
      </c>
      <c r="C235" s="108" t="s">
        <v>828</v>
      </c>
      <c r="D235" s="68" t="s">
        <v>8</v>
      </c>
      <c r="E235" s="8">
        <f t="shared" si="27"/>
        <v>136.72999999999999</v>
      </c>
      <c r="F235" s="8">
        <f>SUM(F236:F240)</f>
        <v>136.72999999999999</v>
      </c>
      <c r="G235" s="8">
        <f>SUM(G236:G240)</f>
        <v>0</v>
      </c>
      <c r="H235" s="8">
        <f>SUM(H236:H240)</f>
        <v>0</v>
      </c>
      <c r="I235" s="8">
        <f>SUM(I236:I240)</f>
        <v>0</v>
      </c>
      <c r="J235" s="108" t="s">
        <v>522</v>
      </c>
      <c r="K235" s="108" t="s">
        <v>484</v>
      </c>
    </row>
    <row r="236" spans="1:12" ht="15.75" customHeight="1" outlineLevel="1" x14ac:dyDescent="0.25">
      <c r="A236" s="109"/>
      <c r="B236" s="109"/>
      <c r="C236" s="109"/>
      <c r="D236" s="68">
        <v>2021</v>
      </c>
      <c r="E236" s="8">
        <f t="shared" si="27"/>
        <v>27.77</v>
      </c>
      <c r="F236" s="8">
        <f>27770/1000</f>
        <v>27.77</v>
      </c>
      <c r="G236" s="8">
        <v>0</v>
      </c>
      <c r="H236" s="8">
        <v>0</v>
      </c>
      <c r="I236" s="8">
        <v>0</v>
      </c>
      <c r="J236" s="109"/>
      <c r="K236" s="109"/>
    </row>
    <row r="237" spans="1:12" ht="15.75" customHeight="1" outlineLevel="1" x14ac:dyDescent="0.25">
      <c r="A237" s="109"/>
      <c r="B237" s="109"/>
      <c r="C237" s="109"/>
      <c r="D237" s="68">
        <v>2022</v>
      </c>
      <c r="E237" s="8">
        <f t="shared" si="27"/>
        <v>0</v>
      </c>
      <c r="F237" s="8">
        <v>0</v>
      </c>
      <c r="G237" s="8">
        <v>0</v>
      </c>
      <c r="H237" s="8">
        <v>0</v>
      </c>
      <c r="I237" s="8">
        <v>0</v>
      </c>
      <c r="J237" s="109"/>
      <c r="K237" s="109"/>
    </row>
    <row r="238" spans="1:12" ht="15.75" customHeight="1" outlineLevel="1" x14ac:dyDescent="0.25">
      <c r="A238" s="109"/>
      <c r="B238" s="109"/>
      <c r="C238" s="109"/>
      <c r="D238" s="68">
        <v>2023</v>
      </c>
      <c r="E238" s="8">
        <f t="shared" si="27"/>
        <v>32.07</v>
      </c>
      <c r="F238" s="8">
        <v>32.07</v>
      </c>
      <c r="G238" s="8">
        <v>0</v>
      </c>
      <c r="H238" s="8">
        <v>0</v>
      </c>
      <c r="I238" s="8">
        <v>0</v>
      </c>
      <c r="J238" s="109"/>
      <c r="K238" s="109"/>
    </row>
    <row r="239" spans="1:12" ht="15.75" customHeight="1" outlineLevel="1" x14ac:dyDescent="0.25">
      <c r="A239" s="109"/>
      <c r="B239" s="109"/>
      <c r="C239" s="109"/>
      <c r="D239" s="68">
        <v>2024</v>
      </c>
      <c r="E239" s="8">
        <f t="shared" si="27"/>
        <v>44.82</v>
      </c>
      <c r="F239" s="8">
        <v>44.82</v>
      </c>
      <c r="G239" s="8">
        <v>0</v>
      </c>
      <c r="H239" s="8">
        <v>0</v>
      </c>
      <c r="I239" s="8">
        <v>0</v>
      </c>
      <c r="J239" s="109"/>
      <c r="K239" s="109"/>
    </row>
    <row r="240" spans="1:12" ht="15.75" customHeight="1" outlineLevel="1" x14ac:dyDescent="0.25">
      <c r="A240" s="109"/>
      <c r="B240" s="109"/>
      <c r="C240" s="109"/>
      <c r="D240" s="68">
        <v>2025</v>
      </c>
      <c r="E240" s="8">
        <f t="shared" si="27"/>
        <v>32.07</v>
      </c>
      <c r="F240" s="8">
        <v>32.07</v>
      </c>
      <c r="G240" s="8">
        <v>0</v>
      </c>
      <c r="H240" s="8">
        <v>0</v>
      </c>
      <c r="I240" s="8">
        <v>0</v>
      </c>
      <c r="J240" s="109"/>
      <c r="K240" s="109"/>
    </row>
    <row r="241" spans="1:11" ht="15.75" customHeight="1" outlineLevel="1" x14ac:dyDescent="0.25">
      <c r="A241" s="110"/>
      <c r="B241" s="110"/>
      <c r="C241" s="110"/>
      <c r="D241" s="68">
        <v>2026</v>
      </c>
      <c r="E241" s="8">
        <f>SUM(F241:I241)</f>
        <v>32.07</v>
      </c>
      <c r="F241" s="8">
        <v>32.07</v>
      </c>
      <c r="G241" s="8">
        <v>0</v>
      </c>
      <c r="H241" s="8">
        <v>0</v>
      </c>
      <c r="I241" s="8">
        <v>0</v>
      </c>
      <c r="J241" s="110"/>
      <c r="K241" s="110"/>
    </row>
    <row r="242" spans="1:11" ht="13.5" customHeight="1" outlineLevel="1" x14ac:dyDescent="0.25">
      <c r="A242" s="108" t="s">
        <v>70</v>
      </c>
      <c r="B242" s="108" t="s">
        <v>71</v>
      </c>
      <c r="C242" s="108" t="s">
        <v>828</v>
      </c>
      <c r="D242" s="68" t="s">
        <v>8</v>
      </c>
      <c r="E242" s="8">
        <f t="shared" si="27"/>
        <v>5706489.5432699993</v>
      </c>
      <c r="F242" s="8">
        <f>SUM(F243:F248)</f>
        <v>5706489.5432699993</v>
      </c>
      <c r="G242" s="8">
        <f>SUM(G243:G247)</f>
        <v>0</v>
      </c>
      <c r="H242" s="8">
        <f>SUM(H243:H247)</f>
        <v>0</v>
      </c>
      <c r="I242" s="8">
        <f>SUM(I243:I247)</f>
        <v>0</v>
      </c>
      <c r="J242" s="108" t="s">
        <v>72</v>
      </c>
      <c r="K242" s="114" t="s">
        <v>836</v>
      </c>
    </row>
    <row r="243" spans="1:11" ht="13.5" customHeight="1" outlineLevel="1" x14ac:dyDescent="0.25">
      <c r="A243" s="109"/>
      <c r="B243" s="109"/>
      <c r="C243" s="109"/>
      <c r="D243" s="68">
        <v>2021</v>
      </c>
      <c r="E243" s="8">
        <f t="shared" si="27"/>
        <v>766375.9</v>
      </c>
      <c r="F243" s="8">
        <v>766375.9</v>
      </c>
      <c r="G243" s="8">
        <v>0</v>
      </c>
      <c r="H243" s="8">
        <v>0</v>
      </c>
      <c r="I243" s="8">
        <v>0</v>
      </c>
      <c r="J243" s="109"/>
      <c r="K243" s="115"/>
    </row>
    <row r="244" spans="1:11" ht="13.5" customHeight="1" outlineLevel="1" x14ac:dyDescent="0.25">
      <c r="A244" s="109"/>
      <c r="B244" s="109"/>
      <c r="C244" s="109"/>
      <c r="D244" s="68">
        <v>2022</v>
      </c>
      <c r="E244" s="8">
        <f t="shared" si="27"/>
        <v>914197.98699999996</v>
      </c>
      <c r="F244" s="8">
        <f>879682.2+21426+13089.787</f>
        <v>914197.98699999996</v>
      </c>
      <c r="G244" s="8">
        <v>0</v>
      </c>
      <c r="H244" s="8">
        <v>0</v>
      </c>
      <c r="I244" s="8">
        <v>0</v>
      </c>
      <c r="J244" s="109"/>
      <c r="K244" s="115"/>
    </row>
    <row r="245" spans="1:11" ht="13.5" customHeight="1" outlineLevel="1" x14ac:dyDescent="0.25">
      <c r="A245" s="109"/>
      <c r="B245" s="109"/>
      <c r="C245" s="109"/>
      <c r="D245" s="68">
        <v>2023</v>
      </c>
      <c r="E245" s="8">
        <f t="shared" si="27"/>
        <v>905061.93929999997</v>
      </c>
      <c r="F245" s="8">
        <f>850537.551+27982.345+11890.5953+14651.448</f>
        <v>905061.93929999997</v>
      </c>
      <c r="G245" s="8">
        <v>0</v>
      </c>
      <c r="H245" s="8">
        <v>0</v>
      </c>
      <c r="I245" s="8">
        <v>0</v>
      </c>
      <c r="J245" s="109"/>
      <c r="K245" s="115"/>
    </row>
    <row r="246" spans="1:11" ht="13.5" customHeight="1" outlineLevel="1" x14ac:dyDescent="0.25">
      <c r="A246" s="109"/>
      <c r="B246" s="109"/>
      <c r="C246" s="109"/>
      <c r="D246" s="68">
        <v>2024</v>
      </c>
      <c r="E246" s="8">
        <f t="shared" si="27"/>
        <v>1165558.7260199999</v>
      </c>
      <c r="F246" s="8">
        <v>1165558.7260199999</v>
      </c>
      <c r="G246" s="8">
        <v>0</v>
      </c>
      <c r="H246" s="8">
        <v>0</v>
      </c>
      <c r="I246" s="8">
        <v>0</v>
      </c>
      <c r="J246" s="109"/>
      <c r="K246" s="115"/>
    </row>
    <row r="247" spans="1:11" ht="13.5" customHeight="1" outlineLevel="1" x14ac:dyDescent="0.25">
      <c r="A247" s="109"/>
      <c r="B247" s="109"/>
      <c r="C247" s="109"/>
      <c r="D247" s="68">
        <v>2025</v>
      </c>
      <c r="E247" s="8">
        <f t="shared" si="27"/>
        <v>1000021.12128</v>
      </c>
      <c r="F247" s="8">
        <v>1000021.12128</v>
      </c>
      <c r="G247" s="8">
        <v>0</v>
      </c>
      <c r="H247" s="8">
        <v>0</v>
      </c>
      <c r="I247" s="8">
        <v>0</v>
      </c>
      <c r="J247" s="109"/>
      <c r="K247" s="115"/>
    </row>
    <row r="248" spans="1:11" ht="13.5" customHeight="1" outlineLevel="1" x14ac:dyDescent="0.25">
      <c r="A248" s="110"/>
      <c r="B248" s="110"/>
      <c r="C248" s="110"/>
      <c r="D248" s="68">
        <v>2026</v>
      </c>
      <c r="E248" s="8">
        <f>SUM(F248:I248)</f>
        <v>955273.86967000004</v>
      </c>
      <c r="F248" s="8">
        <v>955273.86967000004</v>
      </c>
      <c r="G248" s="8">
        <v>0</v>
      </c>
      <c r="H248" s="8">
        <v>0</v>
      </c>
      <c r="I248" s="8">
        <v>0</v>
      </c>
      <c r="J248" s="110"/>
      <c r="K248" s="116"/>
    </row>
    <row r="249" spans="1:11" ht="18.75" customHeight="1" outlineLevel="1" x14ac:dyDescent="0.25">
      <c r="A249" s="108" t="s">
        <v>74</v>
      </c>
      <c r="B249" s="108" t="s">
        <v>75</v>
      </c>
      <c r="C249" s="108" t="s">
        <v>828</v>
      </c>
      <c r="D249" s="68" t="s">
        <v>8</v>
      </c>
      <c r="E249" s="8">
        <f t="shared" si="27"/>
        <v>29648.741000000002</v>
      </c>
      <c r="F249" s="8">
        <f>SUM(F250:F255)</f>
        <v>29648.741000000002</v>
      </c>
      <c r="G249" s="8">
        <f>SUM(G250:G254)</f>
        <v>0</v>
      </c>
      <c r="H249" s="8">
        <f>SUM(H250:H254)</f>
        <v>0</v>
      </c>
      <c r="I249" s="8">
        <f>SUM(I250:I254)</f>
        <v>0</v>
      </c>
      <c r="J249" s="108" t="s">
        <v>1135</v>
      </c>
      <c r="K249" s="108" t="s">
        <v>836</v>
      </c>
    </row>
    <row r="250" spans="1:11" ht="18.75" customHeight="1" outlineLevel="1" x14ac:dyDescent="0.25">
      <c r="A250" s="109"/>
      <c r="B250" s="109"/>
      <c r="C250" s="109"/>
      <c r="D250" s="68">
        <v>2021</v>
      </c>
      <c r="E250" s="8">
        <f t="shared" si="27"/>
        <v>3811.2820000000002</v>
      </c>
      <c r="F250" s="8">
        <v>3811.2820000000002</v>
      </c>
      <c r="G250" s="8">
        <v>0</v>
      </c>
      <c r="H250" s="8">
        <v>0</v>
      </c>
      <c r="I250" s="8">
        <v>0</v>
      </c>
      <c r="J250" s="109"/>
      <c r="K250" s="109"/>
    </row>
    <row r="251" spans="1:11" ht="18.75" customHeight="1" outlineLevel="1" x14ac:dyDescent="0.25">
      <c r="A251" s="109"/>
      <c r="B251" s="109"/>
      <c r="C251" s="109"/>
      <c r="D251" s="68">
        <v>2022</v>
      </c>
      <c r="E251" s="8">
        <f t="shared" si="27"/>
        <v>3588.2230000000004</v>
      </c>
      <c r="F251" s="8">
        <f>3561.3+109.88-82.957</f>
        <v>3588.2230000000004</v>
      </c>
      <c r="G251" s="8">
        <v>0</v>
      </c>
      <c r="H251" s="8">
        <v>0</v>
      </c>
      <c r="I251" s="8">
        <v>0</v>
      </c>
      <c r="J251" s="109"/>
      <c r="K251" s="109"/>
    </row>
    <row r="252" spans="1:11" ht="18.75" customHeight="1" outlineLevel="1" x14ac:dyDescent="0.25">
      <c r="A252" s="109"/>
      <c r="B252" s="109"/>
      <c r="C252" s="109"/>
      <c r="D252" s="68">
        <v>2023</v>
      </c>
      <c r="E252" s="8">
        <f t="shared" si="27"/>
        <v>6067.2359999999999</v>
      </c>
      <c r="F252" s="8">
        <f>3561.3+2000+118.878+82.077+300+4.981</f>
        <v>6067.2359999999999</v>
      </c>
      <c r="G252" s="8">
        <v>0</v>
      </c>
      <c r="H252" s="8">
        <v>0</v>
      </c>
      <c r="I252" s="8">
        <v>0</v>
      </c>
      <c r="J252" s="109"/>
      <c r="K252" s="109"/>
    </row>
    <row r="253" spans="1:11" ht="18.75" customHeight="1" outlineLevel="1" x14ac:dyDescent="0.25">
      <c r="A253" s="109"/>
      <c r="B253" s="109"/>
      <c r="C253" s="109"/>
      <c r="D253" s="68">
        <v>2024</v>
      </c>
      <c r="E253" s="8">
        <f t="shared" si="27"/>
        <v>5394</v>
      </c>
      <c r="F253" s="8">
        <v>5394</v>
      </c>
      <c r="G253" s="8">
        <v>0</v>
      </c>
      <c r="H253" s="8">
        <v>0</v>
      </c>
      <c r="I253" s="8">
        <v>0</v>
      </c>
      <c r="J253" s="109"/>
      <c r="K253" s="109"/>
    </row>
    <row r="254" spans="1:11" ht="18.75" customHeight="1" outlineLevel="1" x14ac:dyDescent="0.25">
      <c r="A254" s="109"/>
      <c r="B254" s="109"/>
      <c r="C254" s="109"/>
      <c r="D254" s="68">
        <v>2025</v>
      </c>
      <c r="E254" s="8">
        <f t="shared" si="27"/>
        <v>5394</v>
      </c>
      <c r="F254" s="8">
        <v>5394</v>
      </c>
      <c r="G254" s="8">
        <v>0</v>
      </c>
      <c r="H254" s="8">
        <v>0</v>
      </c>
      <c r="I254" s="8">
        <v>0</v>
      </c>
      <c r="J254" s="109"/>
      <c r="K254" s="109"/>
    </row>
    <row r="255" spans="1:11" ht="18.75" customHeight="1" outlineLevel="1" x14ac:dyDescent="0.25">
      <c r="A255" s="110"/>
      <c r="B255" s="110"/>
      <c r="C255" s="110"/>
      <c r="D255" s="68">
        <v>2026</v>
      </c>
      <c r="E255" s="8">
        <f>SUM(F255:I255)</f>
        <v>5394</v>
      </c>
      <c r="F255" s="8">
        <v>5394</v>
      </c>
      <c r="G255" s="8">
        <v>0</v>
      </c>
      <c r="H255" s="8">
        <v>0</v>
      </c>
      <c r="I255" s="8">
        <v>0</v>
      </c>
      <c r="J255" s="110"/>
      <c r="K255" s="110"/>
    </row>
    <row r="256" spans="1:11" ht="14.25" customHeight="1" outlineLevel="1" x14ac:dyDescent="0.25">
      <c r="A256" s="117" t="s">
        <v>524</v>
      </c>
      <c r="B256" s="118" t="s">
        <v>525</v>
      </c>
      <c r="C256" s="108" t="s">
        <v>828</v>
      </c>
      <c r="D256" s="68" t="s">
        <v>8</v>
      </c>
      <c r="E256" s="8">
        <f t="shared" si="27"/>
        <v>26988.080000000002</v>
      </c>
      <c r="F256" s="8">
        <f>SUM(F257:F262)</f>
        <v>26988.080000000002</v>
      </c>
      <c r="G256" s="8">
        <f>SUM(G257:G262)</f>
        <v>0</v>
      </c>
      <c r="H256" s="8">
        <f>SUM(H257:H262)</f>
        <v>0</v>
      </c>
      <c r="I256" s="8">
        <f>SUM(I257:I262)</f>
        <v>0</v>
      </c>
      <c r="J256" s="117" t="s">
        <v>526</v>
      </c>
      <c r="K256" s="117" t="s">
        <v>837</v>
      </c>
    </row>
    <row r="257" spans="1:16" ht="13.5" customHeight="1" outlineLevel="1" x14ac:dyDescent="0.25">
      <c r="A257" s="117"/>
      <c r="B257" s="118"/>
      <c r="C257" s="109"/>
      <c r="D257" s="68">
        <v>2021</v>
      </c>
      <c r="E257" s="8">
        <f t="shared" si="27"/>
        <v>26988.080000000002</v>
      </c>
      <c r="F257" s="8">
        <v>26988.080000000002</v>
      </c>
      <c r="G257" s="8">
        <v>0</v>
      </c>
      <c r="H257" s="8">
        <v>0</v>
      </c>
      <c r="I257" s="8">
        <v>0</v>
      </c>
      <c r="J257" s="117"/>
      <c r="K257" s="117"/>
    </row>
    <row r="258" spans="1:16" ht="13.5" customHeight="1" outlineLevel="1" x14ac:dyDescent="0.25">
      <c r="A258" s="117"/>
      <c r="B258" s="118"/>
      <c r="C258" s="109"/>
      <c r="D258" s="68">
        <v>2022</v>
      </c>
      <c r="E258" s="8">
        <f t="shared" si="27"/>
        <v>0</v>
      </c>
      <c r="F258" s="8">
        <v>0</v>
      </c>
      <c r="G258" s="8">
        <v>0</v>
      </c>
      <c r="H258" s="8">
        <v>0</v>
      </c>
      <c r="I258" s="8">
        <v>0</v>
      </c>
      <c r="J258" s="117"/>
      <c r="K258" s="117"/>
    </row>
    <row r="259" spans="1:16" ht="13.5" customHeight="1" outlineLevel="1" x14ac:dyDescent="0.25">
      <c r="A259" s="117"/>
      <c r="B259" s="118"/>
      <c r="C259" s="109"/>
      <c r="D259" s="68">
        <v>2023</v>
      </c>
      <c r="E259" s="8">
        <f t="shared" si="27"/>
        <v>0</v>
      </c>
      <c r="F259" s="8">
        <v>0</v>
      </c>
      <c r="G259" s="8">
        <v>0</v>
      </c>
      <c r="H259" s="8">
        <v>0</v>
      </c>
      <c r="I259" s="8">
        <v>0</v>
      </c>
      <c r="J259" s="117"/>
      <c r="K259" s="117"/>
    </row>
    <row r="260" spans="1:16" ht="13.5" customHeight="1" outlineLevel="1" x14ac:dyDescent="0.25">
      <c r="A260" s="117"/>
      <c r="B260" s="118"/>
      <c r="C260" s="109"/>
      <c r="D260" s="68">
        <v>2024</v>
      </c>
      <c r="E260" s="8">
        <f t="shared" si="27"/>
        <v>0</v>
      </c>
      <c r="F260" s="8">
        <v>0</v>
      </c>
      <c r="G260" s="8">
        <v>0</v>
      </c>
      <c r="H260" s="8">
        <v>0</v>
      </c>
      <c r="I260" s="8">
        <v>0</v>
      </c>
      <c r="J260" s="117"/>
      <c r="K260" s="117"/>
    </row>
    <row r="261" spans="1:16" s="80" customFormat="1" ht="13.5" customHeight="1" outlineLevel="1" x14ac:dyDescent="0.25">
      <c r="A261" s="117"/>
      <c r="B261" s="118"/>
      <c r="C261" s="109"/>
      <c r="D261" s="79">
        <v>2025</v>
      </c>
      <c r="E261" s="8">
        <v>0</v>
      </c>
      <c r="F261" s="8">
        <v>0</v>
      </c>
      <c r="G261" s="8">
        <v>0</v>
      </c>
      <c r="H261" s="8">
        <v>0</v>
      </c>
      <c r="I261" s="8">
        <v>0</v>
      </c>
      <c r="J261" s="117"/>
      <c r="K261" s="117"/>
      <c r="M261" s="55"/>
      <c r="N261" s="55"/>
      <c r="O261" s="55"/>
      <c r="P261" s="55"/>
    </row>
    <row r="262" spans="1:16" ht="19.5" customHeight="1" outlineLevel="1" x14ac:dyDescent="0.25">
      <c r="A262" s="117"/>
      <c r="B262" s="118"/>
      <c r="C262" s="110"/>
      <c r="D262" s="68">
        <v>2026</v>
      </c>
      <c r="E262" s="8">
        <f t="shared" si="27"/>
        <v>0</v>
      </c>
      <c r="F262" s="8">
        <v>0</v>
      </c>
      <c r="G262" s="8">
        <v>0</v>
      </c>
      <c r="H262" s="8">
        <v>0</v>
      </c>
      <c r="I262" s="8">
        <v>0</v>
      </c>
      <c r="J262" s="117"/>
      <c r="K262" s="117"/>
    </row>
    <row r="263" spans="1:16" ht="14.25" customHeight="1" outlineLevel="1" x14ac:dyDescent="0.25">
      <c r="A263" s="117" t="s">
        <v>528</v>
      </c>
      <c r="B263" s="118" t="s">
        <v>1136</v>
      </c>
      <c r="C263" s="117" t="s">
        <v>828</v>
      </c>
      <c r="D263" s="68" t="s">
        <v>8</v>
      </c>
      <c r="E263" s="8">
        <f t="shared" si="27"/>
        <v>0</v>
      </c>
      <c r="F263" s="8">
        <f>SUM(F264:F269)</f>
        <v>0</v>
      </c>
      <c r="G263" s="8">
        <f>SUM(G264:G269)</f>
        <v>0</v>
      </c>
      <c r="H263" s="8">
        <f>SUM(H264:H269)</f>
        <v>0</v>
      </c>
      <c r="I263" s="8">
        <f>SUM(I264:I269)</f>
        <v>0</v>
      </c>
      <c r="J263" s="117" t="s">
        <v>530</v>
      </c>
      <c r="K263" s="117" t="s">
        <v>531</v>
      </c>
    </row>
    <row r="264" spans="1:16" ht="13.5" customHeight="1" outlineLevel="1" x14ac:dyDescent="0.25">
      <c r="A264" s="117"/>
      <c r="B264" s="118"/>
      <c r="C264" s="117"/>
      <c r="D264" s="68">
        <v>2021</v>
      </c>
      <c r="E264" s="8">
        <f t="shared" si="27"/>
        <v>0</v>
      </c>
      <c r="F264" s="8">
        <v>0</v>
      </c>
      <c r="G264" s="8">
        <v>0</v>
      </c>
      <c r="H264" s="8">
        <v>0</v>
      </c>
      <c r="I264" s="8">
        <v>0</v>
      </c>
      <c r="J264" s="117"/>
      <c r="K264" s="117"/>
    </row>
    <row r="265" spans="1:16" ht="13.5" customHeight="1" outlineLevel="1" x14ac:dyDescent="0.25">
      <c r="A265" s="117"/>
      <c r="B265" s="118"/>
      <c r="C265" s="117"/>
      <c r="D265" s="68">
        <v>2022</v>
      </c>
      <c r="E265" s="8">
        <f t="shared" si="27"/>
        <v>0</v>
      </c>
      <c r="F265" s="8">
        <v>0</v>
      </c>
      <c r="G265" s="8">
        <v>0</v>
      </c>
      <c r="H265" s="8">
        <v>0</v>
      </c>
      <c r="I265" s="8">
        <v>0</v>
      </c>
      <c r="J265" s="117"/>
      <c r="K265" s="117"/>
    </row>
    <row r="266" spans="1:16" ht="13.5" customHeight="1" outlineLevel="1" x14ac:dyDescent="0.25">
      <c r="A266" s="117"/>
      <c r="B266" s="118"/>
      <c r="C266" s="117"/>
      <c r="D266" s="68">
        <v>2023</v>
      </c>
      <c r="E266" s="8">
        <f t="shared" si="27"/>
        <v>0</v>
      </c>
      <c r="F266" s="8">
        <v>0</v>
      </c>
      <c r="G266" s="8">
        <v>0</v>
      </c>
      <c r="H266" s="8">
        <v>0</v>
      </c>
      <c r="I266" s="8">
        <v>0</v>
      </c>
      <c r="J266" s="117"/>
      <c r="K266" s="117"/>
    </row>
    <row r="267" spans="1:16" ht="13.5" customHeight="1" outlineLevel="1" x14ac:dyDescent="0.25">
      <c r="A267" s="117"/>
      <c r="B267" s="118"/>
      <c r="C267" s="117"/>
      <c r="D267" s="68">
        <v>2024</v>
      </c>
      <c r="E267" s="8">
        <f t="shared" si="27"/>
        <v>0</v>
      </c>
      <c r="F267" s="8">
        <v>0</v>
      </c>
      <c r="G267" s="8">
        <v>0</v>
      </c>
      <c r="H267" s="8">
        <v>0</v>
      </c>
      <c r="I267" s="8">
        <v>0</v>
      </c>
      <c r="J267" s="117"/>
      <c r="K267" s="117"/>
    </row>
    <row r="268" spans="1:16" s="80" customFormat="1" ht="13.5" customHeight="1" outlineLevel="1" x14ac:dyDescent="0.25">
      <c r="A268" s="117"/>
      <c r="B268" s="118"/>
      <c r="C268" s="117"/>
      <c r="D268" s="79">
        <v>2025</v>
      </c>
      <c r="E268" s="8">
        <v>0</v>
      </c>
      <c r="F268" s="8">
        <v>0</v>
      </c>
      <c r="G268" s="8">
        <v>0</v>
      </c>
      <c r="H268" s="8">
        <v>0</v>
      </c>
      <c r="I268" s="8">
        <v>0</v>
      </c>
      <c r="J268" s="117"/>
      <c r="K268" s="117"/>
      <c r="M268" s="55"/>
      <c r="N268" s="55"/>
      <c r="O268" s="55"/>
      <c r="P268" s="55"/>
    </row>
    <row r="269" spans="1:16" ht="19.5" customHeight="1" outlineLevel="1" x14ac:dyDescent="0.25">
      <c r="A269" s="117"/>
      <c r="B269" s="118"/>
      <c r="C269" s="117"/>
      <c r="D269" s="68">
        <v>2026</v>
      </c>
      <c r="E269" s="8">
        <f t="shared" si="27"/>
        <v>0</v>
      </c>
      <c r="F269" s="8">
        <v>0</v>
      </c>
      <c r="G269" s="8">
        <v>0</v>
      </c>
      <c r="H269" s="8">
        <v>0</v>
      </c>
      <c r="I269" s="8">
        <v>0</v>
      </c>
      <c r="J269" s="117"/>
      <c r="K269" s="117"/>
    </row>
    <row r="270" spans="1:16" ht="14.25" customHeight="1" outlineLevel="1" x14ac:dyDescent="0.25">
      <c r="A270" s="117" t="s">
        <v>532</v>
      </c>
      <c r="B270" s="118" t="s">
        <v>533</v>
      </c>
      <c r="C270" s="117" t="s">
        <v>828</v>
      </c>
      <c r="D270" s="68" t="s">
        <v>8</v>
      </c>
      <c r="E270" s="8">
        <f t="shared" si="27"/>
        <v>368.27599999999995</v>
      </c>
      <c r="F270" s="8">
        <f>SUM(F271:F276)</f>
        <v>368.27599999999995</v>
      </c>
      <c r="G270" s="8">
        <f>SUM(G271:G276)</f>
        <v>0</v>
      </c>
      <c r="H270" s="8">
        <f>SUM(H271:H276)</f>
        <v>0</v>
      </c>
      <c r="I270" s="8">
        <f>SUM(I271:I276)</f>
        <v>0</v>
      </c>
      <c r="J270" s="117" t="s">
        <v>534</v>
      </c>
      <c r="K270" s="117" t="s">
        <v>92</v>
      </c>
    </row>
    <row r="271" spans="1:16" ht="13.5" customHeight="1" outlineLevel="1" x14ac:dyDescent="0.25">
      <c r="A271" s="117"/>
      <c r="B271" s="118"/>
      <c r="C271" s="117"/>
      <c r="D271" s="68">
        <v>2021</v>
      </c>
      <c r="E271" s="8">
        <f t="shared" si="27"/>
        <v>150.887</v>
      </c>
      <c r="F271" s="8">
        <v>150.887</v>
      </c>
      <c r="G271" s="8">
        <v>0</v>
      </c>
      <c r="H271" s="8">
        <v>0</v>
      </c>
      <c r="I271" s="8">
        <v>0</v>
      </c>
      <c r="J271" s="117"/>
      <c r="K271" s="117"/>
    </row>
    <row r="272" spans="1:16" ht="13.5" customHeight="1" outlineLevel="1" x14ac:dyDescent="0.25">
      <c r="A272" s="117"/>
      <c r="B272" s="118"/>
      <c r="C272" s="117"/>
      <c r="D272" s="68">
        <v>2022</v>
      </c>
      <c r="E272" s="8">
        <f t="shared" si="27"/>
        <v>82.956999999999994</v>
      </c>
      <c r="F272" s="8">
        <v>82.956999999999994</v>
      </c>
      <c r="G272" s="8">
        <v>0</v>
      </c>
      <c r="H272" s="8">
        <v>0</v>
      </c>
      <c r="I272" s="8">
        <v>0</v>
      </c>
      <c r="J272" s="117"/>
      <c r="K272" s="117"/>
    </row>
    <row r="273" spans="1:16" ht="13.5" customHeight="1" outlineLevel="1" x14ac:dyDescent="0.25">
      <c r="A273" s="117"/>
      <c r="B273" s="118"/>
      <c r="C273" s="117"/>
      <c r="D273" s="68">
        <v>2023</v>
      </c>
      <c r="E273" s="8">
        <f t="shared" si="27"/>
        <v>134.43199999999999</v>
      </c>
      <c r="F273" s="8">
        <v>134.43199999999999</v>
      </c>
      <c r="G273" s="8">
        <v>0</v>
      </c>
      <c r="H273" s="8">
        <v>0</v>
      </c>
      <c r="I273" s="8">
        <v>0</v>
      </c>
      <c r="J273" s="117"/>
      <c r="K273" s="117"/>
      <c r="M273" s="55" t="s">
        <v>1742</v>
      </c>
    </row>
    <row r="274" spans="1:16" ht="13.5" customHeight="1" outlineLevel="1" x14ac:dyDescent="0.25">
      <c r="A274" s="117"/>
      <c r="B274" s="118"/>
      <c r="C274" s="117"/>
      <c r="D274" s="68">
        <v>2024</v>
      </c>
      <c r="E274" s="8">
        <f t="shared" si="27"/>
        <v>0</v>
      </c>
      <c r="F274" s="8">
        <v>0</v>
      </c>
      <c r="G274" s="8">
        <v>0</v>
      </c>
      <c r="H274" s="8">
        <v>0</v>
      </c>
      <c r="I274" s="8">
        <v>0</v>
      </c>
      <c r="J274" s="117"/>
      <c r="K274" s="117"/>
    </row>
    <row r="275" spans="1:16" s="80" customFormat="1" ht="13.5" customHeight="1" outlineLevel="1" x14ac:dyDescent="0.25">
      <c r="A275" s="117"/>
      <c r="B275" s="118"/>
      <c r="C275" s="117"/>
      <c r="D275" s="79">
        <v>2025</v>
      </c>
      <c r="E275" s="8">
        <v>0</v>
      </c>
      <c r="F275" s="8">
        <v>0</v>
      </c>
      <c r="G275" s="8">
        <v>0</v>
      </c>
      <c r="H275" s="8">
        <v>0</v>
      </c>
      <c r="I275" s="8">
        <v>0</v>
      </c>
      <c r="J275" s="117"/>
      <c r="K275" s="117"/>
      <c r="M275" s="55"/>
      <c r="N275" s="55"/>
      <c r="O275" s="55"/>
      <c r="P275" s="55"/>
    </row>
    <row r="276" spans="1:16" ht="19.5" customHeight="1" outlineLevel="1" x14ac:dyDescent="0.25">
      <c r="A276" s="117"/>
      <c r="B276" s="118"/>
      <c r="C276" s="117"/>
      <c r="D276" s="68">
        <v>2026</v>
      </c>
      <c r="E276" s="8">
        <f t="shared" si="27"/>
        <v>0</v>
      </c>
      <c r="F276" s="8">
        <v>0</v>
      </c>
      <c r="G276" s="8">
        <v>0</v>
      </c>
      <c r="H276" s="8">
        <v>0</v>
      </c>
      <c r="I276" s="8">
        <v>0</v>
      </c>
      <c r="J276" s="117"/>
      <c r="K276" s="117"/>
    </row>
    <row r="277" spans="1:16" ht="16.5" customHeight="1" outlineLevel="1" x14ac:dyDescent="0.25">
      <c r="A277" s="117" t="s">
        <v>535</v>
      </c>
      <c r="B277" s="118" t="s">
        <v>536</v>
      </c>
      <c r="C277" s="117" t="s">
        <v>828</v>
      </c>
      <c r="D277" s="68" t="s">
        <v>8</v>
      </c>
      <c r="E277" s="8">
        <f t="shared" si="27"/>
        <v>595</v>
      </c>
      <c r="F277" s="8">
        <f>SUM(F278:F283)</f>
        <v>595</v>
      </c>
      <c r="G277" s="8">
        <f>SUM(G278:G283)</f>
        <v>0</v>
      </c>
      <c r="H277" s="8">
        <f>SUM(H278:H283)</f>
        <v>0</v>
      </c>
      <c r="I277" s="8">
        <f>SUM(I278:I283)</f>
        <v>0</v>
      </c>
      <c r="J277" s="117" t="s">
        <v>838</v>
      </c>
      <c r="K277" s="117" t="s">
        <v>531</v>
      </c>
    </row>
    <row r="278" spans="1:16" ht="16.5" customHeight="1" outlineLevel="1" x14ac:dyDescent="0.25">
      <c r="A278" s="117"/>
      <c r="B278" s="118"/>
      <c r="C278" s="117"/>
      <c r="D278" s="68">
        <v>2021</v>
      </c>
      <c r="E278" s="8">
        <f t="shared" si="27"/>
        <v>595</v>
      </c>
      <c r="F278" s="8">
        <v>595</v>
      </c>
      <c r="G278" s="8">
        <v>0</v>
      </c>
      <c r="H278" s="8">
        <v>0</v>
      </c>
      <c r="I278" s="8">
        <v>0</v>
      </c>
      <c r="J278" s="117"/>
      <c r="K278" s="117"/>
    </row>
    <row r="279" spans="1:16" ht="16.5" customHeight="1" outlineLevel="1" x14ac:dyDescent="0.25">
      <c r="A279" s="117"/>
      <c r="B279" s="118"/>
      <c r="C279" s="117"/>
      <c r="D279" s="68">
        <v>2022</v>
      </c>
      <c r="E279" s="8">
        <f t="shared" si="27"/>
        <v>0</v>
      </c>
      <c r="F279" s="8">
        <v>0</v>
      </c>
      <c r="G279" s="8">
        <v>0</v>
      </c>
      <c r="H279" s="8">
        <v>0</v>
      </c>
      <c r="I279" s="8">
        <v>0</v>
      </c>
      <c r="J279" s="117"/>
      <c r="K279" s="117"/>
    </row>
    <row r="280" spans="1:16" ht="16.5" customHeight="1" outlineLevel="1" x14ac:dyDescent="0.25">
      <c r="A280" s="117"/>
      <c r="B280" s="118"/>
      <c r="C280" s="117"/>
      <c r="D280" s="68">
        <v>2023</v>
      </c>
      <c r="E280" s="8">
        <f t="shared" si="27"/>
        <v>0</v>
      </c>
      <c r="F280" s="8">
        <v>0</v>
      </c>
      <c r="G280" s="8">
        <v>0</v>
      </c>
      <c r="H280" s="8">
        <v>0</v>
      </c>
      <c r="I280" s="8">
        <v>0</v>
      </c>
      <c r="J280" s="117"/>
      <c r="K280" s="117"/>
    </row>
    <row r="281" spans="1:16" ht="16.5" customHeight="1" outlineLevel="1" x14ac:dyDescent="0.25">
      <c r="A281" s="117"/>
      <c r="B281" s="118"/>
      <c r="C281" s="117"/>
      <c r="D281" s="68">
        <v>2024</v>
      </c>
      <c r="E281" s="8">
        <f t="shared" si="27"/>
        <v>0</v>
      </c>
      <c r="F281" s="8">
        <v>0</v>
      </c>
      <c r="G281" s="8">
        <v>0</v>
      </c>
      <c r="H281" s="8">
        <v>0</v>
      </c>
      <c r="I281" s="8">
        <v>0</v>
      </c>
      <c r="J281" s="117"/>
      <c r="K281" s="117"/>
    </row>
    <row r="282" spans="1:16" s="80" customFormat="1" ht="16.5" customHeight="1" outlineLevel="1" x14ac:dyDescent="0.25">
      <c r="A282" s="117"/>
      <c r="B282" s="118"/>
      <c r="C282" s="117"/>
      <c r="D282" s="79">
        <v>2025</v>
      </c>
      <c r="E282" s="8">
        <v>0</v>
      </c>
      <c r="F282" s="8">
        <v>0</v>
      </c>
      <c r="G282" s="8">
        <v>0</v>
      </c>
      <c r="H282" s="8">
        <v>0</v>
      </c>
      <c r="I282" s="8">
        <v>0</v>
      </c>
      <c r="J282" s="117"/>
      <c r="K282" s="117"/>
      <c r="M282" s="55"/>
      <c r="N282" s="55"/>
      <c r="O282" s="55"/>
      <c r="P282" s="55"/>
    </row>
    <row r="283" spans="1:16" ht="16.5" customHeight="1" outlineLevel="1" x14ac:dyDescent="0.25">
      <c r="A283" s="117"/>
      <c r="B283" s="118"/>
      <c r="C283" s="117"/>
      <c r="D283" s="68">
        <v>2026</v>
      </c>
      <c r="E283" s="8">
        <f t="shared" si="27"/>
        <v>0</v>
      </c>
      <c r="F283" s="8">
        <v>0</v>
      </c>
      <c r="G283" s="8">
        <v>0</v>
      </c>
      <c r="H283" s="8">
        <v>0</v>
      </c>
      <c r="I283" s="8">
        <v>0</v>
      </c>
      <c r="J283" s="117"/>
      <c r="K283" s="117"/>
    </row>
    <row r="284" spans="1:16" ht="16.5" customHeight="1" outlineLevel="1" x14ac:dyDescent="0.25">
      <c r="A284" s="117" t="s">
        <v>609</v>
      </c>
      <c r="B284" s="118" t="s">
        <v>610</v>
      </c>
      <c r="C284" s="117" t="s">
        <v>828</v>
      </c>
      <c r="D284" s="68" t="s">
        <v>8</v>
      </c>
      <c r="E284" s="8">
        <f t="shared" si="27"/>
        <v>8626</v>
      </c>
      <c r="F284" s="8">
        <f>SUM(F285:F290)</f>
        <v>8626</v>
      </c>
      <c r="G284" s="8">
        <f>SUM(G285:G290)</f>
        <v>0</v>
      </c>
      <c r="H284" s="8">
        <f>SUM(H285:H290)</f>
        <v>0</v>
      </c>
      <c r="I284" s="8">
        <f>SUM(I285:I290)</f>
        <v>0</v>
      </c>
      <c r="J284" s="117" t="s">
        <v>611</v>
      </c>
      <c r="K284" s="117" t="s">
        <v>563</v>
      </c>
    </row>
    <row r="285" spans="1:16" ht="16.5" customHeight="1" outlineLevel="1" x14ac:dyDescent="0.25">
      <c r="A285" s="117"/>
      <c r="B285" s="118"/>
      <c r="C285" s="117"/>
      <c r="D285" s="68">
        <v>2021</v>
      </c>
      <c r="E285" s="8">
        <f t="shared" si="27"/>
        <v>8626</v>
      </c>
      <c r="F285" s="8">
        <v>8626</v>
      </c>
      <c r="G285" s="8">
        <v>0</v>
      </c>
      <c r="H285" s="8">
        <v>0</v>
      </c>
      <c r="I285" s="8">
        <v>0</v>
      </c>
      <c r="J285" s="117"/>
      <c r="K285" s="117"/>
    </row>
    <row r="286" spans="1:16" ht="16.5" customHeight="1" outlineLevel="1" x14ac:dyDescent="0.25">
      <c r="A286" s="117"/>
      <c r="B286" s="118"/>
      <c r="C286" s="117"/>
      <c r="D286" s="68">
        <v>2022</v>
      </c>
      <c r="E286" s="8">
        <f t="shared" si="27"/>
        <v>0</v>
      </c>
      <c r="F286" s="8">
        <v>0</v>
      </c>
      <c r="G286" s="8">
        <v>0</v>
      </c>
      <c r="H286" s="8">
        <v>0</v>
      </c>
      <c r="I286" s="8">
        <v>0</v>
      </c>
      <c r="J286" s="117"/>
      <c r="K286" s="117"/>
    </row>
    <row r="287" spans="1:16" ht="16.5" customHeight="1" outlineLevel="1" x14ac:dyDescent="0.25">
      <c r="A287" s="117"/>
      <c r="B287" s="118"/>
      <c r="C287" s="117"/>
      <c r="D287" s="68">
        <v>2023</v>
      </c>
      <c r="E287" s="8">
        <f t="shared" si="27"/>
        <v>0</v>
      </c>
      <c r="F287" s="8">
        <v>0</v>
      </c>
      <c r="G287" s="8">
        <v>0</v>
      </c>
      <c r="H287" s="8">
        <v>0</v>
      </c>
      <c r="I287" s="8">
        <v>0</v>
      </c>
      <c r="J287" s="117"/>
      <c r="K287" s="117"/>
    </row>
    <row r="288" spans="1:16" ht="16.5" customHeight="1" outlineLevel="1" x14ac:dyDescent="0.25">
      <c r="A288" s="117"/>
      <c r="B288" s="118"/>
      <c r="C288" s="117"/>
      <c r="D288" s="68">
        <v>2024</v>
      </c>
      <c r="E288" s="8">
        <f t="shared" si="27"/>
        <v>0</v>
      </c>
      <c r="F288" s="8">
        <v>0</v>
      </c>
      <c r="G288" s="8">
        <v>0</v>
      </c>
      <c r="H288" s="8">
        <v>0</v>
      </c>
      <c r="I288" s="8">
        <v>0</v>
      </c>
      <c r="J288" s="117"/>
      <c r="K288" s="117"/>
    </row>
    <row r="289" spans="1:16" s="80" customFormat="1" ht="16.5" customHeight="1" outlineLevel="1" x14ac:dyDescent="0.25">
      <c r="A289" s="117"/>
      <c r="B289" s="118"/>
      <c r="C289" s="117"/>
      <c r="D289" s="79">
        <v>2025</v>
      </c>
      <c r="E289" s="8">
        <v>0</v>
      </c>
      <c r="F289" s="8">
        <v>0</v>
      </c>
      <c r="G289" s="8">
        <v>0</v>
      </c>
      <c r="H289" s="8">
        <v>0</v>
      </c>
      <c r="I289" s="8">
        <v>0</v>
      </c>
      <c r="J289" s="117"/>
      <c r="K289" s="117"/>
      <c r="M289" s="55"/>
      <c r="N289" s="55"/>
      <c r="O289" s="55"/>
      <c r="P289" s="55"/>
    </row>
    <row r="290" spans="1:16" ht="16.5" customHeight="1" outlineLevel="1" x14ac:dyDescent="0.25">
      <c r="A290" s="117"/>
      <c r="B290" s="118"/>
      <c r="C290" s="117"/>
      <c r="D290" s="68">
        <v>2026</v>
      </c>
      <c r="E290" s="8">
        <f t="shared" si="27"/>
        <v>0</v>
      </c>
      <c r="F290" s="8">
        <v>0</v>
      </c>
      <c r="G290" s="8">
        <v>0</v>
      </c>
      <c r="H290" s="8">
        <v>0</v>
      </c>
      <c r="I290" s="8">
        <v>0</v>
      </c>
      <c r="J290" s="117"/>
      <c r="K290" s="117"/>
    </row>
    <row r="291" spans="1:16" ht="16.5" customHeight="1" outlineLevel="1" x14ac:dyDescent="0.25">
      <c r="A291" s="117" t="s">
        <v>839</v>
      </c>
      <c r="B291" s="118" t="s">
        <v>1137</v>
      </c>
      <c r="C291" s="117" t="s">
        <v>828</v>
      </c>
      <c r="D291" s="68" t="s">
        <v>8</v>
      </c>
      <c r="E291" s="8">
        <f t="shared" si="27"/>
        <v>35337.443999999996</v>
      </c>
      <c r="F291" s="8">
        <f>SUM(F292:F297)</f>
        <v>35337.443999999996</v>
      </c>
      <c r="G291" s="8">
        <f>SUM(G292:G297)</f>
        <v>0</v>
      </c>
      <c r="H291" s="8">
        <f>SUM(H292:H297)</f>
        <v>0</v>
      </c>
      <c r="I291" s="8">
        <f>SUM(I292:I297)</f>
        <v>0</v>
      </c>
      <c r="J291" s="117" t="s">
        <v>1138</v>
      </c>
      <c r="K291" s="117" t="s">
        <v>1139</v>
      </c>
    </row>
    <row r="292" spans="1:16" ht="16.5" customHeight="1" outlineLevel="1" x14ac:dyDescent="0.25">
      <c r="A292" s="117"/>
      <c r="B292" s="118"/>
      <c r="C292" s="117"/>
      <c r="D292" s="68">
        <v>2021</v>
      </c>
      <c r="E292" s="8">
        <f t="shared" si="27"/>
        <v>0</v>
      </c>
      <c r="F292" s="8">
        <v>0</v>
      </c>
      <c r="G292" s="8">
        <v>0</v>
      </c>
      <c r="H292" s="8">
        <v>0</v>
      </c>
      <c r="I292" s="8">
        <v>0</v>
      </c>
      <c r="J292" s="117"/>
      <c r="K292" s="117"/>
    </row>
    <row r="293" spans="1:16" ht="16.5" customHeight="1" outlineLevel="1" x14ac:dyDescent="0.25">
      <c r="A293" s="117"/>
      <c r="B293" s="118"/>
      <c r="C293" s="117"/>
      <c r="D293" s="68">
        <v>2022</v>
      </c>
      <c r="E293" s="8">
        <f t="shared" si="27"/>
        <v>35337.442999999999</v>
      </c>
      <c r="F293" s="8">
        <f>22000+1017.443+12000+13089.787+320-13089.787</f>
        <v>35337.442999999999</v>
      </c>
      <c r="G293" s="8">
        <v>0</v>
      </c>
      <c r="H293" s="8">
        <v>0</v>
      </c>
      <c r="I293" s="8">
        <v>0</v>
      </c>
      <c r="J293" s="117"/>
      <c r="K293" s="117"/>
    </row>
    <row r="294" spans="1:16" ht="16.5" customHeight="1" outlineLevel="1" x14ac:dyDescent="0.25">
      <c r="A294" s="117"/>
      <c r="B294" s="118"/>
      <c r="C294" s="117"/>
      <c r="D294" s="68">
        <v>2023</v>
      </c>
      <c r="E294" s="8">
        <f t="shared" si="27"/>
        <v>9.9999999991950972E-4</v>
      </c>
      <c r="F294" s="8">
        <f>5000-4863.17-136.829</f>
        <v>9.9999999991950972E-4</v>
      </c>
      <c r="G294" s="8">
        <v>0</v>
      </c>
      <c r="H294" s="8">
        <v>0</v>
      </c>
      <c r="I294" s="8">
        <v>0</v>
      </c>
      <c r="J294" s="117"/>
      <c r="K294" s="117"/>
    </row>
    <row r="295" spans="1:16" ht="16.5" customHeight="1" outlineLevel="1" x14ac:dyDescent="0.25">
      <c r="A295" s="117"/>
      <c r="B295" s="118"/>
      <c r="C295" s="117"/>
      <c r="D295" s="68">
        <v>2024</v>
      </c>
      <c r="E295" s="8">
        <f t="shared" si="27"/>
        <v>0</v>
      </c>
      <c r="F295" s="8">
        <v>0</v>
      </c>
      <c r="G295" s="8">
        <v>0</v>
      </c>
      <c r="H295" s="8">
        <v>0</v>
      </c>
      <c r="I295" s="8">
        <v>0</v>
      </c>
      <c r="J295" s="117"/>
      <c r="K295" s="117"/>
    </row>
    <row r="296" spans="1:16" s="80" customFormat="1" ht="16.5" customHeight="1" outlineLevel="1" x14ac:dyDescent="0.25">
      <c r="A296" s="117"/>
      <c r="B296" s="118"/>
      <c r="C296" s="117"/>
      <c r="D296" s="79">
        <v>2025</v>
      </c>
      <c r="E296" s="8">
        <v>0</v>
      </c>
      <c r="F296" s="8">
        <v>0</v>
      </c>
      <c r="G296" s="8">
        <v>0</v>
      </c>
      <c r="H296" s="8">
        <v>0</v>
      </c>
      <c r="I296" s="8">
        <v>0</v>
      </c>
      <c r="J296" s="117"/>
      <c r="K296" s="117"/>
      <c r="M296" s="55"/>
      <c r="N296" s="55"/>
      <c r="O296" s="55"/>
      <c r="P296" s="55"/>
    </row>
    <row r="297" spans="1:16" ht="16.5" customHeight="1" outlineLevel="1" x14ac:dyDescent="0.25">
      <c r="A297" s="117"/>
      <c r="B297" s="118"/>
      <c r="C297" s="117"/>
      <c r="D297" s="68">
        <v>2026</v>
      </c>
      <c r="E297" s="8">
        <f t="shared" si="27"/>
        <v>0</v>
      </c>
      <c r="F297" s="8">
        <v>0</v>
      </c>
      <c r="G297" s="8">
        <v>0</v>
      </c>
      <c r="H297" s="8">
        <v>0</v>
      </c>
      <c r="I297" s="8">
        <v>0</v>
      </c>
      <c r="J297" s="117"/>
      <c r="K297" s="117"/>
    </row>
    <row r="298" spans="1:16" ht="16.5" customHeight="1" outlineLevel="1" x14ac:dyDescent="0.25">
      <c r="A298" s="117" t="s">
        <v>843</v>
      </c>
      <c r="B298" s="118" t="s">
        <v>844</v>
      </c>
      <c r="C298" s="117" t="s">
        <v>828</v>
      </c>
      <c r="D298" s="68" t="s">
        <v>8</v>
      </c>
      <c r="E298" s="8">
        <f t="shared" si="27"/>
        <v>534</v>
      </c>
      <c r="F298" s="8">
        <f>SUM(F299:F304)</f>
        <v>534</v>
      </c>
      <c r="G298" s="8">
        <f>SUM(G299:G304)</f>
        <v>0</v>
      </c>
      <c r="H298" s="8">
        <f>SUM(H299:H304)</f>
        <v>0</v>
      </c>
      <c r="I298" s="8">
        <f>SUM(I299:I304)</f>
        <v>0</v>
      </c>
      <c r="J298" s="117" t="s">
        <v>845</v>
      </c>
      <c r="K298" s="117" t="s">
        <v>1140</v>
      </c>
    </row>
    <row r="299" spans="1:16" ht="16.5" customHeight="1" outlineLevel="1" x14ac:dyDescent="0.25">
      <c r="A299" s="117"/>
      <c r="B299" s="118"/>
      <c r="C299" s="117"/>
      <c r="D299" s="68">
        <v>2021</v>
      </c>
      <c r="E299" s="8">
        <f t="shared" si="27"/>
        <v>534</v>
      </c>
      <c r="F299" s="8">
        <v>534</v>
      </c>
      <c r="G299" s="8">
        <v>0</v>
      </c>
      <c r="H299" s="8">
        <v>0</v>
      </c>
      <c r="I299" s="8">
        <v>0</v>
      </c>
      <c r="J299" s="117"/>
      <c r="K299" s="117"/>
    </row>
    <row r="300" spans="1:16" ht="16.5" customHeight="1" outlineLevel="1" x14ac:dyDescent="0.25">
      <c r="A300" s="117"/>
      <c r="B300" s="118"/>
      <c r="C300" s="117"/>
      <c r="D300" s="68">
        <v>2022</v>
      </c>
      <c r="E300" s="8">
        <f t="shared" si="27"/>
        <v>0</v>
      </c>
      <c r="F300" s="8">
        <v>0</v>
      </c>
      <c r="G300" s="8">
        <v>0</v>
      </c>
      <c r="H300" s="8">
        <v>0</v>
      </c>
      <c r="I300" s="8">
        <v>0</v>
      </c>
      <c r="J300" s="117"/>
      <c r="K300" s="117"/>
      <c r="N300" s="55" t="s">
        <v>1053</v>
      </c>
    </row>
    <row r="301" spans="1:16" ht="16.5" customHeight="1" outlineLevel="1" x14ac:dyDescent="0.25">
      <c r="A301" s="117"/>
      <c r="B301" s="118"/>
      <c r="C301" s="117"/>
      <c r="D301" s="68">
        <v>2023</v>
      </c>
      <c r="E301" s="8">
        <f t="shared" si="27"/>
        <v>0</v>
      </c>
      <c r="F301" s="8">
        <v>0</v>
      </c>
      <c r="G301" s="8">
        <v>0</v>
      </c>
      <c r="H301" s="8">
        <v>0</v>
      </c>
      <c r="I301" s="8">
        <v>0</v>
      </c>
      <c r="J301" s="117"/>
      <c r="K301" s="117"/>
    </row>
    <row r="302" spans="1:16" ht="16.5" customHeight="1" outlineLevel="1" x14ac:dyDescent="0.25">
      <c r="A302" s="117"/>
      <c r="B302" s="118"/>
      <c r="C302" s="117"/>
      <c r="D302" s="68">
        <v>2024</v>
      </c>
      <c r="E302" s="8">
        <f t="shared" ref="E302:E380" si="28">SUM(F302:I302)</f>
        <v>0</v>
      </c>
      <c r="F302" s="8">
        <v>0</v>
      </c>
      <c r="G302" s="8">
        <v>0</v>
      </c>
      <c r="H302" s="8">
        <v>0</v>
      </c>
      <c r="I302" s="8">
        <v>0</v>
      </c>
      <c r="J302" s="117"/>
      <c r="K302" s="117"/>
    </row>
    <row r="303" spans="1:16" s="80" customFormat="1" ht="16.5" customHeight="1" outlineLevel="1" x14ac:dyDescent="0.25">
      <c r="A303" s="117"/>
      <c r="B303" s="118"/>
      <c r="C303" s="117"/>
      <c r="D303" s="79">
        <v>2025</v>
      </c>
      <c r="E303" s="8">
        <v>0</v>
      </c>
      <c r="F303" s="8">
        <v>0</v>
      </c>
      <c r="G303" s="8">
        <v>0</v>
      </c>
      <c r="H303" s="8">
        <v>0</v>
      </c>
      <c r="I303" s="8">
        <v>0</v>
      </c>
      <c r="J303" s="117"/>
      <c r="K303" s="117"/>
      <c r="M303" s="55"/>
      <c r="N303" s="55"/>
      <c r="O303" s="55"/>
      <c r="P303" s="55"/>
    </row>
    <row r="304" spans="1:16" ht="16.5" customHeight="1" outlineLevel="1" x14ac:dyDescent="0.25">
      <c r="A304" s="117"/>
      <c r="B304" s="118"/>
      <c r="C304" s="117"/>
      <c r="D304" s="68">
        <v>2026</v>
      </c>
      <c r="E304" s="8">
        <f t="shared" si="28"/>
        <v>0</v>
      </c>
      <c r="F304" s="8">
        <v>0</v>
      </c>
      <c r="G304" s="8">
        <v>0</v>
      </c>
      <c r="H304" s="8">
        <v>0</v>
      </c>
      <c r="I304" s="8">
        <v>0</v>
      </c>
      <c r="J304" s="117"/>
      <c r="K304" s="117"/>
    </row>
    <row r="305" spans="1:16" ht="16.5" customHeight="1" outlineLevel="1" x14ac:dyDescent="0.25">
      <c r="A305" s="117" t="s">
        <v>846</v>
      </c>
      <c r="B305" s="118" t="s">
        <v>847</v>
      </c>
      <c r="C305" s="117" t="s">
        <v>828</v>
      </c>
      <c r="D305" s="68" t="s">
        <v>8</v>
      </c>
      <c r="E305" s="8">
        <f t="shared" si="28"/>
        <v>194</v>
      </c>
      <c r="F305" s="8">
        <f>SUM(F306:F311)</f>
        <v>194</v>
      </c>
      <c r="G305" s="8">
        <f>SUM(G306:G311)</f>
        <v>0</v>
      </c>
      <c r="H305" s="8">
        <f>SUM(H306:H311)</f>
        <v>0</v>
      </c>
      <c r="I305" s="8">
        <f>SUM(I306:I311)</f>
        <v>0</v>
      </c>
      <c r="J305" s="117" t="s">
        <v>848</v>
      </c>
      <c r="K305" s="117" t="s">
        <v>484</v>
      </c>
    </row>
    <row r="306" spans="1:16" ht="16.5" customHeight="1" outlineLevel="1" x14ac:dyDescent="0.25">
      <c r="A306" s="117"/>
      <c r="B306" s="118"/>
      <c r="C306" s="117"/>
      <c r="D306" s="68">
        <v>2021</v>
      </c>
      <c r="E306" s="8">
        <f t="shared" si="28"/>
        <v>194</v>
      </c>
      <c r="F306" s="8">
        <v>194</v>
      </c>
      <c r="G306" s="8">
        <v>0</v>
      </c>
      <c r="H306" s="8">
        <v>0</v>
      </c>
      <c r="I306" s="8">
        <v>0</v>
      </c>
      <c r="J306" s="117"/>
      <c r="K306" s="117"/>
    </row>
    <row r="307" spans="1:16" ht="16.5" customHeight="1" outlineLevel="1" x14ac:dyDescent="0.25">
      <c r="A307" s="117"/>
      <c r="B307" s="118"/>
      <c r="C307" s="117"/>
      <c r="D307" s="68">
        <v>2022</v>
      </c>
      <c r="E307" s="8">
        <f t="shared" si="28"/>
        <v>0</v>
      </c>
      <c r="F307" s="8">
        <v>0</v>
      </c>
      <c r="G307" s="8">
        <v>0</v>
      </c>
      <c r="H307" s="8">
        <v>0</v>
      </c>
      <c r="I307" s="8">
        <v>0</v>
      </c>
      <c r="J307" s="117"/>
      <c r="K307" s="117"/>
    </row>
    <row r="308" spans="1:16" ht="16.5" customHeight="1" outlineLevel="1" x14ac:dyDescent="0.25">
      <c r="A308" s="117"/>
      <c r="B308" s="118"/>
      <c r="C308" s="117"/>
      <c r="D308" s="68">
        <v>2023</v>
      </c>
      <c r="E308" s="8">
        <f t="shared" si="28"/>
        <v>0</v>
      </c>
      <c r="F308" s="8">
        <v>0</v>
      </c>
      <c r="G308" s="8">
        <v>0</v>
      </c>
      <c r="H308" s="8">
        <v>0</v>
      </c>
      <c r="I308" s="8">
        <v>0</v>
      </c>
      <c r="J308" s="117"/>
      <c r="K308" s="117"/>
    </row>
    <row r="309" spans="1:16" ht="16.5" customHeight="1" outlineLevel="1" x14ac:dyDescent="0.25">
      <c r="A309" s="117"/>
      <c r="B309" s="118"/>
      <c r="C309" s="117"/>
      <c r="D309" s="68">
        <v>2024</v>
      </c>
      <c r="E309" s="8">
        <f t="shared" si="28"/>
        <v>0</v>
      </c>
      <c r="F309" s="8">
        <v>0</v>
      </c>
      <c r="G309" s="8">
        <v>0</v>
      </c>
      <c r="H309" s="8">
        <v>0</v>
      </c>
      <c r="I309" s="8">
        <v>0</v>
      </c>
      <c r="J309" s="117"/>
      <c r="K309" s="117"/>
    </row>
    <row r="310" spans="1:16" s="80" customFormat="1" ht="16.5" customHeight="1" outlineLevel="1" x14ac:dyDescent="0.25">
      <c r="A310" s="117"/>
      <c r="B310" s="118"/>
      <c r="C310" s="117"/>
      <c r="D310" s="79">
        <v>2025</v>
      </c>
      <c r="E310" s="8">
        <v>0</v>
      </c>
      <c r="F310" s="8">
        <v>0</v>
      </c>
      <c r="G310" s="8">
        <v>0</v>
      </c>
      <c r="H310" s="8">
        <v>0</v>
      </c>
      <c r="I310" s="8">
        <v>0</v>
      </c>
      <c r="J310" s="117"/>
      <c r="K310" s="117"/>
      <c r="M310" s="55"/>
      <c r="N310" s="55"/>
      <c r="O310" s="55"/>
      <c r="P310" s="55"/>
    </row>
    <row r="311" spans="1:16" ht="16.5" customHeight="1" outlineLevel="1" x14ac:dyDescent="0.25">
      <c r="A311" s="117"/>
      <c r="B311" s="118"/>
      <c r="C311" s="117"/>
      <c r="D311" s="68">
        <v>2026</v>
      </c>
      <c r="E311" s="8">
        <f t="shared" si="28"/>
        <v>0</v>
      </c>
      <c r="F311" s="8">
        <v>0</v>
      </c>
      <c r="G311" s="8">
        <v>0</v>
      </c>
      <c r="H311" s="8">
        <v>0</v>
      </c>
      <c r="I311" s="8">
        <v>0</v>
      </c>
      <c r="J311" s="117"/>
      <c r="K311" s="117"/>
    </row>
    <row r="312" spans="1:16" ht="16.5" customHeight="1" outlineLevel="1" x14ac:dyDescent="0.25">
      <c r="A312" s="117" t="s">
        <v>849</v>
      </c>
      <c r="B312" s="118" t="s">
        <v>850</v>
      </c>
      <c r="C312" s="117" t="s">
        <v>1777</v>
      </c>
      <c r="D312" s="68" t="s">
        <v>8</v>
      </c>
      <c r="E312" s="8">
        <f t="shared" si="28"/>
        <v>1800</v>
      </c>
      <c r="F312" s="8">
        <f>SUM(F313:F318)</f>
        <v>1800</v>
      </c>
      <c r="G312" s="8">
        <f>SUM(G313:G318)</f>
        <v>0</v>
      </c>
      <c r="H312" s="8">
        <f>SUM(H313:H318)</f>
        <v>0</v>
      </c>
      <c r="I312" s="8">
        <f>SUM(I313:I318)</f>
        <v>0</v>
      </c>
      <c r="J312" s="117" t="s">
        <v>1141</v>
      </c>
      <c r="K312" s="117" t="s">
        <v>484</v>
      </c>
    </row>
    <row r="313" spans="1:16" ht="16.5" customHeight="1" outlineLevel="1" x14ac:dyDescent="0.25">
      <c r="A313" s="117"/>
      <c r="B313" s="118"/>
      <c r="C313" s="117"/>
      <c r="D313" s="68">
        <v>2021</v>
      </c>
      <c r="E313" s="8">
        <f t="shared" si="28"/>
        <v>0</v>
      </c>
      <c r="F313" s="8">
        <v>0</v>
      </c>
      <c r="G313" s="8">
        <v>0</v>
      </c>
      <c r="H313" s="8">
        <v>0</v>
      </c>
      <c r="I313" s="8">
        <v>0</v>
      </c>
      <c r="J313" s="117"/>
      <c r="K313" s="117"/>
    </row>
    <row r="314" spans="1:16" ht="16.5" customHeight="1" outlineLevel="1" x14ac:dyDescent="0.25">
      <c r="A314" s="117"/>
      <c r="B314" s="118"/>
      <c r="C314" s="117"/>
      <c r="D314" s="68">
        <v>2022</v>
      </c>
      <c r="E314" s="8">
        <v>900</v>
      </c>
      <c r="F314" s="8">
        <v>900</v>
      </c>
      <c r="G314" s="8">
        <v>0</v>
      </c>
      <c r="H314" s="8">
        <v>0</v>
      </c>
      <c r="I314" s="8">
        <v>0</v>
      </c>
      <c r="J314" s="117"/>
      <c r="K314" s="117"/>
    </row>
    <row r="315" spans="1:16" ht="16.5" customHeight="1" outlineLevel="1" x14ac:dyDescent="0.25">
      <c r="A315" s="117"/>
      <c r="B315" s="118"/>
      <c r="C315" s="117"/>
      <c r="D315" s="68">
        <v>2023</v>
      </c>
      <c r="E315" s="8">
        <f t="shared" si="28"/>
        <v>900</v>
      </c>
      <c r="F315" s="8">
        <v>900</v>
      </c>
      <c r="G315" s="8">
        <v>0</v>
      </c>
      <c r="H315" s="8">
        <v>0</v>
      </c>
      <c r="I315" s="8">
        <v>0</v>
      </c>
      <c r="J315" s="117"/>
      <c r="K315" s="117"/>
    </row>
    <row r="316" spans="1:16" ht="16.5" customHeight="1" outlineLevel="1" x14ac:dyDescent="0.25">
      <c r="A316" s="117"/>
      <c r="B316" s="118"/>
      <c r="C316" s="117"/>
      <c r="D316" s="68">
        <v>2024</v>
      </c>
      <c r="E316" s="8">
        <f t="shared" si="28"/>
        <v>0</v>
      </c>
      <c r="F316" s="8">
        <v>0</v>
      </c>
      <c r="G316" s="8">
        <v>0</v>
      </c>
      <c r="H316" s="8">
        <v>0</v>
      </c>
      <c r="I316" s="8">
        <v>0</v>
      </c>
      <c r="J316" s="117"/>
      <c r="K316" s="117"/>
    </row>
    <row r="317" spans="1:16" s="80" customFormat="1" ht="16.5" customHeight="1" outlineLevel="1" x14ac:dyDescent="0.25">
      <c r="A317" s="117"/>
      <c r="B317" s="118"/>
      <c r="C317" s="117"/>
      <c r="D317" s="79">
        <v>2025</v>
      </c>
      <c r="E317" s="8">
        <v>0</v>
      </c>
      <c r="F317" s="8">
        <v>0</v>
      </c>
      <c r="G317" s="8">
        <v>0</v>
      </c>
      <c r="H317" s="8">
        <v>0</v>
      </c>
      <c r="I317" s="8">
        <v>0</v>
      </c>
      <c r="J317" s="117"/>
      <c r="K317" s="117"/>
      <c r="M317" s="55"/>
      <c r="N317" s="55"/>
      <c r="O317" s="55"/>
      <c r="P317" s="55"/>
    </row>
    <row r="318" spans="1:16" ht="16.5" customHeight="1" outlineLevel="1" x14ac:dyDescent="0.25">
      <c r="A318" s="117"/>
      <c r="B318" s="118"/>
      <c r="C318" s="117"/>
      <c r="D318" s="68">
        <v>2026</v>
      </c>
      <c r="E318" s="8">
        <f t="shared" si="28"/>
        <v>0</v>
      </c>
      <c r="F318" s="8">
        <v>0</v>
      </c>
      <c r="G318" s="8">
        <v>0</v>
      </c>
      <c r="H318" s="8">
        <v>0</v>
      </c>
      <c r="I318" s="8">
        <v>0</v>
      </c>
      <c r="J318" s="117"/>
      <c r="K318" s="117"/>
    </row>
    <row r="319" spans="1:16" ht="16.5" customHeight="1" outlineLevel="1" x14ac:dyDescent="0.25">
      <c r="A319" s="108" t="s">
        <v>852</v>
      </c>
      <c r="B319" s="108" t="s">
        <v>1142</v>
      </c>
      <c r="C319" s="108" t="s">
        <v>1777</v>
      </c>
      <c r="D319" s="68" t="s">
        <v>8</v>
      </c>
      <c r="E319" s="8">
        <f t="shared" si="28"/>
        <v>156751.31353000001</v>
      </c>
      <c r="F319" s="8">
        <f>SUM(F321:F325)</f>
        <v>156751.31353000001</v>
      </c>
      <c r="G319" s="8">
        <f>SUM(G320:G324)</f>
        <v>0</v>
      </c>
      <c r="H319" s="8">
        <f>SUM(H320:H324)</f>
        <v>0</v>
      </c>
      <c r="I319" s="8">
        <f>SUM(I320:I324)</f>
        <v>0</v>
      </c>
      <c r="J319" s="108" t="s">
        <v>1142</v>
      </c>
      <c r="K319" s="108" t="s">
        <v>597</v>
      </c>
    </row>
    <row r="320" spans="1:16" ht="16.5" customHeight="1" outlineLevel="1" x14ac:dyDescent="0.25">
      <c r="A320" s="109"/>
      <c r="B320" s="109"/>
      <c r="C320" s="109"/>
      <c r="D320" s="68">
        <v>2021</v>
      </c>
      <c r="E320" s="8">
        <f t="shared" si="28"/>
        <v>0</v>
      </c>
      <c r="F320" s="8">
        <v>0</v>
      </c>
      <c r="G320" s="8">
        <v>0</v>
      </c>
      <c r="H320" s="8">
        <v>0</v>
      </c>
      <c r="I320" s="8">
        <v>0</v>
      </c>
      <c r="J320" s="109"/>
      <c r="K320" s="109"/>
    </row>
    <row r="321" spans="1:16" ht="16.5" customHeight="1" outlineLevel="1" x14ac:dyDescent="0.25">
      <c r="A321" s="109"/>
      <c r="B321" s="109"/>
      <c r="C321" s="109"/>
      <c r="D321" s="68">
        <v>2022</v>
      </c>
      <c r="E321" s="8">
        <f t="shared" si="28"/>
        <v>24779.228999999999</v>
      </c>
      <c r="F321" s="8">
        <v>24779.228999999999</v>
      </c>
      <c r="G321" s="8">
        <v>0</v>
      </c>
      <c r="H321" s="8">
        <v>0</v>
      </c>
      <c r="I321" s="8">
        <v>0</v>
      </c>
      <c r="J321" s="109"/>
      <c r="K321" s="109"/>
    </row>
    <row r="322" spans="1:16" ht="16.5" customHeight="1" outlineLevel="1" x14ac:dyDescent="0.25">
      <c r="A322" s="109"/>
      <c r="B322" s="109"/>
      <c r="C322" s="109"/>
      <c r="D322" s="68">
        <v>2023</v>
      </c>
      <c r="E322" s="8">
        <f t="shared" si="28"/>
        <v>35051.025000000001</v>
      </c>
      <c r="F322" s="8">
        <f>25184.8+5003.055+4863.17</f>
        <v>35051.025000000001</v>
      </c>
      <c r="G322" s="8">
        <v>0</v>
      </c>
      <c r="H322" s="8">
        <v>0</v>
      </c>
      <c r="I322" s="8">
        <v>0</v>
      </c>
      <c r="J322" s="109"/>
      <c r="K322" s="109"/>
    </row>
    <row r="323" spans="1:16" ht="16.5" customHeight="1" outlineLevel="1" x14ac:dyDescent="0.25">
      <c r="A323" s="109"/>
      <c r="B323" s="109"/>
      <c r="C323" s="109"/>
      <c r="D323" s="68">
        <v>2024</v>
      </c>
      <c r="E323" s="8">
        <f t="shared" si="28"/>
        <v>39294.720789999999</v>
      </c>
      <c r="F323" s="8">
        <v>39294.720789999999</v>
      </c>
      <c r="G323" s="8">
        <v>0</v>
      </c>
      <c r="H323" s="8">
        <v>0</v>
      </c>
      <c r="I323" s="8">
        <v>0</v>
      </c>
      <c r="J323" s="109"/>
      <c r="K323" s="109"/>
    </row>
    <row r="324" spans="1:16" ht="16.5" customHeight="1" outlineLevel="1" x14ac:dyDescent="0.25">
      <c r="A324" s="109"/>
      <c r="B324" s="109"/>
      <c r="C324" s="109"/>
      <c r="D324" s="68">
        <v>2025</v>
      </c>
      <c r="E324" s="8">
        <f t="shared" si="28"/>
        <v>28813.16937</v>
      </c>
      <c r="F324" s="8">
        <v>28813.16937</v>
      </c>
      <c r="G324" s="8">
        <v>0</v>
      </c>
      <c r="H324" s="8">
        <v>0</v>
      </c>
      <c r="I324" s="8">
        <v>0</v>
      </c>
      <c r="J324" s="109"/>
      <c r="K324" s="109"/>
    </row>
    <row r="325" spans="1:16" ht="16.5" customHeight="1" outlineLevel="1" x14ac:dyDescent="0.25">
      <c r="A325" s="110"/>
      <c r="B325" s="110"/>
      <c r="C325" s="110"/>
      <c r="D325" s="68">
        <v>2026</v>
      </c>
      <c r="E325" s="8">
        <f>SUM(F325:I325)</f>
        <v>28813.16937</v>
      </c>
      <c r="F325" s="8">
        <v>28813.16937</v>
      </c>
      <c r="G325" s="8"/>
      <c r="H325" s="8"/>
      <c r="I325" s="8"/>
      <c r="J325" s="110"/>
      <c r="K325" s="110"/>
    </row>
    <row r="326" spans="1:16" ht="16.5" customHeight="1" outlineLevel="1" x14ac:dyDescent="0.25">
      <c r="A326" s="117" t="s">
        <v>1143</v>
      </c>
      <c r="B326" s="118" t="s">
        <v>1144</v>
      </c>
      <c r="C326" s="108">
        <v>2022</v>
      </c>
      <c r="D326" s="68" t="s">
        <v>8</v>
      </c>
      <c r="E326" s="8">
        <f t="shared" si="28"/>
        <v>0</v>
      </c>
      <c r="F326" s="8">
        <f>SUM(F327:F332)</f>
        <v>0</v>
      </c>
      <c r="G326" s="8">
        <f>SUM(G327:G332)</f>
        <v>0</v>
      </c>
      <c r="H326" s="8">
        <f>SUM(H327:H332)</f>
        <v>0</v>
      </c>
      <c r="I326" s="8">
        <f>SUM(I327:I332)</f>
        <v>0</v>
      </c>
      <c r="J326" s="117" t="s">
        <v>1145</v>
      </c>
      <c r="K326" s="117" t="s">
        <v>1146</v>
      </c>
    </row>
    <row r="327" spans="1:16" ht="16.5" customHeight="1" outlineLevel="1" x14ac:dyDescent="0.25">
      <c r="A327" s="117"/>
      <c r="B327" s="118"/>
      <c r="C327" s="109"/>
      <c r="D327" s="68">
        <v>2021</v>
      </c>
      <c r="E327" s="8">
        <f t="shared" si="28"/>
        <v>0</v>
      </c>
      <c r="F327" s="8">
        <v>0</v>
      </c>
      <c r="G327" s="8">
        <v>0</v>
      </c>
      <c r="H327" s="8">
        <v>0</v>
      </c>
      <c r="I327" s="8">
        <v>0</v>
      </c>
      <c r="J327" s="117"/>
      <c r="K327" s="117"/>
    </row>
    <row r="328" spans="1:16" ht="16.5" customHeight="1" outlineLevel="1" x14ac:dyDescent="0.25">
      <c r="A328" s="117"/>
      <c r="B328" s="118"/>
      <c r="C328" s="109"/>
      <c r="D328" s="68">
        <v>2022</v>
      </c>
      <c r="E328" s="8">
        <f t="shared" si="28"/>
        <v>0</v>
      </c>
      <c r="F328" s="8">
        <v>0</v>
      </c>
      <c r="G328" s="8">
        <v>0</v>
      </c>
      <c r="H328" s="8">
        <v>0</v>
      </c>
      <c r="I328" s="8">
        <v>0</v>
      </c>
      <c r="J328" s="117"/>
      <c r="K328" s="117"/>
    </row>
    <row r="329" spans="1:16" ht="16.5" customHeight="1" outlineLevel="1" x14ac:dyDescent="0.25">
      <c r="A329" s="117"/>
      <c r="B329" s="118"/>
      <c r="C329" s="109"/>
      <c r="D329" s="68">
        <v>2023</v>
      </c>
      <c r="E329" s="8">
        <f t="shared" si="28"/>
        <v>0</v>
      </c>
      <c r="F329" s="8">
        <v>0</v>
      </c>
      <c r="G329" s="8">
        <v>0</v>
      </c>
      <c r="H329" s="8">
        <v>0</v>
      </c>
      <c r="I329" s="8">
        <v>0</v>
      </c>
      <c r="J329" s="117"/>
      <c r="K329" s="117"/>
    </row>
    <row r="330" spans="1:16" ht="16.5" customHeight="1" outlineLevel="1" x14ac:dyDescent="0.25">
      <c r="A330" s="117"/>
      <c r="B330" s="118"/>
      <c r="C330" s="109"/>
      <c r="D330" s="68">
        <v>2024</v>
      </c>
      <c r="E330" s="8">
        <f t="shared" si="28"/>
        <v>0</v>
      </c>
      <c r="F330" s="8">
        <v>0</v>
      </c>
      <c r="G330" s="8">
        <v>0</v>
      </c>
      <c r="H330" s="8">
        <v>0</v>
      </c>
      <c r="I330" s="8">
        <v>0</v>
      </c>
      <c r="J330" s="117"/>
      <c r="K330" s="117"/>
    </row>
    <row r="331" spans="1:16" s="80" customFormat="1" ht="16.5" customHeight="1" outlineLevel="1" x14ac:dyDescent="0.25">
      <c r="A331" s="117"/>
      <c r="B331" s="118"/>
      <c r="C331" s="109"/>
      <c r="D331" s="79">
        <v>2025</v>
      </c>
      <c r="E331" s="8">
        <v>0</v>
      </c>
      <c r="F331" s="8">
        <v>0</v>
      </c>
      <c r="G331" s="8">
        <v>0</v>
      </c>
      <c r="H331" s="8">
        <v>0</v>
      </c>
      <c r="I331" s="8">
        <v>0</v>
      </c>
      <c r="J331" s="117"/>
      <c r="K331" s="117"/>
      <c r="M331" s="55"/>
      <c r="N331" s="55"/>
      <c r="O331" s="55"/>
      <c r="P331" s="55"/>
    </row>
    <row r="332" spans="1:16" ht="16.5" customHeight="1" outlineLevel="1" x14ac:dyDescent="0.25">
      <c r="A332" s="117"/>
      <c r="B332" s="118"/>
      <c r="C332" s="110"/>
      <c r="D332" s="68">
        <v>2026</v>
      </c>
      <c r="E332" s="8">
        <f t="shared" si="28"/>
        <v>0</v>
      </c>
      <c r="F332" s="8">
        <v>0</v>
      </c>
      <c r="G332" s="8">
        <v>0</v>
      </c>
      <c r="H332" s="8">
        <v>0</v>
      </c>
      <c r="I332" s="8">
        <v>0</v>
      </c>
      <c r="J332" s="117"/>
      <c r="K332" s="117"/>
    </row>
    <row r="333" spans="1:16" ht="15.75" customHeight="1" outlineLevel="1" x14ac:dyDescent="0.25">
      <c r="A333" s="117" t="s">
        <v>1147</v>
      </c>
      <c r="B333" s="118" t="s">
        <v>1148</v>
      </c>
      <c r="C333" s="117">
        <v>2022</v>
      </c>
      <c r="D333" s="68" t="s">
        <v>8</v>
      </c>
      <c r="E333" s="8">
        <f t="shared" si="28"/>
        <v>17927.877</v>
      </c>
      <c r="F333" s="8">
        <f>SUM(F334:F339)</f>
        <v>17927.877</v>
      </c>
      <c r="G333" s="8">
        <f>SUM(G334:G339)</f>
        <v>0</v>
      </c>
      <c r="H333" s="8">
        <f>SUM(H334:H339)</f>
        <v>0</v>
      </c>
      <c r="I333" s="8">
        <f>SUM(I334:I339)</f>
        <v>0</v>
      </c>
      <c r="J333" s="117" t="s">
        <v>1149</v>
      </c>
      <c r="K333" s="117" t="s">
        <v>1150</v>
      </c>
    </row>
    <row r="334" spans="1:16" outlineLevel="1" x14ac:dyDescent="0.25">
      <c r="A334" s="117"/>
      <c r="B334" s="118"/>
      <c r="C334" s="117"/>
      <c r="D334" s="68">
        <v>2021</v>
      </c>
      <c r="E334" s="8">
        <f t="shared" si="28"/>
        <v>0</v>
      </c>
      <c r="F334" s="8">
        <v>0</v>
      </c>
      <c r="G334" s="8">
        <v>0</v>
      </c>
      <c r="H334" s="8">
        <v>0</v>
      </c>
      <c r="I334" s="8">
        <v>0</v>
      </c>
      <c r="J334" s="117"/>
      <c r="K334" s="117"/>
    </row>
    <row r="335" spans="1:16" outlineLevel="1" x14ac:dyDescent="0.25">
      <c r="A335" s="117"/>
      <c r="B335" s="118"/>
      <c r="C335" s="117"/>
      <c r="D335" s="68">
        <v>2022</v>
      </c>
      <c r="E335" s="8">
        <f t="shared" si="28"/>
        <v>17927.877</v>
      </c>
      <c r="F335" s="8">
        <v>17927.877</v>
      </c>
      <c r="G335" s="8">
        <v>0</v>
      </c>
      <c r="H335" s="8">
        <v>0</v>
      </c>
      <c r="I335" s="8">
        <v>0</v>
      </c>
      <c r="J335" s="117"/>
      <c r="K335" s="117"/>
    </row>
    <row r="336" spans="1:16" outlineLevel="1" x14ac:dyDescent="0.25">
      <c r="A336" s="117"/>
      <c r="B336" s="118"/>
      <c r="C336" s="117"/>
      <c r="D336" s="68">
        <v>2023</v>
      </c>
      <c r="E336" s="8">
        <f t="shared" si="28"/>
        <v>0</v>
      </c>
      <c r="F336" s="8">
        <v>0</v>
      </c>
      <c r="G336" s="8">
        <v>0</v>
      </c>
      <c r="H336" s="8">
        <v>0</v>
      </c>
      <c r="I336" s="8">
        <v>0</v>
      </c>
      <c r="J336" s="117"/>
      <c r="K336" s="117"/>
    </row>
    <row r="337" spans="1:16" outlineLevel="1" x14ac:dyDescent="0.25">
      <c r="A337" s="117"/>
      <c r="B337" s="118"/>
      <c r="C337" s="117"/>
      <c r="D337" s="68">
        <v>2024</v>
      </c>
      <c r="E337" s="8">
        <f t="shared" si="28"/>
        <v>0</v>
      </c>
      <c r="F337" s="8">
        <v>0</v>
      </c>
      <c r="G337" s="8">
        <v>0</v>
      </c>
      <c r="H337" s="8">
        <v>0</v>
      </c>
      <c r="I337" s="8">
        <v>0</v>
      </c>
      <c r="J337" s="117"/>
      <c r="K337" s="117"/>
    </row>
    <row r="338" spans="1:16" s="80" customFormat="1" outlineLevel="1" x14ac:dyDescent="0.25">
      <c r="A338" s="117"/>
      <c r="B338" s="118"/>
      <c r="C338" s="117"/>
      <c r="D338" s="79">
        <v>2025</v>
      </c>
      <c r="E338" s="8">
        <v>0</v>
      </c>
      <c r="F338" s="8">
        <v>0</v>
      </c>
      <c r="G338" s="8">
        <v>0</v>
      </c>
      <c r="H338" s="8">
        <v>0</v>
      </c>
      <c r="I338" s="8">
        <v>0</v>
      </c>
      <c r="J338" s="117"/>
      <c r="K338" s="117"/>
      <c r="M338" s="55"/>
      <c r="N338" s="55"/>
      <c r="O338" s="55"/>
      <c r="P338" s="55"/>
    </row>
    <row r="339" spans="1:16" outlineLevel="1" x14ac:dyDescent="0.25">
      <c r="A339" s="117"/>
      <c r="B339" s="118"/>
      <c r="C339" s="117"/>
      <c r="D339" s="68">
        <v>2026</v>
      </c>
      <c r="E339" s="8">
        <f t="shared" si="28"/>
        <v>0</v>
      </c>
      <c r="F339" s="8">
        <v>0</v>
      </c>
      <c r="G339" s="8">
        <v>0</v>
      </c>
      <c r="H339" s="8">
        <v>0</v>
      </c>
      <c r="I339" s="8">
        <v>0</v>
      </c>
      <c r="J339" s="117"/>
      <c r="K339" s="117"/>
    </row>
    <row r="340" spans="1:16" ht="15.75" customHeight="1" outlineLevel="1" x14ac:dyDescent="0.25">
      <c r="A340" s="117" t="s">
        <v>1151</v>
      </c>
      <c r="B340" s="118" t="s">
        <v>1152</v>
      </c>
      <c r="C340" s="117">
        <v>2022</v>
      </c>
      <c r="D340" s="68" t="s">
        <v>8</v>
      </c>
      <c r="E340" s="8">
        <f t="shared" si="28"/>
        <v>82491</v>
      </c>
      <c r="F340" s="8">
        <f>SUM(F341:F346)</f>
        <v>82491</v>
      </c>
      <c r="G340" s="8">
        <f>SUM(G341:G346)</f>
        <v>0</v>
      </c>
      <c r="H340" s="8">
        <f>SUM(H341:H346)</f>
        <v>0</v>
      </c>
      <c r="I340" s="8">
        <f>SUM(I341:I346)</f>
        <v>0</v>
      </c>
      <c r="J340" s="117" t="s">
        <v>1153</v>
      </c>
      <c r="K340" s="117" t="s">
        <v>597</v>
      </c>
    </row>
    <row r="341" spans="1:16" ht="15" customHeight="1" outlineLevel="1" x14ac:dyDescent="0.25">
      <c r="A341" s="117"/>
      <c r="B341" s="118"/>
      <c r="C341" s="117"/>
      <c r="D341" s="68">
        <v>2021</v>
      </c>
      <c r="E341" s="8">
        <f t="shared" si="28"/>
        <v>0</v>
      </c>
      <c r="F341" s="8">
        <v>0</v>
      </c>
      <c r="G341" s="8">
        <v>0</v>
      </c>
      <c r="H341" s="8">
        <v>0</v>
      </c>
      <c r="I341" s="8">
        <v>0</v>
      </c>
      <c r="J341" s="117"/>
      <c r="K341" s="117"/>
    </row>
    <row r="342" spans="1:16" ht="15" customHeight="1" outlineLevel="1" x14ac:dyDescent="0.25">
      <c r="A342" s="117"/>
      <c r="B342" s="118"/>
      <c r="C342" s="117"/>
      <c r="D342" s="68">
        <v>2022</v>
      </c>
      <c r="E342" s="8">
        <f t="shared" si="28"/>
        <v>82491</v>
      </c>
      <c r="F342" s="8">
        <f>56859.756+25631.244</f>
        <v>82491</v>
      </c>
      <c r="G342" s="8">
        <v>0</v>
      </c>
      <c r="H342" s="8">
        <v>0</v>
      </c>
      <c r="I342" s="8">
        <v>0</v>
      </c>
      <c r="J342" s="117"/>
      <c r="K342" s="117"/>
    </row>
    <row r="343" spans="1:16" ht="15" customHeight="1" outlineLevel="1" x14ac:dyDescent="0.25">
      <c r="A343" s="117"/>
      <c r="B343" s="118"/>
      <c r="C343" s="117"/>
      <c r="D343" s="68">
        <v>2023</v>
      </c>
      <c r="E343" s="8">
        <f t="shared" si="28"/>
        <v>0</v>
      </c>
      <c r="F343" s="8">
        <v>0</v>
      </c>
      <c r="G343" s="8">
        <v>0</v>
      </c>
      <c r="H343" s="8">
        <v>0</v>
      </c>
      <c r="I343" s="8">
        <v>0</v>
      </c>
      <c r="J343" s="117"/>
      <c r="K343" s="117"/>
    </row>
    <row r="344" spans="1:16" ht="15" customHeight="1" outlineLevel="1" x14ac:dyDescent="0.25">
      <c r="A344" s="117"/>
      <c r="B344" s="118"/>
      <c r="C344" s="117"/>
      <c r="D344" s="68">
        <v>2024</v>
      </c>
      <c r="E344" s="8">
        <f t="shared" si="28"/>
        <v>0</v>
      </c>
      <c r="F344" s="8">
        <v>0</v>
      </c>
      <c r="G344" s="8">
        <v>0</v>
      </c>
      <c r="H344" s="8">
        <v>0</v>
      </c>
      <c r="I344" s="8">
        <v>0</v>
      </c>
      <c r="J344" s="117"/>
      <c r="K344" s="117"/>
    </row>
    <row r="345" spans="1:16" s="80" customFormat="1" ht="15" customHeight="1" outlineLevel="1" x14ac:dyDescent="0.25">
      <c r="A345" s="117"/>
      <c r="B345" s="118"/>
      <c r="C345" s="117"/>
      <c r="D345" s="79">
        <v>2025</v>
      </c>
      <c r="E345" s="8">
        <v>0</v>
      </c>
      <c r="F345" s="8">
        <v>0</v>
      </c>
      <c r="G345" s="8">
        <v>0</v>
      </c>
      <c r="H345" s="8">
        <v>0</v>
      </c>
      <c r="I345" s="8">
        <v>0</v>
      </c>
      <c r="J345" s="117"/>
      <c r="K345" s="117"/>
      <c r="M345" s="55"/>
      <c r="N345" s="55"/>
      <c r="O345" s="55"/>
      <c r="P345" s="55"/>
    </row>
    <row r="346" spans="1:16" ht="15" customHeight="1" outlineLevel="1" x14ac:dyDescent="0.25">
      <c r="A346" s="117"/>
      <c r="B346" s="118"/>
      <c r="C346" s="117"/>
      <c r="D346" s="68">
        <v>2026</v>
      </c>
      <c r="E346" s="8">
        <f t="shared" si="28"/>
        <v>0</v>
      </c>
      <c r="F346" s="8">
        <v>0</v>
      </c>
      <c r="G346" s="8">
        <v>0</v>
      </c>
      <c r="H346" s="8">
        <v>0</v>
      </c>
      <c r="I346" s="8">
        <v>0</v>
      </c>
      <c r="J346" s="117"/>
      <c r="K346" s="117"/>
    </row>
    <row r="347" spans="1:16" outlineLevel="1" x14ac:dyDescent="0.25">
      <c r="A347" s="117" t="s">
        <v>1154</v>
      </c>
      <c r="B347" s="118" t="s">
        <v>1155</v>
      </c>
      <c r="C347" s="117">
        <v>2022</v>
      </c>
      <c r="D347" s="68" t="s">
        <v>8</v>
      </c>
      <c r="E347" s="8">
        <f t="shared" si="28"/>
        <v>0</v>
      </c>
      <c r="F347" s="8">
        <f>SUM(F348:F353)</f>
        <v>0</v>
      </c>
      <c r="G347" s="8">
        <f>SUM(G348:G353)</f>
        <v>0</v>
      </c>
      <c r="H347" s="8">
        <f>SUM(H348:H353)</f>
        <v>0</v>
      </c>
      <c r="I347" s="8">
        <f>SUM(I348:I353)</f>
        <v>0</v>
      </c>
      <c r="J347" s="117" t="s">
        <v>1156</v>
      </c>
      <c r="K347" s="117" t="s">
        <v>597</v>
      </c>
    </row>
    <row r="348" spans="1:16" outlineLevel="1" x14ac:dyDescent="0.25">
      <c r="A348" s="117"/>
      <c r="B348" s="118"/>
      <c r="C348" s="117"/>
      <c r="D348" s="68">
        <v>2021</v>
      </c>
      <c r="E348" s="8">
        <f t="shared" si="28"/>
        <v>0</v>
      </c>
      <c r="F348" s="8">
        <v>0</v>
      </c>
      <c r="G348" s="8">
        <v>0</v>
      </c>
      <c r="H348" s="8">
        <v>0</v>
      </c>
      <c r="I348" s="8">
        <v>0</v>
      </c>
      <c r="J348" s="117"/>
      <c r="K348" s="117"/>
    </row>
    <row r="349" spans="1:16" outlineLevel="1" x14ac:dyDescent="0.25">
      <c r="A349" s="117"/>
      <c r="B349" s="118"/>
      <c r="C349" s="117"/>
      <c r="D349" s="68">
        <v>2022</v>
      </c>
      <c r="E349" s="8">
        <f t="shared" si="28"/>
        <v>0</v>
      </c>
      <c r="F349" s="8">
        <v>0</v>
      </c>
      <c r="G349" s="8">
        <v>0</v>
      </c>
      <c r="H349" s="8">
        <v>0</v>
      </c>
      <c r="I349" s="8">
        <v>0</v>
      </c>
      <c r="J349" s="117"/>
      <c r="K349" s="117"/>
    </row>
    <row r="350" spans="1:16" outlineLevel="1" x14ac:dyDescent="0.25">
      <c r="A350" s="117"/>
      <c r="B350" s="118"/>
      <c r="C350" s="117"/>
      <c r="D350" s="68">
        <v>2023</v>
      </c>
      <c r="E350" s="8">
        <f t="shared" si="28"/>
        <v>0</v>
      </c>
      <c r="F350" s="8">
        <v>0</v>
      </c>
      <c r="G350" s="8">
        <v>0</v>
      </c>
      <c r="H350" s="8">
        <v>0</v>
      </c>
      <c r="I350" s="8">
        <v>0</v>
      </c>
      <c r="J350" s="117"/>
      <c r="K350" s="117"/>
    </row>
    <row r="351" spans="1:16" outlineLevel="1" x14ac:dyDescent="0.25">
      <c r="A351" s="117"/>
      <c r="B351" s="118"/>
      <c r="C351" s="117"/>
      <c r="D351" s="68">
        <v>2024</v>
      </c>
      <c r="E351" s="8">
        <f t="shared" si="28"/>
        <v>0</v>
      </c>
      <c r="F351" s="8">
        <v>0</v>
      </c>
      <c r="G351" s="8">
        <v>0</v>
      </c>
      <c r="H351" s="8">
        <v>0</v>
      </c>
      <c r="I351" s="8">
        <v>0</v>
      </c>
      <c r="J351" s="117"/>
      <c r="K351" s="117"/>
    </row>
    <row r="352" spans="1:16" s="80" customFormat="1" outlineLevel="1" x14ac:dyDescent="0.25">
      <c r="A352" s="117"/>
      <c r="B352" s="118"/>
      <c r="C352" s="117"/>
      <c r="D352" s="79">
        <v>2025</v>
      </c>
      <c r="E352" s="8">
        <v>0</v>
      </c>
      <c r="F352" s="8">
        <v>0</v>
      </c>
      <c r="G352" s="8">
        <v>0</v>
      </c>
      <c r="H352" s="8">
        <v>0</v>
      </c>
      <c r="I352" s="8">
        <v>0</v>
      </c>
      <c r="J352" s="117"/>
      <c r="K352" s="117"/>
      <c r="M352" s="55"/>
      <c r="N352" s="55"/>
      <c r="O352" s="55"/>
      <c r="P352" s="55"/>
    </row>
    <row r="353" spans="1:16" outlineLevel="1" x14ac:dyDescent="0.25">
      <c r="A353" s="117"/>
      <c r="B353" s="118"/>
      <c r="C353" s="117"/>
      <c r="D353" s="68">
        <v>2026</v>
      </c>
      <c r="E353" s="8">
        <f t="shared" si="28"/>
        <v>0</v>
      </c>
      <c r="F353" s="8">
        <v>0</v>
      </c>
      <c r="G353" s="8">
        <v>0</v>
      </c>
      <c r="H353" s="8">
        <v>0</v>
      </c>
      <c r="I353" s="8">
        <v>0</v>
      </c>
      <c r="J353" s="117"/>
      <c r="K353" s="117"/>
    </row>
    <row r="354" spans="1:16" outlineLevel="1" x14ac:dyDescent="0.25">
      <c r="A354" s="117" t="s">
        <v>1157</v>
      </c>
      <c r="B354" s="118" t="s">
        <v>1158</v>
      </c>
      <c r="C354" s="117" t="s">
        <v>1169</v>
      </c>
      <c r="D354" s="68" t="s">
        <v>8</v>
      </c>
      <c r="E354" s="8">
        <f t="shared" si="28"/>
        <v>8470.5329999999994</v>
      </c>
      <c r="F354" s="8">
        <f>SUM(F355:F360)</f>
        <v>8470.5329999999994</v>
      </c>
      <c r="G354" s="8">
        <f>SUM(G355:G360)</f>
        <v>0</v>
      </c>
      <c r="H354" s="8">
        <f>SUM(H355:H360)</f>
        <v>0</v>
      </c>
      <c r="I354" s="8">
        <f>SUM(I355:I360)</f>
        <v>0</v>
      </c>
      <c r="J354" s="117" t="s">
        <v>1159</v>
      </c>
      <c r="K354" s="117" t="s">
        <v>597</v>
      </c>
    </row>
    <row r="355" spans="1:16" outlineLevel="1" x14ac:dyDescent="0.25">
      <c r="A355" s="117"/>
      <c r="B355" s="118"/>
      <c r="C355" s="117"/>
      <c r="D355" s="68">
        <v>2021</v>
      </c>
      <c r="E355" s="8">
        <f t="shared" si="28"/>
        <v>0</v>
      </c>
      <c r="F355" s="8">
        <v>0</v>
      </c>
      <c r="G355" s="8">
        <v>0</v>
      </c>
      <c r="H355" s="8">
        <v>0</v>
      </c>
      <c r="I355" s="8">
        <v>0</v>
      </c>
      <c r="J355" s="117"/>
      <c r="K355" s="117"/>
    </row>
    <row r="356" spans="1:16" outlineLevel="1" x14ac:dyDescent="0.25">
      <c r="A356" s="117"/>
      <c r="B356" s="118"/>
      <c r="C356" s="117"/>
      <c r="D356" s="68">
        <v>2022</v>
      </c>
      <c r="E356" s="8">
        <f t="shared" si="28"/>
        <v>3486.1039999999998</v>
      </c>
      <c r="F356" s="8">
        <f>1682.37+32.07+1771.664</f>
        <v>3486.1039999999998</v>
      </c>
      <c r="G356" s="8">
        <v>0</v>
      </c>
      <c r="H356" s="8">
        <v>0</v>
      </c>
      <c r="I356" s="8">
        <v>0</v>
      </c>
      <c r="J356" s="117"/>
      <c r="K356" s="117"/>
    </row>
    <row r="357" spans="1:16" outlineLevel="1" x14ac:dyDescent="0.25">
      <c r="A357" s="117"/>
      <c r="B357" s="118"/>
      <c r="C357" s="117"/>
      <c r="D357" s="68">
        <v>2023</v>
      </c>
      <c r="E357" s="8">
        <f t="shared" si="28"/>
        <v>4984.4290000000001</v>
      </c>
      <c r="F357" s="8">
        <f>3628.395+1356.034</f>
        <v>4984.4290000000001</v>
      </c>
      <c r="G357" s="8">
        <v>0</v>
      </c>
      <c r="H357" s="8">
        <v>0</v>
      </c>
      <c r="I357" s="8">
        <v>0</v>
      </c>
      <c r="J357" s="117"/>
      <c r="K357" s="117"/>
    </row>
    <row r="358" spans="1:16" outlineLevel="1" x14ac:dyDescent="0.25">
      <c r="A358" s="117"/>
      <c r="B358" s="118"/>
      <c r="C358" s="117"/>
      <c r="D358" s="68">
        <v>2024</v>
      </c>
      <c r="E358" s="8">
        <f t="shared" si="28"/>
        <v>0</v>
      </c>
      <c r="F358" s="8">
        <v>0</v>
      </c>
      <c r="G358" s="8">
        <v>0</v>
      </c>
      <c r="H358" s="8">
        <v>0</v>
      </c>
      <c r="I358" s="8">
        <v>0</v>
      </c>
      <c r="J358" s="117"/>
      <c r="K358" s="117"/>
    </row>
    <row r="359" spans="1:16" s="80" customFormat="1" outlineLevel="1" x14ac:dyDescent="0.25">
      <c r="A359" s="117"/>
      <c r="B359" s="118"/>
      <c r="C359" s="117"/>
      <c r="D359" s="79">
        <v>2025</v>
      </c>
      <c r="E359" s="8">
        <v>0</v>
      </c>
      <c r="F359" s="8">
        <v>0</v>
      </c>
      <c r="G359" s="8">
        <v>0</v>
      </c>
      <c r="H359" s="8">
        <v>0</v>
      </c>
      <c r="I359" s="8">
        <v>0</v>
      </c>
      <c r="J359" s="117"/>
      <c r="K359" s="117"/>
      <c r="M359" s="55"/>
      <c r="N359" s="55"/>
      <c r="O359" s="55"/>
      <c r="P359" s="55"/>
    </row>
    <row r="360" spans="1:16" outlineLevel="1" x14ac:dyDescent="0.25">
      <c r="A360" s="117"/>
      <c r="B360" s="118"/>
      <c r="C360" s="117"/>
      <c r="D360" s="68">
        <v>2026</v>
      </c>
      <c r="E360" s="8">
        <f t="shared" si="28"/>
        <v>0</v>
      </c>
      <c r="F360" s="8">
        <v>0</v>
      </c>
      <c r="G360" s="8">
        <v>0</v>
      </c>
      <c r="H360" s="8">
        <v>0</v>
      </c>
      <c r="I360" s="8">
        <v>0</v>
      </c>
      <c r="J360" s="117"/>
      <c r="K360" s="117"/>
    </row>
    <row r="361" spans="1:16" ht="20.100000000000001" customHeight="1" outlineLevel="1" x14ac:dyDescent="0.25">
      <c r="A361" s="146" t="s">
        <v>1160</v>
      </c>
      <c r="B361" s="108" t="s">
        <v>1737</v>
      </c>
      <c r="C361" s="108" t="s">
        <v>828</v>
      </c>
      <c r="D361" s="68" t="s">
        <v>8</v>
      </c>
      <c r="E361" s="8">
        <f>SUM(E362:E367)</f>
        <v>20987.542999999998</v>
      </c>
      <c r="F361" s="8">
        <f>SUM(F362:F367)</f>
        <v>20987.542999999998</v>
      </c>
      <c r="G361" s="8">
        <f>SUM(G362:G367)</f>
        <v>0</v>
      </c>
      <c r="H361" s="8">
        <f>SUM(H362:H367)</f>
        <v>0</v>
      </c>
      <c r="I361" s="8">
        <f>SUM(I362:I367)</f>
        <v>0</v>
      </c>
      <c r="J361" s="108" t="s">
        <v>1161</v>
      </c>
      <c r="K361" s="108" t="s">
        <v>1162</v>
      </c>
    </row>
    <row r="362" spans="1:16" ht="20.100000000000001" customHeight="1" outlineLevel="1" x14ac:dyDescent="0.25">
      <c r="A362" s="147"/>
      <c r="B362" s="109"/>
      <c r="C362" s="109"/>
      <c r="D362" s="68">
        <v>2021</v>
      </c>
      <c r="E362" s="8">
        <f t="shared" ref="E362:E367" si="29">SUM(F362:I362)</f>
        <v>0</v>
      </c>
      <c r="F362" s="8">
        <v>0</v>
      </c>
      <c r="G362" s="8">
        <v>0</v>
      </c>
      <c r="H362" s="8">
        <v>0</v>
      </c>
      <c r="I362" s="8">
        <v>0</v>
      </c>
      <c r="J362" s="109"/>
      <c r="K362" s="109"/>
    </row>
    <row r="363" spans="1:16" ht="20.100000000000001" customHeight="1" outlineLevel="1" x14ac:dyDescent="0.25">
      <c r="A363" s="147"/>
      <c r="B363" s="109"/>
      <c r="C363" s="109"/>
      <c r="D363" s="68">
        <v>2022</v>
      </c>
      <c r="E363" s="8">
        <f t="shared" si="29"/>
        <v>0</v>
      </c>
      <c r="F363" s="8">
        <v>0</v>
      </c>
      <c r="G363" s="8">
        <v>0</v>
      </c>
      <c r="H363" s="8">
        <v>0</v>
      </c>
      <c r="I363" s="8">
        <v>0</v>
      </c>
      <c r="J363" s="109"/>
      <c r="K363" s="109"/>
    </row>
    <row r="364" spans="1:16" ht="20.100000000000001" customHeight="1" outlineLevel="1" x14ac:dyDescent="0.25">
      <c r="A364" s="147"/>
      <c r="B364" s="109"/>
      <c r="C364" s="109"/>
      <c r="D364" s="68">
        <v>2023</v>
      </c>
      <c r="E364" s="8">
        <f t="shared" si="29"/>
        <v>13037.137999999999</v>
      </c>
      <c r="F364" s="8">
        <f>16200.622-1807.45-1356.034</f>
        <v>13037.137999999999</v>
      </c>
      <c r="G364" s="8">
        <v>0</v>
      </c>
      <c r="H364" s="8">
        <v>0</v>
      </c>
      <c r="I364" s="8">
        <v>0</v>
      </c>
      <c r="J364" s="109"/>
      <c r="K364" s="109"/>
    </row>
    <row r="365" spans="1:16" ht="20.100000000000001" customHeight="1" outlineLevel="1" x14ac:dyDescent="0.25">
      <c r="A365" s="147"/>
      <c r="B365" s="109"/>
      <c r="C365" s="109"/>
      <c r="D365" s="68">
        <v>2024</v>
      </c>
      <c r="E365" s="8">
        <f t="shared" si="29"/>
        <v>7950.4049999999997</v>
      </c>
      <c r="F365" s="8">
        <v>7950.4049999999997</v>
      </c>
      <c r="G365" s="8">
        <v>0</v>
      </c>
      <c r="H365" s="8">
        <v>0</v>
      </c>
      <c r="I365" s="8">
        <v>0</v>
      </c>
      <c r="J365" s="109"/>
      <c r="K365" s="109"/>
    </row>
    <row r="366" spans="1:16" s="80" customFormat="1" ht="20.100000000000001" customHeight="1" outlineLevel="1" x14ac:dyDescent="0.25">
      <c r="A366" s="147"/>
      <c r="B366" s="109"/>
      <c r="C366" s="109"/>
      <c r="D366" s="79">
        <v>2025</v>
      </c>
      <c r="E366" s="8">
        <v>0</v>
      </c>
      <c r="F366" s="8">
        <v>0</v>
      </c>
      <c r="G366" s="8">
        <v>0</v>
      </c>
      <c r="H366" s="8">
        <v>0</v>
      </c>
      <c r="I366" s="8">
        <v>0</v>
      </c>
      <c r="J366" s="109"/>
      <c r="K366" s="109"/>
      <c r="M366" s="55"/>
      <c r="N366" s="55"/>
      <c r="O366" s="55"/>
      <c r="P366" s="55"/>
    </row>
    <row r="367" spans="1:16" ht="20.100000000000001" customHeight="1" outlineLevel="1" x14ac:dyDescent="0.25">
      <c r="A367" s="147"/>
      <c r="B367" s="109"/>
      <c r="C367" s="109"/>
      <c r="D367" s="68">
        <v>2026</v>
      </c>
      <c r="E367" s="8">
        <f t="shared" si="29"/>
        <v>0</v>
      </c>
      <c r="F367" s="8">
        <v>0</v>
      </c>
      <c r="G367" s="8">
        <v>0</v>
      </c>
      <c r="H367" s="8">
        <v>0</v>
      </c>
      <c r="I367" s="8">
        <v>0</v>
      </c>
      <c r="J367" s="109"/>
      <c r="K367" s="109"/>
    </row>
    <row r="368" spans="1:16" ht="20.100000000000001" customHeight="1" outlineLevel="1" x14ac:dyDescent="0.25">
      <c r="A368" s="152" t="s">
        <v>1769</v>
      </c>
      <c r="B368" s="118" t="s">
        <v>1770</v>
      </c>
      <c r="C368" s="108" t="s">
        <v>14</v>
      </c>
      <c r="D368" s="68" t="s">
        <v>8</v>
      </c>
      <c r="E368" s="8">
        <f>SUM(E369:E374)</f>
        <v>80000</v>
      </c>
      <c r="F368" s="8">
        <f>SUM(F369:F374)</f>
        <v>80000</v>
      </c>
      <c r="G368" s="8">
        <f>SUM(G369:G374)</f>
        <v>0</v>
      </c>
      <c r="H368" s="8">
        <f>SUM(H369:H374)</f>
        <v>0</v>
      </c>
      <c r="I368" s="8">
        <f>SUM(I369:I374)</f>
        <v>0</v>
      </c>
      <c r="J368" s="117" t="s">
        <v>1771</v>
      </c>
      <c r="K368" s="117" t="s">
        <v>1162</v>
      </c>
    </row>
    <row r="369" spans="1:16" ht="20.100000000000001" customHeight="1" outlineLevel="1" x14ac:dyDescent="0.25">
      <c r="A369" s="152"/>
      <c r="B369" s="118"/>
      <c r="C369" s="109"/>
      <c r="D369" s="68">
        <v>2021</v>
      </c>
      <c r="E369" s="8">
        <f t="shared" ref="E369:E374" si="30">SUM(F369:I369)</f>
        <v>0</v>
      </c>
      <c r="F369" s="8">
        <v>0</v>
      </c>
      <c r="G369" s="8">
        <v>0</v>
      </c>
      <c r="H369" s="8">
        <v>0</v>
      </c>
      <c r="I369" s="8">
        <v>0</v>
      </c>
      <c r="J369" s="117"/>
      <c r="K369" s="117"/>
    </row>
    <row r="370" spans="1:16" ht="20.100000000000001" customHeight="1" outlineLevel="1" x14ac:dyDescent="0.25">
      <c r="A370" s="152"/>
      <c r="B370" s="118"/>
      <c r="C370" s="109"/>
      <c r="D370" s="68">
        <v>2022</v>
      </c>
      <c r="E370" s="8">
        <f t="shared" si="30"/>
        <v>0</v>
      </c>
      <c r="F370" s="8">
        <v>0</v>
      </c>
      <c r="G370" s="8">
        <v>0</v>
      </c>
      <c r="H370" s="8">
        <v>0</v>
      </c>
      <c r="I370" s="8">
        <v>0</v>
      </c>
      <c r="J370" s="117"/>
      <c r="K370" s="117"/>
    </row>
    <row r="371" spans="1:16" ht="20.100000000000001" customHeight="1" outlineLevel="1" x14ac:dyDescent="0.25">
      <c r="A371" s="152"/>
      <c r="B371" s="118"/>
      <c r="C371" s="109"/>
      <c r="D371" s="68">
        <v>2023</v>
      </c>
      <c r="E371" s="8">
        <f t="shared" si="30"/>
        <v>0</v>
      </c>
      <c r="F371" s="8">
        <v>0</v>
      </c>
      <c r="G371" s="8">
        <v>0</v>
      </c>
      <c r="H371" s="8">
        <v>0</v>
      </c>
      <c r="I371" s="8">
        <v>0</v>
      </c>
      <c r="J371" s="117"/>
      <c r="K371" s="117"/>
    </row>
    <row r="372" spans="1:16" ht="20.100000000000001" customHeight="1" outlineLevel="1" x14ac:dyDescent="0.25">
      <c r="A372" s="152"/>
      <c r="B372" s="118"/>
      <c r="C372" s="109"/>
      <c r="D372" s="68">
        <v>2024</v>
      </c>
      <c r="E372" s="8">
        <f t="shared" si="30"/>
        <v>80000</v>
      </c>
      <c r="F372" s="8">
        <v>80000</v>
      </c>
      <c r="G372" s="8">
        <v>0</v>
      </c>
      <c r="H372" s="8">
        <v>0</v>
      </c>
      <c r="I372" s="8">
        <v>0</v>
      </c>
      <c r="J372" s="117"/>
      <c r="K372" s="117"/>
    </row>
    <row r="373" spans="1:16" s="80" customFormat="1" ht="20.100000000000001" customHeight="1" outlineLevel="1" x14ac:dyDescent="0.25">
      <c r="A373" s="152"/>
      <c r="B373" s="118"/>
      <c r="C373" s="109"/>
      <c r="D373" s="79">
        <v>2025</v>
      </c>
      <c r="E373" s="8">
        <v>0</v>
      </c>
      <c r="F373" s="8">
        <v>0</v>
      </c>
      <c r="G373" s="8">
        <v>0</v>
      </c>
      <c r="H373" s="8">
        <v>0</v>
      </c>
      <c r="I373" s="8">
        <v>0</v>
      </c>
      <c r="J373" s="117"/>
      <c r="K373" s="117"/>
      <c r="M373" s="55"/>
      <c r="N373" s="55"/>
      <c r="O373" s="55"/>
      <c r="P373" s="55"/>
    </row>
    <row r="374" spans="1:16" ht="20.100000000000001" customHeight="1" outlineLevel="1" x14ac:dyDescent="0.25">
      <c r="A374" s="152"/>
      <c r="B374" s="118"/>
      <c r="C374" s="110"/>
      <c r="D374" s="68">
        <v>2026</v>
      </c>
      <c r="E374" s="8">
        <f t="shared" si="30"/>
        <v>0</v>
      </c>
      <c r="F374" s="8">
        <v>0</v>
      </c>
      <c r="G374" s="8">
        <v>0</v>
      </c>
      <c r="H374" s="8">
        <v>0</v>
      </c>
      <c r="I374" s="8">
        <v>0</v>
      </c>
      <c r="J374" s="117"/>
      <c r="K374" s="117"/>
    </row>
    <row r="375" spans="1:16" ht="36.75" customHeight="1" outlineLevel="1" x14ac:dyDescent="0.25">
      <c r="A375" s="108" t="s">
        <v>78</v>
      </c>
      <c r="B375" s="108" t="s">
        <v>538</v>
      </c>
      <c r="C375" s="108" t="s">
        <v>828</v>
      </c>
      <c r="D375" s="68" t="s">
        <v>8</v>
      </c>
      <c r="E375" s="8">
        <f t="shared" si="28"/>
        <v>374507.34684000001</v>
      </c>
      <c r="F375" s="8">
        <f>SUM(F376:F381)</f>
        <v>267600</v>
      </c>
      <c r="G375" s="8">
        <f>SUM(G376:G380)</f>
        <v>0</v>
      </c>
      <c r="H375" s="8">
        <f>SUM(H376:H381)</f>
        <v>106907.34684</v>
      </c>
      <c r="I375" s="8">
        <f>SUM(I376:I380)</f>
        <v>0</v>
      </c>
      <c r="J375" s="108" t="s">
        <v>539</v>
      </c>
      <c r="K375" s="108" t="s">
        <v>515</v>
      </c>
    </row>
    <row r="376" spans="1:16" ht="30.75" customHeight="1" outlineLevel="1" x14ac:dyDescent="0.25">
      <c r="A376" s="109"/>
      <c r="B376" s="109"/>
      <c r="C376" s="109"/>
      <c r="D376" s="68">
        <v>2021</v>
      </c>
      <c r="E376" s="8">
        <f t="shared" si="28"/>
        <v>54717.700210000003</v>
      </c>
      <c r="F376" s="8">
        <f t="shared" ref="F376:I379" si="31">F390+F383</f>
        <v>41400</v>
      </c>
      <c r="G376" s="8">
        <f t="shared" si="31"/>
        <v>0</v>
      </c>
      <c r="H376" s="8">
        <f t="shared" si="31"/>
        <v>13317.700210000001</v>
      </c>
      <c r="I376" s="8">
        <f t="shared" si="31"/>
        <v>0</v>
      </c>
      <c r="J376" s="109"/>
      <c r="K376" s="109"/>
    </row>
    <row r="377" spans="1:16" ht="40.5" customHeight="1" outlineLevel="1" x14ac:dyDescent="0.25">
      <c r="A377" s="109"/>
      <c r="B377" s="109"/>
      <c r="C377" s="109"/>
      <c r="D377" s="68">
        <v>2022</v>
      </c>
      <c r="E377" s="8">
        <f t="shared" si="28"/>
        <v>67577.179999999993</v>
      </c>
      <c r="F377" s="8">
        <f t="shared" si="31"/>
        <v>47800</v>
      </c>
      <c r="G377" s="8">
        <f t="shared" si="31"/>
        <v>0</v>
      </c>
      <c r="H377" s="8">
        <f t="shared" si="31"/>
        <v>19777.18</v>
      </c>
      <c r="I377" s="8">
        <f t="shared" si="31"/>
        <v>0</v>
      </c>
      <c r="J377" s="109"/>
      <c r="K377" s="109"/>
    </row>
    <row r="378" spans="1:16" ht="35.25" customHeight="1" outlineLevel="1" x14ac:dyDescent="0.25">
      <c r="A378" s="109"/>
      <c r="B378" s="109"/>
      <c r="C378" s="109"/>
      <c r="D378" s="68">
        <v>2023</v>
      </c>
      <c r="E378" s="8">
        <f t="shared" si="28"/>
        <v>67577.23</v>
      </c>
      <c r="F378" s="8">
        <f t="shared" si="31"/>
        <v>47800</v>
      </c>
      <c r="G378" s="8">
        <f t="shared" si="31"/>
        <v>0</v>
      </c>
      <c r="H378" s="8">
        <f t="shared" si="31"/>
        <v>19777.23</v>
      </c>
      <c r="I378" s="8">
        <f t="shared" si="31"/>
        <v>0</v>
      </c>
      <c r="J378" s="109"/>
      <c r="K378" s="109"/>
    </row>
    <row r="379" spans="1:16" ht="30" customHeight="1" outlineLevel="1" x14ac:dyDescent="0.25">
      <c r="A379" s="109"/>
      <c r="B379" s="109"/>
      <c r="C379" s="109"/>
      <c r="D379" s="68">
        <v>2024</v>
      </c>
      <c r="E379" s="8">
        <f t="shared" si="28"/>
        <v>68656.19</v>
      </c>
      <c r="F379" s="8">
        <f t="shared" si="31"/>
        <v>47800</v>
      </c>
      <c r="G379" s="8">
        <f t="shared" si="31"/>
        <v>0</v>
      </c>
      <c r="H379" s="8">
        <f t="shared" si="31"/>
        <v>20856.189999999999</v>
      </c>
      <c r="I379" s="8">
        <f t="shared" si="31"/>
        <v>0</v>
      </c>
      <c r="J379" s="109"/>
      <c r="K379" s="109"/>
    </row>
    <row r="380" spans="1:16" ht="33.75" customHeight="1" outlineLevel="1" x14ac:dyDescent="0.25">
      <c r="A380" s="109"/>
      <c r="B380" s="109"/>
      <c r="C380" s="109"/>
      <c r="D380" s="68">
        <v>2025</v>
      </c>
      <c r="E380" s="8">
        <f t="shared" si="28"/>
        <v>57989.523329999996</v>
      </c>
      <c r="F380" s="8">
        <f>F394+F388</f>
        <v>41400</v>
      </c>
      <c r="G380" s="8">
        <f>G394+G388</f>
        <v>0</v>
      </c>
      <c r="H380" s="8">
        <f>H394+H388</f>
        <v>16589.52333</v>
      </c>
      <c r="I380" s="8">
        <f>I394+I388</f>
        <v>0</v>
      </c>
      <c r="J380" s="109"/>
      <c r="K380" s="109"/>
    </row>
    <row r="381" spans="1:16" ht="21" customHeight="1" outlineLevel="1" x14ac:dyDescent="0.25">
      <c r="A381" s="110"/>
      <c r="B381" s="110"/>
      <c r="C381" s="110"/>
      <c r="D381" s="68">
        <v>2026</v>
      </c>
      <c r="E381" s="8">
        <f>SUM(F381:I381)</f>
        <v>57989.523300000001</v>
      </c>
      <c r="F381" s="8">
        <f>SUM(F395)</f>
        <v>41400</v>
      </c>
      <c r="G381" s="8">
        <f t="shared" ref="G381:I381" si="32">SUM(G395)</f>
        <v>0</v>
      </c>
      <c r="H381" s="8">
        <f t="shared" si="32"/>
        <v>16589.523300000001</v>
      </c>
      <c r="I381" s="8">
        <f t="shared" si="32"/>
        <v>0</v>
      </c>
      <c r="J381" s="110"/>
      <c r="K381" s="110"/>
    </row>
    <row r="382" spans="1:16" ht="17.100000000000001" customHeight="1" outlineLevel="1" x14ac:dyDescent="0.25">
      <c r="A382" s="108" t="s">
        <v>81</v>
      </c>
      <c r="B382" s="108" t="s">
        <v>82</v>
      </c>
      <c r="C382" s="108" t="s">
        <v>14</v>
      </c>
      <c r="D382" s="68" t="s">
        <v>8</v>
      </c>
      <c r="E382" s="8">
        <f>SUM(E383:E388)</f>
        <v>40159.935509999996</v>
      </c>
      <c r="F382" s="8">
        <f>SUM(F383:F388)</f>
        <v>25600</v>
      </c>
      <c r="G382" s="8">
        <f>SUM(G383:G388)</f>
        <v>0</v>
      </c>
      <c r="H382" s="8">
        <f>SUM(H383:H388)</f>
        <v>14559.935509999999</v>
      </c>
      <c r="I382" s="8">
        <f>SUM(I383:I388)</f>
        <v>0</v>
      </c>
      <c r="J382" s="108" t="s">
        <v>83</v>
      </c>
      <c r="K382" s="108" t="s">
        <v>515</v>
      </c>
    </row>
    <row r="383" spans="1:16" ht="27" customHeight="1" outlineLevel="1" x14ac:dyDescent="0.25">
      <c r="A383" s="109"/>
      <c r="B383" s="109"/>
      <c r="C383" s="109"/>
      <c r="D383" s="68">
        <v>2021</v>
      </c>
      <c r="E383" s="8">
        <f t="shared" ref="E383:E388" si="33">SUM(F383:I383)</f>
        <v>9800.9188400000003</v>
      </c>
      <c r="F383" s="8">
        <v>6400</v>
      </c>
      <c r="G383" s="8">
        <v>0</v>
      </c>
      <c r="H383" s="8">
        <v>3400.9188399999998</v>
      </c>
      <c r="I383" s="8">
        <v>0</v>
      </c>
      <c r="J383" s="109"/>
      <c r="K383" s="109"/>
    </row>
    <row r="384" spans="1:16" ht="23.25" customHeight="1" outlineLevel="1" x14ac:dyDescent="0.25">
      <c r="A384" s="109"/>
      <c r="B384" s="109"/>
      <c r="C384" s="109"/>
      <c r="D384" s="68">
        <v>2022</v>
      </c>
      <c r="E384" s="8">
        <f t="shared" si="33"/>
        <v>9846.15</v>
      </c>
      <c r="F384" s="8">
        <v>6400</v>
      </c>
      <c r="G384" s="8">
        <v>0</v>
      </c>
      <c r="H384" s="8">
        <v>3446.15</v>
      </c>
      <c r="I384" s="8">
        <v>0</v>
      </c>
      <c r="J384" s="109"/>
      <c r="K384" s="109"/>
    </row>
    <row r="385" spans="1:16" ht="25.5" customHeight="1" outlineLevel="1" x14ac:dyDescent="0.25">
      <c r="A385" s="109"/>
      <c r="B385" s="109"/>
      <c r="C385" s="109"/>
      <c r="D385" s="68">
        <v>2023</v>
      </c>
      <c r="E385" s="8">
        <f t="shared" si="33"/>
        <v>9846.2000000000007</v>
      </c>
      <c r="F385" s="8">
        <v>6400</v>
      </c>
      <c r="G385" s="8">
        <v>0</v>
      </c>
      <c r="H385" s="8">
        <v>3446.2</v>
      </c>
      <c r="I385" s="8">
        <v>0</v>
      </c>
      <c r="J385" s="109"/>
      <c r="K385" s="109"/>
    </row>
    <row r="386" spans="1:16" ht="25.5" customHeight="1" outlineLevel="1" x14ac:dyDescent="0.25">
      <c r="A386" s="109"/>
      <c r="B386" s="109"/>
      <c r="C386" s="109"/>
      <c r="D386" s="68">
        <v>2024</v>
      </c>
      <c r="E386" s="8">
        <f t="shared" si="33"/>
        <v>10666.666669999999</v>
      </c>
      <c r="F386" s="8">
        <v>6400</v>
      </c>
      <c r="G386" s="8">
        <v>0</v>
      </c>
      <c r="H386" s="8">
        <v>4266.6666699999996</v>
      </c>
      <c r="I386" s="8">
        <v>0</v>
      </c>
      <c r="J386" s="109"/>
      <c r="K386" s="109"/>
    </row>
    <row r="387" spans="1:16" s="80" customFormat="1" ht="25.5" customHeight="1" outlineLevel="1" x14ac:dyDescent="0.25">
      <c r="A387" s="109"/>
      <c r="B387" s="109"/>
      <c r="C387" s="109"/>
      <c r="D387" s="79">
        <v>2025</v>
      </c>
      <c r="E387" s="8">
        <v>0</v>
      </c>
      <c r="F387" s="8">
        <v>0</v>
      </c>
      <c r="G387" s="8">
        <v>0</v>
      </c>
      <c r="H387" s="8">
        <v>0</v>
      </c>
      <c r="I387" s="8">
        <v>0</v>
      </c>
      <c r="J387" s="109"/>
      <c r="K387" s="109"/>
      <c r="M387" s="55"/>
      <c r="N387" s="55"/>
      <c r="O387" s="55"/>
      <c r="P387" s="55"/>
    </row>
    <row r="388" spans="1:16" ht="21.75" customHeight="1" outlineLevel="1" x14ac:dyDescent="0.25">
      <c r="A388" s="109"/>
      <c r="B388" s="109"/>
      <c r="C388" s="109"/>
      <c r="D388" s="68">
        <v>2026</v>
      </c>
      <c r="E388" s="8">
        <f t="shared" si="33"/>
        <v>0</v>
      </c>
      <c r="F388" s="8">
        <v>0</v>
      </c>
      <c r="G388" s="8">
        <v>0</v>
      </c>
      <c r="H388" s="8">
        <v>0</v>
      </c>
      <c r="I388" s="8">
        <v>0</v>
      </c>
      <c r="J388" s="109"/>
      <c r="K388" s="109"/>
    </row>
    <row r="389" spans="1:16" ht="20.100000000000001" customHeight="1" outlineLevel="1" x14ac:dyDescent="0.25">
      <c r="A389" s="108" t="s">
        <v>540</v>
      </c>
      <c r="B389" s="108" t="s">
        <v>541</v>
      </c>
      <c r="C389" s="108" t="s">
        <v>828</v>
      </c>
      <c r="D389" s="68" t="s">
        <v>8</v>
      </c>
      <c r="E389" s="8">
        <f>SUM(E390:E394)</f>
        <v>276357.88802999997</v>
      </c>
      <c r="F389" s="8">
        <f>SUM(F390:F394)</f>
        <v>200600</v>
      </c>
      <c r="G389" s="8">
        <f>SUM(G390:G394)</f>
        <v>0</v>
      </c>
      <c r="H389" s="8">
        <f>SUM(H390:H394)</f>
        <v>75757.888030000002</v>
      </c>
      <c r="I389" s="8">
        <f>SUM(I390:I394)</f>
        <v>0</v>
      </c>
      <c r="J389" s="108" t="s">
        <v>542</v>
      </c>
      <c r="K389" s="108" t="s">
        <v>515</v>
      </c>
    </row>
    <row r="390" spans="1:16" ht="20.100000000000001" customHeight="1" outlineLevel="1" x14ac:dyDescent="0.25">
      <c r="A390" s="109"/>
      <c r="B390" s="109"/>
      <c r="C390" s="109"/>
      <c r="D390" s="68">
        <v>2021</v>
      </c>
      <c r="E390" s="8">
        <f t="shared" ref="E390:E428" si="34">SUM(F390:I390)</f>
        <v>44916.781369999997</v>
      </c>
      <c r="F390" s="8">
        <v>35000</v>
      </c>
      <c r="G390" s="8">
        <v>0</v>
      </c>
      <c r="H390" s="8">
        <v>9916.7813700000006</v>
      </c>
      <c r="I390" s="8">
        <v>0</v>
      </c>
      <c r="J390" s="109"/>
      <c r="K390" s="109"/>
    </row>
    <row r="391" spans="1:16" ht="20.100000000000001" customHeight="1" outlineLevel="1" x14ac:dyDescent="0.25">
      <c r="A391" s="109"/>
      <c r="B391" s="109"/>
      <c r="C391" s="109"/>
      <c r="D391" s="68">
        <v>2022</v>
      </c>
      <c r="E391" s="8">
        <f t="shared" si="34"/>
        <v>57731.03</v>
      </c>
      <c r="F391" s="8">
        <v>41400</v>
      </c>
      <c r="G391" s="8">
        <v>0</v>
      </c>
      <c r="H391" s="8">
        <v>16331.03</v>
      </c>
      <c r="I391" s="8">
        <v>0</v>
      </c>
      <c r="J391" s="109"/>
      <c r="K391" s="109"/>
    </row>
    <row r="392" spans="1:16" ht="20.100000000000001" customHeight="1" outlineLevel="1" x14ac:dyDescent="0.25">
      <c r="A392" s="109"/>
      <c r="B392" s="109"/>
      <c r="C392" s="109"/>
      <c r="D392" s="68">
        <v>2023</v>
      </c>
      <c r="E392" s="8">
        <f t="shared" si="34"/>
        <v>57731.03</v>
      </c>
      <c r="F392" s="8">
        <v>41400</v>
      </c>
      <c r="G392" s="8">
        <v>0</v>
      </c>
      <c r="H392" s="8">
        <v>16331.03</v>
      </c>
      <c r="I392" s="8">
        <v>0</v>
      </c>
      <c r="J392" s="109"/>
      <c r="K392" s="109"/>
    </row>
    <row r="393" spans="1:16" ht="20.100000000000001" customHeight="1" outlineLevel="1" x14ac:dyDescent="0.25">
      <c r="A393" s="109"/>
      <c r="B393" s="109"/>
      <c r="C393" s="109"/>
      <c r="D393" s="68">
        <v>2024</v>
      </c>
      <c r="E393" s="8">
        <f t="shared" si="34"/>
        <v>57989.523329999996</v>
      </c>
      <c r="F393" s="8">
        <v>41400</v>
      </c>
      <c r="G393" s="8">
        <v>0</v>
      </c>
      <c r="H393" s="8">
        <v>16589.52333</v>
      </c>
      <c r="I393" s="8">
        <v>0</v>
      </c>
      <c r="J393" s="109"/>
      <c r="K393" s="109"/>
    </row>
    <row r="394" spans="1:16" ht="20.100000000000001" customHeight="1" outlineLevel="1" x14ac:dyDescent="0.25">
      <c r="A394" s="109"/>
      <c r="B394" s="109"/>
      <c r="C394" s="109"/>
      <c r="D394" s="68">
        <v>2025</v>
      </c>
      <c r="E394" s="8">
        <f t="shared" si="34"/>
        <v>57989.523329999996</v>
      </c>
      <c r="F394" s="8">
        <v>41400</v>
      </c>
      <c r="G394" s="8">
        <v>0</v>
      </c>
      <c r="H394" s="8">
        <v>16589.52333</v>
      </c>
      <c r="I394" s="8">
        <v>0</v>
      </c>
      <c r="J394" s="109"/>
      <c r="K394" s="109"/>
    </row>
    <row r="395" spans="1:16" ht="20.100000000000001" customHeight="1" outlineLevel="1" x14ac:dyDescent="0.25">
      <c r="A395" s="110"/>
      <c r="B395" s="110"/>
      <c r="C395" s="110"/>
      <c r="D395" s="68">
        <v>2026</v>
      </c>
      <c r="E395" s="8">
        <f>SUM(F395:I395)</f>
        <v>57989.523300000001</v>
      </c>
      <c r="F395" s="8">
        <v>41400</v>
      </c>
      <c r="G395" s="8"/>
      <c r="H395" s="8">
        <v>16589.523300000001</v>
      </c>
      <c r="I395" s="8"/>
      <c r="J395" s="110"/>
      <c r="K395" s="110"/>
    </row>
    <row r="396" spans="1:16" ht="15.75" customHeight="1" outlineLevel="1" x14ac:dyDescent="0.25">
      <c r="A396" s="117" t="s">
        <v>84</v>
      </c>
      <c r="B396" s="118" t="s">
        <v>40</v>
      </c>
      <c r="C396" s="117" t="s">
        <v>41</v>
      </c>
      <c r="D396" s="68" t="s">
        <v>8</v>
      </c>
      <c r="E396" s="8">
        <f t="shared" si="34"/>
        <v>67874.04681</v>
      </c>
      <c r="F396" s="8">
        <f>SUM(F397:F401)</f>
        <v>8249.2634400000006</v>
      </c>
      <c r="G396" s="8">
        <f>SUM(G397:G401)</f>
        <v>59624.783369999997</v>
      </c>
      <c r="H396" s="8">
        <f>SUM(H397:H401)</f>
        <v>0</v>
      </c>
      <c r="I396" s="8">
        <f>SUM(I397:I401)</f>
        <v>0</v>
      </c>
      <c r="J396" s="119" t="s">
        <v>85</v>
      </c>
      <c r="K396" s="119" t="s">
        <v>486</v>
      </c>
    </row>
    <row r="397" spans="1:16" outlineLevel="1" x14ac:dyDescent="0.25">
      <c r="A397" s="117"/>
      <c r="B397" s="118"/>
      <c r="C397" s="117"/>
      <c r="D397" s="68">
        <v>2021</v>
      </c>
      <c r="E397" s="8">
        <f t="shared" si="34"/>
        <v>27296.712679999997</v>
      </c>
      <c r="F397" s="8">
        <f t="shared" ref="F397:I400" si="35">F403+F409</f>
        <v>3105.6126800000002</v>
      </c>
      <c r="G397" s="8">
        <f t="shared" si="35"/>
        <v>24191.1</v>
      </c>
      <c r="H397" s="8">
        <f t="shared" si="35"/>
        <v>0</v>
      </c>
      <c r="I397" s="8">
        <f t="shared" si="35"/>
        <v>0</v>
      </c>
      <c r="J397" s="119"/>
      <c r="K397" s="119"/>
    </row>
    <row r="398" spans="1:16" outlineLevel="1" x14ac:dyDescent="0.25">
      <c r="A398" s="117"/>
      <c r="B398" s="118"/>
      <c r="C398" s="117"/>
      <c r="D398" s="68">
        <v>2022</v>
      </c>
      <c r="E398" s="8">
        <f t="shared" si="34"/>
        <v>18900.377</v>
      </c>
      <c r="F398" s="8">
        <f t="shared" si="35"/>
        <v>2711.0770000000002</v>
      </c>
      <c r="G398" s="8">
        <f t="shared" si="35"/>
        <v>16189.3</v>
      </c>
      <c r="H398" s="8">
        <f t="shared" si="35"/>
        <v>0</v>
      </c>
      <c r="I398" s="8">
        <f t="shared" si="35"/>
        <v>0</v>
      </c>
      <c r="J398" s="119"/>
      <c r="K398" s="119"/>
    </row>
    <row r="399" spans="1:16" outlineLevel="1" x14ac:dyDescent="0.25">
      <c r="A399" s="117"/>
      <c r="B399" s="118"/>
      <c r="C399" s="117"/>
      <c r="D399" s="68">
        <v>2023</v>
      </c>
      <c r="E399" s="8">
        <f t="shared" si="34"/>
        <v>11802.74826</v>
      </c>
      <c r="F399" s="8">
        <f t="shared" si="35"/>
        <v>708.16489000000001</v>
      </c>
      <c r="G399" s="8">
        <f t="shared" si="35"/>
        <v>11094.58337</v>
      </c>
      <c r="H399" s="8">
        <f t="shared" si="35"/>
        <v>0</v>
      </c>
      <c r="I399" s="8">
        <f t="shared" si="35"/>
        <v>0</v>
      </c>
      <c r="J399" s="119"/>
      <c r="K399" s="119"/>
    </row>
    <row r="400" spans="1:16" outlineLevel="1" x14ac:dyDescent="0.25">
      <c r="A400" s="117"/>
      <c r="B400" s="118"/>
      <c r="C400" s="117"/>
      <c r="D400" s="68">
        <v>2024</v>
      </c>
      <c r="E400" s="8">
        <f t="shared" si="34"/>
        <v>9874.2088700000004</v>
      </c>
      <c r="F400" s="8">
        <f>F406+F412</f>
        <v>1724.40887</v>
      </c>
      <c r="G400" s="8">
        <f t="shared" si="35"/>
        <v>8149.8</v>
      </c>
      <c r="H400" s="8">
        <f t="shared" si="35"/>
        <v>0</v>
      </c>
      <c r="I400" s="8">
        <f t="shared" si="35"/>
        <v>0</v>
      </c>
      <c r="J400" s="119"/>
      <c r="K400" s="119"/>
    </row>
    <row r="401" spans="1:16" outlineLevel="1" x14ac:dyDescent="0.25">
      <c r="A401" s="117"/>
      <c r="B401" s="118"/>
      <c r="C401" s="117"/>
      <c r="D401" s="68">
        <v>2025</v>
      </c>
      <c r="E401" s="8">
        <f t="shared" si="34"/>
        <v>0</v>
      </c>
      <c r="F401" s="8">
        <f>F407+F414</f>
        <v>0</v>
      </c>
      <c r="G401" s="8">
        <f>G407+G414</f>
        <v>0</v>
      </c>
      <c r="H401" s="8">
        <f>H407+H414</f>
        <v>0</v>
      </c>
      <c r="I401" s="8">
        <f>I407+I414</f>
        <v>0</v>
      </c>
      <c r="J401" s="119"/>
      <c r="K401" s="119"/>
    </row>
    <row r="402" spans="1:16" ht="19.5" customHeight="1" outlineLevel="1" x14ac:dyDescent="0.25">
      <c r="A402" s="117" t="s">
        <v>86</v>
      </c>
      <c r="B402" s="118" t="s">
        <v>87</v>
      </c>
      <c r="C402" s="117" t="s">
        <v>41</v>
      </c>
      <c r="D402" s="68" t="s">
        <v>8</v>
      </c>
      <c r="E402" s="8">
        <f t="shared" si="34"/>
        <v>45585.326959999999</v>
      </c>
      <c r="F402" s="8">
        <f>SUM(F403:F407)</f>
        <v>2735.0435899999998</v>
      </c>
      <c r="G402" s="8">
        <f>SUM(G403:G407)</f>
        <v>42850.283369999997</v>
      </c>
      <c r="H402" s="8">
        <f>SUM(H403:H407)</f>
        <v>0</v>
      </c>
      <c r="I402" s="8">
        <f>SUM(I403:I407)</f>
        <v>0</v>
      </c>
      <c r="J402" s="119" t="s">
        <v>1746</v>
      </c>
      <c r="K402" s="119" t="s">
        <v>515</v>
      </c>
    </row>
    <row r="403" spans="1:16" ht="15" customHeight="1" outlineLevel="1" x14ac:dyDescent="0.25">
      <c r="A403" s="117"/>
      <c r="B403" s="118"/>
      <c r="C403" s="117"/>
      <c r="D403" s="68">
        <v>2021</v>
      </c>
      <c r="E403" s="8">
        <f t="shared" si="34"/>
        <v>20914.599999999999</v>
      </c>
      <c r="F403" s="8">
        <v>1254.8</v>
      </c>
      <c r="G403" s="8">
        <v>19659.8</v>
      </c>
      <c r="H403" s="8">
        <v>0</v>
      </c>
      <c r="I403" s="8">
        <v>0</v>
      </c>
      <c r="J403" s="119"/>
      <c r="K403" s="119"/>
    </row>
    <row r="404" spans="1:16" ht="16.5" customHeight="1" outlineLevel="1" x14ac:dyDescent="0.25">
      <c r="A404" s="117"/>
      <c r="B404" s="118"/>
      <c r="C404" s="117"/>
      <c r="D404" s="68">
        <v>2022</v>
      </c>
      <c r="E404" s="8">
        <f t="shared" si="34"/>
        <v>12043.617</v>
      </c>
      <c r="F404" s="8">
        <v>722.61699999999996</v>
      </c>
      <c r="G404" s="8">
        <v>11321</v>
      </c>
      <c r="H404" s="8">
        <v>0</v>
      </c>
      <c r="I404" s="8">
        <v>0</v>
      </c>
      <c r="J404" s="119"/>
      <c r="K404" s="119"/>
    </row>
    <row r="405" spans="1:16" ht="14.25" customHeight="1" outlineLevel="1" x14ac:dyDescent="0.25">
      <c r="A405" s="117"/>
      <c r="B405" s="118"/>
      <c r="C405" s="117"/>
      <c r="D405" s="68">
        <v>2023</v>
      </c>
      <c r="E405" s="8">
        <f t="shared" si="34"/>
        <v>7674.45039</v>
      </c>
      <c r="F405" s="8">
        <v>460.46701999999999</v>
      </c>
      <c r="G405" s="8">
        <v>7213.9833699999999</v>
      </c>
      <c r="H405" s="8">
        <v>0</v>
      </c>
      <c r="I405" s="8">
        <v>0</v>
      </c>
      <c r="J405" s="119"/>
      <c r="K405" s="119"/>
    </row>
    <row r="406" spans="1:16" ht="12.75" customHeight="1" outlineLevel="1" x14ac:dyDescent="0.25">
      <c r="A406" s="117"/>
      <c r="B406" s="118"/>
      <c r="C406" s="117"/>
      <c r="D406" s="68">
        <v>2024</v>
      </c>
      <c r="E406" s="8">
        <f t="shared" si="34"/>
        <v>4952.6595699999998</v>
      </c>
      <c r="F406" s="8">
        <v>297.15956999999997</v>
      </c>
      <c r="G406" s="8">
        <v>4655.5</v>
      </c>
      <c r="H406" s="8">
        <v>0</v>
      </c>
      <c r="I406" s="8">
        <v>0</v>
      </c>
      <c r="J406" s="119"/>
      <c r="K406" s="119"/>
    </row>
    <row r="407" spans="1:16" ht="14.25" customHeight="1" outlineLevel="1" x14ac:dyDescent="0.25">
      <c r="A407" s="117"/>
      <c r="B407" s="118"/>
      <c r="C407" s="117"/>
      <c r="D407" s="68">
        <v>2025</v>
      </c>
      <c r="E407" s="8">
        <f t="shared" si="34"/>
        <v>0</v>
      </c>
      <c r="F407" s="8">
        <v>0</v>
      </c>
      <c r="G407" s="8">
        <v>0</v>
      </c>
      <c r="H407" s="8">
        <v>0</v>
      </c>
      <c r="I407" s="8">
        <v>0</v>
      </c>
      <c r="J407" s="119"/>
      <c r="K407" s="119"/>
    </row>
    <row r="408" spans="1:16" ht="15.95" customHeight="1" x14ac:dyDescent="0.25">
      <c r="A408" s="117" t="s">
        <v>855</v>
      </c>
      <c r="B408" s="118" t="s">
        <v>90</v>
      </c>
      <c r="C408" s="117" t="s">
        <v>41</v>
      </c>
      <c r="D408" s="68" t="s">
        <v>8</v>
      </c>
      <c r="E408" s="8">
        <f t="shared" si="34"/>
        <v>22288.719850000001</v>
      </c>
      <c r="F408" s="8">
        <f>SUM(F409:F414)</f>
        <v>5514.2198499999995</v>
      </c>
      <c r="G408" s="8">
        <f>SUM(G409:G414)</f>
        <v>16774.5</v>
      </c>
      <c r="H408" s="8">
        <f>SUM(H409:H414)</f>
        <v>0</v>
      </c>
      <c r="I408" s="8">
        <f>SUM(I409:I414)</f>
        <v>0</v>
      </c>
      <c r="J408" s="117" t="s">
        <v>544</v>
      </c>
      <c r="K408" s="117" t="s">
        <v>486</v>
      </c>
    </row>
    <row r="409" spans="1:16" ht="15.95" customHeight="1" x14ac:dyDescent="0.25">
      <c r="A409" s="117"/>
      <c r="B409" s="118"/>
      <c r="C409" s="117"/>
      <c r="D409" s="68">
        <v>2021</v>
      </c>
      <c r="E409" s="8">
        <f t="shared" si="34"/>
        <v>6382.1126800000002</v>
      </c>
      <c r="F409" s="8">
        <v>1850.81268</v>
      </c>
      <c r="G409" s="8">
        <v>4531.3</v>
      </c>
      <c r="H409" s="8">
        <v>0</v>
      </c>
      <c r="I409" s="8">
        <v>0</v>
      </c>
      <c r="J409" s="117"/>
      <c r="K409" s="117"/>
    </row>
    <row r="410" spans="1:16" ht="15.95" customHeight="1" x14ac:dyDescent="0.25">
      <c r="A410" s="117"/>
      <c r="B410" s="118"/>
      <c r="C410" s="117"/>
      <c r="D410" s="68">
        <v>2022</v>
      </c>
      <c r="E410" s="8">
        <f t="shared" si="34"/>
        <v>6856.76</v>
      </c>
      <c r="F410" s="8">
        <v>1988.46</v>
      </c>
      <c r="G410" s="8">
        <v>4868.3</v>
      </c>
      <c r="H410" s="8">
        <v>0</v>
      </c>
      <c r="I410" s="8">
        <v>0</v>
      </c>
      <c r="J410" s="117"/>
      <c r="K410" s="117"/>
    </row>
    <row r="411" spans="1:16" ht="15.95" customHeight="1" x14ac:dyDescent="0.25">
      <c r="A411" s="117"/>
      <c r="B411" s="118"/>
      <c r="C411" s="117"/>
      <c r="D411" s="68">
        <v>2023</v>
      </c>
      <c r="E411" s="8">
        <f t="shared" si="34"/>
        <v>4128.2978700000003</v>
      </c>
      <c r="F411" s="8">
        <f>1812.41254-1564.71467</f>
        <v>247.69786999999997</v>
      </c>
      <c r="G411" s="8">
        <v>3880.6</v>
      </c>
      <c r="H411" s="8">
        <v>0</v>
      </c>
      <c r="I411" s="8">
        <v>0</v>
      </c>
      <c r="J411" s="117"/>
      <c r="K411" s="117"/>
    </row>
    <row r="412" spans="1:16" ht="15.95" customHeight="1" x14ac:dyDescent="0.25">
      <c r="A412" s="117"/>
      <c r="B412" s="118"/>
      <c r="C412" s="117"/>
      <c r="D412" s="68">
        <v>2024</v>
      </c>
      <c r="E412" s="74">
        <f t="shared" si="34"/>
        <v>4921.5493000000006</v>
      </c>
      <c r="F412" s="74">
        <v>1427.2492999999999</v>
      </c>
      <c r="G412" s="74">
        <v>3494.3</v>
      </c>
      <c r="H412" s="8">
        <v>0</v>
      </c>
      <c r="I412" s="8">
        <v>0</v>
      </c>
      <c r="J412" s="117"/>
      <c r="K412" s="117"/>
    </row>
    <row r="413" spans="1:16" s="80" customFormat="1" ht="15.95" customHeight="1" x14ac:dyDescent="0.25">
      <c r="A413" s="117"/>
      <c r="B413" s="118"/>
      <c r="C413" s="117"/>
      <c r="D413" s="79">
        <v>2025</v>
      </c>
      <c r="E413" s="39">
        <v>0</v>
      </c>
      <c r="F413" s="39">
        <v>0</v>
      </c>
      <c r="G413" s="39">
        <v>0</v>
      </c>
      <c r="H413" s="39">
        <v>0</v>
      </c>
      <c r="I413" s="8">
        <v>0</v>
      </c>
      <c r="J413" s="117"/>
      <c r="K413" s="117"/>
      <c r="M413" s="55"/>
      <c r="N413" s="55"/>
      <c r="O413" s="55"/>
      <c r="P413" s="55"/>
    </row>
    <row r="414" spans="1:16" ht="15.95" customHeight="1" x14ac:dyDescent="0.25">
      <c r="A414" s="117"/>
      <c r="B414" s="118"/>
      <c r="C414" s="117"/>
      <c r="D414" s="68">
        <v>2026</v>
      </c>
      <c r="E414" s="39">
        <f t="shared" si="34"/>
        <v>0</v>
      </c>
      <c r="F414" s="39">
        <v>0</v>
      </c>
      <c r="G414" s="39">
        <v>0</v>
      </c>
      <c r="H414" s="39">
        <v>0</v>
      </c>
      <c r="I414" s="8">
        <v>0</v>
      </c>
      <c r="J414" s="117"/>
      <c r="K414" s="117"/>
    </row>
    <row r="415" spans="1:16" ht="15" customHeight="1" outlineLevel="1" x14ac:dyDescent="0.25">
      <c r="A415" s="108" t="s">
        <v>93</v>
      </c>
      <c r="B415" s="108" t="s">
        <v>94</v>
      </c>
      <c r="C415" s="108" t="s">
        <v>828</v>
      </c>
      <c r="D415" s="68" t="s">
        <v>8</v>
      </c>
      <c r="E415" s="8">
        <f>SUM(F415:I415)</f>
        <v>5320839.4366147509</v>
      </c>
      <c r="F415" s="8">
        <f>SUM(F416:F421)</f>
        <v>3726854.2239900003</v>
      </c>
      <c r="G415" s="8">
        <f>SUM(G416:G421)</f>
        <v>1481797.0320000001</v>
      </c>
      <c r="H415" s="8">
        <f>SUM(H416:H420)</f>
        <v>112188.18062475088</v>
      </c>
      <c r="I415" s="8">
        <v>0</v>
      </c>
      <c r="J415" s="108"/>
      <c r="K415" s="108" t="s">
        <v>1812</v>
      </c>
    </row>
    <row r="416" spans="1:16" outlineLevel="1" x14ac:dyDescent="0.25">
      <c r="A416" s="109"/>
      <c r="B416" s="109"/>
      <c r="C416" s="109"/>
      <c r="D416" s="68">
        <v>2021</v>
      </c>
      <c r="E416" s="8">
        <f t="shared" si="34"/>
        <v>542284.02945165033</v>
      </c>
      <c r="F416" s="8">
        <f t="shared" ref="F416:H419" si="36">F423+F575+F890+F827+F841+F869</f>
        <v>254674.71701999998</v>
      </c>
      <c r="G416" s="8">
        <f t="shared" si="36"/>
        <v>257488.69899999999</v>
      </c>
      <c r="H416" s="8">
        <f t="shared" si="36"/>
        <v>30120.613431650385</v>
      </c>
      <c r="I416" s="8">
        <f>I423+I575+I890+I827+I841</f>
        <v>0</v>
      </c>
      <c r="J416" s="109"/>
      <c r="K416" s="109"/>
    </row>
    <row r="417" spans="1:16" outlineLevel="1" x14ac:dyDescent="0.25">
      <c r="A417" s="109"/>
      <c r="B417" s="109"/>
      <c r="C417" s="109"/>
      <c r="D417" s="68">
        <v>2022</v>
      </c>
      <c r="E417" s="8">
        <f t="shared" si="34"/>
        <v>1321007.9192131003</v>
      </c>
      <c r="F417" s="8">
        <f t="shared" si="36"/>
        <v>1034922.16776</v>
      </c>
      <c r="G417" s="8">
        <f t="shared" si="36"/>
        <v>225488.99299999999</v>
      </c>
      <c r="H417" s="8">
        <f t="shared" si="36"/>
        <v>60596.75845310052</v>
      </c>
      <c r="I417" s="8">
        <f>I424+I576+I891+I828+I842</f>
        <v>0</v>
      </c>
      <c r="J417" s="109"/>
      <c r="K417" s="109"/>
    </row>
    <row r="418" spans="1:16" outlineLevel="1" x14ac:dyDescent="0.25">
      <c r="A418" s="109"/>
      <c r="B418" s="109"/>
      <c r="C418" s="109"/>
      <c r="D418" s="68">
        <v>2023</v>
      </c>
      <c r="E418" s="8">
        <f t="shared" si="34"/>
        <v>689220.44319999998</v>
      </c>
      <c r="F418" s="8">
        <f t="shared" si="36"/>
        <v>255347.42546</v>
      </c>
      <c r="G418" s="8">
        <f t="shared" si="36"/>
        <v>424710.74</v>
      </c>
      <c r="H418" s="8">
        <f t="shared" si="36"/>
        <v>9162.2777399999759</v>
      </c>
      <c r="I418" s="8">
        <f>I425+I577+I892+I829+I843</f>
        <v>0</v>
      </c>
      <c r="J418" s="109"/>
      <c r="K418" s="109"/>
    </row>
    <row r="419" spans="1:16" outlineLevel="1" x14ac:dyDescent="0.25">
      <c r="A419" s="109"/>
      <c r="B419" s="109"/>
      <c r="C419" s="109"/>
      <c r="D419" s="68">
        <v>2024</v>
      </c>
      <c r="E419" s="8">
        <f t="shared" si="34"/>
        <v>1616425.1960399998</v>
      </c>
      <c r="F419" s="8">
        <f t="shared" si="36"/>
        <v>1156800.65004</v>
      </c>
      <c r="G419" s="8">
        <f t="shared" si="36"/>
        <v>448108.6</v>
      </c>
      <c r="H419" s="8">
        <f t="shared" si="36"/>
        <v>11515.946</v>
      </c>
      <c r="I419" s="8">
        <f>I426+I578+I893+I830+I844</f>
        <v>0</v>
      </c>
      <c r="J419" s="109"/>
      <c r="K419" s="109"/>
    </row>
    <row r="420" spans="1:16" outlineLevel="1" x14ac:dyDescent="0.25">
      <c r="A420" s="109"/>
      <c r="B420" s="109"/>
      <c r="C420" s="109"/>
      <c r="D420" s="68">
        <v>2025</v>
      </c>
      <c r="E420" s="8">
        <f t="shared" si="34"/>
        <v>708502.58260999992</v>
      </c>
      <c r="F420" s="8">
        <f>F428+F579+F894+F831+F845+F873</f>
        <v>617709.99760999996</v>
      </c>
      <c r="G420" s="8">
        <f>G428+G579+G894+G831+G845+G873</f>
        <v>90000</v>
      </c>
      <c r="H420" s="8">
        <f>H428+H579+H894+H831+H845+H873</f>
        <v>792.58500000000004</v>
      </c>
      <c r="I420" s="8">
        <f>I428+I579+I894+I831+I845</f>
        <v>0</v>
      </c>
      <c r="J420" s="109"/>
      <c r="K420" s="109"/>
    </row>
    <row r="421" spans="1:16" outlineLevel="1" x14ac:dyDescent="0.25">
      <c r="A421" s="110"/>
      <c r="B421" s="110"/>
      <c r="C421" s="110"/>
      <c r="D421" s="68">
        <v>2026</v>
      </c>
      <c r="E421" s="8">
        <f>SUM(F421:I421)</f>
        <v>443399.26610000007</v>
      </c>
      <c r="F421" s="8">
        <f>SUM(F580,F832,F895)</f>
        <v>407399.26610000007</v>
      </c>
      <c r="G421" s="8">
        <f>SUM(G580,G832,G895)</f>
        <v>36000</v>
      </c>
      <c r="H421" s="8">
        <f>SUM(H580,H832,H895)</f>
        <v>0</v>
      </c>
      <c r="I421" s="8">
        <f>SUM(I580,I832,I895)</f>
        <v>0</v>
      </c>
      <c r="J421" s="110"/>
      <c r="K421" s="110"/>
    </row>
    <row r="422" spans="1:16" ht="14.25" customHeight="1" outlineLevel="1" x14ac:dyDescent="0.25">
      <c r="A422" s="117" t="s">
        <v>96</v>
      </c>
      <c r="B422" s="118" t="s">
        <v>97</v>
      </c>
      <c r="C422" s="117" t="s">
        <v>14</v>
      </c>
      <c r="D422" s="68" t="s">
        <v>8</v>
      </c>
      <c r="E422" s="8">
        <f t="shared" si="34"/>
        <v>335724.8688129246</v>
      </c>
      <c r="F422" s="8">
        <f>SUM(F423:F428)</f>
        <v>290978.25190999999</v>
      </c>
      <c r="G422" s="8">
        <f>SUM(G423:G428)</f>
        <v>0</v>
      </c>
      <c r="H422" s="8">
        <f>SUM(H423:H428)</f>
        <v>44746.61690292463</v>
      </c>
      <c r="I422" s="8">
        <v>0</v>
      </c>
      <c r="J422" s="117" t="s">
        <v>98</v>
      </c>
      <c r="K422" s="117" t="s">
        <v>546</v>
      </c>
    </row>
    <row r="423" spans="1:16" ht="14.25" customHeight="1" outlineLevel="1" x14ac:dyDescent="0.25">
      <c r="A423" s="117"/>
      <c r="B423" s="118"/>
      <c r="C423" s="117"/>
      <c r="D423" s="68">
        <v>2021</v>
      </c>
      <c r="E423" s="8">
        <f t="shared" si="34"/>
        <v>69576.494685752899</v>
      </c>
      <c r="F423" s="8">
        <f>F430+F437+F444+F451+F458+F465+F472+F479+F486+F493+F500+F507+F514+F521+F528+F535+F542</f>
        <v>55989.257299999997</v>
      </c>
      <c r="G423" s="8">
        <f>G430+G437+G444+G451+G458+G465+G472+G479+G486+G493+G500+G507+G514+G521+G528+G535+G542</f>
        <v>0</v>
      </c>
      <c r="H423" s="8">
        <f>H430+H437+H444+H451+H458+H465+H472+H479+H486+H493+H500+H507+H514+H521+H528+H535+H542</f>
        <v>13587.237385752907</v>
      </c>
      <c r="I423" s="8">
        <v>0</v>
      </c>
      <c r="J423" s="117"/>
      <c r="K423" s="117"/>
    </row>
    <row r="424" spans="1:16" ht="14.25" customHeight="1" outlineLevel="1" x14ac:dyDescent="0.25">
      <c r="A424" s="117"/>
      <c r="B424" s="118"/>
      <c r="C424" s="117"/>
      <c r="D424" s="68">
        <v>2022</v>
      </c>
      <c r="E424" s="8">
        <f t="shared" si="34"/>
        <v>199844.44701717171</v>
      </c>
      <c r="F424" s="8">
        <f>F431+F438+F445+F452+F459+F466+F473+F480+F487+F494+F501+F508+F515+F522+F529+F536+F543+F550</f>
        <v>171685.0675</v>
      </c>
      <c r="G424" s="8">
        <f>G431+G438+G445+G452+G459+G466+G473+G480+G487+G494+G501+G508+G515+G522+G529+G536+G543</f>
        <v>0</v>
      </c>
      <c r="H424" s="8">
        <f>H431+H438+H445+H452+H459+H466+H473+H480+H487+H494+H501+H508+H515+H522+H529+H536+H543+H550</f>
        <v>28159.379517171721</v>
      </c>
      <c r="I424" s="8">
        <v>0</v>
      </c>
      <c r="J424" s="117"/>
      <c r="K424" s="117"/>
      <c r="L424" s="67" t="s">
        <v>858</v>
      </c>
    </row>
    <row r="425" spans="1:16" ht="14.25" customHeight="1" outlineLevel="1" x14ac:dyDescent="0.25">
      <c r="A425" s="117"/>
      <c r="B425" s="118"/>
      <c r="C425" s="117"/>
      <c r="D425" s="68">
        <v>2023</v>
      </c>
      <c r="E425" s="8">
        <f t="shared" si="34"/>
        <v>12000</v>
      </c>
      <c r="F425" s="8">
        <f>F432+F439+F446+F453+F460+F467+F474+F481+F488+F495+F502+F509+F516+F523+F530+F537+F544</f>
        <v>9000</v>
      </c>
      <c r="G425" s="8">
        <f>G432+G439+G446+G453+G460+G467+G474+G481+G488+G495+G502+G509+G516+G523+G530+G537+G544+G558</f>
        <v>0</v>
      </c>
      <c r="H425" s="8">
        <f>H432+H439+H446+H453+H460+H467+H474+H481+H488+H495+H502+H509+H516+H523+H530+H537+H544</f>
        <v>3000</v>
      </c>
      <c r="I425" s="8">
        <v>0</v>
      </c>
      <c r="J425" s="117"/>
      <c r="K425" s="117"/>
    </row>
    <row r="426" spans="1:16" ht="14.25" customHeight="1" outlineLevel="1" x14ac:dyDescent="0.25">
      <c r="A426" s="117"/>
      <c r="B426" s="118"/>
      <c r="C426" s="117"/>
      <c r="D426" s="68">
        <v>2024</v>
      </c>
      <c r="E426" s="8">
        <f t="shared" si="34"/>
        <v>54303.927109999997</v>
      </c>
      <c r="F426" s="8">
        <f>F433+F440+F447+F454+F461+F468+F475+F482+F489+F496+F503+F510+F517+F524+F531+F538+F545+F566+F572</f>
        <v>54303.927109999997</v>
      </c>
      <c r="G426" s="8">
        <f>G433+G440+G447+G454+G461+G468+G475+G482+G489+G496+G503+G510+G517+G524+G531+G538+G545</f>
        <v>0</v>
      </c>
      <c r="H426" s="8">
        <f>H433+H440+H447+H454+H461+H468+H475+H482+H489+H496+H503+H510+H517+H524+H531+H538+H545</f>
        <v>0</v>
      </c>
      <c r="I426" s="8">
        <v>0</v>
      </c>
      <c r="J426" s="117"/>
      <c r="K426" s="117"/>
    </row>
    <row r="427" spans="1:16" s="80" customFormat="1" ht="14.25" customHeight="1" outlineLevel="1" x14ac:dyDescent="0.25">
      <c r="A427" s="117"/>
      <c r="B427" s="118"/>
      <c r="C427" s="117"/>
      <c r="D427" s="79">
        <v>2025</v>
      </c>
      <c r="E427" s="8">
        <v>0</v>
      </c>
      <c r="F427" s="8">
        <v>0</v>
      </c>
      <c r="G427" s="8">
        <v>0</v>
      </c>
      <c r="H427" s="8">
        <v>0</v>
      </c>
      <c r="I427" s="8">
        <v>0</v>
      </c>
      <c r="J427" s="117"/>
      <c r="K427" s="117"/>
      <c r="M427" s="55"/>
      <c r="N427" s="55"/>
      <c r="O427" s="55"/>
      <c r="P427" s="55"/>
    </row>
    <row r="428" spans="1:16" ht="14.25" customHeight="1" outlineLevel="1" x14ac:dyDescent="0.25">
      <c r="A428" s="117"/>
      <c r="B428" s="118"/>
      <c r="C428" s="117"/>
      <c r="D428" s="68">
        <v>2026</v>
      </c>
      <c r="E428" s="8">
        <f t="shared" si="34"/>
        <v>0</v>
      </c>
      <c r="F428" s="8">
        <f t="shared" ref="F428:H428" si="37">F435+F442+F449+F456+F463+F470+F477+F484+F491+F498+F505+F512+F519+F526+F533+F540+F547</f>
        <v>0</v>
      </c>
      <c r="G428" s="8">
        <f t="shared" si="37"/>
        <v>0</v>
      </c>
      <c r="H428" s="8">
        <f t="shared" si="37"/>
        <v>0</v>
      </c>
      <c r="I428" s="8">
        <v>0</v>
      </c>
      <c r="J428" s="117"/>
      <c r="K428" s="117"/>
    </row>
    <row r="429" spans="1:16" ht="12" customHeight="1" outlineLevel="1" x14ac:dyDescent="0.25">
      <c r="A429" s="117" t="s">
        <v>100</v>
      </c>
      <c r="B429" s="118" t="s">
        <v>101</v>
      </c>
      <c r="C429" s="117" t="s">
        <v>19</v>
      </c>
      <c r="D429" s="68" t="s">
        <v>8</v>
      </c>
      <c r="E429" s="8">
        <f>SUM(E430:E435)</f>
        <v>6584.2777657004835</v>
      </c>
      <c r="F429" s="8">
        <f>SUM(F430:F435)</f>
        <v>5451.7819900000004</v>
      </c>
      <c r="G429" s="8">
        <f>SUM(G430:G435)</f>
        <v>0</v>
      </c>
      <c r="H429" s="8">
        <f>SUM(H430:H435)</f>
        <v>1132.4957757004834</v>
      </c>
      <c r="I429" s="8">
        <f>SUM(I430:I435)</f>
        <v>0</v>
      </c>
      <c r="J429" s="108" t="s">
        <v>102</v>
      </c>
      <c r="K429" s="117" t="s">
        <v>547</v>
      </c>
    </row>
    <row r="430" spans="1:16" ht="12" customHeight="1" outlineLevel="1" x14ac:dyDescent="0.25">
      <c r="A430" s="117"/>
      <c r="B430" s="118"/>
      <c r="C430" s="117"/>
      <c r="D430" s="68">
        <v>2021</v>
      </c>
      <c r="E430" s="8">
        <f t="shared" ref="E430:E435" si="38">SUM(F430:I430)</f>
        <v>6584.2777657004835</v>
      </c>
      <c r="F430" s="8">
        <v>5451.7819900000004</v>
      </c>
      <c r="G430" s="8">
        <v>0</v>
      </c>
      <c r="H430" s="8">
        <f>F430/82.8*17.2</f>
        <v>1132.4957757004834</v>
      </c>
      <c r="I430" s="8">
        <v>0</v>
      </c>
      <c r="J430" s="109"/>
      <c r="K430" s="117"/>
    </row>
    <row r="431" spans="1:16" ht="12" customHeight="1" outlineLevel="1" x14ac:dyDescent="0.25">
      <c r="A431" s="117"/>
      <c r="B431" s="118"/>
      <c r="C431" s="117"/>
      <c r="D431" s="68">
        <v>2022</v>
      </c>
      <c r="E431" s="8">
        <f t="shared" si="38"/>
        <v>0</v>
      </c>
      <c r="F431" s="8">
        <v>0</v>
      </c>
      <c r="G431" s="8">
        <v>0</v>
      </c>
      <c r="H431" s="8">
        <v>0</v>
      </c>
      <c r="I431" s="8">
        <v>0</v>
      </c>
      <c r="J431" s="109"/>
      <c r="K431" s="117"/>
      <c r="L431" s="67" t="s">
        <v>858</v>
      </c>
    </row>
    <row r="432" spans="1:16" ht="12" customHeight="1" outlineLevel="1" x14ac:dyDescent="0.25">
      <c r="A432" s="117"/>
      <c r="B432" s="118"/>
      <c r="C432" s="117"/>
      <c r="D432" s="68">
        <v>2023</v>
      </c>
      <c r="E432" s="8">
        <f t="shared" si="38"/>
        <v>0</v>
      </c>
      <c r="F432" s="8">
        <v>0</v>
      </c>
      <c r="G432" s="8">
        <v>0</v>
      </c>
      <c r="H432" s="8">
        <v>0</v>
      </c>
      <c r="I432" s="8">
        <v>0</v>
      </c>
      <c r="J432" s="109"/>
      <c r="K432" s="117"/>
    </row>
    <row r="433" spans="1:16" ht="12" customHeight="1" outlineLevel="1" x14ac:dyDescent="0.25">
      <c r="A433" s="117"/>
      <c r="B433" s="118"/>
      <c r="C433" s="117"/>
      <c r="D433" s="68">
        <v>2024</v>
      </c>
      <c r="E433" s="8">
        <f t="shared" si="38"/>
        <v>0</v>
      </c>
      <c r="F433" s="8">
        <v>0</v>
      </c>
      <c r="G433" s="8">
        <v>0</v>
      </c>
      <c r="H433" s="8">
        <v>0</v>
      </c>
      <c r="I433" s="8">
        <v>0</v>
      </c>
      <c r="J433" s="109"/>
      <c r="K433" s="117"/>
    </row>
    <row r="434" spans="1:16" s="80" customFormat="1" ht="12" customHeight="1" outlineLevel="1" x14ac:dyDescent="0.25">
      <c r="A434" s="117"/>
      <c r="B434" s="118"/>
      <c r="C434" s="117"/>
      <c r="D434" s="79">
        <v>2025</v>
      </c>
      <c r="E434" s="8">
        <v>0</v>
      </c>
      <c r="F434" s="8">
        <v>0</v>
      </c>
      <c r="G434" s="8">
        <v>0</v>
      </c>
      <c r="H434" s="8">
        <v>0</v>
      </c>
      <c r="I434" s="8">
        <v>0</v>
      </c>
      <c r="J434" s="109"/>
      <c r="K434" s="117"/>
      <c r="M434" s="55"/>
      <c r="N434" s="55"/>
      <c r="O434" s="55"/>
      <c r="P434" s="55"/>
    </row>
    <row r="435" spans="1:16" ht="12" customHeight="1" outlineLevel="1" x14ac:dyDescent="0.25">
      <c r="A435" s="117"/>
      <c r="B435" s="118"/>
      <c r="C435" s="117"/>
      <c r="D435" s="68">
        <v>2026</v>
      </c>
      <c r="E435" s="8">
        <f t="shared" si="38"/>
        <v>0</v>
      </c>
      <c r="F435" s="8">
        <v>0</v>
      </c>
      <c r="G435" s="8">
        <v>0</v>
      </c>
      <c r="H435" s="8">
        <v>0</v>
      </c>
      <c r="I435" s="8">
        <v>0</v>
      </c>
      <c r="J435" s="110"/>
      <c r="K435" s="117"/>
    </row>
    <row r="436" spans="1:16" ht="15" customHeight="1" outlineLevel="1" x14ac:dyDescent="0.25">
      <c r="A436" s="117" t="s">
        <v>548</v>
      </c>
      <c r="B436" s="118" t="s">
        <v>442</v>
      </c>
      <c r="C436" s="117">
        <v>2021</v>
      </c>
      <c r="D436" s="68" t="s">
        <v>8</v>
      </c>
      <c r="E436" s="8">
        <f>SUM(E437:E442)</f>
        <v>42104.816920052421</v>
      </c>
      <c r="F436" s="8">
        <f>SUM(F437:F442)</f>
        <v>32125.975309999998</v>
      </c>
      <c r="G436" s="8">
        <f>SUM(G437:G442)</f>
        <v>0</v>
      </c>
      <c r="H436" s="8">
        <f>SUM(H437:H442)</f>
        <v>9978.8416100524246</v>
      </c>
      <c r="I436" s="8">
        <f>SUM(I437:I442)</f>
        <v>0</v>
      </c>
      <c r="J436" s="117" t="s">
        <v>549</v>
      </c>
      <c r="K436" s="117" t="s">
        <v>547</v>
      </c>
    </row>
    <row r="437" spans="1:16" ht="15" customHeight="1" outlineLevel="1" x14ac:dyDescent="0.25">
      <c r="A437" s="117"/>
      <c r="B437" s="118"/>
      <c r="C437" s="117"/>
      <c r="D437" s="68">
        <v>2021</v>
      </c>
      <c r="E437" s="8">
        <f t="shared" ref="E437:E510" si="39">SUM(F437:I437)</f>
        <v>42104.816920052421</v>
      </c>
      <c r="F437" s="8">
        <f>32125975.31/1000</f>
        <v>32125.975309999998</v>
      </c>
      <c r="G437" s="8">
        <v>0</v>
      </c>
      <c r="H437" s="8">
        <f>F437/76.3*23.7</f>
        <v>9978.8416100524246</v>
      </c>
      <c r="I437" s="8">
        <v>0</v>
      </c>
      <c r="J437" s="117"/>
      <c r="K437" s="117"/>
    </row>
    <row r="438" spans="1:16" outlineLevel="1" x14ac:dyDescent="0.25">
      <c r="A438" s="117"/>
      <c r="B438" s="118"/>
      <c r="C438" s="117"/>
      <c r="D438" s="68">
        <v>2022</v>
      </c>
      <c r="E438" s="8">
        <f t="shared" si="39"/>
        <v>0</v>
      </c>
      <c r="F438" s="8">
        <v>0</v>
      </c>
      <c r="G438" s="8">
        <v>0</v>
      </c>
      <c r="H438" s="8">
        <v>0</v>
      </c>
      <c r="I438" s="8">
        <v>0</v>
      </c>
      <c r="J438" s="117"/>
      <c r="K438" s="117"/>
    </row>
    <row r="439" spans="1:16" outlineLevel="1" x14ac:dyDescent="0.25">
      <c r="A439" s="117"/>
      <c r="B439" s="118"/>
      <c r="C439" s="117"/>
      <c r="D439" s="68">
        <v>2023</v>
      </c>
      <c r="E439" s="8">
        <f t="shared" si="39"/>
        <v>0</v>
      </c>
      <c r="F439" s="8">
        <v>0</v>
      </c>
      <c r="G439" s="8">
        <v>0</v>
      </c>
      <c r="H439" s="8">
        <v>0</v>
      </c>
      <c r="I439" s="8">
        <v>0</v>
      </c>
      <c r="J439" s="117"/>
      <c r="K439" s="117"/>
    </row>
    <row r="440" spans="1:16" outlineLevel="1" x14ac:dyDescent="0.25">
      <c r="A440" s="117"/>
      <c r="B440" s="118"/>
      <c r="C440" s="117"/>
      <c r="D440" s="68">
        <v>2024</v>
      </c>
      <c r="E440" s="8">
        <f t="shared" si="39"/>
        <v>0</v>
      </c>
      <c r="F440" s="8">
        <v>0</v>
      </c>
      <c r="G440" s="8">
        <v>0</v>
      </c>
      <c r="H440" s="8">
        <v>0</v>
      </c>
      <c r="I440" s="8">
        <v>0</v>
      </c>
      <c r="J440" s="117"/>
      <c r="K440" s="117"/>
    </row>
    <row r="441" spans="1:16" s="80" customFormat="1" outlineLevel="1" x14ac:dyDescent="0.25">
      <c r="A441" s="117"/>
      <c r="B441" s="118"/>
      <c r="C441" s="117"/>
      <c r="D441" s="79">
        <v>2025</v>
      </c>
      <c r="E441" s="8">
        <v>0</v>
      </c>
      <c r="F441" s="8">
        <v>0</v>
      </c>
      <c r="G441" s="8">
        <v>0</v>
      </c>
      <c r="H441" s="8">
        <v>0</v>
      </c>
      <c r="I441" s="8">
        <v>0</v>
      </c>
      <c r="J441" s="117"/>
      <c r="K441" s="117"/>
      <c r="M441" s="55"/>
      <c r="N441" s="55"/>
      <c r="O441" s="55"/>
      <c r="P441" s="55"/>
    </row>
    <row r="442" spans="1:16" ht="14.25" customHeight="1" outlineLevel="1" x14ac:dyDescent="0.25">
      <c r="A442" s="117"/>
      <c r="B442" s="118"/>
      <c r="C442" s="117"/>
      <c r="D442" s="68">
        <v>2026</v>
      </c>
      <c r="E442" s="8">
        <f t="shared" si="39"/>
        <v>0</v>
      </c>
      <c r="F442" s="8">
        <v>0</v>
      </c>
      <c r="G442" s="8">
        <v>0</v>
      </c>
      <c r="H442" s="8">
        <v>0</v>
      </c>
      <c r="I442" s="8">
        <v>0</v>
      </c>
      <c r="J442" s="117"/>
      <c r="K442" s="117"/>
    </row>
    <row r="443" spans="1:16" ht="18" customHeight="1" outlineLevel="1" x14ac:dyDescent="0.25">
      <c r="A443" s="117" t="s">
        <v>550</v>
      </c>
      <c r="B443" s="118" t="s">
        <v>766</v>
      </c>
      <c r="C443" s="117">
        <v>2021</v>
      </c>
      <c r="D443" s="68" t="s">
        <v>8</v>
      </c>
      <c r="E443" s="8">
        <f t="shared" si="39"/>
        <v>1505.5</v>
      </c>
      <c r="F443" s="8">
        <f>SUM(F444:F449)</f>
        <v>1505.5</v>
      </c>
      <c r="G443" s="8">
        <f>SUM(G444:G449)</f>
        <v>0</v>
      </c>
      <c r="H443" s="8">
        <f>SUM(H444:H449)</f>
        <v>0</v>
      </c>
      <c r="I443" s="8">
        <f>SUM(I444:I449)</f>
        <v>0</v>
      </c>
      <c r="J443" s="117" t="s">
        <v>552</v>
      </c>
      <c r="K443" s="117" t="s">
        <v>553</v>
      </c>
    </row>
    <row r="444" spans="1:16" ht="16.5" customHeight="1" outlineLevel="1" x14ac:dyDescent="0.25">
      <c r="A444" s="117"/>
      <c r="B444" s="118"/>
      <c r="C444" s="117"/>
      <c r="D444" s="68">
        <v>2021</v>
      </c>
      <c r="E444" s="8">
        <f t="shared" si="39"/>
        <v>1505.5</v>
      </c>
      <c r="F444" s="8">
        <v>1505.5</v>
      </c>
      <c r="G444" s="8">
        <v>0</v>
      </c>
      <c r="H444" s="8">
        <v>0</v>
      </c>
      <c r="I444" s="8">
        <v>0</v>
      </c>
      <c r="J444" s="117"/>
      <c r="K444" s="117"/>
    </row>
    <row r="445" spans="1:16" ht="15.75" customHeight="1" outlineLevel="1" x14ac:dyDescent="0.25">
      <c r="A445" s="117"/>
      <c r="B445" s="118"/>
      <c r="C445" s="117"/>
      <c r="D445" s="68">
        <v>2022</v>
      </c>
      <c r="E445" s="8">
        <f t="shared" si="39"/>
        <v>0</v>
      </c>
      <c r="F445" s="8">
        <v>0</v>
      </c>
      <c r="G445" s="8">
        <v>0</v>
      </c>
      <c r="H445" s="8">
        <v>0</v>
      </c>
      <c r="I445" s="8">
        <v>0</v>
      </c>
      <c r="J445" s="117"/>
      <c r="K445" s="117"/>
    </row>
    <row r="446" spans="1:16" ht="14.25" customHeight="1" outlineLevel="1" x14ac:dyDescent="0.25">
      <c r="A446" s="117"/>
      <c r="B446" s="118"/>
      <c r="C446" s="117"/>
      <c r="D446" s="68">
        <v>2023</v>
      </c>
      <c r="E446" s="8">
        <f t="shared" si="39"/>
        <v>0</v>
      </c>
      <c r="F446" s="8">
        <v>0</v>
      </c>
      <c r="G446" s="8">
        <v>0</v>
      </c>
      <c r="H446" s="8">
        <v>0</v>
      </c>
      <c r="I446" s="8">
        <v>0</v>
      </c>
      <c r="J446" s="117"/>
      <c r="K446" s="117"/>
    </row>
    <row r="447" spans="1:16" ht="15" customHeight="1" outlineLevel="1" x14ac:dyDescent="0.25">
      <c r="A447" s="117"/>
      <c r="B447" s="118"/>
      <c r="C447" s="117"/>
      <c r="D447" s="68">
        <v>2024</v>
      </c>
      <c r="E447" s="8">
        <f t="shared" si="39"/>
        <v>0</v>
      </c>
      <c r="F447" s="8">
        <v>0</v>
      </c>
      <c r="G447" s="8">
        <v>0</v>
      </c>
      <c r="H447" s="8">
        <v>0</v>
      </c>
      <c r="I447" s="8">
        <v>0</v>
      </c>
      <c r="J447" s="117"/>
      <c r="K447" s="117"/>
    </row>
    <row r="448" spans="1:16" s="80" customFormat="1" ht="15" customHeight="1" outlineLevel="1" x14ac:dyDescent="0.25">
      <c r="A448" s="117"/>
      <c r="B448" s="118"/>
      <c r="C448" s="117"/>
      <c r="D448" s="79">
        <v>2025</v>
      </c>
      <c r="E448" s="8">
        <v>0</v>
      </c>
      <c r="F448" s="8">
        <v>0</v>
      </c>
      <c r="G448" s="8">
        <v>0</v>
      </c>
      <c r="H448" s="8">
        <v>0</v>
      </c>
      <c r="I448" s="8">
        <v>0</v>
      </c>
      <c r="J448" s="117"/>
      <c r="K448" s="117"/>
      <c r="M448" s="55"/>
      <c r="N448" s="55"/>
      <c r="O448" s="55"/>
      <c r="P448" s="55"/>
    </row>
    <row r="449" spans="1:16" ht="15.75" customHeight="1" outlineLevel="1" x14ac:dyDescent="0.25">
      <c r="A449" s="117"/>
      <c r="B449" s="118"/>
      <c r="C449" s="117"/>
      <c r="D449" s="68">
        <v>2026</v>
      </c>
      <c r="E449" s="8">
        <f t="shared" si="39"/>
        <v>0</v>
      </c>
      <c r="F449" s="8">
        <v>0</v>
      </c>
      <c r="G449" s="8">
        <v>0</v>
      </c>
      <c r="H449" s="8">
        <v>0</v>
      </c>
      <c r="I449" s="8">
        <v>0</v>
      </c>
      <c r="J449" s="117"/>
      <c r="K449" s="117"/>
    </row>
    <row r="450" spans="1:16" ht="15" customHeight="1" outlineLevel="1" x14ac:dyDescent="0.25">
      <c r="A450" s="117" t="s">
        <v>554</v>
      </c>
      <c r="B450" s="118" t="s">
        <v>555</v>
      </c>
      <c r="C450" s="117">
        <v>2021</v>
      </c>
      <c r="D450" s="68" t="s">
        <v>8</v>
      </c>
      <c r="E450" s="8">
        <f t="shared" si="39"/>
        <v>0</v>
      </c>
      <c r="F450" s="8">
        <f>SUM(F451:F456)</f>
        <v>0</v>
      </c>
      <c r="G450" s="8">
        <f>SUM(G451:G456)</f>
        <v>0</v>
      </c>
      <c r="H450" s="8">
        <f>SUM(H451:H456)</f>
        <v>0</v>
      </c>
      <c r="I450" s="8">
        <f>SUM(I451:I456)</f>
        <v>0</v>
      </c>
      <c r="J450" s="117" t="s">
        <v>556</v>
      </c>
      <c r="K450" s="117" t="s">
        <v>515</v>
      </c>
      <c r="L450" s="67" t="s">
        <v>860</v>
      </c>
    </row>
    <row r="451" spans="1:16" ht="15" customHeight="1" outlineLevel="1" x14ac:dyDescent="0.25">
      <c r="A451" s="117"/>
      <c r="B451" s="118"/>
      <c r="C451" s="117"/>
      <c r="D451" s="68">
        <v>2021</v>
      </c>
      <c r="E451" s="8">
        <f t="shared" si="39"/>
        <v>0</v>
      </c>
      <c r="F451" s="8">
        <v>0</v>
      </c>
      <c r="G451" s="8">
        <v>0</v>
      </c>
      <c r="H451" s="8">
        <v>0</v>
      </c>
      <c r="I451" s="8">
        <v>0</v>
      </c>
      <c r="J451" s="117"/>
      <c r="K451" s="117"/>
    </row>
    <row r="452" spans="1:16" ht="15" customHeight="1" outlineLevel="1" x14ac:dyDescent="0.25">
      <c r="A452" s="117"/>
      <c r="B452" s="118"/>
      <c r="C452" s="117"/>
      <c r="D452" s="68">
        <v>2022</v>
      </c>
      <c r="E452" s="8">
        <f t="shared" si="39"/>
        <v>0</v>
      </c>
      <c r="F452" s="8">
        <v>0</v>
      </c>
      <c r="G452" s="8">
        <v>0</v>
      </c>
      <c r="H452" s="8">
        <v>0</v>
      </c>
      <c r="I452" s="8">
        <v>0</v>
      </c>
      <c r="J452" s="117"/>
      <c r="K452" s="117"/>
    </row>
    <row r="453" spans="1:16" ht="15" customHeight="1" outlineLevel="1" x14ac:dyDescent="0.25">
      <c r="A453" s="117"/>
      <c r="B453" s="118"/>
      <c r="C453" s="117"/>
      <c r="D453" s="68">
        <v>2023</v>
      </c>
      <c r="E453" s="8">
        <f t="shared" si="39"/>
        <v>0</v>
      </c>
      <c r="F453" s="8">
        <v>0</v>
      </c>
      <c r="G453" s="8">
        <v>0</v>
      </c>
      <c r="H453" s="8">
        <v>0</v>
      </c>
      <c r="I453" s="8">
        <v>0</v>
      </c>
      <c r="J453" s="117"/>
      <c r="K453" s="117"/>
    </row>
    <row r="454" spans="1:16" ht="15" customHeight="1" outlineLevel="1" x14ac:dyDescent="0.25">
      <c r="A454" s="117"/>
      <c r="B454" s="118"/>
      <c r="C454" s="117"/>
      <c r="D454" s="68">
        <v>2024</v>
      </c>
      <c r="E454" s="8">
        <f t="shared" si="39"/>
        <v>0</v>
      </c>
      <c r="F454" s="8">
        <v>0</v>
      </c>
      <c r="G454" s="8">
        <v>0</v>
      </c>
      <c r="H454" s="8">
        <v>0</v>
      </c>
      <c r="I454" s="8">
        <v>0</v>
      </c>
      <c r="J454" s="117"/>
      <c r="K454" s="117"/>
    </row>
    <row r="455" spans="1:16" s="80" customFormat="1" ht="15" customHeight="1" outlineLevel="1" x14ac:dyDescent="0.25">
      <c r="A455" s="117"/>
      <c r="B455" s="118"/>
      <c r="C455" s="117"/>
      <c r="D455" s="79">
        <v>2025</v>
      </c>
      <c r="E455" s="8">
        <v>0</v>
      </c>
      <c r="F455" s="8">
        <v>0</v>
      </c>
      <c r="G455" s="8">
        <v>0</v>
      </c>
      <c r="H455" s="8">
        <v>0</v>
      </c>
      <c r="I455" s="8">
        <v>0</v>
      </c>
      <c r="J455" s="117"/>
      <c r="K455" s="117"/>
      <c r="M455" s="55"/>
      <c r="N455" s="55"/>
      <c r="O455" s="55"/>
      <c r="P455" s="55"/>
    </row>
    <row r="456" spans="1:16" ht="15" customHeight="1" outlineLevel="1" x14ac:dyDescent="0.25">
      <c r="A456" s="117"/>
      <c r="B456" s="118"/>
      <c r="C456" s="117"/>
      <c r="D456" s="68">
        <v>2026</v>
      </c>
      <c r="E456" s="8">
        <f t="shared" si="39"/>
        <v>0</v>
      </c>
      <c r="F456" s="8">
        <v>0</v>
      </c>
      <c r="G456" s="8">
        <v>0</v>
      </c>
      <c r="H456" s="8">
        <v>0</v>
      </c>
      <c r="I456" s="8">
        <v>0</v>
      </c>
      <c r="J456" s="117"/>
      <c r="K456" s="117"/>
    </row>
    <row r="457" spans="1:16" ht="15" customHeight="1" outlineLevel="1" x14ac:dyDescent="0.25">
      <c r="A457" s="117" t="s">
        <v>557</v>
      </c>
      <c r="B457" s="118" t="s">
        <v>558</v>
      </c>
      <c r="C457" s="117" t="s">
        <v>19</v>
      </c>
      <c r="D457" s="68" t="s">
        <v>8</v>
      </c>
      <c r="E457" s="8">
        <f t="shared" si="39"/>
        <v>131225.81</v>
      </c>
      <c r="F457" s="8">
        <f>SUM(F458:F463)</f>
        <v>98555.157500000001</v>
      </c>
      <c r="G457" s="8">
        <f>SUM(G458:G463)</f>
        <v>0</v>
      </c>
      <c r="H457" s="8">
        <f>SUM(H458:H463)</f>
        <v>32670.652500000004</v>
      </c>
      <c r="I457" s="8">
        <f>SUM(I458:I463)</f>
        <v>0</v>
      </c>
      <c r="J457" s="117" t="s">
        <v>1762</v>
      </c>
      <c r="K457" s="117" t="s">
        <v>547</v>
      </c>
    </row>
    <row r="458" spans="1:16" ht="15" customHeight="1" outlineLevel="1" x14ac:dyDescent="0.25">
      <c r="A458" s="117"/>
      <c r="B458" s="118"/>
      <c r="C458" s="117"/>
      <c r="D458" s="68">
        <v>2021</v>
      </c>
      <c r="E458" s="8">
        <f t="shared" si="39"/>
        <v>10446.799999999999</v>
      </c>
      <c r="F458" s="8">
        <v>7970.9</v>
      </c>
      <c r="G458" s="8">
        <v>0</v>
      </c>
      <c r="H458" s="8">
        <v>2475.9</v>
      </c>
      <c r="I458" s="8">
        <v>0</v>
      </c>
      <c r="J458" s="117"/>
      <c r="K458" s="117"/>
    </row>
    <row r="459" spans="1:16" ht="15" customHeight="1" outlineLevel="1" x14ac:dyDescent="0.25">
      <c r="A459" s="117"/>
      <c r="B459" s="118"/>
      <c r="C459" s="117"/>
      <c r="D459" s="68">
        <v>2022</v>
      </c>
      <c r="E459" s="8">
        <f t="shared" si="39"/>
        <v>108779.01000000001</v>
      </c>
      <c r="F459" s="8">
        <v>81584.257500000007</v>
      </c>
      <c r="G459" s="8">
        <v>0</v>
      </c>
      <c r="H459" s="8">
        <f>F459/75*25</f>
        <v>27194.752500000002</v>
      </c>
      <c r="I459" s="8">
        <v>0</v>
      </c>
      <c r="J459" s="117"/>
      <c r="K459" s="117"/>
    </row>
    <row r="460" spans="1:16" ht="15" customHeight="1" outlineLevel="1" x14ac:dyDescent="0.25">
      <c r="A460" s="117"/>
      <c r="B460" s="118"/>
      <c r="C460" s="117"/>
      <c r="D460" s="68">
        <v>2023</v>
      </c>
      <c r="E460" s="8">
        <f t="shared" si="39"/>
        <v>12000</v>
      </c>
      <c r="F460" s="8">
        <v>9000</v>
      </c>
      <c r="G460" s="8">
        <v>0</v>
      </c>
      <c r="H460" s="8">
        <v>3000</v>
      </c>
      <c r="I460" s="8">
        <v>0</v>
      </c>
      <c r="J460" s="117"/>
      <c r="K460" s="117"/>
    </row>
    <row r="461" spans="1:16" ht="15" customHeight="1" outlineLevel="1" x14ac:dyDescent="0.25">
      <c r="A461" s="117"/>
      <c r="B461" s="118"/>
      <c r="C461" s="117"/>
      <c r="D461" s="68">
        <v>2024</v>
      </c>
      <c r="E461" s="8">
        <f t="shared" si="39"/>
        <v>0</v>
      </c>
      <c r="F461" s="8">
        <v>0</v>
      </c>
      <c r="G461" s="8">
        <v>0</v>
      </c>
      <c r="H461" s="8">
        <v>0</v>
      </c>
      <c r="I461" s="8">
        <v>0</v>
      </c>
      <c r="J461" s="117"/>
      <c r="K461" s="117"/>
    </row>
    <row r="462" spans="1:16" s="80" customFormat="1" ht="15" customHeight="1" outlineLevel="1" x14ac:dyDescent="0.25">
      <c r="A462" s="117"/>
      <c r="B462" s="118"/>
      <c r="C462" s="117"/>
      <c r="D462" s="79">
        <v>2025</v>
      </c>
      <c r="E462" s="8">
        <v>0</v>
      </c>
      <c r="F462" s="8">
        <v>0</v>
      </c>
      <c r="G462" s="8">
        <v>0</v>
      </c>
      <c r="H462" s="8">
        <v>0</v>
      </c>
      <c r="I462" s="8">
        <v>0</v>
      </c>
      <c r="J462" s="117"/>
      <c r="K462" s="117"/>
      <c r="M462" s="55"/>
      <c r="N462" s="55"/>
      <c r="O462" s="55"/>
      <c r="P462" s="55"/>
    </row>
    <row r="463" spans="1:16" ht="15" customHeight="1" outlineLevel="1" x14ac:dyDescent="0.25">
      <c r="A463" s="117"/>
      <c r="B463" s="118"/>
      <c r="C463" s="117"/>
      <c r="D463" s="68">
        <v>2026</v>
      </c>
      <c r="E463" s="8">
        <f t="shared" si="39"/>
        <v>0</v>
      </c>
      <c r="F463" s="8">
        <v>0</v>
      </c>
      <c r="G463" s="8">
        <v>0</v>
      </c>
      <c r="H463" s="8">
        <v>0</v>
      </c>
      <c r="I463" s="8">
        <v>0</v>
      </c>
      <c r="J463" s="117"/>
      <c r="K463" s="117"/>
    </row>
    <row r="464" spans="1:16" ht="15" customHeight="1" outlineLevel="1" x14ac:dyDescent="0.25">
      <c r="A464" s="117" t="s">
        <v>560</v>
      </c>
      <c r="B464" s="118" t="s">
        <v>561</v>
      </c>
      <c r="C464" s="117">
        <v>2021</v>
      </c>
      <c r="D464" s="68" t="s">
        <v>8</v>
      </c>
      <c r="E464" s="8">
        <f t="shared" si="39"/>
        <v>8935.1</v>
      </c>
      <c r="F464" s="8">
        <f>SUM(F465:F470)</f>
        <v>8935.1</v>
      </c>
      <c r="G464" s="8">
        <f>SUM(G465:G470)</f>
        <v>0</v>
      </c>
      <c r="H464" s="8">
        <f>SUM(H465:H470)</f>
        <v>0</v>
      </c>
      <c r="I464" s="8">
        <f>SUM(I465:I470)</f>
        <v>0</v>
      </c>
      <c r="J464" s="117" t="s">
        <v>562</v>
      </c>
      <c r="K464" s="119" t="s">
        <v>563</v>
      </c>
      <c r="L464" s="124" t="s">
        <v>865</v>
      </c>
    </row>
    <row r="465" spans="1:16" ht="15" customHeight="1" outlineLevel="1" x14ac:dyDescent="0.25">
      <c r="A465" s="117"/>
      <c r="B465" s="118"/>
      <c r="C465" s="117"/>
      <c r="D465" s="68">
        <v>2021</v>
      </c>
      <c r="E465" s="8">
        <f t="shared" si="39"/>
        <v>8935.1</v>
      </c>
      <c r="F465" s="8">
        <v>8935.1</v>
      </c>
      <c r="G465" s="8">
        <v>0</v>
      </c>
      <c r="H465" s="8">
        <v>0</v>
      </c>
      <c r="I465" s="8">
        <v>0</v>
      </c>
      <c r="J465" s="117"/>
      <c r="K465" s="119"/>
      <c r="L465" s="124"/>
    </row>
    <row r="466" spans="1:16" ht="15" customHeight="1" outlineLevel="1" x14ac:dyDescent="0.25">
      <c r="A466" s="117"/>
      <c r="B466" s="118"/>
      <c r="C466" s="117"/>
      <c r="D466" s="68">
        <v>2022</v>
      </c>
      <c r="E466" s="8">
        <f t="shared" si="39"/>
        <v>0</v>
      </c>
      <c r="F466" s="8">
        <v>0</v>
      </c>
      <c r="G466" s="8">
        <v>0</v>
      </c>
      <c r="H466" s="8">
        <v>0</v>
      </c>
      <c r="I466" s="8">
        <v>0</v>
      </c>
      <c r="J466" s="117"/>
      <c r="K466" s="119"/>
      <c r="L466" s="124"/>
    </row>
    <row r="467" spans="1:16" ht="15" customHeight="1" outlineLevel="1" x14ac:dyDescent="0.25">
      <c r="A467" s="117"/>
      <c r="B467" s="118"/>
      <c r="C467" s="117"/>
      <c r="D467" s="68">
        <v>2023</v>
      </c>
      <c r="E467" s="8">
        <f t="shared" si="39"/>
        <v>0</v>
      </c>
      <c r="F467" s="8">
        <v>0</v>
      </c>
      <c r="G467" s="8">
        <v>0</v>
      </c>
      <c r="H467" s="8">
        <v>0</v>
      </c>
      <c r="I467" s="8">
        <v>0</v>
      </c>
      <c r="J467" s="117"/>
      <c r="K467" s="119"/>
      <c r="L467" s="124"/>
    </row>
    <row r="468" spans="1:16" ht="15" customHeight="1" outlineLevel="1" x14ac:dyDescent="0.25">
      <c r="A468" s="117"/>
      <c r="B468" s="118"/>
      <c r="C468" s="117"/>
      <c r="D468" s="68">
        <v>2024</v>
      </c>
      <c r="E468" s="8">
        <f t="shared" si="39"/>
        <v>0</v>
      </c>
      <c r="F468" s="8">
        <v>0</v>
      </c>
      <c r="G468" s="8">
        <v>0</v>
      </c>
      <c r="H468" s="8">
        <v>0</v>
      </c>
      <c r="I468" s="8">
        <v>0</v>
      </c>
      <c r="J468" s="117"/>
      <c r="K468" s="119"/>
      <c r="L468" s="124"/>
    </row>
    <row r="469" spans="1:16" s="80" customFormat="1" ht="15" customHeight="1" outlineLevel="1" x14ac:dyDescent="0.25">
      <c r="A469" s="117"/>
      <c r="B469" s="118"/>
      <c r="C469" s="117"/>
      <c r="D469" s="79">
        <v>2025</v>
      </c>
      <c r="E469" s="8">
        <v>0</v>
      </c>
      <c r="F469" s="8">
        <v>0</v>
      </c>
      <c r="G469" s="8">
        <v>0</v>
      </c>
      <c r="H469" s="8">
        <v>0</v>
      </c>
      <c r="I469" s="8">
        <v>0</v>
      </c>
      <c r="J469" s="117"/>
      <c r="K469" s="119"/>
      <c r="L469" s="124"/>
      <c r="M469" s="55"/>
      <c r="N469" s="55"/>
      <c r="O469" s="55"/>
      <c r="P469" s="55"/>
    </row>
    <row r="470" spans="1:16" ht="15" customHeight="1" outlineLevel="1" x14ac:dyDescent="0.25">
      <c r="A470" s="117"/>
      <c r="B470" s="118"/>
      <c r="C470" s="117"/>
      <c r="D470" s="68">
        <v>2026</v>
      </c>
      <c r="E470" s="8">
        <f t="shared" si="39"/>
        <v>0</v>
      </c>
      <c r="F470" s="8">
        <v>0</v>
      </c>
      <c r="G470" s="8">
        <v>0</v>
      </c>
      <c r="H470" s="8">
        <v>0</v>
      </c>
      <c r="I470" s="8">
        <v>0</v>
      </c>
      <c r="J470" s="117"/>
      <c r="K470" s="119"/>
      <c r="L470" s="124"/>
    </row>
    <row r="471" spans="1:16" ht="15" customHeight="1" outlineLevel="1" x14ac:dyDescent="0.25">
      <c r="A471" s="117" t="s">
        <v>861</v>
      </c>
      <c r="B471" s="118" t="s">
        <v>862</v>
      </c>
      <c r="C471" s="117">
        <v>2022</v>
      </c>
      <c r="D471" s="68" t="s">
        <v>8</v>
      </c>
      <c r="E471" s="8">
        <f t="shared" si="39"/>
        <v>0</v>
      </c>
      <c r="F471" s="8">
        <f>SUM(F472:F477)</f>
        <v>0</v>
      </c>
      <c r="G471" s="8">
        <f>SUM(G472:G477)</f>
        <v>0</v>
      </c>
      <c r="H471" s="8">
        <f>SUM(H472:H477)</f>
        <v>0</v>
      </c>
      <c r="I471" s="8">
        <f>SUM(I472:I477)</f>
        <v>0</v>
      </c>
      <c r="J471" s="117" t="s">
        <v>863</v>
      </c>
      <c r="K471" s="119" t="s">
        <v>547</v>
      </c>
      <c r="L471" s="124" t="s">
        <v>871</v>
      </c>
    </row>
    <row r="472" spans="1:16" ht="15" customHeight="1" outlineLevel="1" x14ac:dyDescent="0.25">
      <c r="A472" s="117"/>
      <c r="B472" s="118"/>
      <c r="C472" s="117"/>
      <c r="D472" s="68">
        <v>2021</v>
      </c>
      <c r="E472" s="8">
        <f t="shared" si="39"/>
        <v>0</v>
      </c>
      <c r="F472" s="8">
        <v>0</v>
      </c>
      <c r="G472" s="8">
        <v>0</v>
      </c>
      <c r="H472" s="8">
        <v>0</v>
      </c>
      <c r="I472" s="8">
        <v>0</v>
      </c>
      <c r="J472" s="117"/>
      <c r="K472" s="119"/>
      <c r="L472" s="124"/>
    </row>
    <row r="473" spans="1:16" ht="15" customHeight="1" outlineLevel="1" x14ac:dyDescent="0.25">
      <c r="A473" s="117"/>
      <c r="B473" s="118"/>
      <c r="C473" s="117"/>
      <c r="D473" s="68">
        <v>2022</v>
      </c>
      <c r="E473" s="8">
        <f t="shared" si="39"/>
        <v>0</v>
      </c>
      <c r="F473" s="8">
        <v>0</v>
      </c>
      <c r="G473" s="8">
        <v>0</v>
      </c>
      <c r="H473" s="8">
        <v>0</v>
      </c>
      <c r="I473" s="8">
        <v>0</v>
      </c>
      <c r="J473" s="117"/>
      <c r="K473" s="119"/>
      <c r="L473" s="124"/>
    </row>
    <row r="474" spans="1:16" ht="15" customHeight="1" outlineLevel="1" x14ac:dyDescent="0.25">
      <c r="A474" s="117"/>
      <c r="B474" s="118"/>
      <c r="C474" s="117"/>
      <c r="D474" s="68">
        <v>2023</v>
      </c>
      <c r="E474" s="8">
        <f t="shared" si="39"/>
        <v>0</v>
      </c>
      <c r="F474" s="8">
        <v>0</v>
      </c>
      <c r="G474" s="8">
        <v>0</v>
      </c>
      <c r="H474" s="8">
        <v>0</v>
      </c>
      <c r="I474" s="8">
        <v>0</v>
      </c>
      <c r="J474" s="117"/>
      <c r="K474" s="119"/>
      <c r="L474" s="124"/>
    </row>
    <row r="475" spans="1:16" ht="15" customHeight="1" outlineLevel="1" x14ac:dyDescent="0.25">
      <c r="A475" s="117"/>
      <c r="B475" s="118"/>
      <c r="C475" s="117"/>
      <c r="D475" s="68">
        <v>2024</v>
      </c>
      <c r="E475" s="8">
        <f t="shared" si="39"/>
        <v>0</v>
      </c>
      <c r="F475" s="8">
        <v>0</v>
      </c>
      <c r="G475" s="8">
        <v>0</v>
      </c>
      <c r="H475" s="8">
        <v>0</v>
      </c>
      <c r="I475" s="8">
        <v>0</v>
      </c>
      <c r="J475" s="117"/>
      <c r="K475" s="119"/>
      <c r="L475" s="124"/>
    </row>
    <row r="476" spans="1:16" s="80" customFormat="1" ht="15" customHeight="1" outlineLevel="1" x14ac:dyDescent="0.25">
      <c r="A476" s="117"/>
      <c r="B476" s="118"/>
      <c r="C476" s="117"/>
      <c r="D476" s="79">
        <v>2025</v>
      </c>
      <c r="E476" s="8">
        <v>0</v>
      </c>
      <c r="F476" s="8">
        <v>0</v>
      </c>
      <c r="G476" s="8">
        <v>0</v>
      </c>
      <c r="H476" s="8">
        <v>0</v>
      </c>
      <c r="I476" s="8">
        <v>0</v>
      </c>
      <c r="J476" s="117"/>
      <c r="K476" s="119"/>
      <c r="L476" s="124"/>
      <c r="M476" s="55"/>
      <c r="N476" s="55"/>
      <c r="O476" s="55"/>
      <c r="P476" s="55"/>
    </row>
    <row r="477" spans="1:16" ht="15" customHeight="1" outlineLevel="1" x14ac:dyDescent="0.25">
      <c r="A477" s="117"/>
      <c r="B477" s="118"/>
      <c r="C477" s="117"/>
      <c r="D477" s="68">
        <v>2026</v>
      </c>
      <c r="E477" s="8">
        <f t="shared" si="39"/>
        <v>0</v>
      </c>
      <c r="F477" s="8">
        <v>0</v>
      </c>
      <c r="G477" s="8">
        <v>0</v>
      </c>
      <c r="H477" s="8">
        <v>0</v>
      </c>
      <c r="I477" s="8">
        <v>0</v>
      </c>
      <c r="J477" s="117"/>
      <c r="K477" s="119"/>
      <c r="L477" s="124"/>
    </row>
    <row r="478" spans="1:16" ht="15" customHeight="1" outlineLevel="1" x14ac:dyDescent="0.25">
      <c r="A478" s="117" t="s">
        <v>868</v>
      </c>
      <c r="B478" s="118" t="s">
        <v>1163</v>
      </c>
      <c r="C478" s="117">
        <v>2023</v>
      </c>
      <c r="D478" s="68" t="s">
        <v>8</v>
      </c>
      <c r="E478" s="8">
        <f t="shared" si="39"/>
        <v>0</v>
      </c>
      <c r="F478" s="8">
        <f>SUM(F479:F484)</f>
        <v>0</v>
      </c>
      <c r="G478" s="8">
        <f>SUM(G479:G484)</f>
        <v>0</v>
      </c>
      <c r="H478" s="8">
        <f>SUM(H479:H484)</f>
        <v>0</v>
      </c>
      <c r="I478" s="8">
        <f>SUM(I479:I484)</f>
        <v>0</v>
      </c>
      <c r="J478" s="117" t="s">
        <v>1164</v>
      </c>
      <c r="K478" s="119" t="s">
        <v>907</v>
      </c>
      <c r="L478" s="124" t="s">
        <v>871</v>
      </c>
    </row>
    <row r="479" spans="1:16" ht="15" customHeight="1" outlineLevel="1" x14ac:dyDescent="0.25">
      <c r="A479" s="117"/>
      <c r="B479" s="118"/>
      <c r="C479" s="117"/>
      <c r="D479" s="68">
        <v>2021</v>
      </c>
      <c r="E479" s="8">
        <f t="shared" si="39"/>
        <v>0</v>
      </c>
      <c r="F479" s="8">
        <v>0</v>
      </c>
      <c r="G479" s="8">
        <v>0</v>
      </c>
      <c r="H479" s="8">
        <v>0</v>
      </c>
      <c r="I479" s="8">
        <v>0</v>
      </c>
      <c r="J479" s="117"/>
      <c r="K479" s="119"/>
      <c r="L479" s="124"/>
    </row>
    <row r="480" spans="1:16" ht="15" customHeight="1" outlineLevel="1" x14ac:dyDescent="0.25">
      <c r="A480" s="117"/>
      <c r="B480" s="118"/>
      <c r="C480" s="117"/>
      <c r="D480" s="68">
        <v>2022</v>
      </c>
      <c r="E480" s="8">
        <f t="shared" si="39"/>
        <v>0</v>
      </c>
      <c r="F480" s="8">
        <v>0</v>
      </c>
      <c r="G480" s="8">
        <v>0</v>
      </c>
      <c r="H480" s="8">
        <v>0</v>
      </c>
      <c r="I480" s="8">
        <v>0</v>
      </c>
      <c r="J480" s="117"/>
      <c r="K480" s="119"/>
      <c r="L480" s="124"/>
    </row>
    <row r="481" spans="1:16" ht="15" customHeight="1" outlineLevel="1" x14ac:dyDescent="0.25">
      <c r="A481" s="117"/>
      <c r="B481" s="118"/>
      <c r="C481" s="117"/>
      <c r="D481" s="68">
        <v>2023</v>
      </c>
      <c r="E481" s="8">
        <f t="shared" si="39"/>
        <v>0</v>
      </c>
      <c r="F481" s="8">
        <v>0</v>
      </c>
      <c r="G481" s="8">
        <v>0</v>
      </c>
      <c r="H481" s="8">
        <v>0</v>
      </c>
      <c r="I481" s="8">
        <v>0</v>
      </c>
      <c r="J481" s="117"/>
      <c r="K481" s="119"/>
      <c r="L481" s="124"/>
    </row>
    <row r="482" spans="1:16" ht="15" customHeight="1" outlineLevel="1" x14ac:dyDescent="0.25">
      <c r="A482" s="117"/>
      <c r="B482" s="118"/>
      <c r="C482" s="117"/>
      <c r="D482" s="68">
        <v>2024</v>
      </c>
      <c r="E482" s="8">
        <f t="shared" si="39"/>
        <v>0</v>
      </c>
      <c r="F482" s="8">
        <v>0</v>
      </c>
      <c r="G482" s="8">
        <v>0</v>
      </c>
      <c r="H482" s="8">
        <v>0</v>
      </c>
      <c r="I482" s="8">
        <v>0</v>
      </c>
      <c r="J482" s="117"/>
      <c r="K482" s="119"/>
      <c r="L482" s="124"/>
    </row>
    <row r="483" spans="1:16" s="80" customFormat="1" ht="15" customHeight="1" outlineLevel="1" x14ac:dyDescent="0.25">
      <c r="A483" s="117"/>
      <c r="B483" s="118"/>
      <c r="C483" s="117"/>
      <c r="D483" s="79">
        <v>2025</v>
      </c>
      <c r="E483" s="8">
        <v>0</v>
      </c>
      <c r="F483" s="8">
        <v>0</v>
      </c>
      <c r="G483" s="8">
        <v>0</v>
      </c>
      <c r="H483" s="8">
        <v>0</v>
      </c>
      <c r="I483" s="8">
        <v>0</v>
      </c>
      <c r="J483" s="117"/>
      <c r="K483" s="119"/>
      <c r="L483" s="124"/>
      <c r="M483" s="55"/>
      <c r="N483" s="55"/>
      <c r="O483" s="55"/>
      <c r="P483" s="55"/>
    </row>
    <row r="484" spans="1:16" ht="15" customHeight="1" outlineLevel="1" x14ac:dyDescent="0.25">
      <c r="A484" s="117"/>
      <c r="B484" s="118"/>
      <c r="C484" s="117"/>
      <c r="D484" s="68">
        <v>2026</v>
      </c>
      <c r="E484" s="8">
        <f t="shared" si="39"/>
        <v>0</v>
      </c>
      <c r="F484" s="8">
        <v>0</v>
      </c>
      <c r="G484" s="8">
        <v>0</v>
      </c>
      <c r="H484" s="8">
        <v>0</v>
      </c>
      <c r="I484" s="8">
        <v>0</v>
      </c>
      <c r="J484" s="117"/>
      <c r="K484" s="119"/>
      <c r="L484" s="124"/>
    </row>
    <row r="485" spans="1:16" ht="15" customHeight="1" outlineLevel="1" x14ac:dyDescent="0.25">
      <c r="A485" s="117" t="s">
        <v>873</v>
      </c>
      <c r="B485" s="118" t="s">
        <v>874</v>
      </c>
      <c r="C485" s="117">
        <v>2022</v>
      </c>
      <c r="D485" s="68" t="s">
        <v>8</v>
      </c>
      <c r="E485" s="8">
        <f t="shared" si="39"/>
        <v>0</v>
      </c>
      <c r="F485" s="8">
        <f>SUM(F486:F491)</f>
        <v>0</v>
      </c>
      <c r="G485" s="8">
        <f>SUM(G486:G491)</f>
        <v>0</v>
      </c>
      <c r="H485" s="8">
        <f>SUM(H486:H491)</f>
        <v>0</v>
      </c>
      <c r="I485" s="8">
        <f>SUM(I486:I491)</f>
        <v>0</v>
      </c>
      <c r="J485" s="117" t="s">
        <v>875</v>
      </c>
      <c r="K485" s="117" t="s">
        <v>955</v>
      </c>
    </row>
    <row r="486" spans="1:16" ht="15" customHeight="1" outlineLevel="1" x14ac:dyDescent="0.25">
      <c r="A486" s="117"/>
      <c r="B486" s="118"/>
      <c r="C486" s="117"/>
      <c r="D486" s="68">
        <v>2021</v>
      </c>
      <c r="E486" s="8">
        <f t="shared" si="39"/>
        <v>0</v>
      </c>
      <c r="F486" s="8">
        <v>0</v>
      </c>
      <c r="G486" s="8">
        <v>0</v>
      </c>
      <c r="H486" s="8">
        <v>0</v>
      </c>
      <c r="I486" s="8">
        <v>0</v>
      </c>
      <c r="J486" s="117"/>
      <c r="K486" s="117"/>
    </row>
    <row r="487" spans="1:16" ht="15" customHeight="1" outlineLevel="1" x14ac:dyDescent="0.25">
      <c r="A487" s="117"/>
      <c r="B487" s="118"/>
      <c r="C487" s="117"/>
      <c r="D487" s="68">
        <v>2022</v>
      </c>
      <c r="E487" s="8">
        <f t="shared" si="39"/>
        <v>0</v>
      </c>
      <c r="F487" s="8">
        <f>6000-6000</f>
        <v>0</v>
      </c>
      <c r="G487" s="8">
        <v>0</v>
      </c>
      <c r="H487" s="8">
        <v>0</v>
      </c>
      <c r="I487" s="8">
        <v>0</v>
      </c>
      <c r="J487" s="117"/>
      <c r="K487" s="117"/>
    </row>
    <row r="488" spans="1:16" ht="15" customHeight="1" outlineLevel="1" x14ac:dyDescent="0.25">
      <c r="A488" s="117"/>
      <c r="B488" s="118"/>
      <c r="C488" s="117"/>
      <c r="D488" s="68">
        <v>2023</v>
      </c>
      <c r="E488" s="8">
        <f t="shared" si="39"/>
        <v>0</v>
      </c>
      <c r="F488" s="8">
        <v>0</v>
      </c>
      <c r="G488" s="8">
        <v>0</v>
      </c>
      <c r="H488" s="8">
        <v>0</v>
      </c>
      <c r="I488" s="8">
        <v>0</v>
      </c>
      <c r="J488" s="117"/>
      <c r="K488" s="117"/>
    </row>
    <row r="489" spans="1:16" ht="15" customHeight="1" outlineLevel="1" x14ac:dyDescent="0.25">
      <c r="A489" s="117"/>
      <c r="B489" s="118"/>
      <c r="C489" s="117"/>
      <c r="D489" s="68">
        <v>2024</v>
      </c>
      <c r="E489" s="8">
        <f t="shared" si="39"/>
        <v>0</v>
      </c>
      <c r="F489" s="8">
        <v>0</v>
      </c>
      <c r="G489" s="8">
        <v>0</v>
      </c>
      <c r="H489" s="8">
        <v>0</v>
      </c>
      <c r="I489" s="8">
        <v>0</v>
      </c>
      <c r="J489" s="117"/>
      <c r="K489" s="117"/>
    </row>
    <row r="490" spans="1:16" s="80" customFormat="1" ht="15" customHeight="1" outlineLevel="1" x14ac:dyDescent="0.25">
      <c r="A490" s="117"/>
      <c r="B490" s="118"/>
      <c r="C490" s="117"/>
      <c r="D490" s="79">
        <v>2025</v>
      </c>
      <c r="E490" s="8">
        <v>0</v>
      </c>
      <c r="F490" s="8">
        <v>0</v>
      </c>
      <c r="G490" s="8">
        <v>0</v>
      </c>
      <c r="H490" s="8">
        <v>0</v>
      </c>
      <c r="I490" s="8">
        <v>0</v>
      </c>
      <c r="J490" s="117"/>
      <c r="K490" s="117"/>
      <c r="M490" s="55"/>
      <c r="N490" s="55"/>
      <c r="O490" s="55"/>
      <c r="P490" s="55"/>
    </row>
    <row r="491" spans="1:16" ht="15" customHeight="1" outlineLevel="1" x14ac:dyDescent="0.25">
      <c r="A491" s="117"/>
      <c r="B491" s="118"/>
      <c r="C491" s="117"/>
      <c r="D491" s="68">
        <v>2026</v>
      </c>
      <c r="E491" s="8">
        <f t="shared" si="39"/>
        <v>0</v>
      </c>
      <c r="F491" s="8">
        <v>0</v>
      </c>
      <c r="G491" s="8">
        <v>0</v>
      </c>
      <c r="H491" s="8">
        <v>0</v>
      </c>
      <c r="I491" s="8">
        <v>0</v>
      </c>
      <c r="J491" s="117"/>
      <c r="K491" s="117"/>
    </row>
    <row r="492" spans="1:16" ht="15" customHeight="1" outlineLevel="1" x14ac:dyDescent="0.25">
      <c r="A492" s="117" t="s">
        <v>879</v>
      </c>
      <c r="B492" s="118" t="s">
        <v>880</v>
      </c>
      <c r="C492" s="117">
        <v>2022</v>
      </c>
      <c r="D492" s="68" t="s">
        <v>8</v>
      </c>
      <c r="E492" s="8">
        <f t="shared" si="39"/>
        <v>5000</v>
      </c>
      <c r="F492" s="8">
        <f>SUM(F493:F498)</f>
        <v>4750</v>
      </c>
      <c r="G492" s="8">
        <f>SUM(G493:G498)</f>
        <v>0</v>
      </c>
      <c r="H492" s="8">
        <f>SUM(H493:H498)</f>
        <v>250</v>
      </c>
      <c r="I492" s="8">
        <f>SUM(I493:I498)</f>
        <v>0</v>
      </c>
      <c r="J492" s="117" t="s">
        <v>881</v>
      </c>
      <c r="K492" s="117" t="s">
        <v>547</v>
      </c>
    </row>
    <row r="493" spans="1:16" ht="15" customHeight="1" outlineLevel="1" x14ac:dyDescent="0.25">
      <c r="A493" s="117"/>
      <c r="B493" s="118"/>
      <c r="C493" s="117"/>
      <c r="D493" s="68">
        <v>2021</v>
      </c>
      <c r="E493" s="8">
        <f t="shared" si="39"/>
        <v>0</v>
      </c>
      <c r="F493" s="8">
        <v>0</v>
      </c>
      <c r="G493" s="8">
        <v>0</v>
      </c>
      <c r="H493" s="8">
        <v>0</v>
      </c>
      <c r="I493" s="8">
        <v>0</v>
      </c>
      <c r="J493" s="117"/>
      <c r="K493" s="117"/>
    </row>
    <row r="494" spans="1:16" ht="15" customHeight="1" outlineLevel="1" x14ac:dyDescent="0.25">
      <c r="A494" s="117"/>
      <c r="B494" s="118"/>
      <c r="C494" s="117"/>
      <c r="D494" s="68">
        <v>2022</v>
      </c>
      <c r="E494" s="8">
        <f t="shared" si="39"/>
        <v>5000</v>
      </c>
      <c r="F494" s="8">
        <f>4750000/1000</f>
        <v>4750</v>
      </c>
      <c r="G494" s="8">
        <v>0</v>
      </c>
      <c r="H494" s="8">
        <f>F494*5%/95%</f>
        <v>250</v>
      </c>
      <c r="I494" s="8">
        <v>0</v>
      </c>
      <c r="J494" s="117"/>
      <c r="K494" s="117"/>
    </row>
    <row r="495" spans="1:16" ht="15" customHeight="1" outlineLevel="1" x14ac:dyDescent="0.25">
      <c r="A495" s="117"/>
      <c r="B495" s="118"/>
      <c r="C495" s="117"/>
      <c r="D495" s="68">
        <v>2023</v>
      </c>
      <c r="E495" s="8">
        <f t="shared" si="39"/>
        <v>0</v>
      </c>
      <c r="F495" s="8">
        <v>0</v>
      </c>
      <c r="G495" s="8">
        <v>0</v>
      </c>
      <c r="H495" s="8">
        <v>0</v>
      </c>
      <c r="I495" s="8">
        <v>0</v>
      </c>
      <c r="J495" s="117"/>
      <c r="K495" s="117"/>
    </row>
    <row r="496" spans="1:16" ht="15" customHeight="1" outlineLevel="1" x14ac:dyDescent="0.25">
      <c r="A496" s="117"/>
      <c r="B496" s="118"/>
      <c r="C496" s="117"/>
      <c r="D496" s="68">
        <v>2024</v>
      </c>
      <c r="E496" s="8">
        <f t="shared" si="39"/>
        <v>0</v>
      </c>
      <c r="F496" s="8">
        <v>0</v>
      </c>
      <c r="G496" s="8">
        <v>0</v>
      </c>
      <c r="H496" s="8">
        <v>0</v>
      </c>
      <c r="I496" s="8">
        <v>0</v>
      </c>
      <c r="J496" s="117"/>
      <c r="K496" s="117"/>
    </row>
    <row r="497" spans="1:16" s="80" customFormat="1" ht="15" customHeight="1" outlineLevel="1" x14ac:dyDescent="0.25">
      <c r="A497" s="117"/>
      <c r="B497" s="118"/>
      <c r="C497" s="117"/>
      <c r="D497" s="79">
        <v>2025</v>
      </c>
      <c r="E497" s="8">
        <v>0</v>
      </c>
      <c r="F497" s="8">
        <v>0</v>
      </c>
      <c r="G497" s="8">
        <v>0</v>
      </c>
      <c r="H497" s="8">
        <v>0</v>
      </c>
      <c r="I497" s="8">
        <v>0</v>
      </c>
      <c r="J497" s="117"/>
      <c r="K497" s="117"/>
      <c r="M497" s="55"/>
      <c r="N497" s="55"/>
      <c r="O497" s="55"/>
      <c r="P497" s="55"/>
    </row>
    <row r="498" spans="1:16" ht="15" customHeight="1" outlineLevel="1" x14ac:dyDescent="0.25">
      <c r="A498" s="117"/>
      <c r="B498" s="118"/>
      <c r="C498" s="117"/>
      <c r="D498" s="68">
        <v>2026</v>
      </c>
      <c r="E498" s="8">
        <f t="shared" si="39"/>
        <v>0</v>
      </c>
      <c r="F498" s="8">
        <v>0</v>
      </c>
      <c r="G498" s="8">
        <v>0</v>
      </c>
      <c r="H498" s="8">
        <v>0</v>
      </c>
      <c r="I498" s="8">
        <v>0</v>
      </c>
      <c r="J498" s="117"/>
      <c r="K498" s="117"/>
    </row>
    <row r="499" spans="1:16" ht="15" customHeight="1" outlineLevel="1" x14ac:dyDescent="0.25">
      <c r="A499" s="117" t="s">
        <v>882</v>
      </c>
      <c r="B499" s="118" t="s">
        <v>1165</v>
      </c>
      <c r="C499" s="117">
        <v>2022</v>
      </c>
      <c r="D499" s="68" t="s">
        <v>8</v>
      </c>
      <c r="E499" s="8">
        <f t="shared" si="39"/>
        <v>0</v>
      </c>
      <c r="F499" s="8">
        <f>SUM(F500:F505)</f>
        <v>0</v>
      </c>
      <c r="G499" s="8">
        <f>SUM(G500:G505)</f>
        <v>0</v>
      </c>
      <c r="H499" s="8">
        <f>SUM(H500:H505)</f>
        <v>0</v>
      </c>
      <c r="I499" s="8">
        <f>SUM(I500:I505)</f>
        <v>0</v>
      </c>
      <c r="J499" s="117" t="s">
        <v>884</v>
      </c>
      <c r="K499" s="117" t="s">
        <v>547</v>
      </c>
    </row>
    <row r="500" spans="1:16" ht="15" customHeight="1" outlineLevel="1" x14ac:dyDescent="0.25">
      <c r="A500" s="117"/>
      <c r="B500" s="118"/>
      <c r="C500" s="117"/>
      <c r="D500" s="68">
        <v>2021</v>
      </c>
      <c r="E500" s="8">
        <f t="shared" si="39"/>
        <v>0</v>
      </c>
      <c r="F500" s="8">
        <v>0</v>
      </c>
      <c r="G500" s="8">
        <f>SUM(G501:G506)</f>
        <v>0</v>
      </c>
      <c r="H500" s="8">
        <v>0</v>
      </c>
      <c r="I500" s="8">
        <f>SUM(I501:I506)</f>
        <v>0</v>
      </c>
      <c r="J500" s="117"/>
      <c r="K500" s="117"/>
    </row>
    <row r="501" spans="1:16" ht="15" customHeight="1" outlineLevel="1" x14ac:dyDescent="0.25">
      <c r="A501" s="117"/>
      <c r="B501" s="118"/>
      <c r="C501" s="117"/>
      <c r="D501" s="68">
        <v>2022</v>
      </c>
      <c r="E501" s="8">
        <f t="shared" si="39"/>
        <v>0</v>
      </c>
      <c r="F501" s="8">
        <v>0</v>
      </c>
      <c r="G501" s="8">
        <f>SUM(G502:G507)</f>
        <v>0</v>
      </c>
      <c r="H501" s="8">
        <v>0</v>
      </c>
      <c r="I501" s="8">
        <f>SUM(I502:I507)</f>
        <v>0</v>
      </c>
      <c r="J501" s="117"/>
      <c r="K501" s="117"/>
    </row>
    <row r="502" spans="1:16" ht="15" customHeight="1" outlineLevel="1" x14ac:dyDescent="0.25">
      <c r="A502" s="117"/>
      <c r="B502" s="118"/>
      <c r="C502" s="117"/>
      <c r="D502" s="68">
        <v>2023</v>
      </c>
      <c r="E502" s="8">
        <f t="shared" si="39"/>
        <v>0</v>
      </c>
      <c r="F502" s="8">
        <v>0</v>
      </c>
      <c r="G502" s="8">
        <f>SUM(G503:G508)</f>
        <v>0</v>
      </c>
      <c r="H502" s="8">
        <v>0</v>
      </c>
      <c r="I502" s="8">
        <f>SUM(I503:I508)</f>
        <v>0</v>
      </c>
      <c r="J502" s="117"/>
      <c r="K502" s="117"/>
    </row>
    <row r="503" spans="1:16" ht="15" customHeight="1" outlineLevel="1" x14ac:dyDescent="0.25">
      <c r="A503" s="117"/>
      <c r="B503" s="118"/>
      <c r="C503" s="117"/>
      <c r="D503" s="68">
        <v>2024</v>
      </c>
      <c r="E503" s="8">
        <f t="shared" si="39"/>
        <v>0</v>
      </c>
      <c r="F503" s="8">
        <v>0</v>
      </c>
      <c r="G503" s="8">
        <f>SUM(G505:G509)</f>
        <v>0</v>
      </c>
      <c r="H503" s="8">
        <v>0</v>
      </c>
      <c r="I503" s="8">
        <f>SUM(I505:I509)</f>
        <v>0</v>
      </c>
      <c r="J503" s="117"/>
      <c r="K503" s="117"/>
    </row>
    <row r="504" spans="1:16" s="80" customFormat="1" ht="15" customHeight="1" outlineLevel="1" x14ac:dyDescent="0.25">
      <c r="A504" s="117"/>
      <c r="B504" s="118"/>
      <c r="C504" s="117"/>
      <c r="D504" s="79">
        <v>2025</v>
      </c>
      <c r="E504" s="8">
        <v>0</v>
      </c>
      <c r="F504" s="8">
        <v>0</v>
      </c>
      <c r="G504" s="8">
        <v>0</v>
      </c>
      <c r="H504" s="8">
        <v>0</v>
      </c>
      <c r="I504" s="8">
        <v>0</v>
      </c>
      <c r="J504" s="117"/>
      <c r="K504" s="117"/>
      <c r="M504" s="55"/>
      <c r="N504" s="55"/>
      <c r="O504" s="55"/>
      <c r="P504" s="55"/>
    </row>
    <row r="505" spans="1:16" ht="15" customHeight="1" outlineLevel="1" x14ac:dyDescent="0.25">
      <c r="A505" s="117"/>
      <c r="B505" s="118"/>
      <c r="C505" s="117"/>
      <c r="D505" s="68">
        <v>2026</v>
      </c>
      <c r="E505" s="8">
        <f t="shared" si="39"/>
        <v>0</v>
      </c>
      <c r="F505" s="8">
        <v>0</v>
      </c>
      <c r="G505" s="8">
        <f t="shared" ref="G505" si="40">SUM(G506:G510)</f>
        <v>0</v>
      </c>
      <c r="H505" s="8">
        <v>0</v>
      </c>
      <c r="I505" s="8">
        <f t="shared" ref="I505:I519" si="41">SUM(I506:I510)</f>
        <v>0</v>
      </c>
      <c r="J505" s="117"/>
      <c r="K505" s="117"/>
    </row>
    <row r="506" spans="1:16" ht="15" customHeight="1" outlineLevel="1" x14ac:dyDescent="0.25">
      <c r="A506" s="117" t="s">
        <v>885</v>
      </c>
      <c r="B506" s="118" t="s">
        <v>1166</v>
      </c>
      <c r="C506" s="117">
        <v>2022</v>
      </c>
      <c r="D506" s="68" t="s">
        <v>8</v>
      </c>
      <c r="E506" s="8">
        <f t="shared" si="39"/>
        <v>6815.7889999999998</v>
      </c>
      <c r="F506" s="8">
        <f>SUM(F507:F512)</f>
        <v>6475</v>
      </c>
      <c r="G506" s="8">
        <f>SUM(G507:G512)</f>
        <v>0</v>
      </c>
      <c r="H506" s="8">
        <f>SUM(H507:H512)</f>
        <v>340.78899999999999</v>
      </c>
      <c r="I506" s="8">
        <f>SUM(I507:I512)</f>
        <v>0</v>
      </c>
      <c r="J506" s="117" t="s">
        <v>1167</v>
      </c>
      <c r="K506" s="117" t="s">
        <v>547</v>
      </c>
    </row>
    <row r="507" spans="1:16" ht="15" customHeight="1" outlineLevel="1" x14ac:dyDescent="0.25">
      <c r="A507" s="117"/>
      <c r="B507" s="118"/>
      <c r="C507" s="117"/>
      <c r="D507" s="68">
        <v>2021</v>
      </c>
      <c r="E507" s="8">
        <f t="shared" si="39"/>
        <v>0</v>
      </c>
      <c r="F507" s="8">
        <v>0</v>
      </c>
      <c r="G507" s="8">
        <v>0</v>
      </c>
      <c r="H507" s="8">
        <v>0</v>
      </c>
      <c r="I507" s="8">
        <f>SUM(I508:I513)</f>
        <v>0</v>
      </c>
      <c r="J507" s="117"/>
      <c r="K507" s="117"/>
    </row>
    <row r="508" spans="1:16" ht="15" customHeight="1" outlineLevel="1" x14ac:dyDescent="0.25">
      <c r="A508" s="117"/>
      <c r="B508" s="118"/>
      <c r="C508" s="117"/>
      <c r="D508" s="68">
        <v>2022</v>
      </c>
      <c r="E508" s="8">
        <f t="shared" si="39"/>
        <v>6815.7889999999998</v>
      </c>
      <c r="F508" s="8">
        <v>6475</v>
      </c>
      <c r="G508" s="8">
        <v>0</v>
      </c>
      <c r="H508" s="8">
        <v>340.78899999999999</v>
      </c>
      <c r="I508" s="8">
        <f>SUM(I509:I514)</f>
        <v>0</v>
      </c>
      <c r="J508" s="117"/>
      <c r="K508" s="117"/>
    </row>
    <row r="509" spans="1:16" ht="15" customHeight="1" outlineLevel="1" x14ac:dyDescent="0.25">
      <c r="A509" s="117"/>
      <c r="B509" s="118"/>
      <c r="C509" s="117"/>
      <c r="D509" s="68">
        <v>2023</v>
      </c>
      <c r="E509" s="8">
        <f t="shared" si="39"/>
        <v>0</v>
      </c>
      <c r="F509" s="8">
        <v>0</v>
      </c>
      <c r="G509" s="8">
        <v>0</v>
      </c>
      <c r="H509" s="8">
        <v>0</v>
      </c>
      <c r="I509" s="8">
        <f>SUM(I510:I515)</f>
        <v>0</v>
      </c>
      <c r="J509" s="117"/>
      <c r="K509" s="117"/>
    </row>
    <row r="510" spans="1:16" ht="15" customHeight="1" outlineLevel="1" x14ac:dyDescent="0.25">
      <c r="A510" s="117"/>
      <c r="B510" s="118"/>
      <c r="C510" s="117"/>
      <c r="D510" s="68">
        <v>2024</v>
      </c>
      <c r="E510" s="8">
        <f t="shared" si="39"/>
        <v>0</v>
      </c>
      <c r="F510" s="8">
        <v>0</v>
      </c>
      <c r="G510" s="8">
        <v>0</v>
      </c>
      <c r="H510" s="8">
        <v>0</v>
      </c>
      <c r="I510" s="8">
        <f>SUM(I512:I516)</f>
        <v>0</v>
      </c>
      <c r="J510" s="117"/>
      <c r="K510" s="117"/>
    </row>
    <row r="511" spans="1:16" s="80" customFormat="1" ht="15" customHeight="1" outlineLevel="1" x14ac:dyDescent="0.25">
      <c r="A511" s="117"/>
      <c r="B511" s="118"/>
      <c r="C511" s="117"/>
      <c r="D511" s="79">
        <v>2025</v>
      </c>
      <c r="E511" s="8">
        <v>0</v>
      </c>
      <c r="F511" s="8">
        <v>0</v>
      </c>
      <c r="G511" s="8">
        <v>0</v>
      </c>
      <c r="H511" s="8">
        <v>0</v>
      </c>
      <c r="I511" s="8">
        <v>0</v>
      </c>
      <c r="J511" s="117"/>
      <c r="K511" s="117"/>
      <c r="M511" s="55"/>
      <c r="N511" s="55"/>
      <c r="O511" s="55"/>
      <c r="P511" s="55"/>
    </row>
    <row r="512" spans="1:16" ht="15" customHeight="1" outlineLevel="1" x14ac:dyDescent="0.25">
      <c r="A512" s="117"/>
      <c r="B512" s="118"/>
      <c r="C512" s="117"/>
      <c r="D512" s="68">
        <v>2026</v>
      </c>
      <c r="E512" s="8">
        <f t="shared" ref="E512:E597" si="42">SUM(F512:I512)</f>
        <v>0</v>
      </c>
      <c r="F512" s="8">
        <v>0</v>
      </c>
      <c r="G512" s="8">
        <v>0</v>
      </c>
      <c r="H512" s="8">
        <v>0</v>
      </c>
      <c r="I512" s="8">
        <f t="shared" si="41"/>
        <v>0</v>
      </c>
      <c r="J512" s="117"/>
      <c r="K512" s="117"/>
    </row>
    <row r="513" spans="1:16" ht="15" customHeight="1" outlineLevel="1" x14ac:dyDescent="0.25">
      <c r="A513" s="117" t="s">
        <v>888</v>
      </c>
      <c r="B513" s="118" t="s">
        <v>889</v>
      </c>
      <c r="C513" s="117">
        <v>2022</v>
      </c>
      <c r="D513" s="68" t="s">
        <v>8</v>
      </c>
      <c r="E513" s="8">
        <f t="shared" si="42"/>
        <v>6717.1717171717173</v>
      </c>
      <c r="F513" s="8">
        <f>SUM(F514:F519)</f>
        <v>6650</v>
      </c>
      <c r="G513" s="8">
        <v>0</v>
      </c>
      <c r="H513" s="8">
        <f>SUM(H514:H519)</f>
        <v>67.171717171717177</v>
      </c>
      <c r="I513" s="8">
        <f>SUM(I514:I519)</f>
        <v>0</v>
      </c>
      <c r="J513" s="117" t="s">
        <v>890</v>
      </c>
      <c r="K513" s="117" t="s">
        <v>547</v>
      </c>
      <c r="L513" s="124" t="s">
        <v>871</v>
      </c>
    </row>
    <row r="514" spans="1:16" ht="15" customHeight="1" outlineLevel="1" x14ac:dyDescent="0.25">
      <c r="A514" s="117"/>
      <c r="B514" s="118"/>
      <c r="C514" s="117"/>
      <c r="D514" s="68">
        <v>2021</v>
      </c>
      <c r="E514" s="8">
        <f t="shared" si="42"/>
        <v>0</v>
      </c>
      <c r="F514" s="8">
        <v>0</v>
      </c>
      <c r="G514" s="8">
        <v>0</v>
      </c>
      <c r="H514" s="8">
        <v>0</v>
      </c>
      <c r="I514" s="8">
        <f>SUM(I515:I520)</f>
        <v>0</v>
      </c>
      <c r="J514" s="117"/>
      <c r="K514" s="117"/>
      <c r="L514" s="124"/>
    </row>
    <row r="515" spans="1:16" ht="15" customHeight="1" outlineLevel="1" x14ac:dyDescent="0.25">
      <c r="A515" s="117"/>
      <c r="B515" s="118"/>
      <c r="C515" s="117"/>
      <c r="D515" s="68">
        <v>2022</v>
      </c>
      <c r="E515" s="8">
        <f t="shared" si="42"/>
        <v>6717.1717171717173</v>
      </c>
      <c r="F515" s="8">
        <v>6650</v>
      </c>
      <c r="G515" s="8">
        <v>0</v>
      </c>
      <c r="H515" s="8">
        <f>F515/99*1</f>
        <v>67.171717171717177</v>
      </c>
      <c r="I515" s="8">
        <f>SUM(I516:I521)</f>
        <v>0</v>
      </c>
      <c r="J515" s="117"/>
      <c r="K515" s="117"/>
      <c r="L515" s="124"/>
    </row>
    <row r="516" spans="1:16" ht="15" customHeight="1" outlineLevel="1" x14ac:dyDescent="0.25">
      <c r="A516" s="117"/>
      <c r="B516" s="118"/>
      <c r="C516" s="117"/>
      <c r="D516" s="68">
        <v>2023</v>
      </c>
      <c r="E516" s="8">
        <f t="shared" si="42"/>
        <v>0</v>
      </c>
      <c r="F516" s="8">
        <v>0</v>
      </c>
      <c r="G516" s="8">
        <v>0</v>
      </c>
      <c r="H516" s="8">
        <v>0</v>
      </c>
      <c r="I516" s="8">
        <f>SUM(I517:I522)</f>
        <v>0</v>
      </c>
      <c r="J516" s="117"/>
      <c r="K516" s="117"/>
      <c r="L516" s="124"/>
    </row>
    <row r="517" spans="1:16" ht="15" customHeight="1" outlineLevel="1" x14ac:dyDescent="0.25">
      <c r="A517" s="117"/>
      <c r="B517" s="118"/>
      <c r="C517" s="117"/>
      <c r="D517" s="68">
        <v>2024</v>
      </c>
      <c r="E517" s="8">
        <f t="shared" si="42"/>
        <v>0</v>
      </c>
      <c r="F517" s="8">
        <v>0</v>
      </c>
      <c r="G517" s="8">
        <v>0</v>
      </c>
      <c r="H517" s="8">
        <v>0</v>
      </c>
      <c r="I517" s="8">
        <f>SUM(I519:I523)</f>
        <v>0</v>
      </c>
      <c r="J517" s="117"/>
      <c r="K517" s="117"/>
      <c r="L517" s="124"/>
    </row>
    <row r="518" spans="1:16" s="80" customFormat="1" ht="15" customHeight="1" outlineLevel="1" x14ac:dyDescent="0.25">
      <c r="A518" s="117"/>
      <c r="B518" s="118"/>
      <c r="C518" s="117"/>
      <c r="D518" s="79">
        <v>2025</v>
      </c>
      <c r="E518" s="8">
        <v>0</v>
      </c>
      <c r="F518" s="8">
        <v>0</v>
      </c>
      <c r="G518" s="8">
        <v>0</v>
      </c>
      <c r="H518" s="8">
        <v>0</v>
      </c>
      <c r="I518" s="8">
        <v>0</v>
      </c>
      <c r="J518" s="117"/>
      <c r="K518" s="117"/>
      <c r="L518" s="124"/>
      <c r="M518" s="55"/>
      <c r="N518" s="55"/>
      <c r="O518" s="55"/>
      <c r="P518" s="55"/>
    </row>
    <row r="519" spans="1:16" ht="15" customHeight="1" outlineLevel="1" x14ac:dyDescent="0.25">
      <c r="A519" s="117"/>
      <c r="B519" s="118"/>
      <c r="C519" s="117"/>
      <c r="D519" s="68">
        <v>2026</v>
      </c>
      <c r="E519" s="8">
        <f t="shared" si="42"/>
        <v>0</v>
      </c>
      <c r="F519" s="8">
        <v>0</v>
      </c>
      <c r="G519" s="8">
        <v>0</v>
      </c>
      <c r="H519" s="8">
        <v>0</v>
      </c>
      <c r="I519" s="8">
        <f t="shared" si="41"/>
        <v>0</v>
      </c>
      <c r="J519" s="117"/>
      <c r="K519" s="117"/>
      <c r="L519" s="124"/>
    </row>
    <row r="520" spans="1:16" ht="17.25" customHeight="1" outlineLevel="1" x14ac:dyDescent="0.25">
      <c r="A520" s="117" t="s">
        <v>891</v>
      </c>
      <c r="B520" s="118" t="s">
        <v>892</v>
      </c>
      <c r="C520" s="117">
        <v>2023</v>
      </c>
      <c r="D520" s="68" t="s">
        <v>8</v>
      </c>
      <c r="E520" s="8">
        <f t="shared" si="42"/>
        <v>0</v>
      </c>
      <c r="F520" s="8">
        <f>SUM(F521:F526)</f>
        <v>0</v>
      </c>
      <c r="G520" s="8">
        <v>0</v>
      </c>
      <c r="H520" s="8">
        <f>SUM(H521:H526)</f>
        <v>0</v>
      </c>
      <c r="I520" s="8">
        <f>SUM(I521:I526)</f>
        <v>0</v>
      </c>
      <c r="J520" s="117" t="s">
        <v>1168</v>
      </c>
      <c r="K520" s="117" t="s">
        <v>907</v>
      </c>
    </row>
    <row r="521" spans="1:16" ht="17.25" customHeight="1" outlineLevel="1" x14ac:dyDescent="0.25">
      <c r="A521" s="117"/>
      <c r="B521" s="118"/>
      <c r="C521" s="117"/>
      <c r="D521" s="68">
        <v>2021</v>
      </c>
      <c r="E521" s="8">
        <f t="shared" si="42"/>
        <v>0</v>
      </c>
      <c r="F521" s="8">
        <v>0</v>
      </c>
      <c r="G521" s="8">
        <v>0</v>
      </c>
      <c r="H521" s="8">
        <v>0</v>
      </c>
      <c r="I521" s="8">
        <v>0</v>
      </c>
      <c r="J521" s="117"/>
      <c r="K521" s="117"/>
    </row>
    <row r="522" spans="1:16" ht="17.25" customHeight="1" outlineLevel="1" x14ac:dyDescent="0.25">
      <c r="A522" s="117"/>
      <c r="B522" s="118"/>
      <c r="C522" s="117"/>
      <c r="D522" s="68">
        <v>2022</v>
      </c>
      <c r="E522" s="8">
        <f t="shared" si="42"/>
        <v>0</v>
      </c>
      <c r="F522" s="8">
        <v>0</v>
      </c>
      <c r="G522" s="8">
        <v>0</v>
      </c>
      <c r="H522" s="8">
        <v>0</v>
      </c>
      <c r="I522" s="8">
        <v>0</v>
      </c>
      <c r="J522" s="117"/>
      <c r="K522" s="117"/>
    </row>
    <row r="523" spans="1:16" ht="17.25" customHeight="1" outlineLevel="1" x14ac:dyDescent="0.25">
      <c r="A523" s="117"/>
      <c r="B523" s="118"/>
      <c r="C523" s="117"/>
      <c r="D523" s="68">
        <v>2023</v>
      </c>
      <c r="E523" s="8">
        <f t="shared" si="42"/>
        <v>0</v>
      </c>
      <c r="F523" s="8">
        <v>0</v>
      </c>
      <c r="G523" s="8">
        <v>0</v>
      </c>
      <c r="H523" s="8">
        <v>0</v>
      </c>
      <c r="I523" s="8">
        <v>0</v>
      </c>
      <c r="J523" s="117"/>
      <c r="K523" s="117"/>
    </row>
    <row r="524" spans="1:16" ht="17.25" customHeight="1" outlineLevel="1" x14ac:dyDescent="0.25">
      <c r="A524" s="117"/>
      <c r="B524" s="118"/>
      <c r="C524" s="117"/>
      <c r="D524" s="68">
        <v>2024</v>
      </c>
      <c r="E524" s="8">
        <f t="shared" si="42"/>
        <v>0</v>
      </c>
      <c r="F524" s="8">
        <v>0</v>
      </c>
      <c r="G524" s="8">
        <v>0</v>
      </c>
      <c r="H524" s="8">
        <v>0</v>
      </c>
      <c r="I524" s="8">
        <v>0</v>
      </c>
      <c r="J524" s="117"/>
      <c r="K524" s="117"/>
    </row>
    <row r="525" spans="1:16" s="80" customFormat="1" ht="17.25" customHeight="1" outlineLevel="1" x14ac:dyDescent="0.25">
      <c r="A525" s="117"/>
      <c r="B525" s="118"/>
      <c r="C525" s="117"/>
      <c r="D525" s="79">
        <v>2025</v>
      </c>
      <c r="E525" s="8">
        <v>0</v>
      </c>
      <c r="F525" s="8">
        <v>0</v>
      </c>
      <c r="G525" s="8">
        <v>0</v>
      </c>
      <c r="H525" s="8">
        <v>0</v>
      </c>
      <c r="I525" s="8">
        <v>0</v>
      </c>
      <c r="J525" s="117"/>
      <c r="K525" s="117"/>
      <c r="M525" s="55"/>
      <c r="N525" s="55"/>
      <c r="O525" s="55"/>
      <c r="P525" s="55"/>
    </row>
    <row r="526" spans="1:16" ht="17.25" customHeight="1" outlineLevel="1" x14ac:dyDescent="0.25">
      <c r="A526" s="117"/>
      <c r="B526" s="118"/>
      <c r="C526" s="117"/>
      <c r="D526" s="68">
        <v>2026</v>
      </c>
      <c r="E526" s="8">
        <f t="shared" si="42"/>
        <v>0</v>
      </c>
      <c r="F526" s="8">
        <v>0</v>
      </c>
      <c r="G526" s="8">
        <v>0</v>
      </c>
      <c r="H526" s="8">
        <v>0</v>
      </c>
      <c r="I526" s="8">
        <v>0</v>
      </c>
      <c r="J526" s="117"/>
      <c r="K526" s="117"/>
    </row>
    <row r="527" spans="1:16" ht="15" customHeight="1" outlineLevel="1" x14ac:dyDescent="0.25">
      <c r="A527" s="117" t="s">
        <v>894</v>
      </c>
      <c r="B527" s="118" t="s">
        <v>793</v>
      </c>
      <c r="C527" s="117">
        <v>2022</v>
      </c>
      <c r="D527" s="68" t="s">
        <v>8</v>
      </c>
      <c r="E527" s="8">
        <f t="shared" si="42"/>
        <v>0</v>
      </c>
      <c r="F527" s="8">
        <f>SUM(F528:F533)</f>
        <v>0</v>
      </c>
      <c r="G527" s="8">
        <f>SUM(G528:G533)</f>
        <v>0</v>
      </c>
      <c r="H527" s="8">
        <f>SUM(H528:H533)</f>
        <v>0</v>
      </c>
      <c r="I527" s="8">
        <f>SUM(I528:I533)</f>
        <v>0</v>
      </c>
      <c r="J527" s="117" t="s">
        <v>895</v>
      </c>
      <c r="K527" s="117" t="s">
        <v>547</v>
      </c>
      <c r="L527" s="124"/>
    </row>
    <row r="528" spans="1:16" ht="15" customHeight="1" outlineLevel="1" x14ac:dyDescent="0.25">
      <c r="A528" s="117"/>
      <c r="B528" s="118"/>
      <c r="C528" s="117"/>
      <c r="D528" s="68">
        <v>2021</v>
      </c>
      <c r="E528" s="8">
        <f t="shared" si="42"/>
        <v>0</v>
      </c>
      <c r="F528" s="8">
        <v>0</v>
      </c>
      <c r="G528" s="8">
        <v>0</v>
      </c>
      <c r="H528" s="8">
        <v>0</v>
      </c>
      <c r="I528" s="8">
        <v>0</v>
      </c>
      <c r="J528" s="117"/>
      <c r="K528" s="117"/>
      <c r="L528" s="124"/>
    </row>
    <row r="529" spans="1:16" ht="15" customHeight="1" outlineLevel="1" x14ac:dyDescent="0.25">
      <c r="A529" s="117"/>
      <c r="B529" s="118"/>
      <c r="C529" s="117"/>
      <c r="D529" s="68">
        <v>2022</v>
      </c>
      <c r="E529" s="8">
        <f t="shared" si="42"/>
        <v>0</v>
      </c>
      <c r="F529" s="8">
        <v>0</v>
      </c>
      <c r="G529" s="8">
        <v>0</v>
      </c>
      <c r="H529" s="8">
        <v>0</v>
      </c>
      <c r="I529" s="8">
        <v>0</v>
      </c>
      <c r="J529" s="117"/>
      <c r="K529" s="117"/>
      <c r="L529" s="124"/>
    </row>
    <row r="530" spans="1:16" ht="15" customHeight="1" outlineLevel="1" x14ac:dyDescent="0.25">
      <c r="A530" s="117"/>
      <c r="B530" s="118"/>
      <c r="C530" s="117"/>
      <c r="D530" s="68">
        <v>2023</v>
      </c>
      <c r="E530" s="8">
        <f t="shared" si="42"/>
        <v>0</v>
      </c>
      <c r="F530" s="8">
        <v>0</v>
      </c>
      <c r="G530" s="8">
        <v>0</v>
      </c>
      <c r="H530" s="8">
        <v>0</v>
      </c>
      <c r="I530" s="8">
        <v>0</v>
      </c>
      <c r="J530" s="117"/>
      <c r="K530" s="117"/>
      <c r="L530" s="124"/>
    </row>
    <row r="531" spans="1:16" ht="15" customHeight="1" outlineLevel="1" x14ac:dyDescent="0.25">
      <c r="A531" s="117"/>
      <c r="B531" s="118"/>
      <c r="C531" s="117"/>
      <c r="D531" s="68">
        <v>2024</v>
      </c>
      <c r="E531" s="8">
        <f t="shared" si="42"/>
        <v>0</v>
      </c>
      <c r="F531" s="8">
        <v>0</v>
      </c>
      <c r="G531" s="8">
        <v>0</v>
      </c>
      <c r="H531" s="8">
        <v>0</v>
      </c>
      <c r="I531" s="8">
        <v>0</v>
      </c>
      <c r="J531" s="117"/>
      <c r="K531" s="117"/>
      <c r="L531" s="124"/>
    </row>
    <row r="532" spans="1:16" s="80" customFormat="1" ht="15" customHeight="1" outlineLevel="1" x14ac:dyDescent="0.25">
      <c r="A532" s="117"/>
      <c r="B532" s="118"/>
      <c r="C532" s="117"/>
      <c r="D532" s="79">
        <v>2025</v>
      </c>
      <c r="E532" s="8">
        <v>0</v>
      </c>
      <c r="F532" s="8">
        <v>0</v>
      </c>
      <c r="G532" s="8">
        <v>0</v>
      </c>
      <c r="H532" s="8">
        <v>0</v>
      </c>
      <c r="I532" s="8">
        <v>0</v>
      </c>
      <c r="J532" s="117"/>
      <c r="K532" s="117"/>
      <c r="L532" s="124"/>
      <c r="M532" s="55"/>
      <c r="N532" s="55"/>
      <c r="O532" s="55"/>
      <c r="P532" s="55"/>
    </row>
    <row r="533" spans="1:16" ht="15" customHeight="1" outlineLevel="1" x14ac:dyDescent="0.25">
      <c r="A533" s="117"/>
      <c r="B533" s="118"/>
      <c r="C533" s="117"/>
      <c r="D533" s="68">
        <v>2026</v>
      </c>
      <c r="E533" s="8">
        <f t="shared" si="42"/>
        <v>0</v>
      </c>
      <c r="F533" s="8">
        <v>0</v>
      </c>
      <c r="G533" s="8">
        <v>0</v>
      </c>
      <c r="H533" s="8">
        <v>0</v>
      </c>
      <c r="I533" s="8">
        <v>0</v>
      </c>
      <c r="J533" s="117"/>
      <c r="K533" s="117"/>
      <c r="L533" s="124"/>
    </row>
    <row r="534" spans="1:16" ht="15" customHeight="1" outlineLevel="1" x14ac:dyDescent="0.25">
      <c r="A534" s="117" t="s">
        <v>904</v>
      </c>
      <c r="B534" s="118" t="s">
        <v>905</v>
      </c>
      <c r="C534" s="119" t="s">
        <v>1169</v>
      </c>
      <c r="D534" s="68" t="s">
        <v>8</v>
      </c>
      <c r="E534" s="8">
        <f t="shared" si="42"/>
        <v>66399.149999999994</v>
      </c>
      <c r="F534" s="8">
        <f>SUM(F535:F540)</f>
        <v>66399.149999999994</v>
      </c>
      <c r="G534" s="8">
        <f>SUM(G535:G540)</f>
        <v>0</v>
      </c>
      <c r="H534" s="8">
        <f>SUM(H535:H540)</f>
        <v>0</v>
      </c>
      <c r="I534" s="8">
        <f>SUM(I535:I540)</f>
        <v>0</v>
      </c>
      <c r="J534" s="117" t="s">
        <v>906</v>
      </c>
      <c r="K534" s="117" t="s">
        <v>907</v>
      </c>
    </row>
    <row r="535" spans="1:16" ht="15" customHeight="1" outlineLevel="1" x14ac:dyDescent="0.25">
      <c r="A535" s="117"/>
      <c r="B535" s="118"/>
      <c r="C535" s="119"/>
      <c r="D535" s="68">
        <v>2021</v>
      </c>
      <c r="E535" s="8">
        <f t="shared" si="42"/>
        <v>0</v>
      </c>
      <c r="F535" s="8">
        <v>0</v>
      </c>
      <c r="G535" s="8">
        <v>0</v>
      </c>
      <c r="H535" s="8">
        <v>0</v>
      </c>
      <c r="I535" s="8">
        <v>0</v>
      </c>
      <c r="J535" s="117"/>
      <c r="K535" s="117"/>
    </row>
    <row r="536" spans="1:16" ht="15" customHeight="1" outlineLevel="1" x14ac:dyDescent="0.25">
      <c r="A536" s="117"/>
      <c r="B536" s="118"/>
      <c r="C536" s="119"/>
      <c r="D536" s="68">
        <v>2022</v>
      </c>
      <c r="E536" s="8">
        <f t="shared" si="42"/>
        <v>66399.149999999994</v>
      </c>
      <c r="F536" s="8">
        <f>200000-21582.6-112018.25</f>
        <v>66399.149999999994</v>
      </c>
      <c r="G536" s="8">
        <v>0</v>
      </c>
      <c r="H536" s="8">
        <v>0</v>
      </c>
      <c r="I536" s="8">
        <v>0</v>
      </c>
      <c r="J536" s="117"/>
      <c r="K536" s="117"/>
    </row>
    <row r="537" spans="1:16" ht="15" customHeight="1" outlineLevel="1" x14ac:dyDescent="0.25">
      <c r="A537" s="117"/>
      <c r="B537" s="118"/>
      <c r="C537" s="119"/>
      <c r="D537" s="68">
        <v>2023</v>
      </c>
      <c r="E537" s="8">
        <f t="shared" si="42"/>
        <v>0</v>
      </c>
      <c r="F537" s="8">
        <v>0</v>
      </c>
      <c r="G537" s="8">
        <v>0</v>
      </c>
      <c r="H537" s="8">
        <v>0</v>
      </c>
      <c r="I537" s="8">
        <v>0</v>
      </c>
      <c r="J537" s="117"/>
      <c r="K537" s="117"/>
    </row>
    <row r="538" spans="1:16" ht="15" customHeight="1" outlineLevel="1" x14ac:dyDescent="0.25">
      <c r="A538" s="117"/>
      <c r="B538" s="118"/>
      <c r="C538" s="119"/>
      <c r="D538" s="68">
        <v>2024</v>
      </c>
      <c r="E538" s="8">
        <f t="shared" si="42"/>
        <v>0</v>
      </c>
      <c r="F538" s="8">
        <v>0</v>
      </c>
      <c r="G538" s="8">
        <v>0</v>
      </c>
      <c r="H538" s="8">
        <v>0</v>
      </c>
      <c r="I538" s="8">
        <v>0</v>
      </c>
      <c r="J538" s="117"/>
      <c r="K538" s="117"/>
    </row>
    <row r="539" spans="1:16" s="80" customFormat="1" ht="15" customHeight="1" outlineLevel="1" x14ac:dyDescent="0.25">
      <c r="A539" s="117"/>
      <c r="B539" s="118"/>
      <c r="C539" s="119"/>
      <c r="D539" s="79">
        <v>2025</v>
      </c>
      <c r="E539" s="8">
        <v>0</v>
      </c>
      <c r="F539" s="8">
        <v>0</v>
      </c>
      <c r="G539" s="8">
        <v>0</v>
      </c>
      <c r="H539" s="8">
        <v>0</v>
      </c>
      <c r="I539" s="8">
        <v>0</v>
      </c>
      <c r="J539" s="117"/>
      <c r="K539" s="117"/>
      <c r="M539" s="55"/>
      <c r="N539" s="55"/>
      <c r="O539" s="55"/>
      <c r="P539" s="55"/>
    </row>
    <row r="540" spans="1:16" ht="15" customHeight="1" outlineLevel="1" x14ac:dyDescent="0.25">
      <c r="A540" s="117"/>
      <c r="B540" s="118"/>
      <c r="C540" s="119"/>
      <c r="D540" s="68">
        <v>2026</v>
      </c>
      <c r="E540" s="8">
        <f t="shared" si="42"/>
        <v>0</v>
      </c>
      <c r="F540" s="8">
        <v>0</v>
      </c>
      <c r="G540" s="8">
        <v>0</v>
      </c>
      <c r="H540" s="8">
        <v>0</v>
      </c>
      <c r="I540" s="8">
        <v>0</v>
      </c>
      <c r="J540" s="117"/>
      <c r="K540" s="117"/>
    </row>
    <row r="541" spans="1:16" ht="15" customHeight="1" outlineLevel="1" x14ac:dyDescent="0.25">
      <c r="A541" s="117" t="s">
        <v>909</v>
      </c>
      <c r="B541" s="118" t="s">
        <v>910</v>
      </c>
      <c r="C541" s="117">
        <v>2022</v>
      </c>
      <c r="D541" s="68" t="s">
        <v>8</v>
      </c>
      <c r="E541" s="8">
        <f t="shared" si="42"/>
        <v>0</v>
      </c>
      <c r="F541" s="8">
        <f>SUM(F542:F547)</f>
        <v>0</v>
      </c>
      <c r="G541" s="8">
        <f>SUM(G542:G547)</f>
        <v>0</v>
      </c>
      <c r="H541" s="8">
        <f>SUM(H542:H547)</f>
        <v>0</v>
      </c>
      <c r="I541" s="8">
        <f>SUM(I542:I547)</f>
        <v>0</v>
      </c>
      <c r="J541" s="117" t="s">
        <v>911</v>
      </c>
      <c r="K541" s="117" t="s">
        <v>547</v>
      </c>
    </row>
    <row r="542" spans="1:16" ht="15" customHeight="1" outlineLevel="1" x14ac:dyDescent="0.25">
      <c r="A542" s="117"/>
      <c r="B542" s="118"/>
      <c r="C542" s="117"/>
      <c r="D542" s="68">
        <v>2021</v>
      </c>
      <c r="E542" s="8">
        <f t="shared" si="42"/>
        <v>0</v>
      </c>
      <c r="F542" s="8">
        <v>0</v>
      </c>
      <c r="G542" s="8">
        <v>0</v>
      </c>
      <c r="H542" s="8">
        <v>0</v>
      </c>
      <c r="I542" s="8">
        <v>0</v>
      </c>
      <c r="J542" s="117"/>
      <c r="K542" s="117"/>
    </row>
    <row r="543" spans="1:16" ht="15" customHeight="1" outlineLevel="1" x14ac:dyDescent="0.25">
      <c r="A543" s="117"/>
      <c r="B543" s="118"/>
      <c r="C543" s="117"/>
      <c r="D543" s="68">
        <v>2022</v>
      </c>
      <c r="E543" s="8">
        <f t="shared" si="42"/>
        <v>0</v>
      </c>
      <c r="F543" s="8">
        <v>0</v>
      </c>
      <c r="G543" s="8">
        <v>0</v>
      </c>
      <c r="H543" s="8">
        <v>0</v>
      </c>
      <c r="I543" s="8">
        <v>0</v>
      </c>
      <c r="J543" s="117"/>
      <c r="K543" s="117"/>
    </row>
    <row r="544" spans="1:16" ht="15" customHeight="1" outlineLevel="1" x14ac:dyDescent="0.25">
      <c r="A544" s="117"/>
      <c r="B544" s="118"/>
      <c r="C544" s="117"/>
      <c r="D544" s="68">
        <v>2023</v>
      </c>
      <c r="E544" s="8">
        <f t="shared" si="42"/>
        <v>0</v>
      </c>
      <c r="F544" s="8">
        <v>0</v>
      </c>
      <c r="G544" s="8">
        <v>0</v>
      </c>
      <c r="H544" s="8">
        <v>0</v>
      </c>
      <c r="I544" s="8">
        <v>0</v>
      </c>
      <c r="J544" s="117"/>
      <c r="K544" s="117"/>
    </row>
    <row r="545" spans="1:16" ht="15" customHeight="1" outlineLevel="1" x14ac:dyDescent="0.25">
      <c r="A545" s="117"/>
      <c r="B545" s="118"/>
      <c r="C545" s="117"/>
      <c r="D545" s="68">
        <v>2024</v>
      </c>
      <c r="E545" s="8">
        <f t="shared" si="42"/>
        <v>0</v>
      </c>
      <c r="F545" s="8">
        <v>0</v>
      </c>
      <c r="G545" s="8">
        <v>0</v>
      </c>
      <c r="H545" s="8">
        <v>0</v>
      </c>
      <c r="I545" s="8">
        <v>0</v>
      </c>
      <c r="J545" s="117"/>
      <c r="K545" s="117"/>
    </row>
    <row r="546" spans="1:16" s="80" customFormat="1" ht="15" customHeight="1" outlineLevel="1" x14ac:dyDescent="0.25">
      <c r="A546" s="117"/>
      <c r="B546" s="118"/>
      <c r="C546" s="117"/>
      <c r="D546" s="79">
        <v>2025</v>
      </c>
      <c r="E546" s="8">
        <v>0</v>
      </c>
      <c r="F546" s="8">
        <v>0</v>
      </c>
      <c r="G546" s="8">
        <v>0</v>
      </c>
      <c r="H546" s="8">
        <v>0</v>
      </c>
      <c r="I546" s="8">
        <v>0</v>
      </c>
      <c r="J546" s="117"/>
      <c r="K546" s="117"/>
      <c r="M546" s="55"/>
      <c r="N546" s="55"/>
      <c r="O546" s="55"/>
      <c r="P546" s="55"/>
    </row>
    <row r="547" spans="1:16" ht="15" customHeight="1" outlineLevel="1" x14ac:dyDescent="0.25">
      <c r="A547" s="117"/>
      <c r="B547" s="118"/>
      <c r="C547" s="117"/>
      <c r="D547" s="68">
        <v>2026</v>
      </c>
      <c r="E547" s="8">
        <f t="shared" si="42"/>
        <v>0</v>
      </c>
      <c r="F547" s="8">
        <v>0</v>
      </c>
      <c r="G547" s="8">
        <v>0</v>
      </c>
      <c r="H547" s="8">
        <v>0</v>
      </c>
      <c r="I547" s="8">
        <v>0</v>
      </c>
      <c r="J547" s="117"/>
      <c r="K547" s="117"/>
    </row>
    <row r="548" spans="1:16" ht="15" customHeight="1" outlineLevel="1" x14ac:dyDescent="0.25">
      <c r="A548" s="117" t="s">
        <v>1170</v>
      </c>
      <c r="B548" s="118" t="s">
        <v>1171</v>
      </c>
      <c r="C548" s="117">
        <v>2022</v>
      </c>
      <c r="D548" s="68" t="s">
        <v>8</v>
      </c>
      <c r="E548" s="8">
        <f t="shared" si="42"/>
        <v>6133.3262999999997</v>
      </c>
      <c r="F548" s="8">
        <f>SUM(F549:F554)</f>
        <v>5826.66</v>
      </c>
      <c r="G548" s="8">
        <v>0</v>
      </c>
      <c r="H548" s="8">
        <f>SUM(H549:H554)</f>
        <v>306.66629999999998</v>
      </c>
      <c r="I548" s="8">
        <f>SUM(I549:I554)</f>
        <v>0</v>
      </c>
      <c r="J548" s="117" t="s">
        <v>1172</v>
      </c>
      <c r="K548" s="117" t="s">
        <v>547</v>
      </c>
      <c r="L548" s="124"/>
    </row>
    <row r="549" spans="1:16" outlineLevel="1" x14ac:dyDescent="0.25">
      <c r="A549" s="117"/>
      <c r="B549" s="118"/>
      <c r="C549" s="117"/>
      <c r="D549" s="68">
        <v>2021</v>
      </c>
      <c r="E549" s="8">
        <f t="shared" si="42"/>
        <v>0</v>
      </c>
      <c r="F549" s="8">
        <v>0</v>
      </c>
      <c r="G549" s="8">
        <v>0</v>
      </c>
      <c r="H549" s="8">
        <v>0</v>
      </c>
      <c r="I549" s="8">
        <v>0</v>
      </c>
      <c r="J549" s="117"/>
      <c r="K549" s="117"/>
      <c r="L549" s="124"/>
    </row>
    <row r="550" spans="1:16" outlineLevel="1" x14ac:dyDescent="0.25">
      <c r="A550" s="117"/>
      <c r="B550" s="118"/>
      <c r="C550" s="117"/>
      <c r="D550" s="68">
        <v>2022</v>
      </c>
      <c r="E550" s="8">
        <f t="shared" si="42"/>
        <v>6133.3262999999997</v>
      </c>
      <c r="F550" s="8">
        <v>5826.66</v>
      </c>
      <c r="G550" s="8">
        <v>0</v>
      </c>
      <c r="H550" s="8">
        <v>306.66629999999998</v>
      </c>
      <c r="I550" s="8">
        <v>0</v>
      </c>
      <c r="J550" s="117"/>
      <c r="K550" s="117"/>
      <c r="L550" s="124"/>
    </row>
    <row r="551" spans="1:16" outlineLevel="1" x14ac:dyDescent="0.25">
      <c r="A551" s="117"/>
      <c r="B551" s="118"/>
      <c r="C551" s="117"/>
      <c r="D551" s="68">
        <v>2023</v>
      </c>
      <c r="E551" s="8">
        <f t="shared" si="42"/>
        <v>0</v>
      </c>
      <c r="F551" s="8">
        <v>0</v>
      </c>
      <c r="G551" s="8">
        <v>0</v>
      </c>
      <c r="H551" s="8">
        <v>0</v>
      </c>
      <c r="I551" s="8">
        <v>0</v>
      </c>
      <c r="J551" s="117"/>
      <c r="K551" s="117"/>
    </row>
    <row r="552" spans="1:16" outlineLevel="1" x14ac:dyDescent="0.25">
      <c r="A552" s="117"/>
      <c r="B552" s="118"/>
      <c r="C552" s="117"/>
      <c r="D552" s="68">
        <v>2024</v>
      </c>
      <c r="E552" s="8">
        <f t="shared" si="42"/>
        <v>0</v>
      </c>
      <c r="F552" s="8">
        <v>0</v>
      </c>
      <c r="G552" s="8">
        <v>0</v>
      </c>
      <c r="H552" s="8">
        <v>0</v>
      </c>
      <c r="I552" s="8">
        <v>0</v>
      </c>
      <c r="J552" s="117"/>
      <c r="K552" s="117"/>
    </row>
    <row r="553" spans="1:16" s="80" customFormat="1" outlineLevel="1" x14ac:dyDescent="0.25">
      <c r="A553" s="117"/>
      <c r="B553" s="118"/>
      <c r="C553" s="117"/>
      <c r="D553" s="79">
        <v>2025</v>
      </c>
      <c r="E553" s="8">
        <v>0</v>
      </c>
      <c r="F553" s="8">
        <v>0</v>
      </c>
      <c r="G553" s="8">
        <v>0</v>
      </c>
      <c r="H553" s="8">
        <v>0</v>
      </c>
      <c r="I553" s="8">
        <v>0</v>
      </c>
      <c r="J553" s="117"/>
      <c r="K553" s="117"/>
      <c r="M553" s="55"/>
      <c r="N553" s="55"/>
      <c r="O553" s="55"/>
      <c r="P553" s="55"/>
    </row>
    <row r="554" spans="1:16" outlineLevel="1" x14ac:dyDescent="0.25">
      <c r="A554" s="117"/>
      <c r="B554" s="118"/>
      <c r="C554" s="117"/>
      <c r="D554" s="68">
        <v>2026</v>
      </c>
      <c r="E554" s="8">
        <f t="shared" si="42"/>
        <v>0</v>
      </c>
      <c r="F554" s="8">
        <v>0</v>
      </c>
      <c r="G554" s="8">
        <v>0</v>
      </c>
      <c r="H554" s="8">
        <v>0</v>
      </c>
      <c r="I554" s="8">
        <v>0</v>
      </c>
      <c r="J554" s="117"/>
      <c r="K554" s="117"/>
    </row>
    <row r="555" spans="1:16" outlineLevel="1" x14ac:dyDescent="0.25">
      <c r="A555" s="117" t="s">
        <v>1173</v>
      </c>
      <c r="B555" s="118" t="s">
        <v>1174</v>
      </c>
      <c r="C555" s="117">
        <v>2023</v>
      </c>
      <c r="D555" s="68" t="s">
        <v>8</v>
      </c>
      <c r="E555" s="8">
        <f t="shared" si="42"/>
        <v>0</v>
      </c>
      <c r="F555" s="8">
        <f>SUM(F556:F561)</f>
        <v>0</v>
      </c>
      <c r="G555" s="8">
        <f>SUM(G556:G561)</f>
        <v>0</v>
      </c>
      <c r="H555" s="8">
        <f>SUM(H556:H561)</f>
        <v>0</v>
      </c>
      <c r="I555" s="8">
        <f>SUM(I556:I561)</f>
        <v>0</v>
      </c>
      <c r="J555" s="117" t="s">
        <v>1175</v>
      </c>
      <c r="K555" s="117" t="s">
        <v>484</v>
      </c>
    </row>
    <row r="556" spans="1:16" outlineLevel="1" x14ac:dyDescent="0.25">
      <c r="A556" s="117"/>
      <c r="B556" s="118"/>
      <c r="C556" s="117"/>
      <c r="D556" s="68">
        <v>2021</v>
      </c>
      <c r="E556" s="8">
        <f t="shared" si="42"/>
        <v>0</v>
      </c>
      <c r="F556" s="8">
        <v>0</v>
      </c>
      <c r="G556" s="8">
        <v>0</v>
      </c>
      <c r="H556" s="8">
        <v>0</v>
      </c>
      <c r="I556" s="8">
        <v>0</v>
      </c>
      <c r="J556" s="117"/>
      <c r="K556" s="117"/>
    </row>
    <row r="557" spans="1:16" outlineLevel="1" x14ac:dyDescent="0.25">
      <c r="A557" s="117"/>
      <c r="B557" s="118"/>
      <c r="C557" s="117"/>
      <c r="D557" s="68">
        <v>2022</v>
      </c>
      <c r="E557" s="8">
        <f t="shared" si="42"/>
        <v>0</v>
      </c>
      <c r="F557" s="8">
        <v>0</v>
      </c>
      <c r="G557" s="8">
        <v>0</v>
      </c>
      <c r="H557" s="8">
        <v>0</v>
      </c>
      <c r="I557" s="8">
        <v>0</v>
      </c>
      <c r="J557" s="117"/>
      <c r="K557" s="117"/>
    </row>
    <row r="558" spans="1:16" outlineLevel="1" x14ac:dyDescent="0.25">
      <c r="A558" s="117"/>
      <c r="B558" s="118"/>
      <c r="C558" s="117"/>
      <c r="D558" s="68">
        <v>2023</v>
      </c>
      <c r="E558" s="8">
        <f t="shared" si="42"/>
        <v>0</v>
      </c>
      <c r="F558" s="8">
        <v>0</v>
      </c>
      <c r="G558" s="8">
        <v>0</v>
      </c>
      <c r="H558" s="8">
        <v>0</v>
      </c>
      <c r="I558" s="8">
        <v>0</v>
      </c>
      <c r="J558" s="117"/>
      <c r="K558" s="117"/>
    </row>
    <row r="559" spans="1:16" outlineLevel="1" x14ac:dyDescent="0.25">
      <c r="A559" s="117"/>
      <c r="B559" s="118"/>
      <c r="C559" s="117"/>
      <c r="D559" s="68">
        <v>2024</v>
      </c>
      <c r="E559" s="8">
        <f t="shared" si="42"/>
        <v>0</v>
      </c>
      <c r="F559" s="8">
        <v>0</v>
      </c>
      <c r="G559" s="8">
        <v>0</v>
      </c>
      <c r="H559" s="8">
        <v>0</v>
      </c>
      <c r="I559" s="8">
        <v>0</v>
      </c>
      <c r="J559" s="117"/>
      <c r="K559" s="117"/>
    </row>
    <row r="560" spans="1:16" s="80" customFormat="1" outlineLevel="1" x14ac:dyDescent="0.25">
      <c r="A560" s="117"/>
      <c r="B560" s="118"/>
      <c r="C560" s="117"/>
      <c r="D560" s="79">
        <v>2025</v>
      </c>
      <c r="E560" s="8">
        <v>0</v>
      </c>
      <c r="F560" s="8">
        <v>0</v>
      </c>
      <c r="G560" s="8">
        <v>0</v>
      </c>
      <c r="H560" s="8">
        <v>0</v>
      </c>
      <c r="I560" s="8">
        <v>0</v>
      </c>
      <c r="J560" s="117"/>
      <c r="K560" s="117"/>
      <c r="M560" s="55"/>
      <c r="N560" s="55"/>
      <c r="O560" s="55"/>
      <c r="P560" s="55"/>
    </row>
    <row r="561" spans="1:11" outlineLevel="1" x14ac:dyDescent="0.25">
      <c r="A561" s="117"/>
      <c r="B561" s="118"/>
      <c r="C561" s="117"/>
      <c r="D561" s="68">
        <v>2026</v>
      </c>
      <c r="E561" s="8">
        <f t="shared" si="42"/>
        <v>0</v>
      </c>
      <c r="F561" s="8">
        <v>0</v>
      </c>
      <c r="G561" s="8">
        <v>0</v>
      </c>
      <c r="H561" s="8">
        <v>0</v>
      </c>
      <c r="I561" s="8">
        <v>0</v>
      </c>
      <c r="J561" s="117"/>
      <c r="K561" s="117"/>
    </row>
    <row r="562" spans="1:11" outlineLevel="1" x14ac:dyDescent="0.25">
      <c r="A562" s="108" t="s">
        <v>1783</v>
      </c>
      <c r="B562" s="221" t="s">
        <v>1784</v>
      </c>
      <c r="C562" s="108">
        <v>2024</v>
      </c>
      <c r="D562" s="68" t="s">
        <v>8</v>
      </c>
      <c r="E562" s="8">
        <f>НОВЫЙ_МИНСТРОЙ!E515</f>
        <v>17927</v>
      </c>
      <c r="F562" s="8">
        <f>НОВЫЙ_МИНСТРОЙ!F515</f>
        <v>17927</v>
      </c>
      <c r="G562" s="8">
        <f>НОВЫЙ_МИНСТРОЙ!G515</f>
        <v>0</v>
      </c>
      <c r="H562" s="8">
        <f>НОВЫЙ_МИНСТРОЙ!H515</f>
        <v>0</v>
      </c>
      <c r="I562" s="8">
        <f>НОВЫЙ_МИНСТРОЙ!I515</f>
        <v>0</v>
      </c>
      <c r="J562" s="108" t="s">
        <v>1785</v>
      </c>
      <c r="K562" s="108" t="s">
        <v>1786</v>
      </c>
    </row>
    <row r="563" spans="1:11" outlineLevel="1" x14ac:dyDescent="0.25">
      <c r="A563" s="109"/>
      <c r="B563" s="222"/>
      <c r="C563" s="109"/>
      <c r="D563" s="68">
        <v>2021</v>
      </c>
      <c r="E563" s="8">
        <f>НОВЫЙ_МИНСТРОЙ!E516</f>
        <v>0</v>
      </c>
      <c r="F563" s="8">
        <f>НОВЫЙ_МИНСТРОЙ!F516</f>
        <v>0</v>
      </c>
      <c r="G563" s="8">
        <f>НОВЫЙ_МИНСТРОЙ!G516</f>
        <v>0</v>
      </c>
      <c r="H563" s="8">
        <f>НОВЫЙ_МИНСТРОЙ!H516</f>
        <v>0</v>
      </c>
      <c r="I563" s="8">
        <f>НОВЫЙ_МИНСТРОЙ!I516</f>
        <v>0</v>
      </c>
      <c r="J563" s="109"/>
      <c r="K563" s="109"/>
    </row>
    <row r="564" spans="1:11" outlineLevel="1" x14ac:dyDescent="0.25">
      <c r="A564" s="109"/>
      <c r="B564" s="222"/>
      <c r="C564" s="109"/>
      <c r="D564" s="68">
        <v>2022</v>
      </c>
      <c r="E564" s="8">
        <f>НОВЫЙ_МИНСТРОЙ!E517</f>
        <v>0</v>
      </c>
      <c r="F564" s="8">
        <f>НОВЫЙ_МИНСТРОЙ!F517</f>
        <v>0</v>
      </c>
      <c r="G564" s="8">
        <f>НОВЫЙ_МИНСТРОЙ!G517</f>
        <v>0</v>
      </c>
      <c r="H564" s="8">
        <f>НОВЫЙ_МИНСТРОЙ!H517</f>
        <v>0</v>
      </c>
      <c r="I564" s="8">
        <f>НОВЫЙ_МИНСТРОЙ!I517</f>
        <v>0</v>
      </c>
      <c r="J564" s="109"/>
      <c r="K564" s="109"/>
    </row>
    <row r="565" spans="1:11" outlineLevel="1" x14ac:dyDescent="0.25">
      <c r="A565" s="109"/>
      <c r="B565" s="222"/>
      <c r="C565" s="109"/>
      <c r="D565" s="68">
        <v>2023</v>
      </c>
      <c r="E565" s="8">
        <f>НОВЫЙ_МИНСТРОЙ!E518</f>
        <v>0</v>
      </c>
      <c r="F565" s="8">
        <f>НОВЫЙ_МИНСТРОЙ!F518</f>
        <v>0</v>
      </c>
      <c r="G565" s="8">
        <f>НОВЫЙ_МИНСТРОЙ!G518</f>
        <v>0</v>
      </c>
      <c r="H565" s="8">
        <f>НОВЫЙ_МИНСТРОЙ!H518</f>
        <v>0</v>
      </c>
      <c r="I565" s="8">
        <f>НОВЫЙ_МИНСТРОЙ!I518</f>
        <v>0</v>
      </c>
      <c r="J565" s="109"/>
      <c r="K565" s="109"/>
    </row>
    <row r="566" spans="1:11" outlineLevel="1" x14ac:dyDescent="0.25">
      <c r="A566" s="109"/>
      <c r="B566" s="222"/>
      <c r="C566" s="109"/>
      <c r="D566" s="68">
        <v>2024</v>
      </c>
      <c r="E566" s="8">
        <f>НОВЫЙ_МИНСТРОЙ!E519</f>
        <v>17927</v>
      </c>
      <c r="F566" s="8">
        <f>НОВЫЙ_МИНСТРОЙ!F519</f>
        <v>17927</v>
      </c>
      <c r="G566" s="8">
        <f>НОВЫЙ_МИНСТРОЙ!G519</f>
        <v>0</v>
      </c>
      <c r="H566" s="8">
        <f>НОВЫЙ_МИНСТРОЙ!H519</f>
        <v>0</v>
      </c>
      <c r="I566" s="8">
        <f>НОВЫЙ_МИНСТРОЙ!I519</f>
        <v>0</v>
      </c>
      <c r="J566" s="109"/>
      <c r="K566" s="109"/>
    </row>
    <row r="567" spans="1:11" outlineLevel="1" x14ac:dyDescent="0.25">
      <c r="A567" s="109"/>
      <c r="B567" s="222"/>
      <c r="C567" s="110"/>
      <c r="D567" s="68">
        <v>2025</v>
      </c>
      <c r="E567" s="8">
        <f>НОВЫЙ_МИНСТРОЙ!E520</f>
        <v>0</v>
      </c>
      <c r="F567" s="8">
        <f>НОВЫЙ_МИНСТРОЙ!F520</f>
        <v>0</v>
      </c>
      <c r="G567" s="8">
        <f>НОВЫЙ_МИНСТРОЙ!G520</f>
        <v>0</v>
      </c>
      <c r="H567" s="8">
        <f>НОВЫЙ_МИНСТРОЙ!H520</f>
        <v>0</v>
      </c>
      <c r="I567" s="8">
        <f>НОВЫЙ_МИНСТРОЙ!I520</f>
        <v>0</v>
      </c>
      <c r="J567" s="109"/>
      <c r="K567" s="109"/>
    </row>
    <row r="568" spans="1:11" outlineLevel="1" x14ac:dyDescent="0.25">
      <c r="A568" s="108" t="s">
        <v>1787</v>
      </c>
      <c r="B568" s="221" t="s">
        <v>1788</v>
      </c>
      <c r="C568" s="108">
        <v>2024</v>
      </c>
      <c r="D568" s="68" t="s">
        <v>8</v>
      </c>
      <c r="E568" s="8">
        <f>НОВЫЙ_МИНСТРОЙ!E521</f>
        <v>36376.927109999997</v>
      </c>
      <c r="F568" s="8">
        <f>НОВЫЙ_МИНСТРОЙ!F521</f>
        <v>36376.927109999997</v>
      </c>
      <c r="G568" s="8">
        <f>НОВЫЙ_МИНСТРОЙ!G521</f>
        <v>0</v>
      </c>
      <c r="H568" s="8">
        <f>НОВЫЙ_МИНСТРОЙ!H521</f>
        <v>0</v>
      </c>
      <c r="I568" s="8">
        <f>НОВЫЙ_МИНСТРОЙ!I521</f>
        <v>0</v>
      </c>
      <c r="J568" s="153" t="s">
        <v>1789</v>
      </c>
      <c r="K568" s="153" t="s">
        <v>1786</v>
      </c>
    </row>
    <row r="569" spans="1:11" outlineLevel="1" x14ac:dyDescent="0.25">
      <c r="A569" s="109"/>
      <c r="B569" s="222"/>
      <c r="C569" s="109"/>
      <c r="D569" s="68">
        <v>2021</v>
      </c>
      <c r="E569" s="8">
        <f>НОВЫЙ_МИНСТРОЙ!E522</f>
        <v>0</v>
      </c>
      <c r="F569" s="8">
        <f>НОВЫЙ_МИНСТРОЙ!F522</f>
        <v>0</v>
      </c>
      <c r="G569" s="8">
        <f>НОВЫЙ_МИНСТРОЙ!G522</f>
        <v>0</v>
      </c>
      <c r="H569" s="8">
        <f>НОВЫЙ_МИНСТРОЙ!H522</f>
        <v>0</v>
      </c>
      <c r="I569" s="8">
        <f>НОВЫЙ_МИНСТРОЙ!I522</f>
        <v>0</v>
      </c>
      <c r="J569" s="154"/>
      <c r="K569" s="154"/>
    </row>
    <row r="570" spans="1:11" outlineLevel="1" x14ac:dyDescent="0.25">
      <c r="A570" s="109"/>
      <c r="B570" s="222"/>
      <c r="C570" s="109"/>
      <c r="D570" s="68">
        <v>2022</v>
      </c>
      <c r="E570" s="8">
        <f>НОВЫЙ_МИНСТРОЙ!E523</f>
        <v>0</v>
      </c>
      <c r="F570" s="8">
        <f>НОВЫЙ_МИНСТРОЙ!F523</f>
        <v>0</v>
      </c>
      <c r="G570" s="8">
        <f>НОВЫЙ_МИНСТРОЙ!G523</f>
        <v>0</v>
      </c>
      <c r="H570" s="8">
        <f>НОВЫЙ_МИНСТРОЙ!H523</f>
        <v>0</v>
      </c>
      <c r="I570" s="8">
        <f>НОВЫЙ_МИНСТРОЙ!I523</f>
        <v>0</v>
      </c>
      <c r="J570" s="154"/>
      <c r="K570" s="154"/>
    </row>
    <row r="571" spans="1:11" outlineLevel="1" x14ac:dyDescent="0.25">
      <c r="A571" s="109"/>
      <c r="B571" s="222"/>
      <c r="C571" s="109"/>
      <c r="D571" s="68">
        <v>2023</v>
      </c>
      <c r="E571" s="8">
        <f>НОВЫЙ_МИНСТРОЙ!E524</f>
        <v>0</v>
      </c>
      <c r="F571" s="8">
        <f>НОВЫЙ_МИНСТРОЙ!F524</f>
        <v>0</v>
      </c>
      <c r="G571" s="8">
        <f>НОВЫЙ_МИНСТРОЙ!G524</f>
        <v>0</v>
      </c>
      <c r="H571" s="8">
        <f>НОВЫЙ_МИНСТРОЙ!H524</f>
        <v>0</v>
      </c>
      <c r="I571" s="8">
        <f>НОВЫЙ_МИНСТРОЙ!I524</f>
        <v>0</v>
      </c>
      <c r="J571" s="154"/>
      <c r="K571" s="154"/>
    </row>
    <row r="572" spans="1:11" outlineLevel="1" x14ac:dyDescent="0.25">
      <c r="A572" s="109"/>
      <c r="B572" s="222"/>
      <c r="C572" s="109"/>
      <c r="D572" s="68">
        <v>2024</v>
      </c>
      <c r="E572" s="8">
        <f>НОВЫЙ_МИНСТРОЙ!E525</f>
        <v>36376.927109999997</v>
      </c>
      <c r="F572" s="8">
        <f>НОВЫЙ_МИНСТРОЙ!F525</f>
        <v>36376.927109999997</v>
      </c>
      <c r="G572" s="8">
        <f>НОВЫЙ_МИНСТРОЙ!G525</f>
        <v>0</v>
      </c>
      <c r="H572" s="8">
        <f>НОВЫЙ_МИНСТРОЙ!H525</f>
        <v>0</v>
      </c>
      <c r="I572" s="8">
        <f>НОВЫЙ_МИНСТРОЙ!I525</f>
        <v>0</v>
      </c>
      <c r="J572" s="154"/>
      <c r="K572" s="154"/>
    </row>
    <row r="573" spans="1:11" outlineLevel="1" x14ac:dyDescent="0.25">
      <c r="A573" s="109"/>
      <c r="B573" s="222"/>
      <c r="C573" s="110"/>
      <c r="D573" s="68">
        <v>2025</v>
      </c>
      <c r="E573" s="8">
        <f>НОВЫЙ_МИНСТРОЙ!E526</f>
        <v>0</v>
      </c>
      <c r="F573" s="8">
        <f>НОВЫЙ_МИНСТРОЙ!F526</f>
        <v>0</v>
      </c>
      <c r="G573" s="8">
        <f>НОВЫЙ_МИНСТРОЙ!G526</f>
        <v>0</v>
      </c>
      <c r="H573" s="8">
        <f>НОВЫЙ_МИНСТРОЙ!H526</f>
        <v>0</v>
      </c>
      <c r="I573" s="8">
        <f>НОВЫЙ_МИНСТРОЙ!I526</f>
        <v>0</v>
      </c>
      <c r="J573" s="154"/>
      <c r="K573" s="154"/>
    </row>
    <row r="574" spans="1:11" ht="17.100000000000001" customHeight="1" outlineLevel="1" x14ac:dyDescent="0.25">
      <c r="A574" s="108" t="s">
        <v>104</v>
      </c>
      <c r="B574" s="108" t="s">
        <v>105</v>
      </c>
      <c r="C574" s="108" t="s">
        <v>828</v>
      </c>
      <c r="D574" s="68" t="s">
        <v>8</v>
      </c>
      <c r="E574" s="8">
        <f t="shared" si="42"/>
        <v>1097326.8677618264</v>
      </c>
      <c r="F574" s="8">
        <f>SUM(F575:F580)</f>
        <v>1062342.07305</v>
      </c>
      <c r="G574" s="8">
        <f>SUM(G575:G579)</f>
        <v>0</v>
      </c>
      <c r="H574" s="8">
        <f>SUM(H575:H579)</f>
        <v>34984.794711826275</v>
      </c>
      <c r="I574" s="8">
        <f>SUM(I582:I587)</f>
        <v>0</v>
      </c>
      <c r="J574" s="108" t="s">
        <v>1792</v>
      </c>
      <c r="K574" s="108" t="s">
        <v>1176</v>
      </c>
    </row>
    <row r="575" spans="1:11" ht="17.100000000000001" customHeight="1" outlineLevel="1" x14ac:dyDescent="0.25">
      <c r="A575" s="109"/>
      <c r="B575" s="109"/>
      <c r="C575" s="109"/>
      <c r="D575" s="68">
        <v>2021</v>
      </c>
      <c r="E575" s="8">
        <f t="shared" si="42"/>
        <v>195224.35576589749</v>
      </c>
      <c r="F575" s="8">
        <f>SUM(F582+F589+F596+F603+F610+F617+F624+F631+F638+F645+F652+F659+F666+F673+F680+F687+F694+F701+F708+F715+F722+F729+F736+F743+F750+F757+F764+F771+F778)</f>
        <v>179524.59972</v>
      </c>
      <c r="G575" s="8">
        <f>SUM(G582+G589+G596+G603+G610+G617+G624+G631+G638+G645+G652+G659+G666+G673+G680+G687+G694+G701+G708+G715+G722+G729+G736+G743+G750+G757+G764+G771+G778)</f>
        <v>0</v>
      </c>
      <c r="H575" s="8">
        <f>SUM(H582+H589+H596+H603+H610+H617+H624+H631+H638+H645+H652+H659+H666+H673+H680+H687+H694+H701+H708+H715+H722+H729+H736+H743+H750+H757+H764+H771+H778)</f>
        <v>15699.756045897479</v>
      </c>
      <c r="I575" s="8">
        <f>SUM(I583:I588)</f>
        <v>0</v>
      </c>
      <c r="J575" s="109"/>
      <c r="K575" s="109"/>
    </row>
    <row r="576" spans="1:11" ht="17.100000000000001" customHeight="1" outlineLevel="1" x14ac:dyDescent="0.25">
      <c r="A576" s="109"/>
      <c r="B576" s="109"/>
      <c r="C576" s="109"/>
      <c r="D576" s="68">
        <v>2022</v>
      </c>
      <c r="E576" s="8">
        <f t="shared" si="42"/>
        <v>369218.75899592874</v>
      </c>
      <c r="F576" s="8">
        <f>SUM(F583+F590+F597+F604+F611+F618+F625+F632+F639+F646+F653+F660+F667+F674+F681+F688+F695+F702+F709+F716+F723+F730+F737+F744+F751+F758+F765+F772+F779+F786+F793+F800+F807)</f>
        <v>355399.40232999995</v>
      </c>
      <c r="G576" s="8">
        <f>SUM(G583+G590+G597+G604+G611+G618+G625+G632+G639+G646+G653+G660+G667+G674+G681+G688+G695+G702+G709+G716+G723+G730+G737+G744+G751+G758+G765+G772+G779)</f>
        <v>0</v>
      </c>
      <c r="H576" s="8">
        <f>SUM(H583+H590+H597+H604+H611+H618+H625+H632+H639+H646+H653+H660+H667+H674+H681+H688+H695+H702+H709+H716+H723+H730+H737+H744+H751+H758+H765+H772+H779+H786+H793+H800+H807)</f>
        <v>13819.356665928797</v>
      </c>
      <c r="I576" s="8">
        <f>SUM(I584:I589)</f>
        <v>0</v>
      </c>
      <c r="J576" s="109"/>
      <c r="K576" s="109"/>
    </row>
    <row r="577" spans="1:16" ht="17.100000000000001" customHeight="1" outlineLevel="1" x14ac:dyDescent="0.25">
      <c r="A577" s="109"/>
      <c r="B577" s="109"/>
      <c r="C577" s="109"/>
      <c r="D577" s="68">
        <v>2023</v>
      </c>
      <c r="E577" s="8">
        <f t="shared" si="42"/>
        <v>127612.45300000001</v>
      </c>
      <c r="F577" s="8">
        <f>SUM(F584+F591+F598+F605+F612+F619+F626+F633+F640+F647+F654+F661+F668+F675+F682+F689+F696+F703+F710+F717+F724+F731+F738+F745+F752+F759+F766+F773+F780)</f>
        <v>122146.77100000001</v>
      </c>
      <c r="G577" s="8">
        <f>SUM(G584+G591+G598+G605+G612+G619+G626+G633+G640+G647+G654+G661+G668+G675+G682+G689+G696+G703+G710+G717+G724+G731+G738+G745+G752+G759+G766+G773+G780)</f>
        <v>0</v>
      </c>
      <c r="H577" s="8">
        <f>SUM(H584+H591+H598+H605+H612+H619+H626+H633+H640+H647+H654+H661+H668+H675+H682+H689+H696+H703+H710+H717+H724+H731+H738+H745+H752+H759+H766+H773+H780)</f>
        <v>5465.6819999999998</v>
      </c>
      <c r="I577" s="8">
        <f>SUM(I584+I591+I598+I605+I612+I619+I626+I633+I640+I647+I654+I661+I668+I675+I682+I689+I696+I703+I710+I717+I724+I731+I738+I745+I752+I759+I766+I773+I780)</f>
        <v>0</v>
      </c>
      <c r="J577" s="109"/>
      <c r="K577" s="109"/>
    </row>
    <row r="578" spans="1:16" outlineLevel="1" x14ac:dyDescent="0.25">
      <c r="A578" s="109"/>
      <c r="B578" s="109"/>
      <c r="C578" s="109"/>
      <c r="D578" s="68">
        <v>2024</v>
      </c>
      <c r="E578" s="8">
        <f t="shared" si="42"/>
        <v>10400</v>
      </c>
      <c r="F578" s="8">
        <f>SUM(F585+F592+F599+F606+F613+F620+F627+F634+F641+F648+F655+F662+F669+F676+F683+F690+F697+F704+F711+F718+F725+F732+F739+F746+F753+F760+F767+F774+F781+F816+F823)</f>
        <v>10400</v>
      </c>
      <c r="G578" s="8">
        <f>SUM(G585+G592+G599+G606+G613+G620+G627+G634+G641+G648+G655+G662+G669+G676+G683+G690+G697+G704+G711+G718+G725+G732+G739+G746+G753+G760+G767+G774+G781)</f>
        <v>0</v>
      </c>
      <c r="H578" s="8">
        <f>SUM(H585+H592+H599+H606+H613+H620+H627+H634+H641+H648+H655+H662+H669+H676+H683+H690+H697+H704+H711+H718+H725+H732+H739+H746+H753+H760+H767+H774+H781)</f>
        <v>0</v>
      </c>
      <c r="I578" s="8">
        <f>SUM(I585+I592+I599+I606+I613+I620+I627+I634+I641+I648+I655+I662+I669+I676+I683+I690+I697+I704+I711+I718+I725+I732+I739+I746+I753+I760+I767+I774+I781)</f>
        <v>0</v>
      </c>
      <c r="J578" s="109"/>
      <c r="K578" s="109"/>
    </row>
    <row r="579" spans="1:16" outlineLevel="1" x14ac:dyDescent="0.25">
      <c r="A579" s="109"/>
      <c r="B579" s="109"/>
      <c r="C579" s="109"/>
      <c r="D579" s="68">
        <v>2025</v>
      </c>
      <c r="E579" s="8">
        <f t="shared" si="42"/>
        <v>10400</v>
      </c>
      <c r="F579" s="8">
        <f>SUM(F587+F593+F601+F608+F615+F622+F629+F636+F643+F650+F657+F664+F671+F678+F685+F692+F699+F705+F713+F720+F727+F734+F741+F748+F755+F762+F769+F776+F783+F817+F824)</f>
        <v>10400</v>
      </c>
      <c r="G579" s="8">
        <f>SUM(G587+G593+G601+G608+G615+G622+G629+G636+G643+G650+G657+G664+G671+G678+G685+G692+G699+G705+G713+G720+G727+G734+G741+G748+G755+G762+G769+G776+G783)</f>
        <v>0</v>
      </c>
      <c r="H579" s="8">
        <f>SUM(H587+H593+H601+H608+H615+H622+H629+H636+H643+H650+H657+H664+H671+H678+H685+H692+H699+H705+H713+H720+H727+H734+H741+H748+H755+H762+H769+H776+H783)</f>
        <v>0</v>
      </c>
      <c r="I579" s="8">
        <f>SUM(I587+I593+I601+I608+I615+I622+I629+I636+I643+I650+I657+I664+I671+I678+I685+I692+I699+I705+I713+I720+I727+I734+I741+I748+I755+I762+I769+I776+I783)</f>
        <v>0</v>
      </c>
      <c r="J579" s="109"/>
      <c r="K579" s="109"/>
    </row>
    <row r="580" spans="1:16" outlineLevel="1" x14ac:dyDescent="0.25">
      <c r="A580" s="110"/>
      <c r="B580" s="110"/>
      <c r="C580" s="110"/>
      <c r="D580" s="68">
        <v>2026</v>
      </c>
      <c r="E580" s="8">
        <f t="shared" si="42"/>
        <v>384471.30000000005</v>
      </c>
      <c r="F580" s="8">
        <f>SUM(F594,F706,F818,F825)</f>
        <v>384471.30000000005</v>
      </c>
      <c r="G580" s="8">
        <f t="shared" ref="G580:I580" si="43">SUM(G594,G818,G825)</f>
        <v>0</v>
      </c>
      <c r="H580" s="8">
        <f t="shared" si="43"/>
        <v>0</v>
      </c>
      <c r="I580" s="8">
        <f t="shared" si="43"/>
        <v>0</v>
      </c>
      <c r="J580" s="110"/>
      <c r="K580" s="110"/>
    </row>
    <row r="581" spans="1:16" ht="17.100000000000001" customHeight="1" outlineLevel="1" x14ac:dyDescent="0.25">
      <c r="A581" s="117" t="s">
        <v>108</v>
      </c>
      <c r="B581" s="118" t="s">
        <v>109</v>
      </c>
      <c r="C581" s="108" t="s">
        <v>19</v>
      </c>
      <c r="D581" s="68" t="s">
        <v>8</v>
      </c>
      <c r="E581" s="8">
        <f t="shared" si="42"/>
        <v>54408.455999999998</v>
      </c>
      <c r="F581" s="8">
        <f>SUM(F582:F587)</f>
        <v>50810.661</v>
      </c>
      <c r="G581" s="8">
        <f>SUM(G582:G587)</f>
        <v>0</v>
      </c>
      <c r="H581" s="8">
        <f>SUM(H582:H587)</f>
        <v>3597.7950000000001</v>
      </c>
      <c r="I581" s="8">
        <f>SUM(I582:I587)</f>
        <v>0</v>
      </c>
      <c r="J581" s="135" t="s">
        <v>1766</v>
      </c>
      <c r="K581" s="119" t="s">
        <v>566</v>
      </c>
    </row>
    <row r="582" spans="1:16" ht="17.100000000000001" customHeight="1" outlineLevel="1" x14ac:dyDescent="0.25">
      <c r="A582" s="117"/>
      <c r="B582" s="118"/>
      <c r="C582" s="109"/>
      <c r="D582" s="68">
        <v>2021</v>
      </c>
      <c r="E582" s="8">
        <f t="shared" si="42"/>
        <v>27027.03</v>
      </c>
      <c r="F582" s="8">
        <v>25000</v>
      </c>
      <c r="G582" s="8">
        <v>0</v>
      </c>
      <c r="H582" s="8">
        <v>2027.03</v>
      </c>
      <c r="I582" s="8">
        <v>0</v>
      </c>
      <c r="J582" s="136"/>
      <c r="K582" s="119"/>
    </row>
    <row r="583" spans="1:16" ht="17.100000000000001" customHeight="1" outlineLevel="1" x14ac:dyDescent="0.25">
      <c r="A583" s="117"/>
      <c r="B583" s="118"/>
      <c r="C583" s="109"/>
      <c r="D583" s="68">
        <v>2022</v>
      </c>
      <c r="E583" s="8">
        <f t="shared" si="42"/>
        <v>8067.7860000000001</v>
      </c>
      <c r="F583" s="8">
        <v>7462.7030000000004</v>
      </c>
      <c r="G583" s="8">
        <v>0</v>
      </c>
      <c r="H583" s="8">
        <v>605.08299999999997</v>
      </c>
      <c r="I583" s="8">
        <v>0</v>
      </c>
      <c r="J583" s="136"/>
      <c r="K583" s="119"/>
    </row>
    <row r="584" spans="1:16" ht="17.100000000000001" customHeight="1" outlineLevel="1" x14ac:dyDescent="0.25">
      <c r="A584" s="117"/>
      <c r="B584" s="118"/>
      <c r="C584" s="109"/>
      <c r="D584" s="68">
        <v>2023</v>
      </c>
      <c r="E584" s="8">
        <f t="shared" si="42"/>
        <v>19313.64</v>
      </c>
      <c r="F584" s="8">
        <f>24463.944-6115.986</f>
        <v>18347.957999999999</v>
      </c>
      <c r="G584" s="8">
        <v>0</v>
      </c>
      <c r="H584" s="8">
        <v>965.68200000000002</v>
      </c>
      <c r="I584" s="8">
        <v>0</v>
      </c>
      <c r="J584" s="136"/>
      <c r="K584" s="119"/>
    </row>
    <row r="585" spans="1:16" outlineLevel="1" x14ac:dyDescent="0.25">
      <c r="A585" s="117"/>
      <c r="B585" s="118"/>
      <c r="C585" s="109"/>
      <c r="D585" s="68">
        <v>2024</v>
      </c>
      <c r="E585" s="8">
        <f t="shared" si="42"/>
        <v>0</v>
      </c>
      <c r="F585" s="8">
        <v>0</v>
      </c>
      <c r="G585" s="8">
        <v>0</v>
      </c>
      <c r="H585" s="8">
        <v>0</v>
      </c>
      <c r="I585" s="8">
        <f>НОВЫЙ!Q111</f>
        <v>0</v>
      </c>
      <c r="J585" s="136"/>
      <c r="K585" s="119"/>
    </row>
    <row r="586" spans="1:16" s="80" customFormat="1" outlineLevel="1" x14ac:dyDescent="0.25">
      <c r="A586" s="117"/>
      <c r="B586" s="118"/>
      <c r="C586" s="109"/>
      <c r="D586" s="79">
        <v>2025</v>
      </c>
      <c r="E586" s="8">
        <v>0</v>
      </c>
      <c r="F586" s="8">
        <v>0</v>
      </c>
      <c r="G586" s="8">
        <v>0</v>
      </c>
      <c r="H586" s="8">
        <v>0</v>
      </c>
      <c r="I586" s="8">
        <v>0</v>
      </c>
      <c r="J586" s="136"/>
      <c r="K586" s="119"/>
      <c r="M586" s="55"/>
      <c r="N586" s="55"/>
      <c r="O586" s="55"/>
      <c r="P586" s="55"/>
    </row>
    <row r="587" spans="1:16" outlineLevel="1" x14ac:dyDescent="0.25">
      <c r="A587" s="117"/>
      <c r="B587" s="118"/>
      <c r="C587" s="110"/>
      <c r="D587" s="68">
        <v>2026</v>
      </c>
      <c r="E587" s="8">
        <f t="shared" si="42"/>
        <v>0</v>
      </c>
      <c r="F587" s="8">
        <v>0</v>
      </c>
      <c r="G587" s="8">
        <v>0</v>
      </c>
      <c r="H587" s="8">
        <v>0</v>
      </c>
      <c r="I587" s="8">
        <v>0</v>
      </c>
      <c r="J587" s="137"/>
      <c r="K587" s="119"/>
    </row>
    <row r="588" spans="1:16" ht="17.100000000000001" customHeight="1" outlineLevel="1" x14ac:dyDescent="0.25">
      <c r="A588" s="108" t="s">
        <v>112</v>
      </c>
      <c r="B588" s="108" t="s">
        <v>113</v>
      </c>
      <c r="C588" s="108" t="s">
        <v>828</v>
      </c>
      <c r="D588" s="68" t="s">
        <v>8</v>
      </c>
      <c r="E588" s="8">
        <f t="shared" si="42"/>
        <v>78406.856999999989</v>
      </c>
      <c r="F588" s="8">
        <f>SUM(F589:F594)</f>
        <v>78406.856999999989</v>
      </c>
      <c r="G588" s="8">
        <f>SUM(G589:G593)</f>
        <v>0</v>
      </c>
      <c r="H588" s="8">
        <f>SUM(H589:H593)</f>
        <v>0</v>
      </c>
      <c r="I588" s="8">
        <f>SUM(I589:I593)</f>
        <v>0</v>
      </c>
      <c r="J588" s="108" t="s">
        <v>567</v>
      </c>
      <c r="K588" s="108" t="s">
        <v>563</v>
      </c>
    </row>
    <row r="589" spans="1:16" ht="17.100000000000001" customHeight="1" outlineLevel="1" x14ac:dyDescent="0.25">
      <c r="A589" s="109"/>
      <c r="B589" s="109"/>
      <c r="C589" s="109"/>
      <c r="D589" s="68">
        <v>2021</v>
      </c>
      <c r="E589" s="8">
        <f t="shared" si="42"/>
        <v>6000</v>
      </c>
      <c r="F589" s="8">
        <v>6000</v>
      </c>
      <c r="G589" s="8">
        <v>0</v>
      </c>
      <c r="H589" s="8">
        <v>0</v>
      </c>
      <c r="I589" s="8">
        <v>0</v>
      </c>
      <c r="J589" s="109"/>
      <c r="K589" s="109"/>
    </row>
    <row r="590" spans="1:16" ht="17.100000000000001" customHeight="1" outlineLevel="1" x14ac:dyDescent="0.25">
      <c r="A590" s="109"/>
      <c r="B590" s="109"/>
      <c r="C590" s="109"/>
      <c r="D590" s="68">
        <v>2022</v>
      </c>
      <c r="E590" s="8">
        <f t="shared" si="42"/>
        <v>42479.56</v>
      </c>
      <c r="F590" s="8">
        <v>42479.56</v>
      </c>
      <c r="G590" s="8">
        <v>0</v>
      </c>
      <c r="H590" s="8">
        <v>0</v>
      </c>
      <c r="I590" s="8">
        <v>0</v>
      </c>
      <c r="J590" s="109"/>
      <c r="K590" s="109"/>
    </row>
    <row r="591" spans="1:16" ht="17.100000000000001" customHeight="1" outlineLevel="1" x14ac:dyDescent="0.25">
      <c r="A591" s="109"/>
      <c r="B591" s="109"/>
      <c r="C591" s="109"/>
      <c r="D591" s="68">
        <v>2023</v>
      </c>
      <c r="E591" s="8">
        <f t="shared" si="42"/>
        <v>11927.296999999999</v>
      </c>
      <c r="F591" s="8">
        <f>6000+5927.297</f>
        <v>11927.296999999999</v>
      </c>
      <c r="G591" s="8">
        <v>0</v>
      </c>
      <c r="H591" s="8">
        <v>0</v>
      </c>
      <c r="I591" s="8">
        <v>0</v>
      </c>
      <c r="J591" s="109"/>
      <c r="K591" s="109"/>
    </row>
    <row r="592" spans="1:16" outlineLevel="1" x14ac:dyDescent="0.25">
      <c r="A592" s="109"/>
      <c r="B592" s="109"/>
      <c r="C592" s="109"/>
      <c r="D592" s="68">
        <v>2024</v>
      </c>
      <c r="E592" s="8">
        <f t="shared" si="42"/>
        <v>6000</v>
      </c>
      <c r="F592" s="8">
        <f>6000</f>
        <v>6000</v>
      </c>
      <c r="G592" s="8">
        <v>0</v>
      </c>
      <c r="H592" s="8">
        <v>0</v>
      </c>
      <c r="I592" s="8">
        <v>0</v>
      </c>
      <c r="J592" s="109"/>
      <c r="K592" s="109"/>
    </row>
    <row r="593" spans="1:16" outlineLevel="1" x14ac:dyDescent="0.25">
      <c r="A593" s="109"/>
      <c r="B593" s="109"/>
      <c r="C593" s="109"/>
      <c r="D593" s="68">
        <v>2025</v>
      </c>
      <c r="E593" s="8">
        <f t="shared" si="42"/>
        <v>6000</v>
      </c>
      <c r="F593" s="8">
        <v>6000</v>
      </c>
      <c r="G593" s="8">
        <v>0</v>
      </c>
      <c r="H593" s="8">
        <v>0</v>
      </c>
      <c r="I593" s="8">
        <v>0</v>
      </c>
      <c r="J593" s="109"/>
      <c r="K593" s="109"/>
    </row>
    <row r="594" spans="1:16" outlineLevel="1" x14ac:dyDescent="0.25">
      <c r="A594" s="110"/>
      <c r="B594" s="110"/>
      <c r="C594" s="110"/>
      <c r="D594" s="68">
        <v>2026</v>
      </c>
      <c r="E594" s="8">
        <f>SUM(F594:I594)</f>
        <v>6000</v>
      </c>
      <c r="F594" s="8">
        <v>6000</v>
      </c>
      <c r="G594" s="8"/>
      <c r="H594" s="8"/>
      <c r="I594" s="8"/>
      <c r="J594" s="110"/>
      <c r="K594" s="110"/>
    </row>
    <row r="595" spans="1:16" ht="17.100000000000001" customHeight="1" outlineLevel="1" x14ac:dyDescent="0.25">
      <c r="A595" s="117" t="s">
        <v>568</v>
      </c>
      <c r="B595" s="118" t="s">
        <v>569</v>
      </c>
      <c r="C595" s="108" t="s">
        <v>19</v>
      </c>
      <c r="D595" s="68" t="s">
        <v>8</v>
      </c>
      <c r="E595" s="8">
        <f t="shared" si="42"/>
        <v>31683.69587</v>
      </c>
      <c r="F595" s="8">
        <f>SUM(F596:F601)</f>
        <v>31683.69587</v>
      </c>
      <c r="G595" s="8">
        <f>SUM(G596:G601)</f>
        <v>0</v>
      </c>
      <c r="H595" s="8">
        <f>SUM(H596:H601)</f>
        <v>0</v>
      </c>
      <c r="I595" s="8">
        <f>SUM(I596:I601)</f>
        <v>0</v>
      </c>
      <c r="J595" s="117" t="s">
        <v>570</v>
      </c>
      <c r="K595" s="117" t="s">
        <v>486</v>
      </c>
    </row>
    <row r="596" spans="1:16" ht="17.100000000000001" customHeight="1" outlineLevel="1" x14ac:dyDescent="0.25">
      <c r="A596" s="117"/>
      <c r="B596" s="118"/>
      <c r="C596" s="109"/>
      <c r="D596" s="68">
        <v>2021</v>
      </c>
      <c r="E596" s="8">
        <f t="shared" si="42"/>
        <v>3963.1770000000001</v>
      </c>
      <c r="F596" s="8">
        <f>3963177/1000</f>
        <v>3963.1770000000001</v>
      </c>
      <c r="G596" s="8">
        <v>0</v>
      </c>
      <c r="H596" s="8">
        <v>0</v>
      </c>
      <c r="I596" s="8">
        <v>0</v>
      </c>
      <c r="J596" s="117"/>
      <c r="K596" s="117"/>
    </row>
    <row r="597" spans="1:16" ht="17.100000000000001" customHeight="1" outlineLevel="1" x14ac:dyDescent="0.25">
      <c r="A597" s="117"/>
      <c r="B597" s="118"/>
      <c r="C597" s="109"/>
      <c r="D597" s="68">
        <v>2022</v>
      </c>
      <c r="E597" s="8">
        <f t="shared" si="42"/>
        <v>25913.068869999999</v>
      </c>
      <c r="F597" s="8">
        <f>32144.3+6312.158-13089.787+546.39787</f>
        <v>25913.068869999999</v>
      </c>
      <c r="G597" s="8">
        <v>0</v>
      </c>
      <c r="H597" s="8">
        <v>0</v>
      </c>
      <c r="I597" s="8">
        <v>0</v>
      </c>
      <c r="J597" s="117"/>
      <c r="K597" s="117"/>
    </row>
    <row r="598" spans="1:16" ht="17.100000000000001" customHeight="1" outlineLevel="1" x14ac:dyDescent="0.25">
      <c r="A598" s="117"/>
      <c r="B598" s="118"/>
      <c r="C598" s="109"/>
      <c r="D598" s="68">
        <v>2023</v>
      </c>
      <c r="E598" s="8">
        <f t="shared" ref="E598:E672" si="44">SUM(F598:I598)</f>
        <v>1807.45</v>
      </c>
      <c r="F598" s="8">
        <v>1807.45</v>
      </c>
      <c r="G598" s="8">
        <v>0</v>
      </c>
      <c r="H598" s="8">
        <v>0</v>
      </c>
      <c r="I598" s="8">
        <v>0</v>
      </c>
      <c r="J598" s="117"/>
      <c r="K598" s="117"/>
    </row>
    <row r="599" spans="1:16" outlineLevel="1" x14ac:dyDescent="0.25">
      <c r="A599" s="117"/>
      <c r="B599" s="118"/>
      <c r="C599" s="109"/>
      <c r="D599" s="68">
        <v>2024</v>
      </c>
      <c r="E599" s="8">
        <f t="shared" si="44"/>
        <v>0</v>
      </c>
      <c r="F599" s="8">
        <v>0</v>
      </c>
      <c r="G599" s="8">
        <v>0</v>
      </c>
      <c r="H599" s="8">
        <v>0</v>
      </c>
      <c r="I599" s="8">
        <v>0</v>
      </c>
      <c r="J599" s="117"/>
      <c r="K599" s="117"/>
    </row>
    <row r="600" spans="1:16" s="80" customFormat="1" outlineLevel="1" x14ac:dyDescent="0.25">
      <c r="A600" s="117"/>
      <c r="B600" s="118"/>
      <c r="C600" s="109"/>
      <c r="D600" s="79">
        <v>2025</v>
      </c>
      <c r="E600" s="8">
        <v>0</v>
      </c>
      <c r="F600" s="8">
        <v>0</v>
      </c>
      <c r="G600" s="8">
        <v>0</v>
      </c>
      <c r="H600" s="8">
        <v>0</v>
      </c>
      <c r="I600" s="8">
        <v>0</v>
      </c>
      <c r="J600" s="117"/>
      <c r="K600" s="117"/>
      <c r="M600" s="55"/>
      <c r="N600" s="55"/>
      <c r="O600" s="55"/>
      <c r="P600" s="55"/>
    </row>
    <row r="601" spans="1:16" outlineLevel="1" x14ac:dyDescent="0.25">
      <c r="A601" s="117"/>
      <c r="B601" s="118"/>
      <c r="C601" s="110"/>
      <c r="D601" s="68">
        <v>2026</v>
      </c>
      <c r="E601" s="8">
        <f t="shared" si="44"/>
        <v>0</v>
      </c>
      <c r="F601" s="8">
        <v>0</v>
      </c>
      <c r="G601" s="8">
        <v>0</v>
      </c>
      <c r="H601" s="8">
        <v>0</v>
      </c>
      <c r="I601" s="8">
        <v>0</v>
      </c>
      <c r="J601" s="117"/>
      <c r="K601" s="117"/>
    </row>
    <row r="602" spans="1:16" ht="17.100000000000001" customHeight="1" outlineLevel="1" x14ac:dyDescent="0.25">
      <c r="A602" s="117" t="s">
        <v>571</v>
      </c>
      <c r="B602" s="118" t="s">
        <v>572</v>
      </c>
      <c r="C602" s="108">
        <v>2021</v>
      </c>
      <c r="D602" s="68" t="s">
        <v>8</v>
      </c>
      <c r="E602" s="8">
        <f t="shared" si="44"/>
        <v>22778.260870000002</v>
      </c>
      <c r="F602" s="8">
        <f>SUM(F603:F608)</f>
        <v>18860.400000000001</v>
      </c>
      <c r="G602" s="8">
        <f>SUM(G603:G608)</f>
        <v>0</v>
      </c>
      <c r="H602" s="8">
        <f>SUM(H603:H608)</f>
        <v>3917.86087</v>
      </c>
      <c r="I602" s="8">
        <f>SUM(I603:I608)</f>
        <v>0</v>
      </c>
      <c r="J602" s="117" t="s">
        <v>573</v>
      </c>
      <c r="K602" s="117" t="s">
        <v>566</v>
      </c>
    </row>
    <row r="603" spans="1:16" ht="17.100000000000001" customHeight="1" outlineLevel="1" x14ac:dyDescent="0.25">
      <c r="A603" s="117"/>
      <c r="B603" s="118"/>
      <c r="C603" s="109"/>
      <c r="D603" s="68">
        <v>2021</v>
      </c>
      <c r="E603" s="8">
        <f t="shared" si="44"/>
        <v>22778.260870000002</v>
      </c>
      <c r="F603" s="8">
        <v>18860.400000000001</v>
      </c>
      <c r="G603" s="8">
        <v>0</v>
      </c>
      <c r="H603" s="8">
        <v>3917.86087</v>
      </c>
      <c r="I603" s="8">
        <v>0</v>
      </c>
      <c r="J603" s="117"/>
      <c r="K603" s="117"/>
    </row>
    <row r="604" spans="1:16" ht="17.100000000000001" customHeight="1" outlineLevel="1" x14ac:dyDescent="0.25">
      <c r="A604" s="117"/>
      <c r="B604" s="118"/>
      <c r="C604" s="109"/>
      <c r="D604" s="68">
        <v>2022</v>
      </c>
      <c r="E604" s="8">
        <v>0</v>
      </c>
      <c r="F604" s="8">
        <v>0</v>
      </c>
      <c r="G604" s="8">
        <v>0</v>
      </c>
      <c r="H604" s="8">
        <v>0</v>
      </c>
      <c r="I604" s="8">
        <v>0</v>
      </c>
      <c r="J604" s="117"/>
      <c r="K604" s="117"/>
    </row>
    <row r="605" spans="1:16" ht="17.100000000000001" customHeight="1" outlineLevel="1" x14ac:dyDescent="0.25">
      <c r="A605" s="117"/>
      <c r="B605" s="118"/>
      <c r="C605" s="109"/>
      <c r="D605" s="68">
        <v>2023</v>
      </c>
      <c r="E605" s="8">
        <v>0</v>
      </c>
      <c r="F605" s="8">
        <v>0</v>
      </c>
      <c r="G605" s="8">
        <v>0</v>
      </c>
      <c r="H605" s="8">
        <v>0</v>
      </c>
      <c r="I605" s="8">
        <v>0</v>
      </c>
      <c r="J605" s="117"/>
      <c r="K605" s="117"/>
    </row>
    <row r="606" spans="1:16" outlineLevel="1" x14ac:dyDescent="0.25">
      <c r="A606" s="117"/>
      <c r="B606" s="118"/>
      <c r="C606" s="109"/>
      <c r="D606" s="68">
        <v>2024</v>
      </c>
      <c r="E606" s="8">
        <v>0</v>
      </c>
      <c r="F606" s="8">
        <v>0</v>
      </c>
      <c r="G606" s="8">
        <v>0</v>
      </c>
      <c r="H606" s="8">
        <v>0</v>
      </c>
      <c r="I606" s="8">
        <v>0</v>
      </c>
      <c r="J606" s="117"/>
      <c r="K606" s="117"/>
    </row>
    <row r="607" spans="1:16" s="80" customFormat="1" outlineLevel="1" x14ac:dyDescent="0.25">
      <c r="A607" s="117"/>
      <c r="B607" s="118"/>
      <c r="C607" s="109"/>
      <c r="D607" s="79">
        <v>2025</v>
      </c>
      <c r="E607" s="8">
        <v>0</v>
      </c>
      <c r="F607" s="8">
        <v>0</v>
      </c>
      <c r="G607" s="8">
        <v>0</v>
      </c>
      <c r="H607" s="8">
        <v>0</v>
      </c>
      <c r="I607" s="8">
        <v>0</v>
      </c>
      <c r="J607" s="117"/>
      <c r="K607" s="117"/>
      <c r="M607" s="55"/>
      <c r="N607" s="55"/>
      <c r="O607" s="55"/>
      <c r="P607" s="55"/>
    </row>
    <row r="608" spans="1:16" outlineLevel="1" x14ac:dyDescent="0.25">
      <c r="A608" s="117"/>
      <c r="B608" s="118"/>
      <c r="C608" s="110"/>
      <c r="D608" s="68">
        <v>2026</v>
      </c>
      <c r="E608" s="8">
        <v>0</v>
      </c>
      <c r="F608" s="8">
        <v>0</v>
      </c>
      <c r="G608" s="8">
        <v>0</v>
      </c>
      <c r="H608" s="8">
        <v>0</v>
      </c>
      <c r="I608" s="8">
        <v>0</v>
      </c>
      <c r="J608" s="117"/>
      <c r="K608" s="117"/>
    </row>
    <row r="609" spans="1:16" ht="17.100000000000001" customHeight="1" outlineLevel="1" x14ac:dyDescent="0.25">
      <c r="A609" s="117" t="s">
        <v>574</v>
      </c>
      <c r="B609" s="118" t="s">
        <v>575</v>
      </c>
      <c r="C609" s="117">
        <v>2021</v>
      </c>
      <c r="D609" s="68" t="s">
        <v>8</v>
      </c>
      <c r="E609" s="8">
        <f t="shared" si="44"/>
        <v>13210.697336842104</v>
      </c>
      <c r="F609" s="8">
        <f>SUM(F610:F615)</f>
        <v>12550.162469999999</v>
      </c>
      <c r="G609" s="8">
        <f>SUM(G610:G615)</f>
        <v>0</v>
      </c>
      <c r="H609" s="8">
        <f>SUM(H610:H615)</f>
        <v>660.5348668421052</v>
      </c>
      <c r="I609" s="8">
        <f>SUM(I610:I615)</f>
        <v>0</v>
      </c>
      <c r="J609" s="119" t="s">
        <v>576</v>
      </c>
      <c r="K609" s="119" t="s">
        <v>547</v>
      </c>
    </row>
    <row r="610" spans="1:16" ht="17.100000000000001" customHeight="1" outlineLevel="1" x14ac:dyDescent="0.25">
      <c r="A610" s="117"/>
      <c r="B610" s="118"/>
      <c r="C610" s="117"/>
      <c r="D610" s="68">
        <v>2021</v>
      </c>
      <c r="E610" s="8">
        <f t="shared" si="44"/>
        <v>13210.697336842104</v>
      </c>
      <c r="F610" s="8">
        <v>12550.162469999999</v>
      </c>
      <c r="G610" s="8">
        <v>0</v>
      </c>
      <c r="H610" s="8">
        <f>F610/95*5</f>
        <v>660.5348668421052</v>
      </c>
      <c r="I610" s="8">
        <v>0</v>
      </c>
      <c r="J610" s="119"/>
      <c r="K610" s="119"/>
    </row>
    <row r="611" spans="1:16" ht="17.100000000000001" customHeight="1" outlineLevel="1" x14ac:dyDescent="0.25">
      <c r="A611" s="117"/>
      <c r="B611" s="118"/>
      <c r="C611" s="117"/>
      <c r="D611" s="68">
        <v>2022</v>
      </c>
      <c r="E611" s="8">
        <v>0</v>
      </c>
      <c r="F611" s="8">
        <v>0</v>
      </c>
      <c r="G611" s="8">
        <v>0</v>
      </c>
      <c r="H611" s="8">
        <v>0</v>
      </c>
      <c r="I611" s="8">
        <v>0</v>
      </c>
      <c r="J611" s="119"/>
      <c r="K611" s="119"/>
    </row>
    <row r="612" spans="1:16" ht="17.100000000000001" customHeight="1" outlineLevel="1" x14ac:dyDescent="0.25">
      <c r="A612" s="117"/>
      <c r="B612" s="118"/>
      <c r="C612" s="117"/>
      <c r="D612" s="68">
        <v>2023</v>
      </c>
      <c r="E612" s="8">
        <v>0</v>
      </c>
      <c r="F612" s="8">
        <v>0</v>
      </c>
      <c r="G612" s="8">
        <v>0</v>
      </c>
      <c r="H612" s="8">
        <v>0</v>
      </c>
      <c r="I612" s="8">
        <v>0</v>
      </c>
      <c r="J612" s="119"/>
      <c r="K612" s="119"/>
    </row>
    <row r="613" spans="1:16" outlineLevel="1" x14ac:dyDescent="0.25">
      <c r="A613" s="117"/>
      <c r="B613" s="118"/>
      <c r="C613" s="117"/>
      <c r="D613" s="68">
        <v>2024</v>
      </c>
      <c r="E613" s="8">
        <v>0</v>
      </c>
      <c r="F613" s="8">
        <v>0</v>
      </c>
      <c r="G613" s="8">
        <v>0</v>
      </c>
      <c r="H613" s="8">
        <v>0</v>
      </c>
      <c r="I613" s="8">
        <v>0</v>
      </c>
      <c r="J613" s="119"/>
      <c r="K613" s="119"/>
    </row>
    <row r="614" spans="1:16" s="80" customFormat="1" outlineLevel="1" x14ac:dyDescent="0.25">
      <c r="A614" s="117"/>
      <c r="B614" s="118"/>
      <c r="C614" s="117"/>
      <c r="D614" s="79">
        <v>2025</v>
      </c>
      <c r="E614" s="8">
        <v>0</v>
      </c>
      <c r="F614" s="8">
        <v>0</v>
      </c>
      <c r="G614" s="8">
        <v>0</v>
      </c>
      <c r="H614" s="8">
        <v>0</v>
      </c>
      <c r="I614" s="8">
        <v>0</v>
      </c>
      <c r="J614" s="119"/>
      <c r="K614" s="119"/>
      <c r="M614" s="55"/>
      <c r="N614" s="55"/>
      <c r="O614" s="55"/>
      <c r="P614" s="55"/>
    </row>
    <row r="615" spans="1:16" outlineLevel="1" x14ac:dyDescent="0.25">
      <c r="A615" s="117"/>
      <c r="B615" s="118"/>
      <c r="C615" s="117"/>
      <c r="D615" s="68">
        <v>2026</v>
      </c>
      <c r="E615" s="8">
        <v>0</v>
      </c>
      <c r="F615" s="8">
        <v>0</v>
      </c>
      <c r="G615" s="8">
        <v>0</v>
      </c>
      <c r="H615" s="8">
        <v>0</v>
      </c>
      <c r="I615" s="8">
        <v>0</v>
      </c>
      <c r="J615" s="119"/>
      <c r="K615" s="119"/>
    </row>
    <row r="616" spans="1:16" ht="17.100000000000001" customHeight="1" outlineLevel="1" x14ac:dyDescent="0.25">
      <c r="A616" s="117" t="s">
        <v>577</v>
      </c>
      <c r="B616" s="118" t="s">
        <v>578</v>
      </c>
      <c r="C616" s="117">
        <v>2021</v>
      </c>
      <c r="D616" s="68" t="s">
        <v>8</v>
      </c>
      <c r="E616" s="8">
        <f t="shared" si="44"/>
        <v>7451.59</v>
      </c>
      <c r="F616" s="8">
        <f>SUM(F617:F622)</f>
        <v>7079.0105000000003</v>
      </c>
      <c r="G616" s="8">
        <f>SUM(G617:G622)</f>
        <v>0</v>
      </c>
      <c r="H616" s="8">
        <f>SUM(H617:H622)</f>
        <v>372.5795</v>
      </c>
      <c r="I616" s="8">
        <f>SUM(I617:I622)</f>
        <v>0</v>
      </c>
      <c r="J616" s="119" t="s">
        <v>579</v>
      </c>
      <c r="K616" s="119" t="s">
        <v>547</v>
      </c>
    </row>
    <row r="617" spans="1:16" ht="17.100000000000001" customHeight="1" outlineLevel="1" x14ac:dyDescent="0.25">
      <c r="A617" s="117"/>
      <c r="B617" s="118"/>
      <c r="C617" s="117"/>
      <c r="D617" s="68">
        <v>2021</v>
      </c>
      <c r="E617" s="8">
        <f t="shared" si="44"/>
        <v>7451.59</v>
      </c>
      <c r="F617" s="8">
        <v>7079.0105000000003</v>
      </c>
      <c r="G617" s="8">
        <v>0</v>
      </c>
      <c r="H617" s="8">
        <f>F617/95*5</f>
        <v>372.5795</v>
      </c>
      <c r="I617" s="8">
        <v>0</v>
      </c>
      <c r="J617" s="119"/>
      <c r="K617" s="119"/>
    </row>
    <row r="618" spans="1:16" ht="17.100000000000001" customHeight="1" outlineLevel="1" x14ac:dyDescent="0.25">
      <c r="A618" s="117"/>
      <c r="B618" s="118"/>
      <c r="C618" s="117"/>
      <c r="D618" s="68">
        <v>2022</v>
      </c>
      <c r="E618" s="8">
        <v>0</v>
      </c>
      <c r="F618" s="8">
        <v>0</v>
      </c>
      <c r="G618" s="8">
        <v>0</v>
      </c>
      <c r="H618" s="8">
        <v>0</v>
      </c>
      <c r="I618" s="8">
        <v>0</v>
      </c>
      <c r="J618" s="119"/>
      <c r="K618" s="119"/>
    </row>
    <row r="619" spans="1:16" ht="17.100000000000001" customHeight="1" outlineLevel="1" x14ac:dyDescent="0.25">
      <c r="A619" s="117"/>
      <c r="B619" s="118"/>
      <c r="C619" s="117"/>
      <c r="D619" s="68">
        <v>2023</v>
      </c>
      <c r="E619" s="8">
        <v>0</v>
      </c>
      <c r="F619" s="8">
        <v>0</v>
      </c>
      <c r="G619" s="8">
        <v>0</v>
      </c>
      <c r="H619" s="8">
        <v>0</v>
      </c>
      <c r="I619" s="8">
        <v>0</v>
      </c>
      <c r="J619" s="119"/>
      <c r="K619" s="119"/>
    </row>
    <row r="620" spans="1:16" outlineLevel="1" x14ac:dyDescent="0.25">
      <c r="A620" s="117"/>
      <c r="B620" s="118"/>
      <c r="C620" s="117"/>
      <c r="D620" s="68">
        <v>2024</v>
      </c>
      <c r="E620" s="8">
        <v>0</v>
      </c>
      <c r="F620" s="8">
        <v>0</v>
      </c>
      <c r="G620" s="8">
        <v>0</v>
      </c>
      <c r="H620" s="8">
        <v>0</v>
      </c>
      <c r="I620" s="8">
        <v>0</v>
      </c>
      <c r="J620" s="119"/>
      <c r="K620" s="119"/>
    </row>
    <row r="621" spans="1:16" s="80" customFormat="1" outlineLevel="1" x14ac:dyDescent="0.25">
      <c r="A621" s="117"/>
      <c r="B621" s="118"/>
      <c r="C621" s="117"/>
      <c r="D621" s="79">
        <v>2025</v>
      </c>
      <c r="E621" s="8">
        <v>0</v>
      </c>
      <c r="F621" s="8">
        <v>0</v>
      </c>
      <c r="G621" s="8">
        <v>0</v>
      </c>
      <c r="H621" s="8">
        <v>0</v>
      </c>
      <c r="I621" s="8">
        <v>0</v>
      </c>
      <c r="J621" s="119"/>
      <c r="K621" s="119"/>
      <c r="M621" s="55"/>
      <c r="N621" s="55"/>
      <c r="O621" s="55"/>
      <c r="P621" s="55"/>
    </row>
    <row r="622" spans="1:16" outlineLevel="1" x14ac:dyDescent="0.25">
      <c r="A622" s="117"/>
      <c r="B622" s="118"/>
      <c r="C622" s="117"/>
      <c r="D622" s="68">
        <v>2026</v>
      </c>
      <c r="E622" s="8">
        <v>0</v>
      </c>
      <c r="F622" s="8">
        <v>0</v>
      </c>
      <c r="G622" s="8">
        <v>0</v>
      </c>
      <c r="H622" s="8">
        <v>0</v>
      </c>
      <c r="I622" s="8">
        <v>0</v>
      </c>
      <c r="J622" s="119"/>
      <c r="K622" s="119"/>
    </row>
    <row r="623" spans="1:16" ht="17.100000000000001" customHeight="1" outlineLevel="1" x14ac:dyDescent="0.25">
      <c r="A623" s="117" t="s">
        <v>580</v>
      </c>
      <c r="B623" s="118" t="s">
        <v>416</v>
      </c>
      <c r="C623" s="117">
        <v>2021</v>
      </c>
      <c r="D623" s="68" t="s">
        <v>8</v>
      </c>
      <c r="E623" s="8">
        <f t="shared" si="44"/>
        <v>50013.516600000003</v>
      </c>
      <c r="F623" s="8">
        <f>SUM(F624:F629)</f>
        <v>47512.840770000003</v>
      </c>
      <c r="G623" s="8">
        <f>SUM(G624:G629)</f>
        <v>0</v>
      </c>
      <c r="H623" s="8">
        <f>SUM(H624:H629)</f>
        <v>2500.6758300000001</v>
      </c>
      <c r="I623" s="8">
        <f>SUM(I624:I629)</f>
        <v>0</v>
      </c>
      <c r="J623" s="117" t="s">
        <v>581</v>
      </c>
      <c r="K623" s="117" t="s">
        <v>547</v>
      </c>
    </row>
    <row r="624" spans="1:16" ht="17.100000000000001" customHeight="1" outlineLevel="1" x14ac:dyDescent="0.25">
      <c r="A624" s="117"/>
      <c r="B624" s="118"/>
      <c r="C624" s="117"/>
      <c r="D624" s="68">
        <v>2021</v>
      </c>
      <c r="E624" s="8">
        <f t="shared" si="44"/>
        <v>50013.516600000003</v>
      </c>
      <c r="F624" s="8">
        <v>47512.840770000003</v>
      </c>
      <c r="G624" s="8">
        <v>0</v>
      </c>
      <c r="H624" s="8">
        <f>F624/95*5</f>
        <v>2500.6758300000001</v>
      </c>
      <c r="I624" s="8">
        <v>0</v>
      </c>
      <c r="J624" s="117"/>
      <c r="K624" s="117"/>
    </row>
    <row r="625" spans="1:16" ht="17.100000000000001" customHeight="1" outlineLevel="1" x14ac:dyDescent="0.25">
      <c r="A625" s="117"/>
      <c r="B625" s="118"/>
      <c r="C625" s="117"/>
      <c r="D625" s="68">
        <v>2022</v>
      </c>
      <c r="E625" s="8">
        <v>0</v>
      </c>
      <c r="F625" s="8">
        <v>0</v>
      </c>
      <c r="G625" s="8">
        <v>0</v>
      </c>
      <c r="H625" s="8">
        <v>0</v>
      </c>
      <c r="I625" s="8">
        <v>0</v>
      </c>
      <c r="J625" s="117"/>
      <c r="K625" s="117"/>
    </row>
    <row r="626" spans="1:16" ht="17.100000000000001" customHeight="1" outlineLevel="1" x14ac:dyDescent="0.25">
      <c r="A626" s="117"/>
      <c r="B626" s="118"/>
      <c r="C626" s="117"/>
      <c r="D626" s="68">
        <v>2023</v>
      </c>
      <c r="E626" s="8">
        <v>0</v>
      </c>
      <c r="F626" s="8">
        <v>0</v>
      </c>
      <c r="G626" s="8">
        <v>0</v>
      </c>
      <c r="H626" s="8">
        <v>0</v>
      </c>
      <c r="I626" s="8">
        <v>0</v>
      </c>
      <c r="J626" s="117"/>
      <c r="K626" s="117"/>
    </row>
    <row r="627" spans="1:16" outlineLevel="1" x14ac:dyDescent="0.25">
      <c r="A627" s="117"/>
      <c r="B627" s="118"/>
      <c r="C627" s="117"/>
      <c r="D627" s="68">
        <v>2024</v>
      </c>
      <c r="E627" s="8">
        <v>0</v>
      </c>
      <c r="F627" s="8">
        <v>0</v>
      </c>
      <c r="G627" s="8">
        <v>0</v>
      </c>
      <c r="H627" s="8">
        <v>0</v>
      </c>
      <c r="I627" s="8">
        <v>0</v>
      </c>
      <c r="J627" s="117"/>
      <c r="K627" s="117"/>
    </row>
    <row r="628" spans="1:16" s="80" customFormat="1" outlineLevel="1" x14ac:dyDescent="0.25">
      <c r="A628" s="117"/>
      <c r="B628" s="118"/>
      <c r="C628" s="117"/>
      <c r="D628" s="79">
        <v>2025</v>
      </c>
      <c r="E628" s="8">
        <v>0</v>
      </c>
      <c r="F628" s="8">
        <v>0</v>
      </c>
      <c r="G628" s="8">
        <v>0</v>
      </c>
      <c r="H628" s="8">
        <v>0</v>
      </c>
      <c r="I628" s="8">
        <v>0</v>
      </c>
      <c r="J628" s="117"/>
      <c r="K628" s="117"/>
      <c r="M628" s="55"/>
      <c r="N628" s="55"/>
      <c r="O628" s="55"/>
      <c r="P628" s="55"/>
    </row>
    <row r="629" spans="1:16" ht="20.25" customHeight="1" outlineLevel="1" x14ac:dyDescent="0.25">
      <c r="A629" s="117"/>
      <c r="B629" s="118"/>
      <c r="C629" s="117"/>
      <c r="D629" s="68">
        <v>2026</v>
      </c>
      <c r="E629" s="8">
        <v>0</v>
      </c>
      <c r="F629" s="8">
        <v>0</v>
      </c>
      <c r="G629" s="8">
        <v>0</v>
      </c>
      <c r="H629" s="8">
        <v>0</v>
      </c>
      <c r="I629" s="8">
        <v>0</v>
      </c>
      <c r="J629" s="117"/>
      <c r="K629" s="117"/>
    </row>
    <row r="630" spans="1:16" ht="16.5" customHeight="1" outlineLevel="1" x14ac:dyDescent="0.25">
      <c r="A630" s="117" t="s">
        <v>582</v>
      </c>
      <c r="B630" s="118" t="s">
        <v>419</v>
      </c>
      <c r="C630" s="108">
        <v>2021</v>
      </c>
      <c r="D630" s="68" t="s">
        <v>8</v>
      </c>
      <c r="E630" s="8">
        <f t="shared" si="44"/>
        <v>9928.3460643185299</v>
      </c>
      <c r="F630" s="8">
        <f>SUM(F631:F636)</f>
        <v>6483.2099799999996</v>
      </c>
      <c r="G630" s="8">
        <f>SUM(G631:G636)</f>
        <v>0</v>
      </c>
      <c r="H630" s="8">
        <f>SUM(H631:H636)</f>
        <v>3445.1360843185298</v>
      </c>
      <c r="I630" s="8">
        <f>SUM(I631:I636)</f>
        <v>0</v>
      </c>
      <c r="J630" s="117" t="s">
        <v>583</v>
      </c>
      <c r="K630" s="117" t="s">
        <v>547</v>
      </c>
    </row>
    <row r="631" spans="1:16" ht="21.75" customHeight="1" outlineLevel="1" x14ac:dyDescent="0.25">
      <c r="A631" s="117"/>
      <c r="B631" s="118"/>
      <c r="C631" s="109"/>
      <c r="D631" s="68">
        <v>2021</v>
      </c>
      <c r="E631" s="8">
        <f t="shared" si="44"/>
        <v>9928.3460643185299</v>
      </c>
      <c r="F631" s="8">
        <v>6483.2099799999996</v>
      </c>
      <c r="G631" s="8">
        <v>0</v>
      </c>
      <c r="H631" s="8">
        <f>F631/65.3*34.7</f>
        <v>3445.1360843185298</v>
      </c>
      <c r="I631" s="8">
        <v>0</v>
      </c>
      <c r="J631" s="117"/>
      <c r="K631" s="117"/>
    </row>
    <row r="632" spans="1:16" ht="26.25" customHeight="1" outlineLevel="1" x14ac:dyDescent="0.25">
      <c r="A632" s="117"/>
      <c r="B632" s="118"/>
      <c r="C632" s="109"/>
      <c r="D632" s="68">
        <v>2022</v>
      </c>
      <c r="E632" s="8">
        <v>0</v>
      </c>
      <c r="F632" s="8">
        <v>0</v>
      </c>
      <c r="G632" s="8">
        <v>0</v>
      </c>
      <c r="H632" s="8">
        <v>0</v>
      </c>
      <c r="I632" s="8">
        <v>0</v>
      </c>
      <c r="J632" s="117"/>
      <c r="K632" s="117"/>
    </row>
    <row r="633" spans="1:16" ht="20.25" customHeight="1" outlineLevel="1" x14ac:dyDescent="0.25">
      <c r="A633" s="117"/>
      <c r="B633" s="118"/>
      <c r="C633" s="109"/>
      <c r="D633" s="68">
        <v>2023</v>
      </c>
      <c r="E633" s="8">
        <v>0</v>
      </c>
      <c r="F633" s="8">
        <v>0</v>
      </c>
      <c r="G633" s="8">
        <v>0</v>
      </c>
      <c r="H633" s="8">
        <v>0</v>
      </c>
      <c r="I633" s="8">
        <v>0</v>
      </c>
      <c r="J633" s="117"/>
      <c r="K633" s="117"/>
    </row>
    <row r="634" spans="1:16" ht="20.25" customHeight="1" outlineLevel="1" x14ac:dyDescent="0.25">
      <c r="A634" s="117"/>
      <c r="B634" s="118"/>
      <c r="C634" s="109"/>
      <c r="D634" s="68">
        <v>2024</v>
      </c>
      <c r="E634" s="8">
        <v>0</v>
      </c>
      <c r="F634" s="8">
        <v>0</v>
      </c>
      <c r="G634" s="8">
        <v>0</v>
      </c>
      <c r="H634" s="8">
        <v>0</v>
      </c>
      <c r="I634" s="8">
        <v>0</v>
      </c>
      <c r="J634" s="117"/>
      <c r="K634" s="117"/>
    </row>
    <row r="635" spans="1:16" s="80" customFormat="1" ht="20.25" customHeight="1" outlineLevel="1" x14ac:dyDescent="0.25">
      <c r="A635" s="117"/>
      <c r="B635" s="118"/>
      <c r="C635" s="109"/>
      <c r="D635" s="79">
        <v>2025</v>
      </c>
      <c r="E635" s="8">
        <v>0</v>
      </c>
      <c r="F635" s="8">
        <v>0</v>
      </c>
      <c r="G635" s="8">
        <v>0</v>
      </c>
      <c r="H635" s="8">
        <v>0</v>
      </c>
      <c r="I635" s="8">
        <v>0</v>
      </c>
      <c r="J635" s="117"/>
      <c r="K635" s="117"/>
      <c r="M635" s="55"/>
      <c r="N635" s="55"/>
      <c r="O635" s="55"/>
      <c r="P635" s="55"/>
    </row>
    <row r="636" spans="1:16" ht="18.75" customHeight="1" outlineLevel="1" x14ac:dyDescent="0.25">
      <c r="A636" s="117"/>
      <c r="B636" s="118"/>
      <c r="C636" s="110"/>
      <c r="D636" s="68">
        <v>2026</v>
      </c>
      <c r="E636" s="8">
        <v>0</v>
      </c>
      <c r="F636" s="8">
        <v>0</v>
      </c>
      <c r="G636" s="8">
        <v>0</v>
      </c>
      <c r="H636" s="8">
        <v>0</v>
      </c>
      <c r="I636" s="8">
        <v>0</v>
      </c>
      <c r="J636" s="117"/>
      <c r="K636" s="117"/>
    </row>
    <row r="637" spans="1:16" ht="15" customHeight="1" outlineLevel="1" x14ac:dyDescent="0.25">
      <c r="A637" s="117" t="s">
        <v>584</v>
      </c>
      <c r="B637" s="118" t="s">
        <v>424</v>
      </c>
      <c r="C637" s="117">
        <v>2021</v>
      </c>
      <c r="D637" s="68" t="s">
        <v>8</v>
      </c>
      <c r="E637" s="8">
        <f t="shared" si="44"/>
        <v>0</v>
      </c>
      <c r="F637" s="8">
        <f>SUM(F638:F643)</f>
        <v>0</v>
      </c>
      <c r="G637" s="8">
        <f>SUM(G638:G643)</f>
        <v>0</v>
      </c>
      <c r="H637" s="8">
        <f>SUM(H638:H643)</f>
        <v>0</v>
      </c>
      <c r="I637" s="8">
        <f>SUM(I638:I643)</f>
        <v>0</v>
      </c>
      <c r="J637" s="117" t="s">
        <v>585</v>
      </c>
      <c r="K637" s="117" t="s">
        <v>547</v>
      </c>
    </row>
    <row r="638" spans="1:16" ht="15" customHeight="1" outlineLevel="1" x14ac:dyDescent="0.25">
      <c r="A638" s="117"/>
      <c r="B638" s="118"/>
      <c r="C638" s="117"/>
      <c r="D638" s="68">
        <v>2021</v>
      </c>
      <c r="E638" s="8">
        <f t="shared" si="44"/>
        <v>0</v>
      </c>
      <c r="F638" s="8">
        <v>0</v>
      </c>
      <c r="G638" s="8">
        <v>0</v>
      </c>
      <c r="H638" s="8">
        <f>F638/95*5</f>
        <v>0</v>
      </c>
      <c r="I638" s="8">
        <v>0</v>
      </c>
      <c r="J638" s="117"/>
      <c r="K638" s="117"/>
    </row>
    <row r="639" spans="1:16" ht="15" customHeight="1" outlineLevel="1" x14ac:dyDescent="0.25">
      <c r="A639" s="117"/>
      <c r="B639" s="118"/>
      <c r="C639" s="117"/>
      <c r="D639" s="68">
        <v>2022</v>
      </c>
      <c r="E639" s="8">
        <v>0</v>
      </c>
      <c r="F639" s="8">
        <v>0</v>
      </c>
      <c r="G639" s="8">
        <v>0</v>
      </c>
      <c r="H639" s="8">
        <v>0</v>
      </c>
      <c r="I639" s="8">
        <v>0</v>
      </c>
      <c r="J639" s="117"/>
      <c r="K639" s="117"/>
    </row>
    <row r="640" spans="1:16" ht="15" customHeight="1" outlineLevel="1" x14ac:dyDescent="0.25">
      <c r="A640" s="117"/>
      <c r="B640" s="118"/>
      <c r="C640" s="117"/>
      <c r="D640" s="68">
        <v>2023</v>
      </c>
      <c r="E640" s="8">
        <v>0</v>
      </c>
      <c r="F640" s="8">
        <v>0</v>
      </c>
      <c r="G640" s="8">
        <v>0</v>
      </c>
      <c r="H640" s="8">
        <v>0</v>
      </c>
      <c r="I640" s="8">
        <v>0</v>
      </c>
      <c r="J640" s="117"/>
      <c r="K640" s="117"/>
    </row>
    <row r="641" spans="1:16" ht="15" customHeight="1" outlineLevel="1" x14ac:dyDescent="0.25">
      <c r="A641" s="117"/>
      <c r="B641" s="118"/>
      <c r="C641" s="117"/>
      <c r="D641" s="68">
        <v>2024</v>
      </c>
      <c r="E641" s="8">
        <v>0</v>
      </c>
      <c r="F641" s="8">
        <v>0</v>
      </c>
      <c r="G641" s="8">
        <v>0</v>
      </c>
      <c r="H641" s="8">
        <v>0</v>
      </c>
      <c r="I641" s="8">
        <v>0</v>
      </c>
      <c r="J641" s="117"/>
      <c r="K641" s="117"/>
    </row>
    <row r="642" spans="1:16" s="80" customFormat="1" ht="15" customHeight="1" outlineLevel="1" x14ac:dyDescent="0.25">
      <c r="A642" s="117"/>
      <c r="B642" s="118"/>
      <c r="C642" s="117"/>
      <c r="D642" s="79">
        <v>2025</v>
      </c>
      <c r="E642" s="8">
        <v>0</v>
      </c>
      <c r="F642" s="8">
        <v>0</v>
      </c>
      <c r="G642" s="8">
        <v>0</v>
      </c>
      <c r="H642" s="8">
        <v>0</v>
      </c>
      <c r="I642" s="8">
        <v>0</v>
      </c>
      <c r="J642" s="117"/>
      <c r="K642" s="117"/>
      <c r="M642" s="55"/>
      <c r="N642" s="55"/>
      <c r="O642" s="55"/>
      <c r="P642" s="55"/>
    </row>
    <row r="643" spans="1:16" ht="15" customHeight="1" outlineLevel="1" x14ac:dyDescent="0.25">
      <c r="A643" s="117"/>
      <c r="B643" s="118"/>
      <c r="C643" s="117"/>
      <c r="D643" s="68">
        <v>2026</v>
      </c>
      <c r="E643" s="8">
        <v>0</v>
      </c>
      <c r="F643" s="8">
        <v>0</v>
      </c>
      <c r="G643" s="8">
        <v>0</v>
      </c>
      <c r="H643" s="8">
        <v>0</v>
      </c>
      <c r="I643" s="8">
        <v>0</v>
      </c>
      <c r="J643" s="117"/>
      <c r="K643" s="117"/>
    </row>
    <row r="644" spans="1:16" ht="15" customHeight="1" outlineLevel="1" x14ac:dyDescent="0.25">
      <c r="A644" s="117" t="s">
        <v>586</v>
      </c>
      <c r="B644" s="118" t="s">
        <v>587</v>
      </c>
      <c r="C644" s="117">
        <v>2021</v>
      </c>
      <c r="D644" s="68" t="s">
        <v>8</v>
      </c>
      <c r="E644" s="8">
        <f t="shared" si="44"/>
        <v>28829.676842105262</v>
      </c>
      <c r="F644" s="8">
        <f>SUM(F645:F650)</f>
        <v>27388.192999999999</v>
      </c>
      <c r="G644" s="8">
        <f>SUM(G645:G650)</f>
        <v>0</v>
      </c>
      <c r="H644" s="8">
        <f>SUM(H645:H650)</f>
        <v>1441.483842105263</v>
      </c>
      <c r="I644" s="8">
        <f>SUM(I645:I650)</f>
        <v>0</v>
      </c>
      <c r="J644" s="119" t="s">
        <v>588</v>
      </c>
      <c r="K644" s="119" t="s">
        <v>547</v>
      </c>
    </row>
    <row r="645" spans="1:16" ht="15" customHeight="1" outlineLevel="1" x14ac:dyDescent="0.25">
      <c r="A645" s="117"/>
      <c r="B645" s="118"/>
      <c r="C645" s="117"/>
      <c r="D645" s="68">
        <v>2021</v>
      </c>
      <c r="E645" s="8">
        <f t="shared" si="44"/>
        <v>28829.676842105262</v>
      </c>
      <c r="F645" s="8">
        <v>27388.192999999999</v>
      </c>
      <c r="G645" s="8">
        <v>0</v>
      </c>
      <c r="H645" s="8">
        <f>F645/95*5</f>
        <v>1441.483842105263</v>
      </c>
      <c r="I645" s="8">
        <v>0</v>
      </c>
      <c r="J645" s="119"/>
      <c r="K645" s="119"/>
    </row>
    <row r="646" spans="1:16" ht="15" customHeight="1" outlineLevel="1" x14ac:dyDescent="0.25">
      <c r="A646" s="117"/>
      <c r="B646" s="118"/>
      <c r="C646" s="117"/>
      <c r="D646" s="68">
        <v>2022</v>
      </c>
      <c r="E646" s="8">
        <v>0</v>
      </c>
      <c r="F646" s="8">
        <v>0</v>
      </c>
      <c r="G646" s="8">
        <v>0</v>
      </c>
      <c r="H646" s="8">
        <v>0</v>
      </c>
      <c r="I646" s="8">
        <v>0</v>
      </c>
      <c r="J646" s="119"/>
      <c r="K646" s="119"/>
    </row>
    <row r="647" spans="1:16" ht="15" customHeight="1" outlineLevel="1" x14ac:dyDescent="0.25">
      <c r="A647" s="117"/>
      <c r="B647" s="118"/>
      <c r="C647" s="117"/>
      <c r="D647" s="68">
        <v>2023</v>
      </c>
      <c r="E647" s="8">
        <v>0</v>
      </c>
      <c r="F647" s="8">
        <v>0</v>
      </c>
      <c r="G647" s="8">
        <v>0</v>
      </c>
      <c r="H647" s="8">
        <v>0</v>
      </c>
      <c r="I647" s="8">
        <v>0</v>
      </c>
      <c r="J647" s="119"/>
      <c r="K647" s="119"/>
    </row>
    <row r="648" spans="1:16" ht="15" customHeight="1" outlineLevel="1" x14ac:dyDescent="0.25">
      <c r="A648" s="117"/>
      <c r="B648" s="118"/>
      <c r="C648" s="117"/>
      <c r="D648" s="68">
        <v>2024</v>
      </c>
      <c r="E648" s="8">
        <v>0</v>
      </c>
      <c r="F648" s="8">
        <v>0</v>
      </c>
      <c r="G648" s="8">
        <v>0</v>
      </c>
      <c r="H648" s="8">
        <v>0</v>
      </c>
      <c r="I648" s="8">
        <v>0</v>
      </c>
      <c r="J648" s="119"/>
      <c r="K648" s="119"/>
    </row>
    <row r="649" spans="1:16" s="80" customFormat="1" ht="15" customHeight="1" outlineLevel="1" x14ac:dyDescent="0.25">
      <c r="A649" s="117"/>
      <c r="B649" s="118"/>
      <c r="C649" s="117"/>
      <c r="D649" s="79">
        <v>2025</v>
      </c>
      <c r="E649" s="8">
        <v>0</v>
      </c>
      <c r="F649" s="8">
        <v>0</v>
      </c>
      <c r="G649" s="8">
        <v>0</v>
      </c>
      <c r="H649" s="8">
        <v>0</v>
      </c>
      <c r="I649" s="8">
        <v>0</v>
      </c>
      <c r="J649" s="119"/>
      <c r="K649" s="119"/>
      <c r="M649" s="55"/>
      <c r="N649" s="55"/>
      <c r="O649" s="55"/>
      <c r="P649" s="55"/>
    </row>
    <row r="650" spans="1:16" ht="13.5" customHeight="1" outlineLevel="1" x14ac:dyDescent="0.25">
      <c r="A650" s="117"/>
      <c r="B650" s="118"/>
      <c r="C650" s="117"/>
      <c r="D650" s="68">
        <v>2026</v>
      </c>
      <c r="E650" s="8">
        <v>0</v>
      </c>
      <c r="F650" s="8">
        <v>0</v>
      </c>
      <c r="G650" s="8">
        <v>0</v>
      </c>
      <c r="H650" s="8">
        <v>0</v>
      </c>
      <c r="I650" s="8">
        <v>0</v>
      </c>
      <c r="J650" s="119"/>
      <c r="K650" s="119"/>
    </row>
    <row r="651" spans="1:16" ht="16.5" customHeight="1" outlineLevel="1" x14ac:dyDescent="0.25">
      <c r="A651" s="117" t="s">
        <v>589</v>
      </c>
      <c r="B651" s="118" t="s">
        <v>590</v>
      </c>
      <c r="C651" s="117" t="s">
        <v>124</v>
      </c>
      <c r="D651" s="68" t="s">
        <v>8</v>
      </c>
      <c r="E651" s="8">
        <f t="shared" si="44"/>
        <v>4724.9217200000003</v>
      </c>
      <c r="F651" s="8">
        <f>SUM(F652:F657)</f>
        <v>4431.9217200000003</v>
      </c>
      <c r="G651" s="8">
        <f>SUM(G652:G657)</f>
        <v>0</v>
      </c>
      <c r="H651" s="8">
        <f>SUM(H652:H657)</f>
        <v>293</v>
      </c>
      <c r="I651" s="8">
        <f>SUM(I652:I657)</f>
        <v>0</v>
      </c>
      <c r="J651" s="117" t="s">
        <v>1178</v>
      </c>
      <c r="K651" s="117" t="s">
        <v>547</v>
      </c>
    </row>
    <row r="652" spans="1:16" ht="15" customHeight="1" outlineLevel="1" x14ac:dyDescent="0.25">
      <c r="A652" s="117"/>
      <c r="B652" s="118"/>
      <c r="C652" s="117"/>
      <c r="D652" s="68">
        <v>2021</v>
      </c>
      <c r="E652" s="8">
        <f t="shared" si="44"/>
        <v>2270.6600000000003</v>
      </c>
      <c r="F652" s="8">
        <v>2100.36</v>
      </c>
      <c r="G652" s="8">
        <v>0</v>
      </c>
      <c r="H652" s="8">
        <v>170.3</v>
      </c>
      <c r="I652" s="8">
        <v>0</v>
      </c>
      <c r="J652" s="117"/>
      <c r="K652" s="117"/>
    </row>
    <row r="653" spans="1:16" ht="18.75" customHeight="1" outlineLevel="1" x14ac:dyDescent="0.25">
      <c r="A653" s="117"/>
      <c r="B653" s="118"/>
      <c r="C653" s="117"/>
      <c r="D653" s="68">
        <v>2022</v>
      </c>
      <c r="E653" s="8">
        <f t="shared" si="44"/>
        <v>2454.26172</v>
      </c>
      <c r="F653" s="8">
        <v>2331.5617200000002</v>
      </c>
      <c r="G653" s="8">
        <v>0</v>
      </c>
      <c r="H653" s="8">
        <v>122.7</v>
      </c>
      <c r="I653" s="8">
        <v>0</v>
      </c>
      <c r="J653" s="117"/>
      <c r="K653" s="117"/>
    </row>
    <row r="654" spans="1:16" ht="17.25" customHeight="1" outlineLevel="1" x14ac:dyDescent="0.25">
      <c r="A654" s="117"/>
      <c r="B654" s="118"/>
      <c r="C654" s="117"/>
      <c r="D654" s="68">
        <v>2023</v>
      </c>
      <c r="E654" s="8">
        <f t="shared" si="44"/>
        <v>0</v>
      </c>
      <c r="F654" s="8">
        <v>0</v>
      </c>
      <c r="G654" s="8">
        <v>0</v>
      </c>
      <c r="H654" s="8">
        <v>0</v>
      </c>
      <c r="I654" s="8">
        <v>0</v>
      </c>
      <c r="J654" s="117"/>
      <c r="K654" s="117"/>
    </row>
    <row r="655" spans="1:16" ht="15" customHeight="1" outlineLevel="1" x14ac:dyDescent="0.25">
      <c r="A655" s="117"/>
      <c r="B655" s="118"/>
      <c r="C655" s="117"/>
      <c r="D655" s="68">
        <v>2024</v>
      </c>
      <c r="E655" s="8">
        <f t="shared" si="44"/>
        <v>0</v>
      </c>
      <c r="F655" s="8">
        <v>0</v>
      </c>
      <c r="G655" s="8">
        <v>0</v>
      </c>
      <c r="H655" s="8">
        <v>0</v>
      </c>
      <c r="I655" s="8">
        <v>0</v>
      </c>
      <c r="J655" s="117"/>
      <c r="K655" s="117"/>
    </row>
    <row r="656" spans="1:16" s="80" customFormat="1" ht="15" customHeight="1" outlineLevel="1" x14ac:dyDescent="0.25">
      <c r="A656" s="117"/>
      <c r="B656" s="118"/>
      <c r="C656" s="117"/>
      <c r="D656" s="79">
        <v>2025</v>
      </c>
      <c r="E656" s="8">
        <v>0</v>
      </c>
      <c r="F656" s="8">
        <v>0</v>
      </c>
      <c r="G656" s="8">
        <v>0</v>
      </c>
      <c r="H656" s="8">
        <v>0</v>
      </c>
      <c r="I656" s="8">
        <v>0</v>
      </c>
      <c r="J656" s="117"/>
      <c r="K656" s="117"/>
      <c r="M656" s="55"/>
      <c r="N656" s="55"/>
      <c r="O656" s="55"/>
      <c r="P656" s="55"/>
    </row>
    <row r="657" spans="1:16" ht="14.25" customHeight="1" outlineLevel="1" x14ac:dyDescent="0.25">
      <c r="A657" s="117"/>
      <c r="B657" s="118"/>
      <c r="C657" s="117"/>
      <c r="D657" s="68">
        <v>2026</v>
      </c>
      <c r="E657" s="8">
        <f t="shared" si="44"/>
        <v>0</v>
      </c>
      <c r="F657" s="8">
        <v>0</v>
      </c>
      <c r="G657" s="8">
        <v>0</v>
      </c>
      <c r="H657" s="8">
        <v>0</v>
      </c>
      <c r="I657" s="8">
        <v>0</v>
      </c>
      <c r="J657" s="117"/>
      <c r="K657" s="117"/>
    </row>
    <row r="658" spans="1:16" ht="12.75" customHeight="1" outlineLevel="1" x14ac:dyDescent="0.25">
      <c r="A658" s="117" t="s">
        <v>592</v>
      </c>
      <c r="B658" s="118" t="s">
        <v>593</v>
      </c>
      <c r="C658" s="117">
        <v>2021</v>
      </c>
      <c r="D658" s="68" t="s">
        <v>8</v>
      </c>
      <c r="E658" s="8">
        <f t="shared" si="44"/>
        <v>0</v>
      </c>
      <c r="F658" s="8">
        <v>0</v>
      </c>
      <c r="G658" s="8">
        <v>0</v>
      </c>
      <c r="H658" s="8">
        <v>0</v>
      </c>
      <c r="I658" s="8">
        <v>0</v>
      </c>
      <c r="J658" s="117" t="s">
        <v>594</v>
      </c>
      <c r="K658" s="117" t="s">
        <v>103</v>
      </c>
    </row>
    <row r="659" spans="1:16" ht="12.75" customHeight="1" outlineLevel="1" x14ac:dyDescent="0.25">
      <c r="A659" s="117"/>
      <c r="B659" s="118"/>
      <c r="C659" s="117"/>
      <c r="D659" s="68">
        <v>2021</v>
      </c>
      <c r="E659" s="8">
        <f t="shared" si="44"/>
        <v>0</v>
      </c>
      <c r="F659" s="8">
        <v>0</v>
      </c>
      <c r="G659" s="8">
        <v>0</v>
      </c>
      <c r="H659" s="8">
        <v>0</v>
      </c>
      <c r="I659" s="8">
        <v>0</v>
      </c>
      <c r="J659" s="117"/>
      <c r="K659" s="117"/>
    </row>
    <row r="660" spans="1:16" ht="12.75" customHeight="1" outlineLevel="1" x14ac:dyDescent="0.25">
      <c r="A660" s="117"/>
      <c r="B660" s="118"/>
      <c r="C660" s="117"/>
      <c r="D660" s="68">
        <v>2022</v>
      </c>
      <c r="E660" s="8">
        <f t="shared" si="44"/>
        <v>0</v>
      </c>
      <c r="F660" s="8">
        <v>0</v>
      </c>
      <c r="G660" s="8">
        <v>0</v>
      </c>
      <c r="H660" s="8">
        <v>0</v>
      </c>
      <c r="I660" s="8">
        <v>0</v>
      </c>
      <c r="J660" s="117"/>
      <c r="K660" s="117"/>
    </row>
    <row r="661" spans="1:16" ht="12.75" customHeight="1" outlineLevel="1" x14ac:dyDescent="0.25">
      <c r="A661" s="117"/>
      <c r="B661" s="118"/>
      <c r="C661" s="117"/>
      <c r="D661" s="68">
        <v>2023</v>
      </c>
      <c r="E661" s="8">
        <f t="shared" si="44"/>
        <v>0</v>
      </c>
      <c r="F661" s="8">
        <v>0</v>
      </c>
      <c r="G661" s="8">
        <v>0</v>
      </c>
      <c r="H661" s="8">
        <v>0</v>
      </c>
      <c r="I661" s="8">
        <v>0</v>
      </c>
      <c r="J661" s="117"/>
      <c r="K661" s="117"/>
    </row>
    <row r="662" spans="1:16" ht="12.75" customHeight="1" outlineLevel="1" x14ac:dyDescent="0.25">
      <c r="A662" s="117"/>
      <c r="B662" s="118"/>
      <c r="C662" s="117"/>
      <c r="D662" s="68">
        <v>2024</v>
      </c>
      <c r="E662" s="8">
        <f t="shared" si="44"/>
        <v>0</v>
      </c>
      <c r="F662" s="8">
        <v>0</v>
      </c>
      <c r="G662" s="8">
        <v>0</v>
      </c>
      <c r="H662" s="8">
        <v>0</v>
      </c>
      <c r="I662" s="8">
        <v>0</v>
      </c>
      <c r="J662" s="117"/>
      <c r="K662" s="117"/>
    </row>
    <row r="663" spans="1:16" s="80" customFormat="1" ht="12.75" customHeight="1" outlineLevel="1" x14ac:dyDescent="0.25">
      <c r="A663" s="117"/>
      <c r="B663" s="118"/>
      <c r="C663" s="117"/>
      <c r="D663" s="79">
        <v>2025</v>
      </c>
      <c r="E663" s="8">
        <v>0</v>
      </c>
      <c r="F663" s="8">
        <v>0</v>
      </c>
      <c r="G663" s="8">
        <v>0</v>
      </c>
      <c r="H663" s="8">
        <v>0</v>
      </c>
      <c r="I663" s="8">
        <v>0</v>
      </c>
      <c r="J663" s="117"/>
      <c r="K663" s="117"/>
      <c r="M663" s="55"/>
      <c r="N663" s="55"/>
      <c r="O663" s="55"/>
      <c r="P663" s="55"/>
    </row>
    <row r="664" spans="1:16" ht="12.75" customHeight="1" outlineLevel="1" x14ac:dyDescent="0.25">
      <c r="A664" s="117"/>
      <c r="B664" s="118"/>
      <c r="C664" s="117"/>
      <c r="D664" s="68">
        <v>2026</v>
      </c>
      <c r="E664" s="8">
        <f t="shared" si="44"/>
        <v>0</v>
      </c>
      <c r="F664" s="8">
        <v>0</v>
      </c>
      <c r="G664" s="8">
        <v>0</v>
      </c>
      <c r="H664" s="8">
        <v>0</v>
      </c>
      <c r="I664" s="8">
        <v>0</v>
      </c>
      <c r="J664" s="117"/>
      <c r="K664" s="117"/>
    </row>
    <row r="665" spans="1:16" ht="12.75" customHeight="1" outlineLevel="1" x14ac:dyDescent="0.25">
      <c r="A665" s="117" t="s">
        <v>722</v>
      </c>
      <c r="B665" s="118" t="s">
        <v>595</v>
      </c>
      <c r="C665" s="117">
        <v>2021</v>
      </c>
      <c r="D665" s="68" t="s">
        <v>8</v>
      </c>
      <c r="E665" s="8">
        <f t="shared" si="44"/>
        <v>468.3</v>
      </c>
      <c r="F665" s="8">
        <f>SUM(F666:F671)</f>
        <v>468.3</v>
      </c>
      <c r="G665" s="8">
        <f>SUM(G666:G671)</f>
        <v>0</v>
      </c>
      <c r="H665" s="8">
        <f>SUM(H666:H671)</f>
        <v>0</v>
      </c>
      <c r="I665" s="8">
        <f>SUM(I666:I671)</f>
        <v>0</v>
      </c>
      <c r="J665" s="117" t="s">
        <v>596</v>
      </c>
      <c r="K665" s="117" t="s">
        <v>597</v>
      </c>
    </row>
    <row r="666" spans="1:16" ht="12.75" customHeight="1" outlineLevel="1" x14ac:dyDescent="0.25">
      <c r="A666" s="117"/>
      <c r="B666" s="118"/>
      <c r="C666" s="117"/>
      <c r="D666" s="68">
        <v>2021</v>
      </c>
      <c r="E666" s="8">
        <f t="shared" si="44"/>
        <v>468.3</v>
      </c>
      <c r="F666" s="8">
        <v>468.3</v>
      </c>
      <c r="G666" s="8">
        <v>0</v>
      </c>
      <c r="H666" s="8">
        <v>0</v>
      </c>
      <c r="I666" s="8">
        <v>0</v>
      </c>
      <c r="J666" s="117"/>
      <c r="K666" s="117"/>
    </row>
    <row r="667" spans="1:16" ht="12.75" customHeight="1" outlineLevel="1" x14ac:dyDescent="0.25">
      <c r="A667" s="117"/>
      <c r="B667" s="118"/>
      <c r="C667" s="117"/>
      <c r="D667" s="68">
        <v>2022</v>
      </c>
      <c r="E667" s="8">
        <f t="shared" si="44"/>
        <v>0</v>
      </c>
      <c r="F667" s="8">
        <v>0</v>
      </c>
      <c r="G667" s="8">
        <v>0</v>
      </c>
      <c r="H667" s="8">
        <v>0</v>
      </c>
      <c r="I667" s="8">
        <v>0</v>
      </c>
      <c r="J667" s="117"/>
      <c r="K667" s="117"/>
    </row>
    <row r="668" spans="1:16" ht="12.75" customHeight="1" outlineLevel="1" x14ac:dyDescent="0.25">
      <c r="A668" s="117"/>
      <c r="B668" s="118"/>
      <c r="C668" s="117"/>
      <c r="D668" s="68">
        <v>2023</v>
      </c>
      <c r="E668" s="8">
        <f t="shared" si="44"/>
        <v>0</v>
      </c>
      <c r="F668" s="8">
        <v>0</v>
      </c>
      <c r="G668" s="8">
        <v>0</v>
      </c>
      <c r="H668" s="8">
        <v>0</v>
      </c>
      <c r="I668" s="8">
        <v>0</v>
      </c>
      <c r="J668" s="117"/>
      <c r="K668" s="117"/>
    </row>
    <row r="669" spans="1:16" ht="12.75" customHeight="1" outlineLevel="1" x14ac:dyDescent="0.25">
      <c r="A669" s="117"/>
      <c r="B669" s="118"/>
      <c r="C669" s="117"/>
      <c r="D669" s="68">
        <v>2024</v>
      </c>
      <c r="E669" s="8">
        <f t="shared" si="44"/>
        <v>0</v>
      </c>
      <c r="F669" s="8">
        <v>0</v>
      </c>
      <c r="G669" s="8">
        <v>0</v>
      </c>
      <c r="H669" s="8">
        <v>0</v>
      </c>
      <c r="I669" s="8">
        <v>0</v>
      </c>
      <c r="J669" s="117"/>
      <c r="K669" s="117"/>
    </row>
    <row r="670" spans="1:16" s="80" customFormat="1" ht="12.75" customHeight="1" outlineLevel="1" x14ac:dyDescent="0.25">
      <c r="A670" s="117"/>
      <c r="B670" s="118"/>
      <c r="C670" s="117"/>
      <c r="D670" s="79">
        <v>2025</v>
      </c>
      <c r="E670" s="8">
        <v>0</v>
      </c>
      <c r="F670" s="8">
        <v>0</v>
      </c>
      <c r="G670" s="8">
        <v>0</v>
      </c>
      <c r="H670" s="8">
        <v>0</v>
      </c>
      <c r="I670" s="8">
        <v>0</v>
      </c>
      <c r="J670" s="117"/>
      <c r="K670" s="117"/>
      <c r="M670" s="55"/>
      <c r="N670" s="55"/>
      <c r="O670" s="55"/>
      <c r="P670" s="55"/>
    </row>
    <row r="671" spans="1:16" ht="12.75" customHeight="1" outlineLevel="1" x14ac:dyDescent="0.25">
      <c r="A671" s="117"/>
      <c r="B671" s="118"/>
      <c r="C671" s="117"/>
      <c r="D671" s="68">
        <v>2026</v>
      </c>
      <c r="E671" s="8">
        <f t="shared" si="44"/>
        <v>0</v>
      </c>
      <c r="F671" s="8">
        <v>0</v>
      </c>
      <c r="G671" s="8">
        <v>0</v>
      </c>
      <c r="H671" s="8">
        <v>0</v>
      </c>
      <c r="I671" s="8">
        <v>0</v>
      </c>
      <c r="J671" s="117"/>
      <c r="K671" s="117"/>
    </row>
    <row r="672" spans="1:16" ht="18" customHeight="1" outlineLevel="1" x14ac:dyDescent="0.25">
      <c r="A672" s="117" t="s">
        <v>1179</v>
      </c>
      <c r="B672" s="118" t="s">
        <v>599</v>
      </c>
      <c r="C672" s="117">
        <v>2021</v>
      </c>
      <c r="D672" s="68" t="s">
        <v>8</v>
      </c>
      <c r="E672" s="8">
        <f t="shared" si="44"/>
        <v>8226.4694736842102</v>
      </c>
      <c r="F672" s="8">
        <f>SUM(F673:F678)</f>
        <v>7815.1459999999997</v>
      </c>
      <c r="G672" s="8">
        <f>SUM(G673:G678)</f>
        <v>0</v>
      </c>
      <c r="H672" s="8">
        <f>SUM(H673:H678)</f>
        <v>411.32347368421051</v>
      </c>
      <c r="I672" s="8">
        <f>SUM(I673:I678)</f>
        <v>0</v>
      </c>
      <c r="J672" s="117" t="s">
        <v>600</v>
      </c>
      <c r="K672" s="117" t="s">
        <v>547</v>
      </c>
    </row>
    <row r="673" spans="1:16" ht="18" customHeight="1" outlineLevel="1" x14ac:dyDescent="0.25">
      <c r="A673" s="117"/>
      <c r="B673" s="118"/>
      <c r="C673" s="117"/>
      <c r="D673" s="68">
        <v>2021</v>
      </c>
      <c r="E673" s="8">
        <f t="shared" ref="E673:E746" si="45">SUM(F673:I673)</f>
        <v>8226.4694736842102</v>
      </c>
      <c r="F673" s="8">
        <v>7815.1459999999997</v>
      </c>
      <c r="G673" s="8">
        <v>0</v>
      </c>
      <c r="H673" s="8">
        <f t="shared" ref="H673:H674" si="46">F673/95*5</f>
        <v>411.32347368421051</v>
      </c>
      <c r="I673" s="8">
        <v>0</v>
      </c>
      <c r="J673" s="117"/>
      <c r="K673" s="117"/>
    </row>
    <row r="674" spans="1:16" ht="18" customHeight="1" outlineLevel="1" x14ac:dyDescent="0.25">
      <c r="A674" s="117"/>
      <c r="B674" s="118"/>
      <c r="C674" s="117"/>
      <c r="D674" s="68">
        <v>2022</v>
      </c>
      <c r="E674" s="8">
        <f t="shared" si="45"/>
        <v>0</v>
      </c>
      <c r="F674" s="8">
        <v>0</v>
      </c>
      <c r="G674" s="8">
        <v>0</v>
      </c>
      <c r="H674" s="8">
        <f t="shared" si="46"/>
        <v>0</v>
      </c>
      <c r="I674" s="8">
        <v>0</v>
      </c>
      <c r="J674" s="117"/>
      <c r="K674" s="117"/>
    </row>
    <row r="675" spans="1:16" ht="18" customHeight="1" outlineLevel="1" x14ac:dyDescent="0.25">
      <c r="A675" s="117"/>
      <c r="B675" s="118"/>
      <c r="C675" s="117"/>
      <c r="D675" s="68">
        <v>2023</v>
      </c>
      <c r="E675" s="8">
        <f t="shared" si="45"/>
        <v>0</v>
      </c>
      <c r="F675" s="8">
        <v>0</v>
      </c>
      <c r="G675" s="8">
        <v>0</v>
      </c>
      <c r="H675" s="8">
        <v>0</v>
      </c>
      <c r="I675" s="8">
        <v>0</v>
      </c>
      <c r="J675" s="117"/>
      <c r="K675" s="117"/>
    </row>
    <row r="676" spans="1:16" ht="18" customHeight="1" outlineLevel="1" x14ac:dyDescent="0.25">
      <c r="A676" s="117"/>
      <c r="B676" s="118"/>
      <c r="C676" s="117"/>
      <c r="D676" s="68">
        <v>2024</v>
      </c>
      <c r="E676" s="8">
        <f t="shared" si="45"/>
        <v>0</v>
      </c>
      <c r="F676" s="8">
        <v>0</v>
      </c>
      <c r="G676" s="8">
        <v>0</v>
      </c>
      <c r="H676" s="8">
        <v>0</v>
      </c>
      <c r="I676" s="8">
        <v>0</v>
      </c>
      <c r="J676" s="117"/>
      <c r="K676" s="117"/>
    </row>
    <row r="677" spans="1:16" s="80" customFormat="1" ht="18" customHeight="1" outlineLevel="1" x14ac:dyDescent="0.25">
      <c r="A677" s="117"/>
      <c r="B677" s="118"/>
      <c r="C677" s="117"/>
      <c r="D677" s="79">
        <v>2025</v>
      </c>
      <c r="E677" s="8">
        <v>0</v>
      </c>
      <c r="F677" s="8">
        <v>0</v>
      </c>
      <c r="G677" s="8">
        <v>0</v>
      </c>
      <c r="H677" s="8">
        <v>0</v>
      </c>
      <c r="I677" s="8">
        <v>0</v>
      </c>
      <c r="J677" s="117"/>
      <c r="K677" s="117"/>
      <c r="M677" s="55"/>
      <c r="N677" s="55"/>
      <c r="O677" s="55"/>
      <c r="P677" s="55"/>
    </row>
    <row r="678" spans="1:16" ht="18" customHeight="1" outlineLevel="1" x14ac:dyDescent="0.25">
      <c r="A678" s="117"/>
      <c r="B678" s="118"/>
      <c r="C678" s="117"/>
      <c r="D678" s="68">
        <v>2026</v>
      </c>
      <c r="E678" s="8">
        <f t="shared" si="45"/>
        <v>0</v>
      </c>
      <c r="F678" s="8">
        <v>0</v>
      </c>
      <c r="G678" s="8">
        <v>0</v>
      </c>
      <c r="H678" s="8">
        <v>0</v>
      </c>
      <c r="I678" s="8">
        <v>0</v>
      </c>
      <c r="J678" s="117"/>
      <c r="K678" s="117"/>
    </row>
    <row r="679" spans="1:16" ht="18" customHeight="1" outlineLevel="1" x14ac:dyDescent="0.25">
      <c r="A679" s="117" t="s">
        <v>1180</v>
      </c>
      <c r="B679" s="118" t="s">
        <v>613</v>
      </c>
      <c r="C679" s="117">
        <v>2021</v>
      </c>
      <c r="D679" s="68" t="s">
        <v>8</v>
      </c>
      <c r="E679" s="8">
        <f t="shared" si="45"/>
        <v>15056.631578947368</v>
      </c>
      <c r="F679" s="8">
        <f>SUM(F680:F685)</f>
        <v>14303.8</v>
      </c>
      <c r="G679" s="8">
        <f>SUM(G680:G685)</f>
        <v>0</v>
      </c>
      <c r="H679" s="8">
        <f>SUM(H680:H685)</f>
        <v>752.83157894736837</v>
      </c>
      <c r="I679" s="8">
        <v>0</v>
      </c>
      <c r="J679" s="117" t="s">
        <v>614</v>
      </c>
      <c r="K679" s="117" t="s">
        <v>547</v>
      </c>
    </row>
    <row r="680" spans="1:16" ht="18" customHeight="1" outlineLevel="1" x14ac:dyDescent="0.25">
      <c r="A680" s="117"/>
      <c r="B680" s="118"/>
      <c r="C680" s="117"/>
      <c r="D680" s="68">
        <v>2021</v>
      </c>
      <c r="E680" s="8">
        <f t="shared" si="45"/>
        <v>15056.631578947368</v>
      </c>
      <c r="F680" s="8">
        <v>14303.8</v>
      </c>
      <c r="G680" s="8">
        <v>0</v>
      </c>
      <c r="H680" s="8">
        <f>F680/95*5</f>
        <v>752.83157894736837</v>
      </c>
      <c r="I680" s="8">
        <v>0</v>
      </c>
      <c r="J680" s="117"/>
      <c r="K680" s="117"/>
    </row>
    <row r="681" spans="1:16" ht="18" customHeight="1" outlineLevel="1" x14ac:dyDescent="0.25">
      <c r="A681" s="117"/>
      <c r="B681" s="118"/>
      <c r="C681" s="117"/>
      <c r="D681" s="68">
        <v>2022</v>
      </c>
      <c r="E681" s="8">
        <f t="shared" si="45"/>
        <v>0</v>
      </c>
      <c r="F681" s="8">
        <v>0</v>
      </c>
      <c r="G681" s="8">
        <v>0</v>
      </c>
      <c r="H681" s="8">
        <v>0</v>
      </c>
      <c r="I681" s="8">
        <v>0</v>
      </c>
      <c r="J681" s="117"/>
      <c r="K681" s="117"/>
    </row>
    <row r="682" spans="1:16" ht="18" customHeight="1" outlineLevel="1" x14ac:dyDescent="0.25">
      <c r="A682" s="117"/>
      <c r="B682" s="118"/>
      <c r="C682" s="117"/>
      <c r="D682" s="68">
        <v>2023</v>
      </c>
      <c r="E682" s="8">
        <f t="shared" si="45"/>
        <v>0</v>
      </c>
      <c r="F682" s="8">
        <v>0</v>
      </c>
      <c r="G682" s="8">
        <v>0</v>
      </c>
      <c r="H682" s="8">
        <v>0</v>
      </c>
      <c r="I682" s="8">
        <v>0</v>
      </c>
      <c r="J682" s="117"/>
      <c r="K682" s="117"/>
    </row>
    <row r="683" spans="1:16" ht="18" customHeight="1" outlineLevel="1" x14ac:dyDescent="0.25">
      <c r="A683" s="117"/>
      <c r="B683" s="118"/>
      <c r="C683" s="117"/>
      <c r="D683" s="68">
        <v>2024</v>
      </c>
      <c r="E683" s="8">
        <f t="shared" si="45"/>
        <v>0</v>
      </c>
      <c r="F683" s="8">
        <v>0</v>
      </c>
      <c r="G683" s="8">
        <v>0</v>
      </c>
      <c r="H683" s="8">
        <v>0</v>
      </c>
      <c r="I683" s="8">
        <v>0</v>
      </c>
      <c r="J683" s="117"/>
      <c r="K683" s="117"/>
    </row>
    <row r="684" spans="1:16" s="80" customFormat="1" ht="18" customHeight="1" outlineLevel="1" x14ac:dyDescent="0.25">
      <c r="A684" s="117"/>
      <c r="B684" s="118"/>
      <c r="C684" s="117"/>
      <c r="D684" s="79">
        <v>2025</v>
      </c>
      <c r="E684" s="8">
        <v>0</v>
      </c>
      <c r="F684" s="8">
        <v>0</v>
      </c>
      <c r="G684" s="8">
        <v>0</v>
      </c>
      <c r="H684" s="8">
        <v>0</v>
      </c>
      <c r="I684" s="8">
        <v>0</v>
      </c>
      <c r="J684" s="117"/>
      <c r="K684" s="117"/>
      <c r="M684" s="55"/>
      <c r="N684" s="55"/>
      <c r="O684" s="55"/>
      <c r="P684" s="55"/>
    </row>
    <row r="685" spans="1:16" ht="18" customHeight="1" outlineLevel="1" x14ac:dyDescent="0.25">
      <c r="A685" s="117"/>
      <c r="B685" s="118"/>
      <c r="C685" s="117"/>
      <c r="D685" s="68">
        <v>2026</v>
      </c>
      <c r="E685" s="8">
        <f t="shared" si="45"/>
        <v>0</v>
      </c>
      <c r="F685" s="8">
        <v>0</v>
      </c>
      <c r="G685" s="8">
        <v>0</v>
      </c>
      <c r="H685" s="8">
        <v>0</v>
      </c>
      <c r="I685" s="8">
        <v>0</v>
      </c>
      <c r="J685" s="117"/>
      <c r="K685" s="117"/>
    </row>
    <row r="686" spans="1:16" ht="12.75" customHeight="1" outlineLevel="1" x14ac:dyDescent="0.25">
      <c r="A686" s="117" t="s">
        <v>916</v>
      </c>
      <c r="B686" s="118" t="s">
        <v>913</v>
      </c>
      <c r="C686" s="117">
        <v>2022</v>
      </c>
      <c r="D686" s="68" t="s">
        <v>8</v>
      </c>
      <c r="E686" s="8">
        <f t="shared" si="45"/>
        <v>20912.768100000001</v>
      </c>
      <c r="F686" s="8">
        <f>SUM(F687:F692)</f>
        <v>20912.768100000001</v>
      </c>
      <c r="G686" s="8">
        <f>SUM(G687:G692)</f>
        <v>0</v>
      </c>
      <c r="H686" s="8">
        <f>SUM(H687:H692)</f>
        <v>0</v>
      </c>
      <c r="I686" s="8">
        <f>SUM(I687:I692)</f>
        <v>0</v>
      </c>
      <c r="J686" s="117" t="s">
        <v>914</v>
      </c>
      <c r="K686" s="117" t="s">
        <v>915</v>
      </c>
    </row>
    <row r="687" spans="1:16" ht="12.75" customHeight="1" outlineLevel="1" x14ac:dyDescent="0.25">
      <c r="A687" s="117"/>
      <c r="B687" s="118"/>
      <c r="C687" s="117"/>
      <c r="D687" s="68">
        <v>2021</v>
      </c>
      <c r="E687" s="8">
        <f t="shared" si="45"/>
        <v>0</v>
      </c>
      <c r="F687" s="8">
        <v>0</v>
      </c>
      <c r="G687" s="8">
        <v>0</v>
      </c>
      <c r="H687" s="8">
        <v>0</v>
      </c>
      <c r="I687" s="8">
        <v>0</v>
      </c>
      <c r="J687" s="117"/>
      <c r="K687" s="117"/>
    </row>
    <row r="688" spans="1:16" ht="12.75" customHeight="1" outlineLevel="1" x14ac:dyDescent="0.25">
      <c r="A688" s="117"/>
      <c r="B688" s="118"/>
      <c r="C688" s="117"/>
      <c r="D688" s="68">
        <v>2022</v>
      </c>
      <c r="E688" s="8">
        <f t="shared" si="45"/>
        <v>20912.768100000001</v>
      </c>
      <c r="F688" s="8">
        <v>20912.768100000001</v>
      </c>
      <c r="G688" s="8">
        <v>0</v>
      </c>
      <c r="H688" s="8">
        <v>0</v>
      </c>
      <c r="I688" s="8">
        <v>0</v>
      </c>
      <c r="J688" s="117"/>
      <c r="K688" s="117"/>
    </row>
    <row r="689" spans="1:16" ht="12.75" customHeight="1" outlineLevel="1" x14ac:dyDescent="0.25">
      <c r="A689" s="117"/>
      <c r="B689" s="118"/>
      <c r="C689" s="117"/>
      <c r="D689" s="68">
        <v>2023</v>
      </c>
      <c r="E689" s="8">
        <f t="shared" si="45"/>
        <v>0</v>
      </c>
      <c r="F689" s="8">
        <v>0</v>
      </c>
      <c r="G689" s="8">
        <v>0</v>
      </c>
      <c r="H689" s="8">
        <v>0</v>
      </c>
      <c r="I689" s="8">
        <v>0</v>
      </c>
      <c r="J689" s="117"/>
      <c r="K689" s="117"/>
    </row>
    <row r="690" spans="1:16" ht="12.75" customHeight="1" outlineLevel="1" x14ac:dyDescent="0.25">
      <c r="A690" s="117"/>
      <c r="B690" s="118"/>
      <c r="C690" s="117"/>
      <c r="D690" s="68">
        <v>2024</v>
      </c>
      <c r="E690" s="8">
        <f t="shared" si="45"/>
        <v>0</v>
      </c>
      <c r="F690" s="8">
        <v>0</v>
      </c>
      <c r="G690" s="8">
        <v>0</v>
      </c>
      <c r="H690" s="8">
        <v>0</v>
      </c>
      <c r="I690" s="8">
        <v>0</v>
      </c>
      <c r="J690" s="117"/>
      <c r="K690" s="117"/>
    </row>
    <row r="691" spans="1:16" s="80" customFormat="1" ht="12.75" customHeight="1" outlineLevel="1" x14ac:dyDescent="0.25">
      <c r="A691" s="117"/>
      <c r="B691" s="118"/>
      <c r="C691" s="117"/>
      <c r="D691" s="79">
        <v>2025</v>
      </c>
      <c r="E691" s="8">
        <v>0</v>
      </c>
      <c r="F691" s="8">
        <v>0</v>
      </c>
      <c r="G691" s="8">
        <v>0</v>
      </c>
      <c r="H691" s="8">
        <v>0</v>
      </c>
      <c r="I691" s="8">
        <v>0</v>
      </c>
      <c r="J691" s="117"/>
      <c r="K691" s="117"/>
      <c r="M691" s="55"/>
      <c r="N691" s="55"/>
      <c r="O691" s="55"/>
      <c r="P691" s="55"/>
    </row>
    <row r="692" spans="1:16" ht="12.75" customHeight="1" outlineLevel="1" x14ac:dyDescent="0.25">
      <c r="A692" s="117"/>
      <c r="B692" s="118"/>
      <c r="C692" s="117"/>
      <c r="D692" s="68">
        <v>2026</v>
      </c>
      <c r="E692" s="8">
        <f t="shared" si="45"/>
        <v>0</v>
      </c>
      <c r="F692" s="8">
        <v>0</v>
      </c>
      <c r="G692" s="8">
        <v>0</v>
      </c>
      <c r="H692" s="8">
        <v>0</v>
      </c>
      <c r="I692" s="8">
        <v>0</v>
      </c>
      <c r="J692" s="117"/>
      <c r="K692" s="117"/>
    </row>
    <row r="693" spans="1:16" ht="12.75" customHeight="1" outlineLevel="1" x14ac:dyDescent="0.25">
      <c r="A693" s="117" t="s">
        <v>1181</v>
      </c>
      <c r="B693" s="118" t="s">
        <v>917</v>
      </c>
      <c r="C693" s="117" t="s">
        <v>1169</v>
      </c>
      <c r="D693" s="68" t="s">
        <v>8</v>
      </c>
      <c r="E693" s="8">
        <f t="shared" si="45"/>
        <v>150000</v>
      </c>
      <c r="F693" s="8">
        <f>SUM(F694:F699)</f>
        <v>142500</v>
      </c>
      <c r="G693" s="8">
        <f>SUM(G694:G699)</f>
        <v>0</v>
      </c>
      <c r="H693" s="8">
        <f>SUM(H694:H699)</f>
        <v>7500</v>
      </c>
      <c r="I693" s="8">
        <f>SUM(I694:I699)</f>
        <v>0</v>
      </c>
      <c r="J693" s="117" t="s">
        <v>1182</v>
      </c>
      <c r="K693" s="117" t="s">
        <v>547</v>
      </c>
    </row>
    <row r="694" spans="1:16" ht="12.75" customHeight="1" outlineLevel="1" x14ac:dyDescent="0.25">
      <c r="A694" s="117"/>
      <c r="B694" s="118"/>
      <c r="C694" s="117"/>
      <c r="D694" s="68">
        <v>2021</v>
      </c>
      <c r="E694" s="8">
        <f t="shared" si="45"/>
        <v>0</v>
      </c>
      <c r="F694" s="8">
        <v>0</v>
      </c>
      <c r="G694" s="8">
        <v>0</v>
      </c>
      <c r="H694" s="8">
        <v>0</v>
      </c>
      <c r="I694" s="8">
        <v>0</v>
      </c>
      <c r="J694" s="117"/>
      <c r="K694" s="117"/>
    </row>
    <row r="695" spans="1:16" ht="12.75" customHeight="1" outlineLevel="1" x14ac:dyDescent="0.25">
      <c r="A695" s="117"/>
      <c r="B695" s="118"/>
      <c r="C695" s="117"/>
      <c r="D695" s="68">
        <v>2022</v>
      </c>
      <c r="E695" s="8">
        <f t="shared" si="45"/>
        <v>70000</v>
      </c>
      <c r="F695" s="8">
        <v>66500</v>
      </c>
      <c r="G695" s="8">
        <v>0</v>
      </c>
      <c r="H695" s="8">
        <v>3500</v>
      </c>
      <c r="I695" s="8">
        <v>0</v>
      </c>
      <c r="J695" s="117"/>
      <c r="K695" s="117"/>
    </row>
    <row r="696" spans="1:16" ht="12.75" customHeight="1" outlineLevel="1" x14ac:dyDescent="0.25">
      <c r="A696" s="117"/>
      <c r="B696" s="118"/>
      <c r="C696" s="117"/>
      <c r="D696" s="68">
        <v>2023</v>
      </c>
      <c r="E696" s="8">
        <f t="shared" si="45"/>
        <v>80000</v>
      </c>
      <c r="F696" s="8">
        <v>76000</v>
      </c>
      <c r="G696" s="8">
        <v>0</v>
      </c>
      <c r="H696" s="8">
        <v>4000</v>
      </c>
      <c r="I696" s="8">
        <v>0</v>
      </c>
      <c r="J696" s="117"/>
      <c r="K696" s="117"/>
    </row>
    <row r="697" spans="1:16" ht="12.75" customHeight="1" outlineLevel="1" x14ac:dyDescent="0.25">
      <c r="A697" s="117"/>
      <c r="B697" s="118"/>
      <c r="C697" s="117"/>
      <c r="D697" s="68">
        <v>2024</v>
      </c>
      <c r="E697" s="8">
        <f t="shared" si="45"/>
        <v>0</v>
      </c>
      <c r="F697" s="8">
        <v>0</v>
      </c>
      <c r="G697" s="8">
        <v>0</v>
      </c>
      <c r="H697" s="8">
        <v>0</v>
      </c>
      <c r="I697" s="8">
        <v>0</v>
      </c>
      <c r="J697" s="117"/>
      <c r="K697" s="117"/>
    </row>
    <row r="698" spans="1:16" s="80" customFormat="1" ht="12.75" customHeight="1" outlineLevel="1" x14ac:dyDescent="0.25">
      <c r="A698" s="117"/>
      <c r="B698" s="118"/>
      <c r="C698" s="117"/>
      <c r="D698" s="79">
        <v>2025</v>
      </c>
      <c r="E698" s="8">
        <v>0</v>
      </c>
      <c r="F698" s="8">
        <v>0</v>
      </c>
      <c r="G698" s="8">
        <v>0</v>
      </c>
      <c r="H698" s="8">
        <v>0</v>
      </c>
      <c r="I698" s="8">
        <v>0</v>
      </c>
      <c r="J698" s="117"/>
      <c r="K698" s="117"/>
      <c r="M698" s="55"/>
      <c r="N698" s="55"/>
      <c r="O698" s="55"/>
      <c r="P698" s="55"/>
    </row>
    <row r="699" spans="1:16" outlineLevel="1" x14ac:dyDescent="0.25">
      <c r="A699" s="117"/>
      <c r="B699" s="118"/>
      <c r="C699" s="117"/>
      <c r="D699" s="68">
        <v>2026</v>
      </c>
      <c r="E699" s="8">
        <f t="shared" si="45"/>
        <v>0</v>
      </c>
      <c r="F699" s="8">
        <v>0</v>
      </c>
      <c r="G699" s="8">
        <v>0</v>
      </c>
      <c r="H699" s="8">
        <v>0</v>
      </c>
      <c r="I699" s="8">
        <v>0</v>
      </c>
      <c r="J699" s="117"/>
      <c r="K699" s="117"/>
    </row>
    <row r="700" spans="1:16" ht="14.25" customHeight="1" outlineLevel="1" x14ac:dyDescent="0.25">
      <c r="A700" s="108" t="s">
        <v>922</v>
      </c>
      <c r="B700" s="108" t="s">
        <v>920</v>
      </c>
      <c r="C700" s="108" t="s">
        <v>1777</v>
      </c>
      <c r="D700" s="68" t="s">
        <v>8</v>
      </c>
      <c r="E700" s="8">
        <f t="shared" si="45"/>
        <v>22000</v>
      </c>
      <c r="F700" s="8">
        <f>SUM(F701:F706)</f>
        <v>22000</v>
      </c>
      <c r="G700" s="8">
        <f>SUM(G701:G705)</f>
        <v>0</v>
      </c>
      <c r="H700" s="8">
        <f>SUM(H701:H705)</f>
        <v>0</v>
      </c>
      <c r="I700" s="8">
        <f>SUM(I701:I705)</f>
        <v>0</v>
      </c>
      <c r="J700" s="108" t="s">
        <v>921</v>
      </c>
      <c r="K700" s="108" t="s">
        <v>563</v>
      </c>
    </row>
    <row r="701" spans="1:16" ht="12.75" customHeight="1" outlineLevel="1" x14ac:dyDescent="0.25">
      <c r="A701" s="109"/>
      <c r="B701" s="109"/>
      <c r="C701" s="109"/>
      <c r="D701" s="68">
        <v>2021</v>
      </c>
      <c r="E701" s="8">
        <f t="shared" si="45"/>
        <v>0</v>
      </c>
      <c r="F701" s="8">
        <v>0</v>
      </c>
      <c r="G701" s="8">
        <v>0</v>
      </c>
      <c r="H701" s="8">
        <v>0</v>
      </c>
      <c r="I701" s="8">
        <v>0</v>
      </c>
      <c r="J701" s="109"/>
      <c r="K701" s="109"/>
    </row>
    <row r="702" spans="1:16" ht="14.25" customHeight="1" outlineLevel="1" x14ac:dyDescent="0.25">
      <c r="A702" s="109"/>
      <c r="B702" s="109"/>
      <c r="C702" s="109"/>
      <c r="D702" s="68">
        <v>2022</v>
      </c>
      <c r="E702" s="8">
        <f t="shared" si="45"/>
        <v>4400</v>
      </c>
      <c r="F702" s="8">
        <v>4400</v>
      </c>
      <c r="G702" s="8">
        <v>0</v>
      </c>
      <c r="H702" s="8">
        <v>0</v>
      </c>
      <c r="I702" s="8">
        <v>0</v>
      </c>
      <c r="J702" s="109"/>
      <c r="K702" s="109"/>
    </row>
    <row r="703" spans="1:16" ht="14.25" customHeight="1" outlineLevel="1" x14ac:dyDescent="0.25">
      <c r="A703" s="109"/>
      <c r="B703" s="109"/>
      <c r="C703" s="109"/>
      <c r="D703" s="68">
        <v>2023</v>
      </c>
      <c r="E703" s="8">
        <f t="shared" si="45"/>
        <v>4400</v>
      </c>
      <c r="F703" s="8">
        <v>4400</v>
      </c>
      <c r="G703" s="8">
        <v>0</v>
      </c>
      <c r="H703" s="8">
        <v>0</v>
      </c>
      <c r="I703" s="8">
        <v>0</v>
      </c>
      <c r="J703" s="109"/>
      <c r="K703" s="109"/>
    </row>
    <row r="704" spans="1:16" ht="12" customHeight="1" outlineLevel="1" x14ac:dyDescent="0.25">
      <c r="A704" s="109"/>
      <c r="B704" s="109"/>
      <c r="C704" s="109"/>
      <c r="D704" s="68">
        <v>2024</v>
      </c>
      <c r="E704" s="8">
        <f t="shared" si="45"/>
        <v>4400</v>
      </c>
      <c r="F704" s="8">
        <v>4400</v>
      </c>
      <c r="G704" s="8">
        <v>0</v>
      </c>
      <c r="H704" s="8">
        <v>0</v>
      </c>
      <c r="I704" s="8">
        <v>0</v>
      </c>
      <c r="J704" s="109"/>
      <c r="K704" s="109"/>
    </row>
    <row r="705" spans="1:16" ht="15" customHeight="1" outlineLevel="1" x14ac:dyDescent="0.25">
      <c r="A705" s="109"/>
      <c r="B705" s="109"/>
      <c r="C705" s="109"/>
      <c r="D705" s="68">
        <v>2025</v>
      </c>
      <c r="E705" s="8">
        <f t="shared" si="45"/>
        <v>4400</v>
      </c>
      <c r="F705" s="8">
        <v>4400</v>
      </c>
      <c r="G705" s="8">
        <v>0</v>
      </c>
      <c r="H705" s="8">
        <v>0</v>
      </c>
      <c r="I705" s="8">
        <v>0</v>
      </c>
      <c r="J705" s="109"/>
      <c r="K705" s="109"/>
    </row>
    <row r="706" spans="1:16" ht="15" customHeight="1" outlineLevel="1" x14ac:dyDescent="0.25">
      <c r="A706" s="110"/>
      <c r="B706" s="110"/>
      <c r="C706" s="110"/>
      <c r="D706" s="68">
        <v>2026</v>
      </c>
      <c r="E706" s="8">
        <f t="shared" si="45"/>
        <v>4400</v>
      </c>
      <c r="F706" s="8">
        <v>4400</v>
      </c>
      <c r="G706" s="8">
        <v>0</v>
      </c>
      <c r="H706" s="8">
        <v>0</v>
      </c>
      <c r="I706" s="8">
        <v>0</v>
      </c>
      <c r="J706" s="110"/>
      <c r="K706" s="110"/>
    </row>
    <row r="707" spans="1:16" ht="12.75" customHeight="1" outlineLevel="1" x14ac:dyDescent="0.25">
      <c r="A707" s="117" t="s">
        <v>925</v>
      </c>
      <c r="B707" s="118" t="s">
        <v>926</v>
      </c>
      <c r="C707" s="117">
        <v>2022</v>
      </c>
      <c r="D707" s="68" t="s">
        <v>8</v>
      </c>
      <c r="E707" s="8">
        <f t="shared" si="45"/>
        <v>65500</v>
      </c>
      <c r="F707" s="8">
        <f>SUM(F708:F713)</f>
        <v>62225</v>
      </c>
      <c r="G707" s="8">
        <f>SUM(G708:G713)</f>
        <v>0</v>
      </c>
      <c r="H707" s="8">
        <f>SUM(H708:H713)</f>
        <v>3275</v>
      </c>
      <c r="I707" s="8">
        <f>SUM(I708:I713)</f>
        <v>0</v>
      </c>
      <c r="J707" s="117" t="s">
        <v>927</v>
      </c>
      <c r="K707" s="117" t="s">
        <v>547</v>
      </c>
    </row>
    <row r="708" spans="1:16" ht="12.75" customHeight="1" outlineLevel="1" x14ac:dyDescent="0.25">
      <c r="A708" s="117"/>
      <c r="B708" s="118"/>
      <c r="C708" s="117"/>
      <c r="D708" s="68">
        <v>2021</v>
      </c>
      <c r="E708" s="8">
        <f t="shared" si="45"/>
        <v>0</v>
      </c>
      <c r="F708" s="8">
        <v>0</v>
      </c>
      <c r="G708" s="8">
        <v>0</v>
      </c>
      <c r="H708" s="8">
        <v>0</v>
      </c>
      <c r="I708" s="8">
        <v>0</v>
      </c>
      <c r="J708" s="117"/>
      <c r="K708" s="117"/>
    </row>
    <row r="709" spans="1:16" ht="12.75" customHeight="1" outlineLevel="1" x14ac:dyDescent="0.25">
      <c r="A709" s="117"/>
      <c r="B709" s="118"/>
      <c r="C709" s="117"/>
      <c r="D709" s="68">
        <v>2022</v>
      </c>
      <c r="E709" s="8">
        <f t="shared" si="45"/>
        <v>65500</v>
      </c>
      <c r="F709" s="8">
        <v>62225</v>
      </c>
      <c r="G709" s="8">
        <v>0</v>
      </c>
      <c r="H709" s="8">
        <v>3275</v>
      </c>
      <c r="I709" s="8">
        <v>0</v>
      </c>
      <c r="J709" s="117"/>
      <c r="K709" s="117"/>
    </row>
    <row r="710" spans="1:16" ht="12.75" customHeight="1" outlineLevel="1" x14ac:dyDescent="0.25">
      <c r="A710" s="117"/>
      <c r="B710" s="118"/>
      <c r="C710" s="117"/>
      <c r="D710" s="68">
        <v>2023</v>
      </c>
      <c r="E710" s="8">
        <f t="shared" si="45"/>
        <v>0</v>
      </c>
      <c r="F710" s="8">
        <v>0</v>
      </c>
      <c r="G710" s="8">
        <v>0</v>
      </c>
      <c r="H710" s="8">
        <v>0</v>
      </c>
      <c r="I710" s="8">
        <v>0</v>
      </c>
      <c r="J710" s="117"/>
      <c r="K710" s="117"/>
    </row>
    <row r="711" spans="1:16" ht="12.75" customHeight="1" outlineLevel="1" x14ac:dyDescent="0.25">
      <c r="A711" s="117"/>
      <c r="B711" s="118"/>
      <c r="C711" s="117"/>
      <c r="D711" s="68">
        <v>2024</v>
      </c>
      <c r="E711" s="8">
        <f t="shared" si="45"/>
        <v>0</v>
      </c>
      <c r="F711" s="8">
        <v>0</v>
      </c>
      <c r="G711" s="8">
        <v>0</v>
      </c>
      <c r="H711" s="8">
        <v>0</v>
      </c>
      <c r="I711" s="8">
        <v>0</v>
      </c>
      <c r="J711" s="117"/>
      <c r="K711" s="117"/>
    </row>
    <row r="712" spans="1:16" s="80" customFormat="1" ht="12.75" customHeight="1" outlineLevel="1" x14ac:dyDescent="0.25">
      <c r="A712" s="117"/>
      <c r="B712" s="118"/>
      <c r="C712" s="117"/>
      <c r="D712" s="79">
        <v>2025</v>
      </c>
      <c r="E712" s="8">
        <v>0</v>
      </c>
      <c r="F712" s="8">
        <v>0</v>
      </c>
      <c r="G712" s="8">
        <v>0</v>
      </c>
      <c r="H712" s="8">
        <v>0</v>
      </c>
      <c r="I712" s="8">
        <v>0</v>
      </c>
      <c r="J712" s="117"/>
      <c r="K712" s="117"/>
      <c r="M712" s="55"/>
      <c r="N712" s="55"/>
      <c r="O712" s="55"/>
      <c r="P712" s="55"/>
    </row>
    <row r="713" spans="1:16" ht="12.75" customHeight="1" outlineLevel="1" x14ac:dyDescent="0.25">
      <c r="A713" s="117"/>
      <c r="B713" s="118"/>
      <c r="C713" s="117"/>
      <c r="D713" s="68">
        <v>2026</v>
      </c>
      <c r="E713" s="8">
        <f t="shared" si="45"/>
        <v>0</v>
      </c>
      <c r="F713" s="8">
        <v>0</v>
      </c>
      <c r="G713" s="8">
        <v>0</v>
      </c>
      <c r="H713" s="8">
        <v>0</v>
      </c>
      <c r="I713" s="8">
        <v>0</v>
      </c>
      <c r="J713" s="117"/>
      <c r="K713" s="117"/>
    </row>
    <row r="714" spans="1:16" ht="12.75" customHeight="1" outlineLevel="1" x14ac:dyDescent="0.25">
      <c r="A714" s="117" t="s">
        <v>928</v>
      </c>
      <c r="B714" s="118" t="s">
        <v>1183</v>
      </c>
      <c r="C714" s="117">
        <v>2022</v>
      </c>
      <c r="D714" s="68" t="s">
        <v>8</v>
      </c>
      <c r="E714" s="8">
        <f t="shared" si="45"/>
        <v>3010.9325454545456</v>
      </c>
      <c r="F714" s="8">
        <f>SUM(F715:F720)</f>
        <v>2980.8232200000002</v>
      </c>
      <c r="G714" s="8">
        <f>SUM(G715:G720)</f>
        <v>0</v>
      </c>
      <c r="H714" s="8">
        <f>SUM(H715:H720)</f>
        <v>30.109325454545456</v>
      </c>
      <c r="I714" s="8">
        <f>SUM(I715:I720)</f>
        <v>0</v>
      </c>
      <c r="J714" s="117" t="s">
        <v>930</v>
      </c>
      <c r="K714" s="117" t="s">
        <v>547</v>
      </c>
    </row>
    <row r="715" spans="1:16" ht="12.75" customHeight="1" outlineLevel="1" x14ac:dyDescent="0.25">
      <c r="A715" s="117"/>
      <c r="B715" s="118"/>
      <c r="C715" s="117"/>
      <c r="D715" s="68">
        <v>2021</v>
      </c>
      <c r="E715" s="8">
        <f t="shared" si="45"/>
        <v>0</v>
      </c>
      <c r="F715" s="8">
        <v>0</v>
      </c>
      <c r="G715" s="8">
        <f>SUM(G716:G721)</f>
        <v>0</v>
      </c>
      <c r="H715" s="8">
        <v>0</v>
      </c>
      <c r="I715" s="8">
        <f>SUM(I716:I721)</f>
        <v>0</v>
      </c>
      <c r="J715" s="117"/>
      <c r="K715" s="117"/>
    </row>
    <row r="716" spans="1:16" ht="12.75" customHeight="1" outlineLevel="1" x14ac:dyDescent="0.25">
      <c r="A716" s="117"/>
      <c r="B716" s="118"/>
      <c r="C716" s="117"/>
      <c r="D716" s="68">
        <v>2022</v>
      </c>
      <c r="E716" s="8">
        <f t="shared" si="45"/>
        <v>3010.9325454545456</v>
      </c>
      <c r="F716" s="8">
        <v>2980.8232200000002</v>
      </c>
      <c r="G716" s="8">
        <f>SUM(G717:G722)</f>
        <v>0</v>
      </c>
      <c r="H716" s="8">
        <f>F716/99*1</f>
        <v>30.109325454545456</v>
      </c>
      <c r="I716" s="8">
        <f>SUM(I717:I722)</f>
        <v>0</v>
      </c>
      <c r="J716" s="117"/>
      <c r="K716" s="117"/>
    </row>
    <row r="717" spans="1:16" ht="12.75" customHeight="1" outlineLevel="1" x14ac:dyDescent="0.25">
      <c r="A717" s="117"/>
      <c r="B717" s="118"/>
      <c r="C717" s="117"/>
      <c r="D717" s="68">
        <v>2023</v>
      </c>
      <c r="E717" s="8">
        <f t="shared" si="45"/>
        <v>0</v>
      </c>
      <c r="F717" s="8">
        <v>0</v>
      </c>
      <c r="G717" s="8">
        <f>SUM(G718:G723)</f>
        <v>0</v>
      </c>
      <c r="H717" s="8">
        <v>0</v>
      </c>
      <c r="I717" s="8">
        <f>SUM(I718:I723)</f>
        <v>0</v>
      </c>
      <c r="J717" s="117"/>
      <c r="K717" s="117"/>
    </row>
    <row r="718" spans="1:16" ht="12.75" customHeight="1" outlineLevel="1" x14ac:dyDescent="0.25">
      <c r="A718" s="117"/>
      <c r="B718" s="118"/>
      <c r="C718" s="117"/>
      <c r="D718" s="68">
        <v>2024</v>
      </c>
      <c r="E718" s="8">
        <f t="shared" si="45"/>
        <v>0</v>
      </c>
      <c r="F718" s="8">
        <v>0</v>
      </c>
      <c r="G718" s="8">
        <f>SUM(G720:G724)</f>
        <v>0</v>
      </c>
      <c r="H718" s="8">
        <v>0</v>
      </c>
      <c r="I718" s="8">
        <f>SUM(I720:I724)</f>
        <v>0</v>
      </c>
      <c r="J718" s="117"/>
      <c r="K718" s="117"/>
    </row>
    <row r="719" spans="1:16" s="80" customFormat="1" ht="12.75" customHeight="1" outlineLevel="1" x14ac:dyDescent="0.25">
      <c r="A719" s="117"/>
      <c r="B719" s="118"/>
      <c r="C719" s="117"/>
      <c r="D719" s="79">
        <v>2025</v>
      </c>
      <c r="E719" s="8">
        <v>0</v>
      </c>
      <c r="F719" s="8">
        <v>0</v>
      </c>
      <c r="G719" s="8">
        <v>0</v>
      </c>
      <c r="H719" s="8">
        <v>0</v>
      </c>
      <c r="I719" s="8">
        <v>0</v>
      </c>
      <c r="J719" s="117"/>
      <c r="K719" s="117"/>
      <c r="M719" s="55"/>
      <c r="N719" s="55"/>
      <c r="O719" s="55"/>
      <c r="P719" s="55"/>
    </row>
    <row r="720" spans="1:16" ht="12.75" customHeight="1" outlineLevel="1" x14ac:dyDescent="0.25">
      <c r="A720" s="117"/>
      <c r="B720" s="118"/>
      <c r="C720" s="117"/>
      <c r="D720" s="68">
        <v>2026</v>
      </c>
      <c r="E720" s="8">
        <f t="shared" si="45"/>
        <v>0</v>
      </c>
      <c r="F720" s="8">
        <v>0</v>
      </c>
      <c r="G720" s="8">
        <f t="shared" ref="G720:G748" si="47">SUM(G721:G725)</f>
        <v>0</v>
      </c>
      <c r="H720" s="8">
        <v>0</v>
      </c>
      <c r="I720" s="8">
        <f t="shared" ref="I720:I748" si="48">SUM(I721:I725)</f>
        <v>0</v>
      </c>
      <c r="J720" s="117"/>
      <c r="K720" s="117"/>
    </row>
    <row r="721" spans="1:16" ht="12.75" customHeight="1" outlineLevel="1" x14ac:dyDescent="0.25">
      <c r="A721" s="117" t="s">
        <v>931</v>
      </c>
      <c r="B721" s="118" t="s">
        <v>932</v>
      </c>
      <c r="C721" s="117">
        <v>2022</v>
      </c>
      <c r="D721" s="68" t="s">
        <v>8</v>
      </c>
      <c r="E721" s="8">
        <f t="shared" si="45"/>
        <v>9956.0763399999996</v>
      </c>
      <c r="F721" s="8">
        <f>SUM(F722:F727)</f>
        <v>9458.2733399999997</v>
      </c>
      <c r="G721" s="8">
        <f>SUM(G722:G727)</f>
        <v>0</v>
      </c>
      <c r="H721" s="8">
        <f>SUM(H722:H727)</f>
        <v>497.803</v>
      </c>
      <c r="I721" s="8">
        <f>SUM(I722:I727)</f>
        <v>0</v>
      </c>
      <c r="J721" s="117" t="s">
        <v>933</v>
      </c>
      <c r="K721" s="117" t="s">
        <v>547</v>
      </c>
    </row>
    <row r="722" spans="1:16" ht="12.75" customHeight="1" outlineLevel="1" x14ac:dyDescent="0.25">
      <c r="A722" s="117"/>
      <c r="B722" s="118"/>
      <c r="C722" s="117"/>
      <c r="D722" s="68">
        <v>2021</v>
      </c>
      <c r="E722" s="8">
        <f t="shared" si="45"/>
        <v>0</v>
      </c>
      <c r="F722" s="8">
        <v>0</v>
      </c>
      <c r="G722" s="8">
        <f>SUM(G723:G728)</f>
        <v>0</v>
      </c>
      <c r="H722" s="8">
        <v>0</v>
      </c>
      <c r="I722" s="8">
        <f>SUM(I723:I728)</f>
        <v>0</v>
      </c>
      <c r="J722" s="117"/>
      <c r="K722" s="117"/>
    </row>
    <row r="723" spans="1:16" ht="12.75" customHeight="1" outlineLevel="1" x14ac:dyDescent="0.25">
      <c r="A723" s="117"/>
      <c r="B723" s="118"/>
      <c r="C723" s="117"/>
      <c r="D723" s="68">
        <v>2022</v>
      </c>
      <c r="E723" s="8">
        <f t="shared" si="45"/>
        <v>9956.0763399999996</v>
      </c>
      <c r="F723" s="8">
        <v>9458.2733399999997</v>
      </c>
      <c r="G723" s="8">
        <f>SUM(G724:G729)</f>
        <v>0</v>
      </c>
      <c r="H723" s="8">
        <v>497.803</v>
      </c>
      <c r="I723" s="8">
        <f>SUM(I724:I729)</f>
        <v>0</v>
      </c>
      <c r="J723" s="117"/>
      <c r="K723" s="117"/>
    </row>
    <row r="724" spans="1:16" ht="12.75" customHeight="1" outlineLevel="1" x14ac:dyDescent="0.25">
      <c r="A724" s="117"/>
      <c r="B724" s="118"/>
      <c r="C724" s="117"/>
      <c r="D724" s="68">
        <v>2023</v>
      </c>
      <c r="E724" s="8">
        <f t="shared" si="45"/>
        <v>0</v>
      </c>
      <c r="F724" s="8">
        <v>0</v>
      </c>
      <c r="G724" s="8">
        <f>SUM(G725:G730)</f>
        <v>0</v>
      </c>
      <c r="H724" s="8">
        <v>0</v>
      </c>
      <c r="I724" s="8">
        <f>SUM(I725:I730)</f>
        <v>0</v>
      </c>
      <c r="J724" s="117"/>
      <c r="K724" s="117"/>
    </row>
    <row r="725" spans="1:16" ht="12.75" customHeight="1" outlineLevel="1" x14ac:dyDescent="0.25">
      <c r="A725" s="117"/>
      <c r="B725" s="118"/>
      <c r="C725" s="117"/>
      <c r="D725" s="68">
        <v>2024</v>
      </c>
      <c r="E725" s="8">
        <f t="shared" si="45"/>
        <v>0</v>
      </c>
      <c r="F725" s="8">
        <v>0</v>
      </c>
      <c r="G725" s="8">
        <f>SUM(G727:G731)</f>
        <v>0</v>
      </c>
      <c r="H725" s="8">
        <v>0</v>
      </c>
      <c r="I725" s="8">
        <f>SUM(I727:I731)</f>
        <v>0</v>
      </c>
      <c r="J725" s="117"/>
      <c r="K725" s="117"/>
    </row>
    <row r="726" spans="1:16" s="80" customFormat="1" ht="12.75" customHeight="1" outlineLevel="1" x14ac:dyDescent="0.25">
      <c r="A726" s="117"/>
      <c r="B726" s="118"/>
      <c r="C726" s="117"/>
      <c r="D726" s="79">
        <v>2025</v>
      </c>
      <c r="E726" s="8">
        <v>0</v>
      </c>
      <c r="F726" s="8">
        <v>0</v>
      </c>
      <c r="G726" s="8">
        <v>0</v>
      </c>
      <c r="H726" s="8">
        <v>0</v>
      </c>
      <c r="I726" s="8">
        <v>0</v>
      </c>
      <c r="J726" s="117"/>
      <c r="K726" s="117"/>
      <c r="M726" s="55"/>
      <c r="N726" s="55"/>
      <c r="O726" s="55"/>
      <c r="P726" s="55"/>
    </row>
    <row r="727" spans="1:16" ht="12.75" customHeight="1" outlineLevel="1" x14ac:dyDescent="0.25">
      <c r="A727" s="117"/>
      <c r="B727" s="118"/>
      <c r="C727" s="117"/>
      <c r="D727" s="68">
        <v>2026</v>
      </c>
      <c r="E727" s="8">
        <f t="shared" si="45"/>
        <v>0</v>
      </c>
      <c r="F727" s="8">
        <v>0</v>
      </c>
      <c r="G727" s="8">
        <f t="shared" si="47"/>
        <v>0</v>
      </c>
      <c r="H727" s="8">
        <v>0</v>
      </c>
      <c r="I727" s="8">
        <f t="shared" si="48"/>
        <v>0</v>
      </c>
      <c r="J727" s="117"/>
      <c r="K727" s="117"/>
    </row>
    <row r="728" spans="1:16" ht="12.75" customHeight="1" outlineLevel="1" x14ac:dyDescent="0.25">
      <c r="A728" s="117" t="s">
        <v>934</v>
      </c>
      <c r="B728" s="118" t="s">
        <v>1184</v>
      </c>
      <c r="C728" s="117">
        <v>2022</v>
      </c>
      <c r="D728" s="68" t="s">
        <v>8</v>
      </c>
      <c r="E728" s="8">
        <f t="shared" si="45"/>
        <v>3320.7358421052631</v>
      </c>
      <c r="F728" s="8">
        <f>SUM(F729:F734)</f>
        <v>3154.6990500000002</v>
      </c>
      <c r="G728" s="8">
        <f>SUM(G729:G734)</f>
        <v>0</v>
      </c>
      <c r="H728" s="8">
        <f>SUM(H729:H734)</f>
        <v>166.03679210526315</v>
      </c>
      <c r="I728" s="8">
        <f>SUM(I729:I734)</f>
        <v>0</v>
      </c>
      <c r="J728" s="117" t="s">
        <v>1185</v>
      </c>
      <c r="K728" s="117" t="s">
        <v>547</v>
      </c>
    </row>
    <row r="729" spans="1:16" ht="12.75" customHeight="1" outlineLevel="1" x14ac:dyDescent="0.25">
      <c r="A729" s="117"/>
      <c r="B729" s="118"/>
      <c r="C729" s="117"/>
      <c r="D729" s="68">
        <v>2021</v>
      </c>
      <c r="E729" s="8">
        <f t="shared" si="45"/>
        <v>0</v>
      </c>
      <c r="F729" s="8">
        <v>0</v>
      </c>
      <c r="G729" s="8">
        <f>SUM(G730:G735)</f>
        <v>0</v>
      </c>
      <c r="H729" s="8">
        <v>0</v>
      </c>
      <c r="I729" s="8">
        <f>SUM(I730:I735)</f>
        <v>0</v>
      </c>
      <c r="J729" s="117"/>
      <c r="K729" s="117"/>
    </row>
    <row r="730" spans="1:16" ht="12.75" customHeight="1" outlineLevel="1" x14ac:dyDescent="0.25">
      <c r="A730" s="117"/>
      <c r="B730" s="118"/>
      <c r="C730" s="117"/>
      <c r="D730" s="68">
        <v>2022</v>
      </c>
      <c r="E730" s="8">
        <f t="shared" si="45"/>
        <v>3320.7358421052631</v>
      </c>
      <c r="F730" s="8">
        <v>3154.6990500000002</v>
      </c>
      <c r="G730" s="8">
        <f>SUM(G731:G736)</f>
        <v>0</v>
      </c>
      <c r="H730" s="8">
        <f>F730/95*5</f>
        <v>166.03679210526315</v>
      </c>
      <c r="I730" s="8">
        <f>SUM(I731:I736)</f>
        <v>0</v>
      </c>
      <c r="J730" s="117"/>
      <c r="K730" s="117"/>
    </row>
    <row r="731" spans="1:16" ht="12.75" customHeight="1" outlineLevel="1" x14ac:dyDescent="0.25">
      <c r="A731" s="117"/>
      <c r="B731" s="118"/>
      <c r="C731" s="117"/>
      <c r="D731" s="68">
        <v>2023</v>
      </c>
      <c r="E731" s="8">
        <f t="shared" si="45"/>
        <v>0</v>
      </c>
      <c r="F731" s="8">
        <v>0</v>
      </c>
      <c r="G731" s="8">
        <f>SUM(G732:G737)</f>
        <v>0</v>
      </c>
      <c r="H731" s="8">
        <v>0</v>
      </c>
      <c r="I731" s="8">
        <f>SUM(I732:I737)</f>
        <v>0</v>
      </c>
      <c r="J731" s="117"/>
      <c r="K731" s="117"/>
    </row>
    <row r="732" spans="1:16" ht="12.75" customHeight="1" outlineLevel="1" x14ac:dyDescent="0.25">
      <c r="A732" s="117"/>
      <c r="B732" s="118"/>
      <c r="C732" s="117"/>
      <c r="D732" s="68">
        <v>2024</v>
      </c>
      <c r="E732" s="8">
        <f t="shared" si="45"/>
        <v>0</v>
      </c>
      <c r="F732" s="8">
        <v>0</v>
      </c>
      <c r="G732" s="8">
        <f>SUM(G734:G738)</f>
        <v>0</v>
      </c>
      <c r="H732" s="8">
        <v>0</v>
      </c>
      <c r="I732" s="8">
        <f>SUM(I734:I738)</f>
        <v>0</v>
      </c>
      <c r="J732" s="117"/>
      <c r="K732" s="117"/>
    </row>
    <row r="733" spans="1:16" s="80" customFormat="1" ht="12.75" customHeight="1" outlineLevel="1" x14ac:dyDescent="0.25">
      <c r="A733" s="117"/>
      <c r="B733" s="118"/>
      <c r="C733" s="117"/>
      <c r="D733" s="79">
        <v>2025</v>
      </c>
      <c r="E733" s="8">
        <v>0</v>
      </c>
      <c r="F733" s="8">
        <v>0</v>
      </c>
      <c r="G733" s="8">
        <v>0</v>
      </c>
      <c r="H733" s="8">
        <v>0</v>
      </c>
      <c r="I733" s="8">
        <v>0</v>
      </c>
      <c r="J733" s="117"/>
      <c r="K733" s="117"/>
      <c r="M733" s="55"/>
      <c r="N733" s="55"/>
      <c r="O733" s="55"/>
      <c r="P733" s="55"/>
    </row>
    <row r="734" spans="1:16" ht="12.75" customHeight="1" outlineLevel="1" x14ac:dyDescent="0.25">
      <c r="A734" s="117"/>
      <c r="B734" s="118"/>
      <c r="C734" s="117"/>
      <c r="D734" s="68">
        <v>2026</v>
      </c>
      <c r="E734" s="8">
        <f t="shared" si="45"/>
        <v>0</v>
      </c>
      <c r="F734" s="8">
        <v>0</v>
      </c>
      <c r="G734" s="8">
        <f t="shared" si="47"/>
        <v>0</v>
      </c>
      <c r="H734" s="8">
        <v>0</v>
      </c>
      <c r="I734" s="8">
        <f t="shared" si="48"/>
        <v>0</v>
      </c>
      <c r="J734" s="117"/>
      <c r="K734" s="117"/>
    </row>
    <row r="735" spans="1:16" ht="12.75" customHeight="1" outlineLevel="1" x14ac:dyDescent="0.25">
      <c r="A735" s="117" t="s">
        <v>937</v>
      </c>
      <c r="B735" s="118" t="s">
        <v>938</v>
      </c>
      <c r="C735" s="117">
        <v>2022</v>
      </c>
      <c r="D735" s="68" t="s">
        <v>8</v>
      </c>
      <c r="E735" s="8">
        <f t="shared" si="45"/>
        <v>17129.317905263157</v>
      </c>
      <c r="F735" s="8">
        <f>SUM(F736:F741)</f>
        <v>16272.852010000001</v>
      </c>
      <c r="G735" s="8">
        <f>SUM(G736:G741)</f>
        <v>0</v>
      </c>
      <c r="H735" s="8">
        <f>SUM(H736:H741)</f>
        <v>856.4658952631579</v>
      </c>
      <c r="I735" s="8">
        <f>SUM(I736:I741)</f>
        <v>0</v>
      </c>
      <c r="J735" s="117" t="s">
        <v>939</v>
      </c>
      <c r="K735" s="117" t="s">
        <v>547</v>
      </c>
    </row>
    <row r="736" spans="1:16" ht="12.75" customHeight="1" outlineLevel="1" x14ac:dyDescent="0.25">
      <c r="A736" s="117"/>
      <c r="B736" s="118"/>
      <c r="C736" s="117"/>
      <c r="D736" s="68">
        <v>2021</v>
      </c>
      <c r="E736" s="8">
        <f t="shared" si="45"/>
        <v>0</v>
      </c>
      <c r="F736" s="8">
        <v>0</v>
      </c>
      <c r="G736" s="8">
        <f>SUM(G737:G742)</f>
        <v>0</v>
      </c>
      <c r="H736" s="8">
        <v>0</v>
      </c>
      <c r="I736" s="8">
        <f>SUM(I737:I742)</f>
        <v>0</v>
      </c>
      <c r="J736" s="117"/>
      <c r="K736" s="117"/>
    </row>
    <row r="737" spans="1:16" ht="12.75" customHeight="1" outlineLevel="1" x14ac:dyDescent="0.25">
      <c r="A737" s="117"/>
      <c r="B737" s="118"/>
      <c r="C737" s="117"/>
      <c r="D737" s="68">
        <v>2022</v>
      </c>
      <c r="E737" s="8">
        <f t="shared" si="45"/>
        <v>17129.317905263157</v>
      </c>
      <c r="F737" s="8">
        <v>16272.852010000001</v>
      </c>
      <c r="G737" s="8">
        <f>SUM(G738:G743)</f>
        <v>0</v>
      </c>
      <c r="H737" s="8">
        <f>F737/95*5</f>
        <v>856.4658952631579</v>
      </c>
      <c r="I737" s="8">
        <f>SUM(I738:I743)</f>
        <v>0</v>
      </c>
      <c r="J737" s="117"/>
      <c r="K737" s="117"/>
    </row>
    <row r="738" spans="1:16" ht="12.75" customHeight="1" outlineLevel="1" x14ac:dyDescent="0.25">
      <c r="A738" s="117"/>
      <c r="B738" s="118"/>
      <c r="C738" s="117"/>
      <c r="D738" s="68">
        <v>2023</v>
      </c>
      <c r="E738" s="8">
        <f t="shared" si="45"/>
        <v>0</v>
      </c>
      <c r="F738" s="8">
        <v>0</v>
      </c>
      <c r="G738" s="8">
        <f>SUM(G739:G744)</f>
        <v>0</v>
      </c>
      <c r="H738" s="8">
        <v>0</v>
      </c>
      <c r="I738" s="8">
        <f>SUM(I739:I744)</f>
        <v>0</v>
      </c>
      <c r="J738" s="117"/>
      <c r="K738" s="117"/>
    </row>
    <row r="739" spans="1:16" ht="12.75" customHeight="1" outlineLevel="1" x14ac:dyDescent="0.25">
      <c r="A739" s="117"/>
      <c r="B739" s="118"/>
      <c r="C739" s="117"/>
      <c r="D739" s="68">
        <v>2024</v>
      </c>
      <c r="E739" s="8">
        <f t="shared" si="45"/>
        <v>0</v>
      </c>
      <c r="F739" s="8">
        <v>0</v>
      </c>
      <c r="G739" s="8">
        <f>SUM(G741:G745)</f>
        <v>0</v>
      </c>
      <c r="H739" s="8">
        <v>0</v>
      </c>
      <c r="I739" s="8">
        <f>SUM(I741:I745)</f>
        <v>0</v>
      </c>
      <c r="J739" s="117"/>
      <c r="K739" s="117"/>
    </row>
    <row r="740" spans="1:16" s="80" customFormat="1" ht="12.75" customHeight="1" outlineLevel="1" x14ac:dyDescent="0.25">
      <c r="A740" s="117"/>
      <c r="B740" s="118"/>
      <c r="C740" s="117"/>
      <c r="D740" s="79">
        <v>2025</v>
      </c>
      <c r="E740" s="8">
        <v>0</v>
      </c>
      <c r="F740" s="8">
        <v>0</v>
      </c>
      <c r="G740" s="8">
        <v>0</v>
      </c>
      <c r="H740" s="8">
        <v>0</v>
      </c>
      <c r="I740" s="8">
        <v>0</v>
      </c>
      <c r="J740" s="117"/>
      <c r="K740" s="117"/>
      <c r="M740" s="55"/>
      <c r="N740" s="55"/>
      <c r="O740" s="55"/>
      <c r="P740" s="55"/>
    </row>
    <row r="741" spans="1:16" ht="12.75" customHeight="1" outlineLevel="1" x14ac:dyDescent="0.25">
      <c r="A741" s="117"/>
      <c r="B741" s="118"/>
      <c r="C741" s="117"/>
      <c r="D741" s="68">
        <v>2026</v>
      </c>
      <c r="E741" s="8">
        <f t="shared" si="45"/>
        <v>0</v>
      </c>
      <c r="F741" s="8">
        <v>0</v>
      </c>
      <c r="G741" s="8">
        <f t="shared" si="47"/>
        <v>0</v>
      </c>
      <c r="H741" s="8">
        <v>0</v>
      </c>
      <c r="I741" s="8">
        <f t="shared" si="48"/>
        <v>0</v>
      </c>
      <c r="J741" s="117"/>
      <c r="K741" s="117"/>
    </row>
    <row r="742" spans="1:16" ht="12.75" customHeight="1" outlineLevel="1" x14ac:dyDescent="0.25">
      <c r="A742" s="117" t="s">
        <v>940</v>
      </c>
      <c r="B742" s="118" t="s">
        <v>1186</v>
      </c>
      <c r="C742" s="117">
        <v>2022</v>
      </c>
      <c r="D742" s="68" t="s">
        <v>8</v>
      </c>
      <c r="E742" s="8">
        <f t="shared" si="45"/>
        <v>5286.9536799999996</v>
      </c>
      <c r="F742" s="8">
        <f>SUM(F743:F748)</f>
        <v>5022.6066799999999</v>
      </c>
      <c r="G742" s="8">
        <f>SUM(G743:G748)</f>
        <v>0</v>
      </c>
      <c r="H742" s="8">
        <f>SUM(H743:H748)</f>
        <v>264.34699999999998</v>
      </c>
      <c r="I742" s="8">
        <f>SUM(I743:I748)</f>
        <v>0</v>
      </c>
      <c r="J742" s="117" t="s">
        <v>942</v>
      </c>
      <c r="K742" s="117" t="s">
        <v>547</v>
      </c>
    </row>
    <row r="743" spans="1:16" ht="12.75" customHeight="1" outlineLevel="1" x14ac:dyDescent="0.25">
      <c r="A743" s="117"/>
      <c r="B743" s="118"/>
      <c r="C743" s="117"/>
      <c r="D743" s="68">
        <v>2021</v>
      </c>
      <c r="E743" s="8">
        <f t="shared" si="45"/>
        <v>0</v>
      </c>
      <c r="F743" s="8">
        <v>0</v>
      </c>
      <c r="G743" s="8">
        <f>SUM(G744:G749)</f>
        <v>0</v>
      </c>
      <c r="H743" s="8">
        <v>0</v>
      </c>
      <c r="I743" s="8">
        <f>SUM(I744:I749)</f>
        <v>0</v>
      </c>
      <c r="J743" s="117"/>
      <c r="K743" s="117"/>
    </row>
    <row r="744" spans="1:16" ht="12.75" customHeight="1" outlineLevel="1" x14ac:dyDescent="0.25">
      <c r="A744" s="117"/>
      <c r="B744" s="118"/>
      <c r="C744" s="117"/>
      <c r="D744" s="68">
        <v>2022</v>
      </c>
      <c r="E744" s="8">
        <f t="shared" si="45"/>
        <v>5286.9536799999996</v>
      </c>
      <c r="F744" s="8">
        <v>5022.6066799999999</v>
      </c>
      <c r="G744" s="8">
        <f>SUM(G745:G750)</f>
        <v>0</v>
      </c>
      <c r="H744" s="8">
        <v>264.34699999999998</v>
      </c>
      <c r="I744" s="8">
        <f>SUM(I745:I750)</f>
        <v>0</v>
      </c>
      <c r="J744" s="117"/>
      <c r="K744" s="117"/>
    </row>
    <row r="745" spans="1:16" ht="12.75" customHeight="1" outlineLevel="1" x14ac:dyDescent="0.25">
      <c r="A745" s="117"/>
      <c r="B745" s="118"/>
      <c r="C745" s="117"/>
      <c r="D745" s="68">
        <v>2023</v>
      </c>
      <c r="E745" s="8">
        <f t="shared" si="45"/>
        <v>0</v>
      </c>
      <c r="F745" s="8">
        <v>0</v>
      </c>
      <c r="G745" s="8">
        <f>SUM(G746:G751)</f>
        <v>0</v>
      </c>
      <c r="H745" s="8">
        <v>0</v>
      </c>
      <c r="I745" s="8">
        <f>SUM(I746:I751)</f>
        <v>0</v>
      </c>
      <c r="J745" s="117"/>
      <c r="K745" s="117"/>
    </row>
    <row r="746" spans="1:16" ht="12.75" customHeight="1" outlineLevel="1" x14ac:dyDescent="0.25">
      <c r="A746" s="117"/>
      <c r="B746" s="118"/>
      <c r="C746" s="117"/>
      <c r="D746" s="68">
        <v>2024</v>
      </c>
      <c r="E746" s="8">
        <f t="shared" si="45"/>
        <v>0</v>
      </c>
      <c r="F746" s="8">
        <v>0</v>
      </c>
      <c r="G746" s="8">
        <f>SUM(G748:G752)</f>
        <v>0</v>
      </c>
      <c r="H746" s="8">
        <v>0</v>
      </c>
      <c r="I746" s="8">
        <f>SUM(I748:I752)</f>
        <v>0</v>
      </c>
      <c r="J746" s="117"/>
      <c r="K746" s="117"/>
    </row>
    <row r="747" spans="1:16" s="80" customFormat="1" ht="12.75" customHeight="1" outlineLevel="1" x14ac:dyDescent="0.25">
      <c r="A747" s="117"/>
      <c r="B747" s="118"/>
      <c r="C747" s="117"/>
      <c r="D747" s="79">
        <v>2025</v>
      </c>
      <c r="E747" s="8">
        <v>0</v>
      </c>
      <c r="F747" s="8">
        <v>0</v>
      </c>
      <c r="G747" s="8">
        <v>0</v>
      </c>
      <c r="H747" s="8">
        <v>0</v>
      </c>
      <c r="I747" s="8">
        <v>0</v>
      </c>
      <c r="J747" s="117"/>
      <c r="K747" s="117"/>
      <c r="M747" s="55"/>
      <c r="N747" s="55"/>
      <c r="O747" s="55"/>
      <c r="P747" s="55"/>
    </row>
    <row r="748" spans="1:16" ht="12.75" customHeight="1" outlineLevel="1" x14ac:dyDescent="0.25">
      <c r="A748" s="117"/>
      <c r="B748" s="118"/>
      <c r="C748" s="117"/>
      <c r="D748" s="68">
        <v>2026</v>
      </c>
      <c r="E748" s="8">
        <f t="shared" ref="E748:F835" si="49">SUM(F748:I748)</f>
        <v>0</v>
      </c>
      <c r="F748" s="8">
        <v>0</v>
      </c>
      <c r="G748" s="8">
        <f t="shared" si="47"/>
        <v>0</v>
      </c>
      <c r="H748" s="8">
        <v>0</v>
      </c>
      <c r="I748" s="8">
        <f t="shared" si="48"/>
        <v>0</v>
      </c>
      <c r="J748" s="117"/>
      <c r="K748" s="117"/>
    </row>
    <row r="749" spans="1:16" ht="12.75" customHeight="1" outlineLevel="1" x14ac:dyDescent="0.25">
      <c r="A749" s="117" t="s">
        <v>943</v>
      </c>
      <c r="B749" s="118" t="s">
        <v>944</v>
      </c>
      <c r="C749" s="117">
        <v>2022</v>
      </c>
      <c r="D749" s="68" t="s">
        <v>8</v>
      </c>
      <c r="E749" s="8">
        <f t="shared" si="49"/>
        <v>2973.9789052631577</v>
      </c>
      <c r="F749" s="8">
        <f>SUM(F750:F755)</f>
        <v>2825.2799599999998</v>
      </c>
      <c r="G749" s="8">
        <f>SUM(G750:G755)</f>
        <v>0</v>
      </c>
      <c r="H749" s="8">
        <f>SUM(H750:H755)</f>
        <v>148.69894526315787</v>
      </c>
      <c r="I749" s="8">
        <f>SUM(I750:I755)</f>
        <v>0</v>
      </c>
      <c r="J749" s="117" t="s">
        <v>945</v>
      </c>
      <c r="K749" s="117" t="s">
        <v>547</v>
      </c>
    </row>
    <row r="750" spans="1:16" ht="12.75" customHeight="1" outlineLevel="1" x14ac:dyDescent="0.25">
      <c r="A750" s="117"/>
      <c r="B750" s="118"/>
      <c r="C750" s="117"/>
      <c r="D750" s="68">
        <v>2021</v>
      </c>
      <c r="E750" s="8">
        <f t="shared" si="49"/>
        <v>0</v>
      </c>
      <c r="F750" s="8">
        <v>0</v>
      </c>
      <c r="G750" s="8">
        <f>SUM(G751:G756)</f>
        <v>0</v>
      </c>
      <c r="H750" s="8">
        <v>0</v>
      </c>
      <c r="I750" s="8">
        <v>0</v>
      </c>
      <c r="J750" s="117"/>
      <c r="K750" s="117"/>
    </row>
    <row r="751" spans="1:16" ht="12.75" customHeight="1" outlineLevel="1" x14ac:dyDescent="0.25">
      <c r="A751" s="117"/>
      <c r="B751" s="118"/>
      <c r="C751" s="117"/>
      <c r="D751" s="68">
        <v>2022</v>
      </c>
      <c r="E751" s="8">
        <f t="shared" si="49"/>
        <v>2973.9789052631577</v>
      </c>
      <c r="F751" s="8">
        <v>2825.2799599999998</v>
      </c>
      <c r="G751" s="8">
        <f>SUM(G752:G757)</f>
        <v>0</v>
      </c>
      <c r="H751" s="8">
        <f>F751/95*5</f>
        <v>148.69894526315787</v>
      </c>
      <c r="I751" s="8">
        <v>0</v>
      </c>
      <c r="J751" s="117"/>
      <c r="K751" s="117"/>
    </row>
    <row r="752" spans="1:16" ht="12.75" customHeight="1" outlineLevel="1" x14ac:dyDescent="0.25">
      <c r="A752" s="117"/>
      <c r="B752" s="118"/>
      <c r="C752" s="117"/>
      <c r="D752" s="68">
        <v>2023</v>
      </c>
      <c r="E752" s="8">
        <f t="shared" si="49"/>
        <v>0</v>
      </c>
      <c r="F752" s="8">
        <v>0</v>
      </c>
      <c r="G752" s="8">
        <v>0</v>
      </c>
      <c r="H752" s="8">
        <v>0</v>
      </c>
      <c r="I752" s="8">
        <v>0</v>
      </c>
      <c r="J752" s="117"/>
      <c r="K752" s="117"/>
    </row>
    <row r="753" spans="1:16" ht="12.75" customHeight="1" outlineLevel="1" x14ac:dyDescent="0.25">
      <c r="A753" s="117"/>
      <c r="B753" s="118"/>
      <c r="C753" s="117"/>
      <c r="D753" s="68">
        <v>2024</v>
      </c>
      <c r="E753" s="8">
        <f t="shared" si="49"/>
        <v>0</v>
      </c>
      <c r="F753" s="8">
        <v>0</v>
      </c>
      <c r="G753" s="8">
        <v>0</v>
      </c>
      <c r="H753" s="8">
        <v>0</v>
      </c>
      <c r="I753" s="8">
        <v>0</v>
      </c>
      <c r="J753" s="117"/>
      <c r="K753" s="117"/>
    </row>
    <row r="754" spans="1:16" s="80" customFormat="1" ht="12.75" customHeight="1" outlineLevel="1" x14ac:dyDescent="0.25">
      <c r="A754" s="117"/>
      <c r="B754" s="118"/>
      <c r="C754" s="117"/>
      <c r="D754" s="79">
        <v>2025</v>
      </c>
      <c r="E754" s="8">
        <v>0</v>
      </c>
      <c r="F754" s="8">
        <v>0</v>
      </c>
      <c r="G754" s="8">
        <v>0</v>
      </c>
      <c r="H754" s="8">
        <v>0</v>
      </c>
      <c r="I754" s="8">
        <v>0</v>
      </c>
      <c r="J754" s="117"/>
      <c r="K754" s="117"/>
      <c r="M754" s="55"/>
      <c r="N754" s="55"/>
      <c r="O754" s="55"/>
      <c r="P754" s="55"/>
    </row>
    <row r="755" spans="1:16" ht="12.75" customHeight="1" outlineLevel="1" x14ac:dyDescent="0.25">
      <c r="A755" s="117"/>
      <c r="B755" s="118"/>
      <c r="C755" s="117"/>
      <c r="D755" s="68">
        <v>2026</v>
      </c>
      <c r="E755" s="8">
        <f t="shared" si="49"/>
        <v>0</v>
      </c>
      <c r="F755" s="8">
        <v>0</v>
      </c>
      <c r="G755" s="8">
        <v>0</v>
      </c>
      <c r="H755" s="8">
        <v>0</v>
      </c>
      <c r="I755" s="8">
        <v>0</v>
      </c>
      <c r="J755" s="117"/>
      <c r="K755" s="117"/>
    </row>
    <row r="756" spans="1:16" ht="12.75" customHeight="1" outlineLevel="1" x14ac:dyDescent="0.25">
      <c r="A756" s="117" t="s">
        <v>946</v>
      </c>
      <c r="B756" s="118" t="s">
        <v>947</v>
      </c>
      <c r="C756" s="117" t="s">
        <v>1169</v>
      </c>
      <c r="D756" s="68" t="s">
        <v>8</v>
      </c>
      <c r="E756" s="8">
        <f t="shared" si="49"/>
        <v>26151.575000000001</v>
      </c>
      <c r="F756" s="8">
        <f>SUM(F757:F762)</f>
        <v>24843.99625</v>
      </c>
      <c r="G756" s="8">
        <f>SUM(G757:G762)</f>
        <v>0</v>
      </c>
      <c r="H756" s="8">
        <f>SUM(H757:H762)</f>
        <v>1307.5787500000001</v>
      </c>
      <c r="I756" s="8">
        <f>SUM(I757:I762)</f>
        <v>0</v>
      </c>
      <c r="J756" s="117" t="s">
        <v>1187</v>
      </c>
      <c r="K756" s="117" t="s">
        <v>547</v>
      </c>
    </row>
    <row r="757" spans="1:16" ht="12.75" customHeight="1" outlineLevel="1" x14ac:dyDescent="0.25">
      <c r="A757" s="117"/>
      <c r="B757" s="118"/>
      <c r="C757" s="117"/>
      <c r="D757" s="68">
        <v>2021</v>
      </c>
      <c r="E757" s="8">
        <f t="shared" si="49"/>
        <v>0</v>
      </c>
      <c r="F757" s="8">
        <v>0</v>
      </c>
      <c r="G757" s="8">
        <v>0</v>
      </c>
      <c r="H757" s="8">
        <v>0</v>
      </c>
      <c r="I757" s="8">
        <f>SUM(I758:I762)</f>
        <v>0</v>
      </c>
      <c r="J757" s="117"/>
      <c r="K757" s="117"/>
    </row>
    <row r="758" spans="1:16" ht="12.75" customHeight="1" outlineLevel="1" x14ac:dyDescent="0.25">
      <c r="A758" s="117"/>
      <c r="B758" s="118"/>
      <c r="C758" s="117"/>
      <c r="D758" s="68">
        <v>2022</v>
      </c>
      <c r="E758" s="8">
        <f t="shared" si="49"/>
        <v>16151.575000000001</v>
      </c>
      <c r="F758" s="8">
        <v>15343.99625</v>
      </c>
      <c r="G758" s="8">
        <v>0</v>
      </c>
      <c r="H758" s="8">
        <f>F758*5/95</f>
        <v>807.57875000000001</v>
      </c>
      <c r="I758" s="8">
        <f>SUM(I759:I762)</f>
        <v>0</v>
      </c>
      <c r="J758" s="117"/>
      <c r="K758" s="117"/>
    </row>
    <row r="759" spans="1:16" ht="12.75" customHeight="1" outlineLevel="1" x14ac:dyDescent="0.25">
      <c r="A759" s="117"/>
      <c r="B759" s="118"/>
      <c r="C759" s="117"/>
      <c r="D759" s="68">
        <v>2023</v>
      </c>
      <c r="E759" s="8">
        <f t="shared" si="49"/>
        <v>10000</v>
      </c>
      <c r="F759" s="8">
        <v>9500</v>
      </c>
      <c r="G759" s="8">
        <v>0</v>
      </c>
      <c r="H759" s="8">
        <v>500</v>
      </c>
      <c r="I759" s="8">
        <f>SUM(I760:I762)</f>
        <v>0</v>
      </c>
      <c r="J759" s="117"/>
      <c r="K759" s="117"/>
    </row>
    <row r="760" spans="1:16" ht="12.75" customHeight="1" outlineLevel="1" x14ac:dyDescent="0.25">
      <c r="A760" s="117"/>
      <c r="B760" s="118"/>
      <c r="C760" s="117"/>
      <c r="D760" s="68">
        <v>2024</v>
      </c>
      <c r="E760" s="8">
        <f t="shared" si="49"/>
        <v>0</v>
      </c>
      <c r="F760" s="8">
        <v>0</v>
      </c>
      <c r="G760" s="8">
        <v>0</v>
      </c>
      <c r="H760" s="8">
        <v>0</v>
      </c>
      <c r="I760" s="8">
        <v>0</v>
      </c>
      <c r="J760" s="117"/>
      <c r="K760" s="117"/>
    </row>
    <row r="761" spans="1:16" s="80" customFormat="1" ht="12.75" customHeight="1" outlineLevel="1" x14ac:dyDescent="0.25">
      <c r="A761" s="117"/>
      <c r="B761" s="118"/>
      <c r="C761" s="117"/>
      <c r="D761" s="79">
        <v>2025</v>
      </c>
      <c r="E761" s="8">
        <v>0</v>
      </c>
      <c r="F761" s="8">
        <v>0</v>
      </c>
      <c r="G761" s="8">
        <v>0</v>
      </c>
      <c r="H761" s="8">
        <v>0</v>
      </c>
      <c r="I761" s="8">
        <v>0</v>
      </c>
      <c r="J761" s="117"/>
      <c r="K761" s="117"/>
      <c r="M761" s="55"/>
      <c r="N761" s="55"/>
      <c r="O761" s="55"/>
      <c r="P761" s="55"/>
    </row>
    <row r="762" spans="1:16" ht="12.75" customHeight="1" outlineLevel="1" x14ac:dyDescent="0.25">
      <c r="A762" s="117"/>
      <c r="B762" s="118"/>
      <c r="C762" s="117"/>
      <c r="D762" s="68">
        <v>2026</v>
      </c>
      <c r="E762" s="8">
        <f t="shared" si="49"/>
        <v>0</v>
      </c>
      <c r="F762" s="8">
        <v>0</v>
      </c>
      <c r="G762" s="8">
        <v>0</v>
      </c>
      <c r="H762" s="8">
        <v>0</v>
      </c>
      <c r="I762" s="8">
        <v>0</v>
      </c>
      <c r="J762" s="117"/>
      <c r="K762" s="117"/>
    </row>
    <row r="763" spans="1:16" ht="12.75" customHeight="1" outlineLevel="1" x14ac:dyDescent="0.25">
      <c r="A763" s="117" t="s">
        <v>1188</v>
      </c>
      <c r="B763" s="118" t="s">
        <v>1189</v>
      </c>
      <c r="C763" s="117" t="s">
        <v>1169</v>
      </c>
      <c r="D763" s="68" t="s">
        <v>8</v>
      </c>
      <c r="E763" s="8">
        <f t="shared" si="49"/>
        <v>11451.6183</v>
      </c>
      <c r="F763" s="8">
        <f>SUM(F764:F769)</f>
        <v>11451.6183</v>
      </c>
      <c r="G763" s="8">
        <f>SUM(G764:G769)</f>
        <v>0</v>
      </c>
      <c r="H763" s="8">
        <f>SUM(H764:H769)</f>
        <v>0</v>
      </c>
      <c r="I763" s="8">
        <f>SUM(I764:I769)</f>
        <v>0</v>
      </c>
      <c r="J763" s="119" t="s">
        <v>1756</v>
      </c>
      <c r="K763" s="119" t="s">
        <v>1190</v>
      </c>
    </row>
    <row r="764" spans="1:16" ht="12.75" customHeight="1" outlineLevel="1" x14ac:dyDescent="0.25">
      <c r="A764" s="117"/>
      <c r="B764" s="118"/>
      <c r="C764" s="117"/>
      <c r="D764" s="68">
        <v>2021</v>
      </c>
      <c r="E764" s="8">
        <f t="shared" si="49"/>
        <v>0</v>
      </c>
      <c r="F764" s="8">
        <v>0</v>
      </c>
      <c r="G764" s="8">
        <v>0</v>
      </c>
      <c r="H764" s="8">
        <v>0</v>
      </c>
      <c r="I764" s="8">
        <v>0</v>
      </c>
      <c r="J764" s="119"/>
      <c r="K764" s="119"/>
    </row>
    <row r="765" spans="1:16" ht="12.75" customHeight="1" outlineLevel="1" x14ac:dyDescent="0.25">
      <c r="A765" s="117"/>
      <c r="B765" s="118"/>
      <c r="C765" s="117"/>
      <c r="D765" s="68">
        <v>2022</v>
      </c>
      <c r="E765" s="8">
        <f t="shared" si="49"/>
        <v>11287.552299999999</v>
      </c>
      <c r="F765" s="8">
        <v>11287.552299999999</v>
      </c>
      <c r="G765" s="8">
        <v>0</v>
      </c>
      <c r="H765" s="8">
        <v>0</v>
      </c>
      <c r="I765" s="8">
        <v>0</v>
      </c>
      <c r="J765" s="119"/>
      <c r="K765" s="119"/>
    </row>
    <row r="766" spans="1:16" ht="12.75" customHeight="1" outlineLevel="1" x14ac:dyDescent="0.25">
      <c r="A766" s="117"/>
      <c r="B766" s="118"/>
      <c r="C766" s="117"/>
      <c r="D766" s="68">
        <v>2023</v>
      </c>
      <c r="E766" s="8">
        <f t="shared" si="49"/>
        <v>164.066</v>
      </c>
      <c r="F766" s="8">
        <v>164.066</v>
      </c>
      <c r="G766" s="8">
        <v>0</v>
      </c>
      <c r="H766" s="8">
        <v>0</v>
      </c>
      <c r="I766" s="8">
        <v>0</v>
      </c>
      <c r="J766" s="119"/>
      <c r="K766" s="119"/>
    </row>
    <row r="767" spans="1:16" ht="12.75" customHeight="1" outlineLevel="1" x14ac:dyDescent="0.25">
      <c r="A767" s="117"/>
      <c r="B767" s="118"/>
      <c r="C767" s="117"/>
      <c r="D767" s="68">
        <v>2024</v>
      </c>
      <c r="E767" s="8">
        <f t="shared" si="49"/>
        <v>0</v>
      </c>
      <c r="F767" s="8">
        <v>0</v>
      </c>
      <c r="G767" s="8">
        <v>0</v>
      </c>
      <c r="H767" s="8">
        <v>0</v>
      </c>
      <c r="I767" s="8">
        <v>0</v>
      </c>
      <c r="J767" s="119"/>
      <c r="K767" s="119"/>
    </row>
    <row r="768" spans="1:16" s="80" customFormat="1" ht="12.75" customHeight="1" outlineLevel="1" x14ac:dyDescent="0.25">
      <c r="A768" s="117"/>
      <c r="B768" s="118"/>
      <c r="C768" s="117"/>
      <c r="D768" s="79">
        <v>2025</v>
      </c>
      <c r="E768" s="8">
        <v>0</v>
      </c>
      <c r="F768" s="8">
        <v>0</v>
      </c>
      <c r="G768" s="8">
        <v>0</v>
      </c>
      <c r="H768" s="8">
        <v>0</v>
      </c>
      <c r="I768" s="8">
        <v>0</v>
      </c>
      <c r="J768" s="119"/>
      <c r="K768" s="119"/>
      <c r="M768" s="55"/>
      <c r="N768" s="55"/>
      <c r="O768" s="55"/>
      <c r="P768" s="55"/>
    </row>
    <row r="769" spans="1:16" ht="12.75" customHeight="1" outlineLevel="1" x14ac:dyDescent="0.25">
      <c r="A769" s="117"/>
      <c r="B769" s="118"/>
      <c r="C769" s="117"/>
      <c r="D769" s="68">
        <v>2026</v>
      </c>
      <c r="E769" s="8">
        <f t="shared" si="49"/>
        <v>0</v>
      </c>
      <c r="F769" s="8">
        <v>0</v>
      </c>
      <c r="G769" s="8">
        <v>0</v>
      </c>
      <c r="H769" s="8">
        <v>0</v>
      </c>
      <c r="I769" s="8">
        <v>0</v>
      </c>
      <c r="J769" s="119"/>
      <c r="K769" s="119"/>
    </row>
    <row r="770" spans="1:16" ht="12.75" customHeight="1" outlineLevel="1" x14ac:dyDescent="0.25">
      <c r="A770" s="117" t="s">
        <v>1191</v>
      </c>
      <c r="B770" s="118" t="s">
        <v>1192</v>
      </c>
      <c r="C770" s="117">
        <v>2022</v>
      </c>
      <c r="D770" s="68" t="s">
        <v>8</v>
      </c>
      <c r="E770" s="8">
        <f t="shared" si="49"/>
        <v>2900</v>
      </c>
      <c r="F770" s="8">
        <f>SUM(F771:F776)</f>
        <v>2900</v>
      </c>
      <c r="G770" s="8">
        <f>SUM(G771:G776)</f>
        <v>0</v>
      </c>
      <c r="H770" s="8">
        <f>SUM(H771:H776)</f>
        <v>0</v>
      </c>
      <c r="I770" s="8">
        <f>SUM(I771:I776)</f>
        <v>0</v>
      </c>
      <c r="J770" s="117" t="s">
        <v>1193</v>
      </c>
      <c r="K770" s="117" t="s">
        <v>597</v>
      </c>
    </row>
    <row r="771" spans="1:16" ht="12.75" customHeight="1" outlineLevel="1" x14ac:dyDescent="0.25">
      <c r="A771" s="117"/>
      <c r="B771" s="118"/>
      <c r="C771" s="117"/>
      <c r="D771" s="68">
        <v>2021</v>
      </c>
      <c r="E771" s="8">
        <f t="shared" si="49"/>
        <v>0</v>
      </c>
      <c r="F771" s="8">
        <v>0</v>
      </c>
      <c r="G771" s="8">
        <v>0</v>
      </c>
      <c r="H771" s="8">
        <v>0</v>
      </c>
      <c r="I771" s="8">
        <v>0</v>
      </c>
      <c r="J771" s="117"/>
      <c r="K771" s="117"/>
    </row>
    <row r="772" spans="1:16" ht="12.75" customHeight="1" outlineLevel="1" x14ac:dyDescent="0.25">
      <c r="A772" s="117"/>
      <c r="B772" s="118"/>
      <c r="C772" s="117"/>
      <c r="D772" s="68">
        <v>2022</v>
      </c>
      <c r="E772" s="8">
        <f t="shared" si="49"/>
        <v>2900</v>
      </c>
      <c r="F772" s="8">
        <v>2900</v>
      </c>
      <c r="G772" s="8">
        <v>0</v>
      </c>
      <c r="H772" s="8">
        <v>0</v>
      </c>
      <c r="I772" s="8">
        <v>0</v>
      </c>
      <c r="J772" s="117"/>
      <c r="K772" s="117"/>
    </row>
    <row r="773" spans="1:16" ht="12.75" customHeight="1" outlineLevel="1" x14ac:dyDescent="0.25">
      <c r="A773" s="117"/>
      <c r="B773" s="118"/>
      <c r="C773" s="117"/>
      <c r="D773" s="68">
        <v>2023</v>
      </c>
      <c r="E773" s="8">
        <f t="shared" si="49"/>
        <v>0</v>
      </c>
      <c r="F773" s="8">
        <v>0</v>
      </c>
      <c r="G773" s="8">
        <v>0</v>
      </c>
      <c r="H773" s="8">
        <v>0</v>
      </c>
      <c r="I773" s="8">
        <v>0</v>
      </c>
      <c r="J773" s="117"/>
      <c r="K773" s="117"/>
    </row>
    <row r="774" spans="1:16" ht="12.75" customHeight="1" outlineLevel="1" x14ac:dyDescent="0.25">
      <c r="A774" s="117"/>
      <c r="B774" s="118"/>
      <c r="C774" s="117"/>
      <c r="D774" s="68">
        <v>2024</v>
      </c>
      <c r="E774" s="8">
        <f t="shared" si="49"/>
        <v>0</v>
      </c>
      <c r="F774" s="8">
        <v>0</v>
      </c>
      <c r="G774" s="8">
        <v>0</v>
      </c>
      <c r="H774" s="8">
        <v>0</v>
      </c>
      <c r="I774" s="8">
        <v>0</v>
      </c>
      <c r="J774" s="117"/>
      <c r="K774" s="117"/>
    </row>
    <row r="775" spans="1:16" s="80" customFormat="1" ht="12.75" customHeight="1" outlineLevel="1" x14ac:dyDescent="0.25">
      <c r="A775" s="117"/>
      <c r="B775" s="118"/>
      <c r="C775" s="117"/>
      <c r="D775" s="79">
        <v>2025</v>
      </c>
      <c r="E775" s="8">
        <v>0</v>
      </c>
      <c r="F775" s="8">
        <v>0</v>
      </c>
      <c r="G775" s="8">
        <v>0</v>
      </c>
      <c r="H775" s="8">
        <v>0</v>
      </c>
      <c r="I775" s="8">
        <v>0</v>
      </c>
      <c r="J775" s="117"/>
      <c r="K775" s="117"/>
      <c r="M775" s="55"/>
      <c r="N775" s="55"/>
      <c r="O775" s="55"/>
      <c r="P775" s="55"/>
    </row>
    <row r="776" spans="1:16" ht="12.75" customHeight="1" outlineLevel="1" x14ac:dyDescent="0.25">
      <c r="A776" s="117"/>
      <c r="B776" s="118"/>
      <c r="C776" s="117"/>
      <c r="D776" s="68">
        <v>2026</v>
      </c>
      <c r="E776" s="8">
        <f t="shared" si="49"/>
        <v>0</v>
      </c>
      <c r="F776" s="8">
        <v>0</v>
      </c>
      <c r="G776" s="8">
        <v>0</v>
      </c>
      <c r="H776" s="8">
        <v>0</v>
      </c>
      <c r="I776" s="8">
        <v>0</v>
      </c>
      <c r="J776" s="117"/>
      <c r="K776" s="117"/>
    </row>
    <row r="777" spans="1:16" ht="12.75" customHeight="1" outlineLevel="1" x14ac:dyDescent="0.25">
      <c r="A777" s="117" t="s">
        <v>1194</v>
      </c>
      <c r="B777" s="118" t="s">
        <v>1195</v>
      </c>
      <c r="C777" s="117">
        <v>2022</v>
      </c>
      <c r="D777" s="68" t="s">
        <v>8</v>
      </c>
      <c r="E777" s="8">
        <f t="shared" si="49"/>
        <v>0</v>
      </c>
      <c r="F777" s="8">
        <f>SUM(F778:F783)</f>
        <v>0</v>
      </c>
      <c r="G777" s="8">
        <f>SUM(G778:G783)</f>
        <v>0</v>
      </c>
      <c r="H777" s="8">
        <f>SUM(H778:H783)</f>
        <v>0</v>
      </c>
      <c r="I777" s="8">
        <f>SUM(I778:I783)</f>
        <v>0</v>
      </c>
      <c r="J777" s="117" t="s">
        <v>1196</v>
      </c>
      <c r="K777" s="117" t="s">
        <v>597</v>
      </c>
    </row>
    <row r="778" spans="1:16" ht="12.75" customHeight="1" outlineLevel="1" x14ac:dyDescent="0.25">
      <c r="A778" s="117"/>
      <c r="B778" s="118"/>
      <c r="C778" s="117"/>
      <c r="D778" s="68">
        <v>2021</v>
      </c>
      <c r="E778" s="8">
        <f t="shared" si="49"/>
        <v>0</v>
      </c>
      <c r="F778" s="8">
        <v>0</v>
      </c>
      <c r="G778" s="8">
        <v>0</v>
      </c>
      <c r="H778" s="8">
        <v>0</v>
      </c>
      <c r="I778" s="8">
        <v>0</v>
      </c>
      <c r="J778" s="117"/>
      <c r="K778" s="117"/>
    </row>
    <row r="779" spans="1:16" ht="12.75" customHeight="1" outlineLevel="1" x14ac:dyDescent="0.25">
      <c r="A779" s="117"/>
      <c r="B779" s="118"/>
      <c r="C779" s="117"/>
      <c r="D779" s="68">
        <v>2022</v>
      </c>
      <c r="E779" s="8">
        <f t="shared" si="49"/>
        <v>0</v>
      </c>
      <c r="F779" s="8">
        <v>0</v>
      </c>
      <c r="G779" s="8">
        <v>0</v>
      </c>
      <c r="H779" s="8">
        <v>0</v>
      </c>
      <c r="I779" s="8">
        <v>0</v>
      </c>
      <c r="J779" s="117"/>
      <c r="K779" s="117"/>
    </row>
    <row r="780" spans="1:16" ht="12.75" customHeight="1" outlineLevel="1" x14ac:dyDescent="0.25">
      <c r="A780" s="117"/>
      <c r="B780" s="118"/>
      <c r="C780" s="117"/>
      <c r="D780" s="68">
        <v>2023</v>
      </c>
      <c r="E780" s="8">
        <f t="shared" si="49"/>
        <v>0</v>
      </c>
      <c r="F780" s="8">
        <v>0</v>
      </c>
      <c r="G780" s="8">
        <v>0</v>
      </c>
      <c r="H780" s="8">
        <v>0</v>
      </c>
      <c r="I780" s="8">
        <v>0</v>
      </c>
      <c r="J780" s="117"/>
      <c r="K780" s="117"/>
    </row>
    <row r="781" spans="1:16" ht="12.75" customHeight="1" outlineLevel="1" x14ac:dyDescent="0.25">
      <c r="A781" s="117"/>
      <c r="B781" s="118"/>
      <c r="C781" s="117"/>
      <c r="D781" s="68">
        <v>2024</v>
      </c>
      <c r="E781" s="8">
        <f t="shared" si="49"/>
        <v>0</v>
      </c>
      <c r="F781" s="8">
        <v>0</v>
      </c>
      <c r="G781" s="8">
        <v>0</v>
      </c>
      <c r="H781" s="8">
        <v>0</v>
      </c>
      <c r="I781" s="8">
        <v>0</v>
      </c>
      <c r="J781" s="117"/>
      <c r="K781" s="117"/>
    </row>
    <row r="782" spans="1:16" s="80" customFormat="1" ht="12.75" customHeight="1" outlineLevel="1" x14ac:dyDescent="0.25">
      <c r="A782" s="117"/>
      <c r="B782" s="118"/>
      <c r="C782" s="117"/>
      <c r="D782" s="79">
        <v>2025</v>
      </c>
      <c r="E782" s="8">
        <v>0</v>
      </c>
      <c r="F782" s="8">
        <v>0</v>
      </c>
      <c r="G782" s="8">
        <v>0</v>
      </c>
      <c r="H782" s="8">
        <v>0</v>
      </c>
      <c r="I782" s="8">
        <v>0</v>
      </c>
      <c r="J782" s="117"/>
      <c r="K782" s="117"/>
      <c r="M782" s="55"/>
      <c r="N782" s="55"/>
      <c r="O782" s="55"/>
      <c r="P782" s="55"/>
    </row>
    <row r="783" spans="1:16" ht="12.75" customHeight="1" outlineLevel="1" x14ac:dyDescent="0.25">
      <c r="A783" s="117"/>
      <c r="B783" s="118"/>
      <c r="C783" s="117"/>
      <c r="D783" s="68">
        <v>2026</v>
      </c>
      <c r="E783" s="8">
        <f t="shared" si="49"/>
        <v>0</v>
      </c>
      <c r="F783" s="8">
        <v>0</v>
      </c>
      <c r="G783" s="8">
        <v>0</v>
      </c>
      <c r="H783" s="8">
        <v>0</v>
      </c>
      <c r="I783" s="8">
        <v>0</v>
      </c>
      <c r="J783" s="117"/>
      <c r="K783" s="117"/>
    </row>
    <row r="784" spans="1:16" ht="15.75" customHeight="1" outlineLevel="1" x14ac:dyDescent="0.25">
      <c r="A784" s="117" t="s">
        <v>1197</v>
      </c>
      <c r="B784" s="118" t="s">
        <v>1198</v>
      </c>
      <c r="C784" s="117">
        <v>2022</v>
      </c>
      <c r="D784" s="68" t="s">
        <v>8</v>
      </c>
      <c r="E784" s="8">
        <f t="shared" si="49"/>
        <v>964.12733015494632</v>
      </c>
      <c r="F784" s="8">
        <f>SUM(F785:F790)</f>
        <v>808.90282999999999</v>
      </c>
      <c r="G784" s="8">
        <f t="shared" ref="G784:I784" si="50">SUM(G785:G790)</f>
        <v>0</v>
      </c>
      <c r="H784" s="8">
        <f t="shared" si="50"/>
        <v>155.22450015494636</v>
      </c>
      <c r="I784" s="8">
        <f t="shared" si="50"/>
        <v>0</v>
      </c>
      <c r="J784" s="117" t="s">
        <v>1199</v>
      </c>
      <c r="K784" s="117" t="s">
        <v>566</v>
      </c>
    </row>
    <row r="785" spans="1:16" ht="15.75" customHeight="1" outlineLevel="1" x14ac:dyDescent="0.25">
      <c r="A785" s="117"/>
      <c r="B785" s="118"/>
      <c r="C785" s="117"/>
      <c r="D785" s="68">
        <v>2021</v>
      </c>
      <c r="E785" s="8">
        <f t="shared" si="49"/>
        <v>0</v>
      </c>
      <c r="F785" s="8">
        <v>0</v>
      </c>
      <c r="G785" s="8">
        <v>0</v>
      </c>
      <c r="H785" s="8">
        <v>0</v>
      </c>
      <c r="I785" s="8">
        <v>0</v>
      </c>
      <c r="J785" s="117"/>
      <c r="K785" s="117"/>
    </row>
    <row r="786" spans="1:16" ht="19.5" customHeight="1" outlineLevel="1" x14ac:dyDescent="0.25">
      <c r="A786" s="117"/>
      <c r="B786" s="118"/>
      <c r="C786" s="117"/>
      <c r="D786" s="68">
        <v>2022</v>
      </c>
      <c r="E786" s="8">
        <f t="shared" si="49"/>
        <v>964.12733015494632</v>
      </c>
      <c r="F786" s="8">
        <f>808.944-0.04117</f>
        <v>808.90282999999999</v>
      </c>
      <c r="G786" s="8">
        <v>0</v>
      </c>
      <c r="H786" s="8">
        <f>F786*16.1/83.9</f>
        <v>155.22450015494636</v>
      </c>
      <c r="I786" s="8">
        <v>0</v>
      </c>
      <c r="J786" s="117"/>
      <c r="K786" s="117"/>
    </row>
    <row r="787" spans="1:16" ht="18" customHeight="1" outlineLevel="1" x14ac:dyDescent="0.25">
      <c r="A787" s="117"/>
      <c r="B787" s="118"/>
      <c r="C787" s="117"/>
      <c r="D787" s="68">
        <v>2023</v>
      </c>
      <c r="E787" s="8">
        <f t="shared" si="49"/>
        <v>0</v>
      </c>
      <c r="F787" s="8">
        <v>0</v>
      </c>
      <c r="G787" s="8">
        <v>0</v>
      </c>
      <c r="H787" s="8">
        <v>0</v>
      </c>
      <c r="I787" s="8">
        <v>0</v>
      </c>
      <c r="J787" s="117"/>
      <c r="K787" s="117"/>
    </row>
    <row r="788" spans="1:16" ht="16.5" customHeight="1" outlineLevel="1" x14ac:dyDescent="0.25">
      <c r="A788" s="117"/>
      <c r="B788" s="118"/>
      <c r="C788" s="117"/>
      <c r="D788" s="68">
        <v>2024</v>
      </c>
      <c r="E788" s="8">
        <f t="shared" si="49"/>
        <v>0</v>
      </c>
      <c r="F788" s="8">
        <v>0</v>
      </c>
      <c r="G788" s="8">
        <v>0</v>
      </c>
      <c r="H788" s="8">
        <v>0</v>
      </c>
      <c r="I788" s="8">
        <v>0</v>
      </c>
      <c r="J788" s="117"/>
      <c r="K788" s="117"/>
    </row>
    <row r="789" spans="1:16" s="80" customFormat="1" ht="16.5" customHeight="1" outlineLevel="1" x14ac:dyDescent="0.25">
      <c r="A789" s="117"/>
      <c r="B789" s="118"/>
      <c r="C789" s="117"/>
      <c r="D789" s="79">
        <v>2025</v>
      </c>
      <c r="E789" s="8">
        <v>0</v>
      </c>
      <c r="F789" s="8">
        <v>0</v>
      </c>
      <c r="G789" s="8">
        <v>0</v>
      </c>
      <c r="H789" s="8">
        <v>0</v>
      </c>
      <c r="I789" s="8">
        <v>0</v>
      </c>
      <c r="J789" s="117"/>
      <c r="K789" s="117"/>
      <c r="M789" s="55"/>
      <c r="N789" s="55"/>
      <c r="O789" s="55"/>
      <c r="P789" s="55"/>
    </row>
    <row r="790" spans="1:16" ht="16.5" customHeight="1" outlineLevel="1" x14ac:dyDescent="0.25">
      <c r="A790" s="117"/>
      <c r="B790" s="118"/>
      <c r="C790" s="117"/>
      <c r="D790" s="68">
        <v>2026</v>
      </c>
      <c r="E790" s="8">
        <f t="shared" si="49"/>
        <v>0</v>
      </c>
      <c r="F790" s="8">
        <v>0</v>
      </c>
      <c r="G790" s="8">
        <v>0</v>
      </c>
      <c r="H790" s="8">
        <v>0</v>
      </c>
      <c r="I790" s="8">
        <v>0</v>
      </c>
      <c r="J790" s="117"/>
      <c r="K790" s="117"/>
    </row>
    <row r="791" spans="1:16" ht="11.25" customHeight="1" outlineLevel="1" x14ac:dyDescent="0.25">
      <c r="A791" s="117" t="s">
        <v>1200</v>
      </c>
      <c r="B791" s="118" t="s">
        <v>1201</v>
      </c>
      <c r="C791" s="117">
        <v>2022</v>
      </c>
      <c r="D791" s="68" t="s">
        <v>8</v>
      </c>
      <c r="E791" s="8">
        <f t="shared" si="49"/>
        <v>5088.3444576877237</v>
      </c>
      <c r="F791" s="8">
        <f>SUM(F792:F797)</f>
        <v>4269.1210000000001</v>
      </c>
      <c r="G791" s="8">
        <f t="shared" ref="G791:I791" si="51">SUM(G792:G797)</f>
        <v>0</v>
      </c>
      <c r="H791" s="8">
        <f t="shared" si="51"/>
        <v>819.22345768772345</v>
      </c>
      <c r="I791" s="8">
        <f t="shared" si="51"/>
        <v>0</v>
      </c>
      <c r="J791" s="108" t="s">
        <v>1202</v>
      </c>
      <c r="K791" s="117" t="s">
        <v>566</v>
      </c>
    </row>
    <row r="792" spans="1:16" ht="11.25" customHeight="1" outlineLevel="1" x14ac:dyDescent="0.25">
      <c r="A792" s="117"/>
      <c r="B792" s="118"/>
      <c r="C792" s="117"/>
      <c r="D792" s="68">
        <v>2021</v>
      </c>
      <c r="E792" s="8">
        <f t="shared" si="49"/>
        <v>0</v>
      </c>
      <c r="F792" s="8">
        <v>0</v>
      </c>
      <c r="G792" s="8">
        <v>0</v>
      </c>
      <c r="H792" s="8">
        <v>0</v>
      </c>
      <c r="I792" s="8">
        <v>0</v>
      </c>
      <c r="J792" s="109"/>
      <c r="K792" s="117"/>
    </row>
    <row r="793" spans="1:16" ht="11.25" customHeight="1" outlineLevel="1" x14ac:dyDescent="0.25">
      <c r="A793" s="117"/>
      <c r="B793" s="118"/>
      <c r="C793" s="117"/>
      <c r="D793" s="68">
        <v>2022</v>
      </c>
      <c r="E793" s="8">
        <f t="shared" si="49"/>
        <v>5088.3444576877237</v>
      </c>
      <c r="F793" s="8">
        <f>4677.411-408.29</f>
        <v>4269.1210000000001</v>
      </c>
      <c r="G793" s="8">
        <v>0</v>
      </c>
      <c r="H793" s="8">
        <f>F793*16.1/83.9</f>
        <v>819.22345768772345</v>
      </c>
      <c r="I793" s="8">
        <v>0</v>
      </c>
      <c r="J793" s="109"/>
      <c r="K793" s="117"/>
    </row>
    <row r="794" spans="1:16" ht="11.25" customHeight="1" outlineLevel="1" x14ac:dyDescent="0.25">
      <c r="A794" s="117"/>
      <c r="B794" s="118"/>
      <c r="C794" s="117"/>
      <c r="D794" s="68">
        <v>2023</v>
      </c>
      <c r="E794" s="8">
        <f t="shared" si="49"/>
        <v>0</v>
      </c>
      <c r="F794" s="8">
        <v>0</v>
      </c>
      <c r="G794" s="8">
        <v>0</v>
      </c>
      <c r="H794" s="8">
        <v>0</v>
      </c>
      <c r="I794" s="8">
        <v>0</v>
      </c>
      <c r="J794" s="109"/>
      <c r="K794" s="117"/>
    </row>
    <row r="795" spans="1:16" ht="11.25" customHeight="1" outlineLevel="1" x14ac:dyDescent="0.25">
      <c r="A795" s="117"/>
      <c r="B795" s="118"/>
      <c r="C795" s="117"/>
      <c r="D795" s="68">
        <v>2024</v>
      </c>
      <c r="E795" s="8">
        <f t="shared" si="49"/>
        <v>0</v>
      </c>
      <c r="F795" s="8">
        <v>0</v>
      </c>
      <c r="G795" s="8">
        <v>0</v>
      </c>
      <c r="H795" s="8">
        <v>0</v>
      </c>
      <c r="I795" s="8">
        <v>0</v>
      </c>
      <c r="J795" s="109"/>
      <c r="K795" s="117"/>
    </row>
    <row r="796" spans="1:16" s="80" customFormat="1" ht="11.25" customHeight="1" outlineLevel="1" x14ac:dyDescent="0.25">
      <c r="A796" s="117"/>
      <c r="B796" s="118"/>
      <c r="C796" s="117"/>
      <c r="D796" s="79">
        <v>2025</v>
      </c>
      <c r="E796" s="8">
        <v>0</v>
      </c>
      <c r="F796" s="8">
        <v>0</v>
      </c>
      <c r="G796" s="8">
        <v>0</v>
      </c>
      <c r="H796" s="8">
        <v>0</v>
      </c>
      <c r="I796" s="8">
        <v>0</v>
      </c>
      <c r="J796" s="109"/>
      <c r="K796" s="117"/>
      <c r="M796" s="55"/>
      <c r="N796" s="55"/>
      <c r="O796" s="55"/>
      <c r="P796" s="55"/>
    </row>
    <row r="797" spans="1:16" ht="11.25" customHeight="1" outlineLevel="1" x14ac:dyDescent="0.25">
      <c r="A797" s="117"/>
      <c r="B797" s="118"/>
      <c r="C797" s="117"/>
      <c r="D797" s="68">
        <v>2026</v>
      </c>
      <c r="E797" s="8">
        <f t="shared" si="49"/>
        <v>0</v>
      </c>
      <c r="F797" s="8">
        <v>0</v>
      </c>
      <c r="G797" s="8">
        <v>0</v>
      </c>
      <c r="H797" s="8">
        <v>0</v>
      </c>
      <c r="I797" s="8">
        <v>0</v>
      </c>
      <c r="J797" s="110"/>
      <c r="K797" s="117"/>
    </row>
    <row r="798" spans="1:16" ht="11.25" customHeight="1" outlineLevel="1" x14ac:dyDescent="0.25">
      <c r="A798" s="117" t="s">
        <v>1203</v>
      </c>
      <c r="B798" s="118" t="s">
        <v>1204</v>
      </c>
      <c r="C798" s="117">
        <v>2022</v>
      </c>
      <c r="D798" s="68" t="s">
        <v>8</v>
      </c>
      <c r="E798" s="8">
        <f t="shared" si="49"/>
        <v>35550</v>
      </c>
      <c r="F798" s="8">
        <f>SUM(F799:F804)</f>
        <v>33772.5</v>
      </c>
      <c r="G798" s="8">
        <v>0</v>
      </c>
      <c r="H798" s="8">
        <f>SUM(H799:H804)</f>
        <v>1777.5</v>
      </c>
      <c r="I798" s="8">
        <v>0</v>
      </c>
      <c r="J798" s="117" t="s">
        <v>1205</v>
      </c>
      <c r="K798" s="117" t="s">
        <v>1206</v>
      </c>
    </row>
    <row r="799" spans="1:16" ht="11.25" customHeight="1" outlineLevel="1" x14ac:dyDescent="0.25">
      <c r="A799" s="117"/>
      <c r="B799" s="118"/>
      <c r="C799" s="117"/>
      <c r="D799" s="68">
        <v>2021</v>
      </c>
      <c r="E799" s="8">
        <f t="shared" si="49"/>
        <v>0</v>
      </c>
      <c r="F799" s="8">
        <v>0</v>
      </c>
      <c r="G799" s="8">
        <v>0</v>
      </c>
      <c r="H799" s="8">
        <v>0</v>
      </c>
      <c r="I799" s="8">
        <v>0</v>
      </c>
      <c r="J799" s="117"/>
      <c r="K799" s="117"/>
    </row>
    <row r="800" spans="1:16" ht="11.25" customHeight="1" outlineLevel="1" x14ac:dyDescent="0.25">
      <c r="A800" s="117"/>
      <c r="B800" s="118"/>
      <c r="C800" s="117"/>
      <c r="D800" s="68">
        <v>2022</v>
      </c>
      <c r="E800" s="8">
        <f t="shared" si="49"/>
        <v>35550</v>
      </c>
      <c r="F800" s="8">
        <v>33772.5</v>
      </c>
      <c r="G800" s="8">
        <v>0</v>
      </c>
      <c r="H800" s="8">
        <f>F800*5/95</f>
        <v>1777.5</v>
      </c>
      <c r="I800" s="8">
        <v>0</v>
      </c>
      <c r="J800" s="117"/>
      <c r="K800" s="117"/>
    </row>
    <row r="801" spans="1:16" ht="11.25" customHeight="1" outlineLevel="1" x14ac:dyDescent="0.25">
      <c r="A801" s="117"/>
      <c r="B801" s="118"/>
      <c r="C801" s="117"/>
      <c r="D801" s="68">
        <v>2023</v>
      </c>
      <c r="E801" s="8">
        <f t="shared" si="49"/>
        <v>0</v>
      </c>
      <c r="F801" s="8">
        <v>0</v>
      </c>
      <c r="G801" s="8">
        <v>0</v>
      </c>
      <c r="H801" s="8">
        <v>0</v>
      </c>
      <c r="I801" s="8">
        <v>0</v>
      </c>
      <c r="J801" s="117"/>
      <c r="K801" s="117"/>
    </row>
    <row r="802" spans="1:16" ht="11.25" customHeight="1" outlineLevel="1" x14ac:dyDescent="0.25">
      <c r="A802" s="117"/>
      <c r="B802" s="118"/>
      <c r="C802" s="117"/>
      <c r="D802" s="68">
        <v>2024</v>
      </c>
      <c r="E802" s="8">
        <f t="shared" si="49"/>
        <v>0</v>
      </c>
      <c r="F802" s="8">
        <v>0</v>
      </c>
      <c r="G802" s="8">
        <v>0</v>
      </c>
      <c r="H802" s="8">
        <v>0</v>
      </c>
      <c r="I802" s="8">
        <v>0</v>
      </c>
      <c r="J802" s="117"/>
      <c r="K802" s="117"/>
    </row>
    <row r="803" spans="1:16" s="80" customFormat="1" ht="11.25" customHeight="1" outlineLevel="1" x14ac:dyDescent="0.25">
      <c r="A803" s="117"/>
      <c r="B803" s="118"/>
      <c r="C803" s="117"/>
      <c r="D803" s="79">
        <v>2025</v>
      </c>
      <c r="E803" s="8">
        <v>0</v>
      </c>
      <c r="F803" s="8">
        <v>0</v>
      </c>
      <c r="G803" s="8">
        <v>0</v>
      </c>
      <c r="H803" s="8">
        <v>0</v>
      </c>
      <c r="I803" s="8">
        <v>0</v>
      </c>
      <c r="J803" s="117"/>
      <c r="K803" s="117"/>
      <c r="M803" s="55"/>
      <c r="N803" s="55"/>
      <c r="O803" s="55"/>
      <c r="P803" s="55"/>
    </row>
    <row r="804" spans="1:16" ht="11.25" customHeight="1" outlineLevel="1" x14ac:dyDescent="0.25">
      <c r="A804" s="117"/>
      <c r="B804" s="118"/>
      <c r="C804" s="117"/>
      <c r="D804" s="68">
        <v>2026</v>
      </c>
      <c r="E804" s="8">
        <f t="shared" si="49"/>
        <v>0</v>
      </c>
      <c r="F804" s="8">
        <v>0</v>
      </c>
      <c r="G804" s="8">
        <v>0</v>
      </c>
      <c r="H804" s="8">
        <v>0</v>
      </c>
      <c r="I804" s="8">
        <v>0</v>
      </c>
      <c r="J804" s="117"/>
      <c r="K804" s="117"/>
    </row>
    <row r="805" spans="1:16" ht="11.25" customHeight="1" outlineLevel="1" x14ac:dyDescent="0.25">
      <c r="A805" s="117" t="s">
        <v>1207</v>
      </c>
      <c r="B805" s="118" t="s">
        <v>1208</v>
      </c>
      <c r="C805" s="117">
        <v>2022</v>
      </c>
      <c r="D805" s="68" t="s">
        <v>8</v>
      </c>
      <c r="E805" s="8">
        <f t="shared" si="49"/>
        <v>15871.72</v>
      </c>
      <c r="F805" s="8">
        <f>SUM(F806:F811)</f>
        <v>15078.134</v>
      </c>
      <c r="G805" s="8">
        <v>0</v>
      </c>
      <c r="H805" s="8">
        <f>SUM(H806:H811)</f>
        <v>793.58600000000001</v>
      </c>
      <c r="I805" s="8">
        <v>0</v>
      </c>
      <c r="J805" s="117" t="s">
        <v>1209</v>
      </c>
      <c r="K805" s="117" t="s">
        <v>1206</v>
      </c>
    </row>
    <row r="806" spans="1:16" ht="11.25" customHeight="1" outlineLevel="1" x14ac:dyDescent="0.25">
      <c r="A806" s="117"/>
      <c r="B806" s="118"/>
      <c r="C806" s="117"/>
      <c r="D806" s="68">
        <v>2021</v>
      </c>
      <c r="E806" s="8">
        <f t="shared" si="49"/>
        <v>0</v>
      </c>
      <c r="F806" s="8">
        <f>SUM(G806:J806)</f>
        <v>0</v>
      </c>
      <c r="G806" s="8">
        <v>0</v>
      </c>
      <c r="H806" s="8">
        <v>0</v>
      </c>
      <c r="I806" s="8">
        <v>0</v>
      </c>
      <c r="J806" s="117"/>
      <c r="K806" s="117"/>
    </row>
    <row r="807" spans="1:16" ht="11.25" customHeight="1" outlineLevel="1" x14ac:dyDescent="0.25">
      <c r="A807" s="117"/>
      <c r="B807" s="118"/>
      <c r="C807" s="117"/>
      <c r="D807" s="68">
        <v>2022</v>
      </c>
      <c r="E807" s="8">
        <f t="shared" si="49"/>
        <v>15871.72</v>
      </c>
      <c r="F807" s="8">
        <v>15078.134</v>
      </c>
      <c r="G807" s="8">
        <v>0</v>
      </c>
      <c r="H807" s="8">
        <f>F807*5/95</f>
        <v>793.58600000000001</v>
      </c>
      <c r="I807" s="8">
        <v>0</v>
      </c>
      <c r="J807" s="117"/>
      <c r="K807" s="117"/>
    </row>
    <row r="808" spans="1:16" ht="11.25" customHeight="1" outlineLevel="1" x14ac:dyDescent="0.25">
      <c r="A808" s="117"/>
      <c r="B808" s="118"/>
      <c r="C808" s="117"/>
      <c r="D808" s="68">
        <v>2023</v>
      </c>
      <c r="E808" s="8">
        <f t="shared" si="49"/>
        <v>0</v>
      </c>
      <c r="F808" s="8">
        <f t="shared" si="49"/>
        <v>0</v>
      </c>
      <c r="G808" s="8">
        <v>0</v>
      </c>
      <c r="H808" s="8">
        <v>0</v>
      </c>
      <c r="I808" s="8">
        <v>0</v>
      </c>
      <c r="J808" s="117"/>
      <c r="K808" s="117"/>
    </row>
    <row r="809" spans="1:16" ht="11.25" customHeight="1" outlineLevel="1" x14ac:dyDescent="0.25">
      <c r="A809" s="117"/>
      <c r="B809" s="118"/>
      <c r="C809" s="117"/>
      <c r="D809" s="68">
        <v>2024</v>
      </c>
      <c r="E809" s="8">
        <f t="shared" si="49"/>
        <v>0</v>
      </c>
      <c r="F809" s="8">
        <f t="shared" si="49"/>
        <v>0</v>
      </c>
      <c r="G809" s="8">
        <v>0</v>
      </c>
      <c r="H809" s="8">
        <v>0</v>
      </c>
      <c r="I809" s="8">
        <v>0</v>
      </c>
      <c r="J809" s="117"/>
      <c r="K809" s="117"/>
    </row>
    <row r="810" spans="1:16" s="80" customFormat="1" ht="11.25" customHeight="1" outlineLevel="1" x14ac:dyDescent="0.25">
      <c r="A810" s="117"/>
      <c r="B810" s="118"/>
      <c r="C810" s="117"/>
      <c r="D810" s="79">
        <v>2025</v>
      </c>
      <c r="E810" s="8">
        <v>0</v>
      </c>
      <c r="F810" s="8">
        <v>0</v>
      </c>
      <c r="G810" s="8">
        <v>0</v>
      </c>
      <c r="H810" s="8">
        <v>0</v>
      </c>
      <c r="I810" s="8">
        <v>0</v>
      </c>
      <c r="J810" s="117"/>
      <c r="K810" s="117"/>
      <c r="M810" s="55"/>
      <c r="N810" s="55"/>
      <c r="O810" s="55"/>
      <c r="P810" s="55"/>
    </row>
    <row r="811" spans="1:16" ht="11.25" customHeight="1" outlineLevel="1" x14ac:dyDescent="0.25">
      <c r="A811" s="117"/>
      <c r="B811" s="118"/>
      <c r="C811" s="117"/>
      <c r="D811" s="68">
        <v>2026</v>
      </c>
      <c r="E811" s="8">
        <f t="shared" si="49"/>
        <v>0</v>
      </c>
      <c r="F811" s="8">
        <f t="shared" si="49"/>
        <v>0</v>
      </c>
      <c r="G811" s="8">
        <v>0</v>
      </c>
      <c r="H811" s="8">
        <v>0</v>
      </c>
      <c r="I811" s="8">
        <v>0</v>
      </c>
      <c r="J811" s="117"/>
      <c r="K811" s="117"/>
    </row>
    <row r="812" spans="1:16" ht="11.25" customHeight="1" outlineLevel="1" x14ac:dyDescent="0.25">
      <c r="A812" s="218" t="s">
        <v>1775</v>
      </c>
      <c r="B812" s="108" t="s">
        <v>1780</v>
      </c>
      <c r="C812" s="108" t="s">
        <v>1779</v>
      </c>
      <c r="D812" s="68" t="s">
        <v>8</v>
      </c>
      <c r="E812" s="8">
        <f>SUM(F812:I812)</f>
        <v>106415.1</v>
      </c>
      <c r="F812" s="8">
        <f>SUM(F813:F818)</f>
        <v>106415.1</v>
      </c>
      <c r="G812" s="8">
        <v>0</v>
      </c>
      <c r="H812" s="8">
        <v>0</v>
      </c>
      <c r="I812" s="8">
        <v>0</v>
      </c>
      <c r="J812" s="108" t="s">
        <v>1794</v>
      </c>
      <c r="K812" s="108" t="s">
        <v>1793</v>
      </c>
    </row>
    <row r="813" spans="1:16" ht="11.25" customHeight="1" outlineLevel="1" x14ac:dyDescent="0.25">
      <c r="A813" s="219"/>
      <c r="B813" s="109"/>
      <c r="C813" s="109"/>
      <c r="D813" s="68">
        <v>2021</v>
      </c>
      <c r="E813" s="8">
        <v>0</v>
      </c>
      <c r="F813" s="8">
        <v>0</v>
      </c>
      <c r="G813" s="8">
        <v>0</v>
      </c>
      <c r="H813" s="8">
        <v>0</v>
      </c>
      <c r="I813" s="8">
        <v>0</v>
      </c>
      <c r="J813" s="109"/>
      <c r="K813" s="109"/>
    </row>
    <row r="814" spans="1:16" ht="11.25" customHeight="1" outlineLevel="1" x14ac:dyDescent="0.25">
      <c r="A814" s="219"/>
      <c r="B814" s="109"/>
      <c r="C814" s="109"/>
      <c r="D814" s="68">
        <v>2022</v>
      </c>
      <c r="E814" s="8">
        <v>0</v>
      </c>
      <c r="F814" s="8">
        <v>0</v>
      </c>
      <c r="G814" s="8">
        <v>0</v>
      </c>
      <c r="H814" s="8">
        <v>0</v>
      </c>
      <c r="I814" s="8">
        <v>0</v>
      </c>
      <c r="J814" s="109"/>
      <c r="K814" s="109"/>
    </row>
    <row r="815" spans="1:16" ht="11.25" customHeight="1" outlineLevel="1" x14ac:dyDescent="0.25">
      <c r="A815" s="219"/>
      <c r="B815" s="109"/>
      <c r="C815" s="109"/>
      <c r="D815" s="68">
        <v>2023</v>
      </c>
      <c r="E815" s="8">
        <v>0</v>
      </c>
      <c r="F815" s="8">
        <v>0</v>
      </c>
      <c r="G815" s="8">
        <v>0</v>
      </c>
      <c r="H815" s="8">
        <v>0</v>
      </c>
      <c r="I815" s="8">
        <v>0</v>
      </c>
      <c r="J815" s="109"/>
      <c r="K815" s="109"/>
    </row>
    <row r="816" spans="1:16" ht="27" customHeight="1" outlineLevel="1" x14ac:dyDescent="0.25">
      <c r="A816" s="219"/>
      <c r="B816" s="109"/>
      <c r="C816" s="109"/>
      <c r="D816" s="68">
        <v>2024</v>
      </c>
      <c r="E816" s="8">
        <v>0</v>
      </c>
      <c r="F816" s="8">
        <v>0</v>
      </c>
      <c r="G816" s="8">
        <v>0</v>
      </c>
      <c r="H816" s="8">
        <v>0</v>
      </c>
      <c r="I816" s="8">
        <v>0</v>
      </c>
      <c r="J816" s="109"/>
      <c r="K816" s="109"/>
    </row>
    <row r="817" spans="1:11" ht="14.25" customHeight="1" outlineLevel="1" x14ac:dyDescent="0.25">
      <c r="A817" s="219"/>
      <c r="B817" s="109"/>
      <c r="C817" s="109"/>
      <c r="D817" s="68">
        <v>2025</v>
      </c>
      <c r="E817" s="8">
        <v>0</v>
      </c>
      <c r="F817" s="8">
        <v>0</v>
      </c>
      <c r="G817" s="8">
        <v>0</v>
      </c>
      <c r="H817" s="8">
        <v>0</v>
      </c>
      <c r="I817" s="8">
        <v>0</v>
      </c>
      <c r="J817" s="109"/>
      <c r="K817" s="109"/>
    </row>
    <row r="818" spans="1:11" ht="17.25" customHeight="1" outlineLevel="1" x14ac:dyDescent="0.25">
      <c r="A818" s="220"/>
      <c r="B818" s="110"/>
      <c r="C818" s="110"/>
      <c r="D818" s="68">
        <v>2026</v>
      </c>
      <c r="E818" s="8">
        <f>F818+G818+H818+I818</f>
        <v>106415.1</v>
      </c>
      <c r="F818" s="8">
        <v>106415.1</v>
      </c>
      <c r="G818" s="8">
        <v>0</v>
      </c>
      <c r="H818" s="8">
        <v>0</v>
      </c>
      <c r="I818" s="8">
        <v>0</v>
      </c>
      <c r="J818" s="110"/>
      <c r="K818" s="110"/>
    </row>
    <row r="819" spans="1:11" ht="11.25" customHeight="1" outlineLevel="1" x14ac:dyDescent="0.25">
      <c r="A819" s="218" t="s">
        <v>1776</v>
      </c>
      <c r="B819" s="108" t="s">
        <v>1781</v>
      </c>
      <c r="C819" s="108" t="s">
        <v>1779</v>
      </c>
      <c r="D819" s="68" t="s">
        <v>8</v>
      </c>
      <c r="E819" s="8">
        <f>SUM(F819:I819)</f>
        <v>267656.2</v>
      </c>
      <c r="F819" s="8">
        <f>SUM(F820:F825)</f>
        <v>267656.2</v>
      </c>
      <c r="G819" s="8">
        <v>0</v>
      </c>
      <c r="H819" s="8">
        <v>0</v>
      </c>
      <c r="I819" s="8">
        <v>0</v>
      </c>
      <c r="J819" s="108" t="s">
        <v>1794</v>
      </c>
      <c r="K819" s="108" t="s">
        <v>1793</v>
      </c>
    </row>
    <row r="820" spans="1:11" ht="11.25" customHeight="1" outlineLevel="1" x14ac:dyDescent="0.25">
      <c r="A820" s="219"/>
      <c r="B820" s="109"/>
      <c r="C820" s="109"/>
      <c r="D820" s="68">
        <v>2021</v>
      </c>
      <c r="E820" s="8">
        <v>0</v>
      </c>
      <c r="F820" s="8">
        <v>0</v>
      </c>
      <c r="G820" s="8">
        <v>0</v>
      </c>
      <c r="H820" s="8">
        <v>0</v>
      </c>
      <c r="I820" s="8">
        <v>0</v>
      </c>
      <c r="J820" s="109"/>
      <c r="K820" s="109"/>
    </row>
    <row r="821" spans="1:11" ht="11.25" customHeight="1" outlineLevel="1" x14ac:dyDescent="0.25">
      <c r="A821" s="219"/>
      <c r="B821" s="109"/>
      <c r="C821" s="109"/>
      <c r="D821" s="68">
        <v>2022</v>
      </c>
      <c r="E821" s="8">
        <v>0</v>
      </c>
      <c r="F821" s="8">
        <v>0</v>
      </c>
      <c r="G821" s="8">
        <v>0</v>
      </c>
      <c r="H821" s="8">
        <v>0</v>
      </c>
      <c r="I821" s="8">
        <v>0</v>
      </c>
      <c r="J821" s="109"/>
      <c r="K821" s="109"/>
    </row>
    <row r="822" spans="1:11" ht="11.25" customHeight="1" outlineLevel="1" x14ac:dyDescent="0.25">
      <c r="A822" s="219"/>
      <c r="B822" s="109"/>
      <c r="C822" s="109"/>
      <c r="D822" s="68">
        <v>2023</v>
      </c>
      <c r="E822" s="8">
        <v>0</v>
      </c>
      <c r="F822" s="8">
        <v>0</v>
      </c>
      <c r="G822" s="8">
        <v>0</v>
      </c>
      <c r="H822" s="8">
        <v>0</v>
      </c>
      <c r="I822" s="8">
        <v>0</v>
      </c>
      <c r="J822" s="109"/>
      <c r="K822" s="109"/>
    </row>
    <row r="823" spans="1:11" ht="11.25" customHeight="1" outlineLevel="1" x14ac:dyDescent="0.25">
      <c r="A823" s="219"/>
      <c r="B823" s="109"/>
      <c r="C823" s="109"/>
      <c r="D823" s="68">
        <v>2024</v>
      </c>
      <c r="E823" s="8">
        <v>0</v>
      </c>
      <c r="F823" s="8">
        <v>0</v>
      </c>
      <c r="G823" s="8">
        <v>0</v>
      </c>
      <c r="H823" s="8">
        <v>0</v>
      </c>
      <c r="I823" s="8">
        <v>0</v>
      </c>
      <c r="J823" s="109"/>
      <c r="K823" s="109"/>
    </row>
    <row r="824" spans="1:11" ht="11.25" customHeight="1" outlineLevel="1" x14ac:dyDescent="0.25">
      <c r="A824" s="219"/>
      <c r="B824" s="109"/>
      <c r="C824" s="109"/>
      <c r="D824" s="68">
        <v>2025</v>
      </c>
      <c r="E824" s="8">
        <v>0</v>
      </c>
      <c r="F824" s="8">
        <v>0</v>
      </c>
      <c r="G824" s="8">
        <v>0</v>
      </c>
      <c r="H824" s="8">
        <v>0</v>
      </c>
      <c r="I824" s="8">
        <v>0</v>
      </c>
      <c r="J824" s="109"/>
      <c r="K824" s="109"/>
    </row>
    <row r="825" spans="1:11" ht="11.25" customHeight="1" outlineLevel="1" x14ac:dyDescent="0.25">
      <c r="A825" s="220"/>
      <c r="B825" s="110"/>
      <c r="C825" s="110"/>
      <c r="D825" s="68">
        <v>2026</v>
      </c>
      <c r="E825" s="8">
        <f>F825+G825+H825+I825</f>
        <v>267656.2</v>
      </c>
      <c r="F825" s="8">
        <v>267656.2</v>
      </c>
      <c r="G825" s="8">
        <v>0</v>
      </c>
      <c r="H825" s="8">
        <v>0</v>
      </c>
      <c r="I825" s="8">
        <v>0</v>
      </c>
      <c r="J825" s="110"/>
      <c r="K825" s="110"/>
    </row>
    <row r="826" spans="1:11" ht="12.75" customHeight="1" outlineLevel="1" x14ac:dyDescent="0.25">
      <c r="A826" s="108" t="s">
        <v>1210</v>
      </c>
      <c r="B826" s="108" t="s">
        <v>1211</v>
      </c>
      <c r="C826" s="108" t="s">
        <v>1777</v>
      </c>
      <c r="D826" s="106" t="s">
        <v>8</v>
      </c>
      <c r="E826" s="8">
        <f t="shared" si="49"/>
        <v>364102.02817000001</v>
      </c>
      <c r="F826" s="8">
        <f>SUM(F827:F832)</f>
        <v>112220.93517</v>
      </c>
      <c r="G826" s="8">
        <f>SUM(G827:G832)</f>
        <v>251881.09299999999</v>
      </c>
      <c r="H826" s="8">
        <f>SUM(H827:H831)</f>
        <v>0</v>
      </c>
      <c r="I826" s="8">
        <f>SUM(I827:I831)</f>
        <v>0</v>
      </c>
      <c r="J826" s="108" t="s">
        <v>117</v>
      </c>
      <c r="K826" s="108" t="s">
        <v>484</v>
      </c>
    </row>
    <row r="827" spans="1:11" ht="12.75" customHeight="1" outlineLevel="1" x14ac:dyDescent="0.25">
      <c r="A827" s="109"/>
      <c r="B827" s="109"/>
      <c r="C827" s="109"/>
      <c r="D827" s="106">
        <v>2021</v>
      </c>
      <c r="E827" s="8">
        <f t="shared" si="49"/>
        <v>0</v>
      </c>
      <c r="F827" s="8">
        <f t="shared" ref="F827:I831" si="52">F834</f>
        <v>0</v>
      </c>
      <c r="G827" s="8">
        <f>G834</f>
        <v>0</v>
      </c>
      <c r="H827" s="8">
        <f t="shared" si="52"/>
        <v>0</v>
      </c>
      <c r="I827" s="8">
        <f t="shared" si="52"/>
        <v>0</v>
      </c>
      <c r="J827" s="109"/>
      <c r="K827" s="109"/>
    </row>
    <row r="828" spans="1:11" ht="12.75" customHeight="1" outlineLevel="1" x14ac:dyDescent="0.25">
      <c r="A828" s="109"/>
      <c r="B828" s="109"/>
      <c r="C828" s="109"/>
      <c r="D828" s="106">
        <v>2022</v>
      </c>
      <c r="E828" s="8">
        <f t="shared" si="49"/>
        <v>67438.159</v>
      </c>
      <c r="F828" s="8">
        <f t="shared" si="52"/>
        <v>19557.065999999999</v>
      </c>
      <c r="G828" s="8">
        <f t="shared" si="52"/>
        <v>47881.093000000001</v>
      </c>
      <c r="H828" s="8">
        <f t="shared" si="52"/>
        <v>0</v>
      </c>
      <c r="I828" s="8">
        <f t="shared" si="52"/>
        <v>0</v>
      </c>
      <c r="J828" s="109"/>
      <c r="K828" s="109"/>
    </row>
    <row r="829" spans="1:11" ht="12.75" customHeight="1" outlineLevel="1" x14ac:dyDescent="0.25">
      <c r="A829" s="109"/>
      <c r="B829" s="109"/>
      <c r="C829" s="109"/>
      <c r="D829" s="106">
        <v>2023</v>
      </c>
      <c r="E829" s="8">
        <f t="shared" si="49"/>
        <v>0</v>
      </c>
      <c r="F829" s="8">
        <f t="shared" si="52"/>
        <v>0</v>
      </c>
      <c r="G829" s="8">
        <f t="shared" si="52"/>
        <v>0</v>
      </c>
      <c r="H829" s="8">
        <f t="shared" si="52"/>
        <v>0</v>
      </c>
      <c r="I829" s="8">
        <f t="shared" si="52"/>
        <v>0</v>
      </c>
      <c r="J829" s="109"/>
      <c r="K829" s="109"/>
    </row>
    <row r="830" spans="1:11" ht="12.75" customHeight="1" outlineLevel="1" x14ac:dyDescent="0.25">
      <c r="A830" s="109"/>
      <c r="B830" s="109"/>
      <c r="C830" s="109"/>
      <c r="D830" s="106">
        <v>2024</v>
      </c>
      <c r="E830" s="8">
        <f t="shared" si="49"/>
        <v>113551.12046000001</v>
      </c>
      <c r="F830" s="8">
        <f t="shared" si="52"/>
        <v>35551.120459999998</v>
      </c>
      <c r="G830" s="8">
        <f t="shared" si="52"/>
        <v>78000</v>
      </c>
      <c r="H830" s="8">
        <f t="shared" si="52"/>
        <v>0</v>
      </c>
      <c r="I830" s="8">
        <f t="shared" si="52"/>
        <v>0</v>
      </c>
      <c r="J830" s="109"/>
      <c r="K830" s="109"/>
    </row>
    <row r="831" spans="1:11" ht="12.75" customHeight="1" outlineLevel="1" x14ac:dyDescent="0.25">
      <c r="A831" s="109"/>
      <c r="B831" s="109"/>
      <c r="C831" s="109"/>
      <c r="D831" s="106">
        <v>2025</v>
      </c>
      <c r="E831" s="8">
        <f t="shared" si="49"/>
        <v>130434.78260999999</v>
      </c>
      <c r="F831" s="8">
        <f t="shared" si="52"/>
        <v>40434.782610000002</v>
      </c>
      <c r="G831" s="8">
        <f t="shared" si="52"/>
        <v>90000</v>
      </c>
      <c r="H831" s="8">
        <f t="shared" si="52"/>
        <v>0</v>
      </c>
      <c r="I831" s="8">
        <f t="shared" si="52"/>
        <v>0</v>
      </c>
      <c r="J831" s="109"/>
      <c r="K831" s="109"/>
    </row>
    <row r="832" spans="1:11" ht="12.75" customHeight="1" outlineLevel="1" x14ac:dyDescent="0.25">
      <c r="A832" s="110"/>
      <c r="B832" s="110"/>
      <c r="C832" s="110"/>
      <c r="D832" s="106">
        <v>2026</v>
      </c>
      <c r="E832" s="8">
        <f>SUM(F832:I832)</f>
        <v>52677.966100000005</v>
      </c>
      <c r="F832" s="8">
        <f>SUM(F839)</f>
        <v>16677.966100000001</v>
      </c>
      <c r="G832" s="8">
        <f t="shared" ref="G832:I832" si="53">SUM(G839)</f>
        <v>36000</v>
      </c>
      <c r="H832" s="8">
        <f t="shared" si="53"/>
        <v>0</v>
      </c>
      <c r="I832" s="8">
        <f t="shared" si="53"/>
        <v>0</v>
      </c>
      <c r="J832" s="110"/>
      <c r="K832" s="110"/>
    </row>
    <row r="833" spans="1:16" ht="12.75" customHeight="1" outlineLevel="1" x14ac:dyDescent="0.25">
      <c r="A833" s="108" t="s">
        <v>1212</v>
      </c>
      <c r="B833" s="108" t="s">
        <v>1736</v>
      </c>
      <c r="C833" s="108" t="s">
        <v>1777</v>
      </c>
      <c r="D833" s="106" t="s">
        <v>8</v>
      </c>
      <c r="E833" s="8">
        <f t="shared" si="49"/>
        <v>364102.02817000001</v>
      </c>
      <c r="F833" s="8">
        <f>SUM(F834:F839)</f>
        <v>112220.93517</v>
      </c>
      <c r="G833" s="8">
        <f>SUM(G834:G839)</f>
        <v>251881.09299999999</v>
      </c>
      <c r="H833" s="8">
        <f>SUM(H834:H838)</f>
        <v>0</v>
      </c>
      <c r="I833" s="8">
        <f>SUM(I834:I838)</f>
        <v>0</v>
      </c>
      <c r="J833" s="108" t="s">
        <v>1795</v>
      </c>
      <c r="K833" s="108" t="s">
        <v>484</v>
      </c>
    </row>
    <row r="834" spans="1:16" outlineLevel="1" x14ac:dyDescent="0.25">
      <c r="A834" s="109"/>
      <c r="B834" s="109"/>
      <c r="C834" s="109"/>
      <c r="D834" s="106">
        <v>2021</v>
      </c>
      <c r="E834" s="8">
        <f t="shared" si="49"/>
        <v>0</v>
      </c>
      <c r="F834" s="8">
        <v>0</v>
      </c>
      <c r="G834" s="8">
        <v>0</v>
      </c>
      <c r="H834" s="8">
        <v>0</v>
      </c>
      <c r="I834" s="8">
        <v>0</v>
      </c>
      <c r="J834" s="109"/>
      <c r="K834" s="109"/>
    </row>
    <row r="835" spans="1:16" outlineLevel="1" x14ac:dyDescent="0.25">
      <c r="A835" s="109"/>
      <c r="B835" s="109"/>
      <c r="C835" s="109"/>
      <c r="D835" s="106">
        <v>2022</v>
      </c>
      <c r="E835" s="8">
        <f t="shared" si="49"/>
        <v>67438.159</v>
      </c>
      <c r="F835" s="8">
        <v>19557.065999999999</v>
      </c>
      <c r="G835" s="8">
        <v>47881.093000000001</v>
      </c>
      <c r="H835" s="8">
        <v>0</v>
      </c>
      <c r="I835" s="8">
        <v>0</v>
      </c>
      <c r="J835" s="109"/>
      <c r="K835" s="109"/>
    </row>
    <row r="836" spans="1:16" outlineLevel="1" x14ac:dyDescent="0.25">
      <c r="A836" s="109"/>
      <c r="B836" s="109"/>
      <c r="C836" s="109"/>
      <c r="D836" s="106">
        <v>2023</v>
      </c>
      <c r="E836" s="8">
        <f t="shared" ref="E836:E931" si="54">SUM(F836:I836)</f>
        <v>0</v>
      </c>
      <c r="F836" s="8">
        <v>0</v>
      </c>
      <c r="G836" s="8">
        <v>0</v>
      </c>
      <c r="H836" s="8">
        <v>0</v>
      </c>
      <c r="I836" s="8">
        <v>0</v>
      </c>
      <c r="J836" s="109"/>
      <c r="K836" s="109"/>
    </row>
    <row r="837" spans="1:16" outlineLevel="1" x14ac:dyDescent="0.25">
      <c r="A837" s="109"/>
      <c r="B837" s="109"/>
      <c r="C837" s="109"/>
      <c r="D837" s="106">
        <v>2024</v>
      </c>
      <c r="E837" s="74">
        <f t="shared" si="54"/>
        <v>113551.12046000001</v>
      </c>
      <c r="F837" s="74">
        <f>31859.15493+3691.96553</f>
        <v>35551.120459999998</v>
      </c>
      <c r="G837" s="74">
        <v>78000</v>
      </c>
      <c r="H837" s="8">
        <v>0</v>
      </c>
      <c r="I837" s="8">
        <v>0</v>
      </c>
      <c r="J837" s="109"/>
      <c r="K837" s="109"/>
    </row>
    <row r="838" spans="1:16" outlineLevel="1" x14ac:dyDescent="0.25">
      <c r="A838" s="109"/>
      <c r="B838" s="109"/>
      <c r="C838" s="109"/>
      <c r="D838" s="106">
        <v>2025</v>
      </c>
      <c r="E838" s="8">
        <f t="shared" si="54"/>
        <v>130434.78260999999</v>
      </c>
      <c r="F838" s="8">
        <v>40434.782610000002</v>
      </c>
      <c r="G838" s="8">
        <v>90000</v>
      </c>
      <c r="H838" s="8">
        <f>SUM(I831:L831)</f>
        <v>0</v>
      </c>
      <c r="I838" s="8">
        <f>SUM(J831:L831)</f>
        <v>0</v>
      </c>
      <c r="J838" s="109"/>
      <c r="K838" s="109"/>
    </row>
    <row r="839" spans="1:16" outlineLevel="1" x14ac:dyDescent="0.25">
      <c r="A839" s="110"/>
      <c r="B839" s="110"/>
      <c r="C839" s="110"/>
      <c r="D839" s="106">
        <v>2026</v>
      </c>
      <c r="E839" s="74">
        <f>F839+G839+H839+I839</f>
        <v>52677.966100000005</v>
      </c>
      <c r="F839" s="74">
        <v>16677.966100000001</v>
      </c>
      <c r="G839" s="74">
        <v>36000</v>
      </c>
      <c r="H839" s="8"/>
      <c r="I839" s="8"/>
      <c r="J839" s="110"/>
      <c r="K839" s="110"/>
    </row>
    <row r="840" spans="1:16" ht="15" customHeight="1" outlineLevel="1" x14ac:dyDescent="0.25">
      <c r="A840" s="108" t="s">
        <v>1214</v>
      </c>
      <c r="B840" s="108" t="s">
        <v>1215</v>
      </c>
      <c r="C840" s="108" t="s">
        <v>1778</v>
      </c>
      <c r="D840" s="106" t="s">
        <v>8</v>
      </c>
      <c r="E840" s="8">
        <f>SUM(E841:E846)</f>
        <v>2001331.9737799999</v>
      </c>
      <c r="F840" s="8">
        <f>SUM(F841:F846)</f>
        <v>1333903.63378</v>
      </c>
      <c r="G840" s="8">
        <f>SUM(G843:G846)</f>
        <v>667428.34</v>
      </c>
      <c r="H840" s="8">
        <f>НОВЫЙ_МИНСТРОЙ!H761</f>
        <v>0</v>
      </c>
      <c r="I840" s="8">
        <f>НОВЫЙ_МИНСТРОЙ!I761</f>
        <v>0</v>
      </c>
      <c r="J840" s="108" t="s">
        <v>1217</v>
      </c>
      <c r="K840" s="108" t="s">
        <v>1760</v>
      </c>
    </row>
    <row r="841" spans="1:16" outlineLevel="1" x14ac:dyDescent="0.25">
      <c r="A841" s="109"/>
      <c r="B841" s="109"/>
      <c r="C841" s="109"/>
      <c r="D841" s="106">
        <v>2021</v>
      </c>
      <c r="E841" s="8">
        <f>НОВЫЙ_МИНСТРОЙ!E762</f>
        <v>0</v>
      </c>
      <c r="F841" s="8">
        <f>НОВЫЙ_МИНСТРОЙ!F762</f>
        <v>0</v>
      </c>
      <c r="G841" s="8">
        <f>НОВЫЙ_МИНСТРОЙ!G762</f>
        <v>0</v>
      </c>
      <c r="H841" s="8">
        <f>НОВЫЙ_МИНСТРОЙ!H762</f>
        <v>0</v>
      </c>
      <c r="I841" s="8">
        <f>НОВЫЙ_МИНСТРОЙ!I762</f>
        <v>0</v>
      </c>
      <c r="J841" s="109"/>
      <c r="K841" s="109"/>
    </row>
    <row r="842" spans="1:16" outlineLevel="1" x14ac:dyDescent="0.25">
      <c r="A842" s="109"/>
      <c r="B842" s="109"/>
      <c r="C842" s="109"/>
      <c r="D842" s="106">
        <v>2022</v>
      </c>
      <c r="E842" s="8">
        <f>НОВЫЙ_МИНСТРОЙ!E763</f>
        <v>0</v>
      </c>
      <c r="F842" s="8">
        <f>НОВЫЙ_МИНСТРОЙ!F763</f>
        <v>0</v>
      </c>
      <c r="G842" s="8">
        <f>НОВЫЙ_МИНСТРОЙ!G763</f>
        <v>0</v>
      </c>
      <c r="H842" s="8">
        <f>НОВЫЙ_МИНСТРОЙ!H763</f>
        <v>0</v>
      </c>
      <c r="I842" s="8">
        <f>НОВЫЙ_МИНСТРОЙ!I763</f>
        <v>0</v>
      </c>
      <c r="J842" s="109"/>
      <c r="K842" s="109"/>
    </row>
    <row r="843" spans="1:16" outlineLevel="1" x14ac:dyDescent="0.25">
      <c r="A843" s="109"/>
      <c r="B843" s="109"/>
      <c r="C843" s="109"/>
      <c r="D843" s="106">
        <v>2023</v>
      </c>
      <c r="E843" s="8">
        <f>SUM(F843:G843)</f>
        <v>381844.82530999999</v>
      </c>
      <c r="F843" s="8">
        <f>SUM(F850,F857,F864)</f>
        <v>84525.085309999995</v>
      </c>
      <c r="G843" s="8">
        <f>SUM(G850,G857,G864)</f>
        <v>297319.74</v>
      </c>
      <c r="H843" s="8">
        <f>НОВЫЙ_МИНСТРОЙ!H764</f>
        <v>0</v>
      </c>
      <c r="I843" s="8">
        <f>НОВЫЙ_МИНСТРОЙ!I764</f>
        <v>0</v>
      </c>
      <c r="J843" s="109"/>
      <c r="K843" s="109"/>
    </row>
    <row r="844" spans="1:16" outlineLevel="1" x14ac:dyDescent="0.25">
      <c r="A844" s="109"/>
      <c r="B844" s="109"/>
      <c r="C844" s="109"/>
      <c r="D844" s="106">
        <v>2024</v>
      </c>
      <c r="E844" s="8">
        <f>SUM(F844:I844)</f>
        <v>1137317.1484699999</v>
      </c>
      <c r="F844" s="8">
        <f>SUM(F851,F858,F865)</f>
        <v>767208.54847000004</v>
      </c>
      <c r="G844" s="8">
        <f>НОВЫЙ_МИНСТРОЙ!G765</f>
        <v>370108.6</v>
      </c>
      <c r="H844" s="8">
        <f>НОВЫЙ_МИНСТРОЙ!H765</f>
        <v>0</v>
      </c>
      <c r="I844" s="8">
        <f>НОВЫЙ_МИНСТРОЙ!I765</f>
        <v>0</v>
      </c>
      <c r="J844" s="109"/>
      <c r="K844" s="109"/>
    </row>
    <row r="845" spans="1:16" outlineLevel="1" x14ac:dyDescent="0.25">
      <c r="A845" s="109"/>
      <c r="B845" s="109"/>
      <c r="C845" s="109"/>
      <c r="D845" s="106">
        <v>2025</v>
      </c>
      <c r="E845" s="8">
        <f>НОВЫЙ_МИНСТРОЙ!E766</f>
        <v>482170</v>
      </c>
      <c r="F845" s="8">
        <f>SUM(F852,F859,F866)</f>
        <v>482170</v>
      </c>
      <c r="G845" s="8">
        <f>НОВЫЙ_МИНСТРОЙ!G766</f>
        <v>0</v>
      </c>
      <c r="H845" s="8">
        <f>НОВЫЙ_МИНСТРОЙ!H766</f>
        <v>0</v>
      </c>
      <c r="I845" s="8">
        <f>НОВЫЙ_МИНСТРОЙ!I766</f>
        <v>0</v>
      </c>
      <c r="J845" s="109"/>
      <c r="K845" s="109"/>
    </row>
    <row r="846" spans="1:16" s="80" customFormat="1" outlineLevel="1" x14ac:dyDescent="0.25">
      <c r="A846" s="110"/>
      <c r="B846" s="110"/>
      <c r="C846" s="110"/>
      <c r="D846" s="106">
        <v>2026</v>
      </c>
      <c r="E846" s="8">
        <v>0</v>
      </c>
      <c r="F846" s="8">
        <v>0</v>
      </c>
      <c r="G846" s="8">
        <v>0</v>
      </c>
      <c r="H846" s="8">
        <v>0</v>
      </c>
      <c r="I846" s="8">
        <v>0</v>
      </c>
      <c r="J846" s="110"/>
      <c r="K846" s="110"/>
      <c r="M846" s="55"/>
      <c r="N846" s="55"/>
      <c r="O846" s="55"/>
      <c r="P846" s="55"/>
    </row>
    <row r="847" spans="1:16" ht="15" customHeight="1" outlineLevel="1" x14ac:dyDescent="0.25">
      <c r="A847" s="108" t="s">
        <v>1218</v>
      </c>
      <c r="B847" s="108" t="s">
        <v>101</v>
      </c>
      <c r="C847" s="108" t="s">
        <v>1778</v>
      </c>
      <c r="D847" s="106" t="s">
        <v>8</v>
      </c>
      <c r="E847" s="8">
        <f>SUM(E848:E853)</f>
        <v>920148.86378000001</v>
      </c>
      <c r="F847" s="8">
        <f>SUM(F848:F853)</f>
        <v>369563.63377999997</v>
      </c>
      <c r="G847" s="8">
        <f>НОВЫЙ_МИНСТРОЙ!G767</f>
        <v>550585.23</v>
      </c>
      <c r="H847" s="8">
        <f>НОВЫЙ_МИНСТРОЙ!H767</f>
        <v>0</v>
      </c>
      <c r="I847" s="8">
        <f>НОВЫЙ_МИНСТРОЙ!I767</f>
        <v>0</v>
      </c>
      <c r="J847" s="108" t="s">
        <v>1219</v>
      </c>
      <c r="K847" s="108" t="s">
        <v>1220</v>
      </c>
    </row>
    <row r="848" spans="1:16" outlineLevel="1" x14ac:dyDescent="0.25">
      <c r="A848" s="109"/>
      <c r="B848" s="109"/>
      <c r="C848" s="109"/>
      <c r="D848" s="106">
        <v>2021</v>
      </c>
      <c r="E848" s="8">
        <f>НОВЫЙ_МИНСТРОЙ!E768</f>
        <v>0</v>
      </c>
      <c r="F848" s="8">
        <f>НОВЫЙ_МИНСТРОЙ!F768</f>
        <v>0</v>
      </c>
      <c r="G848" s="8">
        <f>НОВЫЙ_МИНСТРОЙ!G768</f>
        <v>0</v>
      </c>
      <c r="H848" s="8">
        <f>НОВЫЙ_МИНСТРОЙ!H768</f>
        <v>0</v>
      </c>
      <c r="I848" s="8">
        <f>НОВЫЙ_МИНСТРОЙ!I768</f>
        <v>0</v>
      </c>
      <c r="J848" s="109"/>
      <c r="K848" s="109"/>
    </row>
    <row r="849" spans="1:16" outlineLevel="1" x14ac:dyDescent="0.25">
      <c r="A849" s="109"/>
      <c r="B849" s="109"/>
      <c r="C849" s="109"/>
      <c r="D849" s="106">
        <v>2022</v>
      </c>
      <c r="E849" s="8">
        <f>НОВЫЙ_МИНСТРОЙ!E769</f>
        <v>0</v>
      </c>
      <c r="F849" s="8">
        <f>НОВЫЙ_МИНСТРОЙ!F769</f>
        <v>0</v>
      </c>
      <c r="G849" s="8">
        <f>НОВЫЙ_МИНСТРОЙ!G769</f>
        <v>0</v>
      </c>
      <c r="H849" s="8">
        <f>НОВЫЙ_МИНСТРОЙ!H769</f>
        <v>0</v>
      </c>
      <c r="I849" s="8">
        <f>НОВЫЙ_МИНСТРОЙ!I769</f>
        <v>0</v>
      </c>
      <c r="J849" s="109"/>
      <c r="K849" s="109"/>
    </row>
    <row r="850" spans="1:16" outlineLevel="1" x14ac:dyDescent="0.25">
      <c r="A850" s="109"/>
      <c r="B850" s="109"/>
      <c r="C850" s="109"/>
      <c r="D850" s="106">
        <v>2023</v>
      </c>
      <c r="E850" s="8">
        <f>SUM(F850:I850)</f>
        <v>265001.71531</v>
      </c>
      <c r="F850" s="8">
        <f>НОВЫЙ_МИНСТРОЙ!F770</f>
        <v>84525.085309999995</v>
      </c>
      <c r="G850" s="8">
        <f>НОВЫЙ_МИНСТРОЙ!G770</f>
        <v>180476.63</v>
      </c>
      <c r="H850" s="8">
        <f>НОВЫЙ_МИНСТРОЙ!H770</f>
        <v>0</v>
      </c>
      <c r="I850" s="8">
        <f>НОВЫЙ_МИНСТРОЙ!I770</f>
        <v>0</v>
      </c>
      <c r="J850" s="109"/>
      <c r="K850" s="109"/>
    </row>
    <row r="851" spans="1:16" outlineLevel="1" x14ac:dyDescent="0.25">
      <c r="A851" s="109"/>
      <c r="B851" s="109"/>
      <c r="C851" s="109"/>
      <c r="D851" s="106">
        <v>2024</v>
      </c>
      <c r="E851" s="8">
        <f>НОВЫЙ_МИНСТРОЙ!E771+36132.17522</f>
        <v>655147.14847000001</v>
      </c>
      <c r="F851" s="8">
        <f>НОВЫЙ_МИНСТРОЙ!F771+36132.17522</f>
        <v>285038.54846999998</v>
      </c>
      <c r="G851" s="8">
        <f>НОВЫЙ_МИНСТРОЙ!G771</f>
        <v>370108.6</v>
      </c>
      <c r="H851" s="8">
        <f>НОВЫЙ_МИНСТРОЙ!H771</f>
        <v>0</v>
      </c>
      <c r="I851" s="8">
        <f>НОВЫЙ_МИНСТРОЙ!I771</f>
        <v>0</v>
      </c>
      <c r="J851" s="109"/>
      <c r="K851" s="109"/>
      <c r="M851" s="56">
        <f>SUM(F847,F854,F861)</f>
        <v>1333903.63378</v>
      </c>
    </row>
    <row r="852" spans="1:16" outlineLevel="1" x14ac:dyDescent="0.25">
      <c r="A852" s="109"/>
      <c r="B852" s="109"/>
      <c r="C852" s="109"/>
      <c r="D852" s="106">
        <v>2025</v>
      </c>
      <c r="E852" s="8">
        <f>НОВЫЙ_МИНСТРОЙ!E772</f>
        <v>0</v>
      </c>
      <c r="F852" s="8">
        <f>НОВЫЙ_МИНСТРОЙ!F772</f>
        <v>0</v>
      </c>
      <c r="G852" s="8">
        <f>НОВЫЙ_МИНСТРОЙ!G772</f>
        <v>0</v>
      </c>
      <c r="H852" s="8">
        <f>НОВЫЙ_МИНСТРОЙ!H772</f>
        <v>0</v>
      </c>
      <c r="I852" s="8">
        <f>НОВЫЙ_МИНСТРОЙ!I772</f>
        <v>0</v>
      </c>
      <c r="J852" s="109"/>
      <c r="K852" s="109"/>
    </row>
    <row r="853" spans="1:16" s="80" customFormat="1" outlineLevel="1" x14ac:dyDescent="0.25">
      <c r="A853" s="110"/>
      <c r="B853" s="110"/>
      <c r="C853" s="110"/>
      <c r="D853" s="106">
        <v>2026</v>
      </c>
      <c r="E853" s="8">
        <v>0</v>
      </c>
      <c r="F853" s="8">
        <v>0</v>
      </c>
      <c r="G853" s="8">
        <v>0</v>
      </c>
      <c r="H853" s="8">
        <v>0</v>
      </c>
      <c r="I853" s="8">
        <v>0</v>
      </c>
      <c r="J853" s="110"/>
      <c r="K853" s="110"/>
      <c r="M853" s="55"/>
      <c r="N853" s="55"/>
      <c r="O853" s="55"/>
      <c r="P853" s="55"/>
    </row>
    <row r="854" spans="1:16" ht="12.75" customHeight="1" outlineLevel="1" x14ac:dyDescent="0.25">
      <c r="A854" s="108" t="s">
        <v>1221</v>
      </c>
      <c r="B854" s="108" t="s">
        <v>1755</v>
      </c>
      <c r="C854" s="108" t="s">
        <v>1778</v>
      </c>
      <c r="D854" s="106" t="s">
        <v>8</v>
      </c>
      <c r="E854" s="8">
        <f>НОВЫЙ_МИНСТРОЙ!E773</f>
        <v>249780</v>
      </c>
      <c r="F854" s="8">
        <f>НОВЫЙ_МИНСТРОЙ!F773</f>
        <v>184340</v>
      </c>
      <c r="G854" s="8">
        <f>НОВЫЙ_МИНСТРОЙ!G773</f>
        <v>65440</v>
      </c>
      <c r="H854" s="8">
        <f>НОВЫЙ_МИНСТРОЙ!H773</f>
        <v>0</v>
      </c>
      <c r="I854" s="8">
        <f>НОВЫЙ_МИНСТРОЙ!I773</f>
        <v>0</v>
      </c>
      <c r="J854" s="108" t="s">
        <v>1763</v>
      </c>
      <c r="K854" s="108" t="s">
        <v>1757</v>
      </c>
    </row>
    <row r="855" spans="1:16" ht="12.75" customHeight="1" outlineLevel="1" x14ac:dyDescent="0.25">
      <c r="A855" s="109"/>
      <c r="B855" s="109"/>
      <c r="C855" s="109"/>
      <c r="D855" s="106">
        <v>2021</v>
      </c>
      <c r="E855" s="8">
        <f>НОВЫЙ_МИНСТРОЙ!E774</f>
        <v>0</v>
      </c>
      <c r="F855" s="8">
        <f>НОВЫЙ_МИНСТРОЙ!F774</f>
        <v>0</v>
      </c>
      <c r="G855" s="8">
        <f>НОВЫЙ_МИНСТРОЙ!G774</f>
        <v>0</v>
      </c>
      <c r="H855" s="8">
        <f>НОВЫЙ_МИНСТРОЙ!H774</f>
        <v>0</v>
      </c>
      <c r="I855" s="8">
        <f>НОВЫЙ_МИНСТРОЙ!I774</f>
        <v>0</v>
      </c>
      <c r="J855" s="109"/>
      <c r="K855" s="109"/>
    </row>
    <row r="856" spans="1:16" ht="12.75" customHeight="1" outlineLevel="1" x14ac:dyDescent="0.25">
      <c r="A856" s="109"/>
      <c r="B856" s="109"/>
      <c r="C856" s="109"/>
      <c r="D856" s="106">
        <v>2022</v>
      </c>
      <c r="E856" s="8">
        <f>НОВЫЙ_МИНСТРОЙ!E775</f>
        <v>0</v>
      </c>
      <c r="F856" s="8">
        <f>НОВЫЙ_МИНСТРОЙ!F775</f>
        <v>0</v>
      </c>
      <c r="G856" s="8">
        <f>НОВЫЙ_МИНСТРОЙ!G775</f>
        <v>0</v>
      </c>
      <c r="H856" s="8">
        <f>НОВЫЙ_МИНСТРОЙ!H775</f>
        <v>0</v>
      </c>
      <c r="I856" s="8">
        <f>НОВЫЙ_МИНСТРОЙ!I775</f>
        <v>0</v>
      </c>
      <c r="J856" s="109"/>
      <c r="K856" s="109"/>
    </row>
    <row r="857" spans="1:16" ht="12.75" customHeight="1" outlineLevel="1" x14ac:dyDescent="0.25">
      <c r="A857" s="109"/>
      <c r="B857" s="109"/>
      <c r="C857" s="109"/>
      <c r="D857" s="106">
        <v>2023</v>
      </c>
      <c r="E857" s="8">
        <f>НОВЫЙ_МИНСТРОЙ!E776</f>
        <v>65440</v>
      </c>
      <c r="F857" s="8">
        <f>НОВЫЙ_МИНСТРОЙ!F776</f>
        <v>0</v>
      </c>
      <c r="G857" s="8">
        <f>НОВЫЙ_МИНСТРОЙ!G776</f>
        <v>65440</v>
      </c>
      <c r="H857" s="8">
        <f>НОВЫЙ_МИНСТРОЙ!H776</f>
        <v>0</v>
      </c>
      <c r="I857" s="8">
        <f>НОВЫЙ_МИНСТРОЙ!I776</f>
        <v>0</v>
      </c>
      <c r="J857" s="109"/>
      <c r="K857" s="109"/>
    </row>
    <row r="858" spans="1:16" ht="12.75" customHeight="1" outlineLevel="1" x14ac:dyDescent="0.25">
      <c r="A858" s="109"/>
      <c r="B858" s="109"/>
      <c r="C858" s="109"/>
      <c r="D858" s="106">
        <v>2024</v>
      </c>
      <c r="E858" s="8">
        <f>НОВЫЙ_МИНСТРОЙ!E777</f>
        <v>92170</v>
      </c>
      <c r="F858" s="8">
        <f>НОВЫЙ_МИНСТРОЙ!F777</f>
        <v>92170</v>
      </c>
      <c r="G858" s="8">
        <f>НОВЫЙ_МИНСТРОЙ!G777</f>
        <v>0</v>
      </c>
      <c r="H858" s="8">
        <f>НОВЫЙ_МИНСТРОЙ!H777</f>
        <v>0</v>
      </c>
      <c r="I858" s="8">
        <f>НОВЫЙ_МИНСТРОЙ!I777</f>
        <v>0</v>
      </c>
      <c r="J858" s="109"/>
      <c r="K858" s="109"/>
    </row>
    <row r="859" spans="1:16" ht="42.75" customHeight="1" outlineLevel="1" x14ac:dyDescent="0.25">
      <c r="A859" s="109"/>
      <c r="B859" s="109"/>
      <c r="C859" s="109"/>
      <c r="D859" s="106">
        <v>2025</v>
      </c>
      <c r="E859" s="8">
        <f>НОВЫЙ_МИНСТРОЙ!E778</f>
        <v>92170</v>
      </c>
      <c r="F859" s="8">
        <f>НОВЫЙ_МИНСТРОЙ!F778</f>
        <v>92170</v>
      </c>
      <c r="G859" s="8">
        <f>НОВЫЙ_МИНСТРОЙ!G778</f>
        <v>0</v>
      </c>
      <c r="H859" s="8">
        <f>НОВЫЙ_МИНСТРОЙ!H778</f>
        <v>0</v>
      </c>
      <c r="I859" s="8">
        <f>НОВЫЙ_МИНСТРОЙ!I778</f>
        <v>0</v>
      </c>
      <c r="J859" s="109"/>
      <c r="K859" s="109"/>
    </row>
    <row r="860" spans="1:16" s="80" customFormat="1" ht="17.25" customHeight="1" outlineLevel="1" x14ac:dyDescent="0.25">
      <c r="A860" s="110"/>
      <c r="B860" s="110"/>
      <c r="C860" s="110"/>
      <c r="D860" s="106">
        <v>2026</v>
      </c>
      <c r="E860" s="8">
        <v>0</v>
      </c>
      <c r="F860" s="8">
        <v>0</v>
      </c>
      <c r="G860" s="8">
        <v>0</v>
      </c>
      <c r="H860" s="8">
        <v>0</v>
      </c>
      <c r="I860" s="8">
        <v>0</v>
      </c>
      <c r="J860" s="110"/>
      <c r="K860" s="110"/>
      <c r="M860" s="55"/>
      <c r="N860" s="55"/>
      <c r="O860" s="55"/>
      <c r="P860" s="55"/>
    </row>
    <row r="861" spans="1:16" ht="12.75" customHeight="1" outlineLevel="1" x14ac:dyDescent="0.25">
      <c r="A861" s="108" t="s">
        <v>677</v>
      </c>
      <c r="B861" s="108" t="s">
        <v>1754</v>
      </c>
      <c r="C861" s="108" t="s">
        <v>1778</v>
      </c>
      <c r="D861" s="106" t="s">
        <v>8</v>
      </c>
      <c r="E861" s="8">
        <f>НОВЫЙ_МИНСТРОЙ!E779</f>
        <v>831403.11</v>
      </c>
      <c r="F861" s="8">
        <f>НОВЫЙ_МИНСТРОЙ!F779</f>
        <v>780000</v>
      </c>
      <c r="G861" s="8">
        <f>НОВЫЙ_МИНСТРОЙ!G779</f>
        <v>51403.11</v>
      </c>
      <c r="H861" s="8">
        <f>НОВЫЙ_МИНСТРОЙ!H779</f>
        <v>0</v>
      </c>
      <c r="I861" s="8">
        <f>НОВЫЙ_МИНСТРОЙ!I779</f>
        <v>0</v>
      </c>
      <c r="J861" s="108" t="s">
        <v>1763</v>
      </c>
      <c r="K861" s="108" t="s">
        <v>1757</v>
      </c>
    </row>
    <row r="862" spans="1:16" outlineLevel="1" x14ac:dyDescent="0.25">
      <c r="A862" s="109"/>
      <c r="B862" s="109"/>
      <c r="C862" s="109"/>
      <c r="D862" s="106">
        <v>2021</v>
      </c>
      <c r="E862" s="8">
        <f>НОВЫЙ_МИНСТРОЙ!E780</f>
        <v>0</v>
      </c>
      <c r="F862" s="8">
        <f>НОВЫЙ_МИНСТРОЙ!F780</f>
        <v>0</v>
      </c>
      <c r="G862" s="8">
        <f>НОВЫЙ_МИНСТРОЙ!G780</f>
        <v>0</v>
      </c>
      <c r="H862" s="8">
        <f>НОВЫЙ_МИНСТРОЙ!H780</f>
        <v>0</v>
      </c>
      <c r="I862" s="8">
        <f>НОВЫЙ_МИНСТРОЙ!I780</f>
        <v>0</v>
      </c>
      <c r="J862" s="109"/>
      <c r="K862" s="109"/>
    </row>
    <row r="863" spans="1:16" outlineLevel="1" x14ac:dyDescent="0.25">
      <c r="A863" s="109"/>
      <c r="B863" s="109"/>
      <c r="C863" s="109"/>
      <c r="D863" s="106">
        <v>2022</v>
      </c>
      <c r="E863" s="8">
        <f>НОВЫЙ_МИНСТРОЙ!E781</f>
        <v>0</v>
      </c>
      <c r="F863" s="8">
        <f>НОВЫЙ_МИНСТРОЙ!F781</f>
        <v>0</v>
      </c>
      <c r="G863" s="8">
        <f>НОВЫЙ_МИНСТРОЙ!G781</f>
        <v>0</v>
      </c>
      <c r="H863" s="8">
        <f>НОВЫЙ_МИНСТРОЙ!H781</f>
        <v>0</v>
      </c>
      <c r="I863" s="8">
        <f>НОВЫЙ_МИНСТРОЙ!I781</f>
        <v>0</v>
      </c>
      <c r="J863" s="109"/>
      <c r="K863" s="109"/>
    </row>
    <row r="864" spans="1:16" outlineLevel="1" x14ac:dyDescent="0.25">
      <c r="A864" s="109"/>
      <c r="B864" s="109"/>
      <c r="C864" s="109"/>
      <c r="D864" s="106">
        <v>2023</v>
      </c>
      <c r="E864" s="8">
        <f>НОВЫЙ_МИНСТРОЙ!E782</f>
        <v>51403.11</v>
      </c>
      <c r="F864" s="8">
        <f>НОВЫЙ_МИНСТРОЙ!F782</f>
        <v>0</v>
      </c>
      <c r="G864" s="8">
        <f>НОВЫЙ_МИНСТРОЙ!G782</f>
        <v>51403.11</v>
      </c>
      <c r="H864" s="8">
        <f>НОВЫЙ_МИНСТРОЙ!H782</f>
        <v>0</v>
      </c>
      <c r="I864" s="8">
        <f>НОВЫЙ_МИНСТРОЙ!I782</f>
        <v>0</v>
      </c>
      <c r="J864" s="109"/>
      <c r="K864" s="109"/>
    </row>
    <row r="865" spans="1:16" outlineLevel="1" x14ac:dyDescent="0.25">
      <c r="A865" s="109"/>
      <c r="B865" s="109"/>
      <c r="C865" s="109"/>
      <c r="D865" s="106">
        <v>2024</v>
      </c>
      <c r="E865" s="8">
        <f>НОВЫЙ_МИНСТРОЙ!E783</f>
        <v>390000</v>
      </c>
      <c r="F865" s="8">
        <f>НОВЫЙ_МИНСТРОЙ!F783</f>
        <v>390000</v>
      </c>
      <c r="G865" s="8">
        <f>НОВЫЙ_МИНСТРОЙ!G783</f>
        <v>0</v>
      </c>
      <c r="H865" s="8">
        <f>НОВЫЙ_МИНСТРОЙ!H783</f>
        <v>0</v>
      </c>
      <c r="I865" s="8">
        <f>НОВЫЙ_МИНСТРОЙ!I783</f>
        <v>0</v>
      </c>
      <c r="J865" s="109"/>
      <c r="K865" s="109"/>
    </row>
    <row r="866" spans="1:16" ht="48.75" customHeight="1" outlineLevel="1" x14ac:dyDescent="0.25">
      <c r="A866" s="109"/>
      <c r="B866" s="109"/>
      <c r="C866" s="109"/>
      <c r="D866" s="106">
        <v>2025</v>
      </c>
      <c r="E866" s="8">
        <f>НОВЫЙ_МИНСТРОЙ!E784</f>
        <v>390000</v>
      </c>
      <c r="F866" s="8">
        <f>НОВЫЙ_МИНСТРОЙ!F784</f>
        <v>390000</v>
      </c>
      <c r="G866" s="8">
        <f>НОВЫЙ_МИНСТРОЙ!G784</f>
        <v>0</v>
      </c>
      <c r="H866" s="8">
        <f>НОВЫЙ_МИНСТРОЙ!H784</f>
        <v>0</v>
      </c>
      <c r="I866" s="8">
        <f>НОВЫЙ_МИНСТРОЙ!I784</f>
        <v>0</v>
      </c>
      <c r="J866" s="109"/>
      <c r="K866" s="109"/>
    </row>
    <row r="867" spans="1:16" s="80" customFormat="1" ht="17.25" customHeight="1" outlineLevel="1" x14ac:dyDescent="0.25">
      <c r="A867" s="110"/>
      <c r="B867" s="110"/>
      <c r="C867" s="110"/>
      <c r="D867" s="106">
        <v>2026</v>
      </c>
      <c r="E867" s="8">
        <v>0</v>
      </c>
      <c r="F867" s="8">
        <v>0</v>
      </c>
      <c r="G867" s="8">
        <v>0</v>
      </c>
      <c r="H867" s="8">
        <v>0</v>
      </c>
      <c r="I867" s="8">
        <v>0</v>
      </c>
      <c r="J867" s="110"/>
      <c r="K867" s="110"/>
      <c r="M867" s="55"/>
      <c r="N867" s="55"/>
      <c r="O867" s="55"/>
      <c r="P867" s="55"/>
    </row>
    <row r="868" spans="1:16" ht="12.75" customHeight="1" outlineLevel="1" x14ac:dyDescent="0.25">
      <c r="A868" s="108" t="s">
        <v>1747</v>
      </c>
      <c r="B868" s="108" t="s">
        <v>1761</v>
      </c>
      <c r="C868" s="108" t="s">
        <v>1778</v>
      </c>
      <c r="D868" s="106" t="s">
        <v>8</v>
      </c>
      <c r="E868" s="8">
        <f t="shared" ref="E868:I872" si="55">SUM(E875,E882)</f>
        <v>187892.8</v>
      </c>
      <c r="F868" s="8">
        <f t="shared" si="55"/>
        <v>186006.66899999999</v>
      </c>
      <c r="G868" s="8">
        <f t="shared" si="55"/>
        <v>0</v>
      </c>
      <c r="H868" s="8">
        <f t="shared" si="55"/>
        <v>1886.1310000000001</v>
      </c>
      <c r="I868" s="8">
        <f t="shared" si="55"/>
        <v>0</v>
      </c>
      <c r="J868" s="108" t="s">
        <v>1759</v>
      </c>
      <c r="K868" s="108" t="s">
        <v>1749</v>
      </c>
    </row>
    <row r="869" spans="1:16" outlineLevel="1" x14ac:dyDescent="0.25">
      <c r="A869" s="109"/>
      <c r="B869" s="109"/>
      <c r="C869" s="109"/>
      <c r="D869" s="106">
        <v>2021</v>
      </c>
      <c r="E869" s="8">
        <f t="shared" si="55"/>
        <v>0</v>
      </c>
      <c r="F869" s="8">
        <f t="shared" si="55"/>
        <v>0</v>
      </c>
      <c r="G869" s="8">
        <f t="shared" si="55"/>
        <v>0</v>
      </c>
      <c r="H869" s="8">
        <f t="shared" si="55"/>
        <v>0</v>
      </c>
      <c r="I869" s="8">
        <f t="shared" si="55"/>
        <v>0</v>
      </c>
      <c r="J869" s="109"/>
      <c r="K869" s="109"/>
    </row>
    <row r="870" spans="1:16" outlineLevel="1" x14ac:dyDescent="0.25">
      <c r="A870" s="109"/>
      <c r="B870" s="109"/>
      <c r="C870" s="109"/>
      <c r="D870" s="106">
        <v>2022</v>
      </c>
      <c r="E870" s="8">
        <f t="shared" si="55"/>
        <v>0</v>
      </c>
      <c r="F870" s="8">
        <f t="shared" si="55"/>
        <v>0</v>
      </c>
      <c r="G870" s="8">
        <f t="shared" si="55"/>
        <v>0</v>
      </c>
      <c r="H870" s="8">
        <f t="shared" si="55"/>
        <v>0</v>
      </c>
      <c r="I870" s="8">
        <f t="shared" si="55"/>
        <v>0</v>
      </c>
      <c r="J870" s="109"/>
      <c r="K870" s="109"/>
    </row>
    <row r="871" spans="1:16" outlineLevel="1" x14ac:dyDescent="0.25">
      <c r="A871" s="109"/>
      <c r="B871" s="109"/>
      <c r="C871" s="109"/>
      <c r="D871" s="106">
        <v>2023</v>
      </c>
      <c r="E871" s="8">
        <f t="shared" si="55"/>
        <v>28290</v>
      </c>
      <c r="F871" s="8">
        <f t="shared" si="55"/>
        <v>28000</v>
      </c>
      <c r="G871" s="8">
        <f t="shared" si="55"/>
        <v>0</v>
      </c>
      <c r="H871" s="8">
        <f t="shared" si="55"/>
        <v>290</v>
      </c>
      <c r="I871" s="8">
        <f t="shared" si="55"/>
        <v>0</v>
      </c>
      <c r="J871" s="109"/>
      <c r="K871" s="109"/>
    </row>
    <row r="872" spans="1:16" outlineLevel="1" x14ac:dyDescent="0.25">
      <c r="A872" s="109"/>
      <c r="B872" s="109"/>
      <c r="C872" s="109"/>
      <c r="D872" s="106">
        <v>2024</v>
      </c>
      <c r="E872" s="8">
        <f t="shared" si="55"/>
        <v>80355</v>
      </c>
      <c r="F872" s="8">
        <f t="shared" si="55"/>
        <v>79551.453999999998</v>
      </c>
      <c r="G872" s="8">
        <f t="shared" si="55"/>
        <v>0</v>
      </c>
      <c r="H872" s="8">
        <f t="shared" si="55"/>
        <v>803.54600000000005</v>
      </c>
      <c r="I872" s="8">
        <f t="shared" si="55"/>
        <v>0</v>
      </c>
      <c r="J872" s="109"/>
      <c r="K872" s="109"/>
    </row>
    <row r="873" spans="1:16" outlineLevel="1" x14ac:dyDescent="0.25">
      <c r="A873" s="109"/>
      <c r="B873" s="109"/>
      <c r="C873" s="109"/>
      <c r="D873" s="106">
        <v>2025</v>
      </c>
      <c r="E873" s="8">
        <f t="shared" ref="E873:I873" si="56">SUM(E880,E887)</f>
        <v>79247.8</v>
      </c>
      <c r="F873" s="8">
        <f t="shared" si="56"/>
        <v>78455.214999999997</v>
      </c>
      <c r="G873" s="8">
        <f t="shared" si="56"/>
        <v>0</v>
      </c>
      <c r="H873" s="8">
        <f t="shared" si="56"/>
        <v>792.58500000000004</v>
      </c>
      <c r="I873" s="8">
        <f t="shared" si="56"/>
        <v>0</v>
      </c>
      <c r="J873" s="109"/>
      <c r="K873" s="109"/>
    </row>
    <row r="874" spans="1:16" s="80" customFormat="1" outlineLevel="1" x14ac:dyDescent="0.25">
      <c r="A874" s="110"/>
      <c r="B874" s="110"/>
      <c r="C874" s="110"/>
      <c r="D874" s="106">
        <v>2026</v>
      </c>
      <c r="E874" s="8">
        <v>0</v>
      </c>
      <c r="F874" s="8">
        <v>0</v>
      </c>
      <c r="G874" s="8">
        <v>0</v>
      </c>
      <c r="H874" s="8">
        <v>0</v>
      </c>
      <c r="I874" s="8">
        <v>0</v>
      </c>
      <c r="J874" s="110"/>
      <c r="K874" s="110"/>
      <c r="M874" s="55"/>
      <c r="N874" s="55"/>
      <c r="O874" s="55"/>
      <c r="P874" s="55"/>
    </row>
    <row r="875" spans="1:16" ht="12.75" customHeight="1" outlineLevel="1" x14ac:dyDescent="0.25">
      <c r="A875" s="108" t="s">
        <v>1750</v>
      </c>
      <c r="B875" s="108" t="s">
        <v>1753</v>
      </c>
      <c r="C875" s="108" t="s">
        <v>1778</v>
      </c>
      <c r="D875" s="106" t="s">
        <v>8</v>
      </c>
      <c r="E875" s="8">
        <f>НОВЫЙ_МИНСТРОЙ!E791</f>
        <v>138499.6</v>
      </c>
      <c r="F875" s="8">
        <f>НОВЫЙ_МИНСТРОЙ!F791</f>
        <v>137107.46900000001</v>
      </c>
      <c r="G875" s="8">
        <f>НОВЫЙ_МИНСТРОЙ!G791</f>
        <v>0</v>
      </c>
      <c r="H875" s="8">
        <f>НОВЫЙ_МИНСТРОЙ!H791</f>
        <v>1392.1310000000001</v>
      </c>
      <c r="I875" s="8">
        <f>НОВЫЙ_МИНСТРОЙ!I791</f>
        <v>0</v>
      </c>
      <c r="J875" s="108" t="s">
        <v>1752</v>
      </c>
      <c r="K875" s="108" t="s">
        <v>1748</v>
      </c>
    </row>
    <row r="876" spans="1:16" outlineLevel="1" x14ac:dyDescent="0.25">
      <c r="A876" s="109"/>
      <c r="B876" s="109"/>
      <c r="C876" s="109"/>
      <c r="D876" s="106">
        <v>2021</v>
      </c>
      <c r="E876" s="8">
        <f>НОВЫЙ_МИНСТРОЙ!E792</f>
        <v>0</v>
      </c>
      <c r="F876" s="8">
        <f>НОВЫЙ_МИНСТРОЙ!F792</f>
        <v>0</v>
      </c>
      <c r="G876" s="8">
        <f>НОВЫЙ_МИНСТРОЙ!G792</f>
        <v>0</v>
      </c>
      <c r="H876" s="8">
        <f>НОВЫЙ_МИНСТРОЙ!H792</f>
        <v>0</v>
      </c>
      <c r="I876" s="8">
        <f>НОВЫЙ_МИНСТРОЙ!I792</f>
        <v>0</v>
      </c>
      <c r="J876" s="109"/>
      <c r="K876" s="109"/>
      <c r="M876" s="55">
        <f>SUM(E875,E882)</f>
        <v>187892.8</v>
      </c>
    </row>
    <row r="877" spans="1:16" outlineLevel="1" x14ac:dyDescent="0.25">
      <c r="A877" s="109"/>
      <c r="B877" s="109"/>
      <c r="C877" s="109"/>
      <c r="D877" s="106">
        <v>2022</v>
      </c>
      <c r="E877" s="8">
        <f>НОВЫЙ_МИНСТРОЙ!E793</f>
        <v>0</v>
      </c>
      <c r="F877" s="8">
        <f>НОВЫЙ_МИНСТРОЙ!F793</f>
        <v>0</v>
      </c>
      <c r="G877" s="8">
        <f>НОВЫЙ_МИНСТРОЙ!G793</f>
        <v>0</v>
      </c>
      <c r="H877" s="8">
        <f>НОВЫЙ_МИНСТРОЙ!H793</f>
        <v>0</v>
      </c>
      <c r="I877" s="8">
        <f>НОВЫЙ_МИНСТРОЙ!I793</f>
        <v>0</v>
      </c>
      <c r="J877" s="109"/>
      <c r="K877" s="109"/>
    </row>
    <row r="878" spans="1:16" outlineLevel="1" x14ac:dyDescent="0.25">
      <c r="A878" s="109"/>
      <c r="B878" s="109"/>
      <c r="C878" s="109"/>
      <c r="D878" s="106">
        <v>2023</v>
      </c>
      <c r="E878" s="8">
        <f>НОВЫЙ_МИНСТРОЙ!E794</f>
        <v>20666.5</v>
      </c>
      <c r="F878" s="8">
        <f>НОВЫЙ_МИНСТРОЙ!F794</f>
        <v>20452.7</v>
      </c>
      <c r="G878" s="8">
        <f>НОВЫЙ_МИНСТРОЙ!G794</f>
        <v>0</v>
      </c>
      <c r="H878" s="8">
        <f>НОВЫЙ_МИНСТРОЙ!H794</f>
        <v>213.8</v>
      </c>
      <c r="I878" s="8">
        <f>НОВЫЙ_МИНСТРОЙ!I794</f>
        <v>0</v>
      </c>
      <c r="J878" s="109"/>
      <c r="K878" s="109"/>
    </row>
    <row r="879" spans="1:16" outlineLevel="1" x14ac:dyDescent="0.25">
      <c r="A879" s="109"/>
      <c r="B879" s="109"/>
      <c r="C879" s="109"/>
      <c r="D879" s="106">
        <v>2024</v>
      </c>
      <c r="E879" s="8">
        <f>НОВЫЙ_МИНСТРОЙ!E795</f>
        <v>59324.6</v>
      </c>
      <c r="F879" s="8">
        <f>НОВЫЙ_МИНСТРОЙ!F795</f>
        <v>58731.353999999999</v>
      </c>
      <c r="G879" s="8">
        <f>НОВЫЙ_МИНСТРОЙ!G795</f>
        <v>0</v>
      </c>
      <c r="H879" s="8">
        <f>НОВЫЙ_МИНСТРОЙ!H795</f>
        <v>593.24599999999998</v>
      </c>
      <c r="I879" s="8">
        <f>НОВЫЙ_МИНСТРОЙ!I795</f>
        <v>0</v>
      </c>
      <c r="J879" s="109"/>
      <c r="K879" s="109"/>
    </row>
    <row r="880" spans="1:16" outlineLevel="1" x14ac:dyDescent="0.25">
      <c r="A880" s="109"/>
      <c r="B880" s="109"/>
      <c r="C880" s="109"/>
      <c r="D880" s="106">
        <v>2025</v>
      </c>
      <c r="E880" s="8">
        <f>НОВЫЙ_МИНСТРОЙ!E796</f>
        <v>58508.5</v>
      </c>
      <c r="F880" s="8">
        <f>НОВЫЙ_МИНСТРОЙ!F796</f>
        <v>57923.415000000001</v>
      </c>
      <c r="G880" s="8">
        <f>НОВЫЙ_МИНСТРОЙ!G796</f>
        <v>0</v>
      </c>
      <c r="H880" s="8">
        <f>НОВЫЙ_МИНСТРОЙ!H796</f>
        <v>585.08500000000004</v>
      </c>
      <c r="I880" s="8">
        <f>НОВЫЙ_МИНСТРОЙ!I796</f>
        <v>0</v>
      </c>
      <c r="J880" s="109"/>
      <c r="K880" s="109"/>
    </row>
    <row r="881" spans="1:16" s="80" customFormat="1" outlineLevel="1" x14ac:dyDescent="0.25">
      <c r="A881" s="110"/>
      <c r="B881" s="110"/>
      <c r="C881" s="110"/>
      <c r="D881" s="106">
        <v>2026</v>
      </c>
      <c r="E881" s="8">
        <v>0</v>
      </c>
      <c r="F881" s="8">
        <v>0</v>
      </c>
      <c r="G881" s="8">
        <v>0</v>
      </c>
      <c r="H881" s="8">
        <v>0</v>
      </c>
      <c r="I881" s="8">
        <v>0</v>
      </c>
      <c r="J881" s="110"/>
      <c r="K881" s="110"/>
      <c r="M881" s="55"/>
      <c r="N881" s="55"/>
      <c r="O881" s="55"/>
      <c r="P881" s="55"/>
    </row>
    <row r="882" spans="1:16" ht="15" customHeight="1" outlineLevel="1" x14ac:dyDescent="0.25">
      <c r="A882" s="108" t="s">
        <v>1751</v>
      </c>
      <c r="B882" s="108" t="s">
        <v>1758</v>
      </c>
      <c r="C882" s="108" t="s">
        <v>1778</v>
      </c>
      <c r="D882" s="106" t="s">
        <v>8</v>
      </c>
      <c r="E882" s="8">
        <f t="shared" ref="E882:E887" si="57">SUM(F882:I882)</f>
        <v>49393.2</v>
      </c>
      <c r="F882" s="8">
        <f>SUM(F883:F887)</f>
        <v>48899.199999999997</v>
      </c>
      <c r="G882" s="8">
        <f>SUM(G883:G887)</f>
        <v>0</v>
      </c>
      <c r="H882" s="8">
        <f>SUM(H883:H887)</f>
        <v>494</v>
      </c>
      <c r="I882" s="8">
        <f>SUM(I883:I887)</f>
        <v>0</v>
      </c>
      <c r="J882" s="108" t="s">
        <v>1752</v>
      </c>
      <c r="K882" s="108" t="s">
        <v>1748</v>
      </c>
    </row>
    <row r="883" spans="1:16" outlineLevel="1" x14ac:dyDescent="0.25">
      <c r="A883" s="109"/>
      <c r="B883" s="109"/>
      <c r="C883" s="109"/>
      <c r="D883" s="106">
        <v>2021</v>
      </c>
      <c r="E883" s="8">
        <f t="shared" si="57"/>
        <v>0</v>
      </c>
      <c r="F883" s="8">
        <v>0</v>
      </c>
      <c r="G883" s="8">
        <v>0</v>
      </c>
      <c r="H883" s="8">
        <v>0</v>
      </c>
      <c r="I883" s="8">
        <v>0</v>
      </c>
      <c r="J883" s="109"/>
      <c r="K883" s="109"/>
    </row>
    <row r="884" spans="1:16" outlineLevel="1" x14ac:dyDescent="0.25">
      <c r="A884" s="109"/>
      <c r="B884" s="109"/>
      <c r="C884" s="109"/>
      <c r="D884" s="106">
        <v>2022</v>
      </c>
      <c r="E884" s="8">
        <f t="shared" si="57"/>
        <v>0</v>
      </c>
      <c r="F884" s="8">
        <v>0</v>
      </c>
      <c r="G884" s="8">
        <v>0</v>
      </c>
      <c r="H884" s="8">
        <v>0</v>
      </c>
      <c r="I884" s="8">
        <v>0</v>
      </c>
      <c r="J884" s="109"/>
      <c r="K884" s="109"/>
      <c r="M884" s="55">
        <f>SUM(F885,F878)</f>
        <v>28000</v>
      </c>
    </row>
    <row r="885" spans="1:16" outlineLevel="1" x14ac:dyDescent="0.25">
      <c r="A885" s="109"/>
      <c r="B885" s="109"/>
      <c r="C885" s="109"/>
      <c r="D885" s="106">
        <v>2023</v>
      </c>
      <c r="E885" s="8">
        <f t="shared" si="57"/>
        <v>7623.5</v>
      </c>
      <c r="F885" s="8">
        <v>7547.3</v>
      </c>
      <c r="G885" s="8">
        <v>0</v>
      </c>
      <c r="H885" s="8">
        <v>76.2</v>
      </c>
      <c r="I885" s="8">
        <v>0</v>
      </c>
      <c r="J885" s="109"/>
      <c r="K885" s="109"/>
    </row>
    <row r="886" spans="1:16" outlineLevel="1" x14ac:dyDescent="0.25">
      <c r="A886" s="109"/>
      <c r="B886" s="109"/>
      <c r="C886" s="109"/>
      <c r="D886" s="106">
        <v>2024</v>
      </c>
      <c r="E886" s="8">
        <f t="shared" si="57"/>
        <v>21030.399999999998</v>
      </c>
      <c r="F886" s="8">
        <v>20820.099999999999</v>
      </c>
      <c r="G886" s="8">
        <v>0</v>
      </c>
      <c r="H886" s="8">
        <v>210.3</v>
      </c>
      <c r="I886" s="8">
        <v>0</v>
      </c>
      <c r="J886" s="109"/>
      <c r="K886" s="109"/>
    </row>
    <row r="887" spans="1:16" outlineLevel="1" x14ac:dyDescent="0.25">
      <c r="A887" s="109"/>
      <c r="B887" s="109"/>
      <c r="C887" s="109"/>
      <c r="D887" s="106">
        <v>2025</v>
      </c>
      <c r="E887" s="8">
        <f t="shared" si="57"/>
        <v>20739.3</v>
      </c>
      <c r="F887" s="8">
        <v>20531.8</v>
      </c>
      <c r="G887" s="8">
        <v>0</v>
      </c>
      <c r="H887" s="8">
        <v>207.5</v>
      </c>
      <c r="I887" s="8">
        <v>0</v>
      </c>
      <c r="J887" s="109"/>
      <c r="K887" s="109"/>
    </row>
    <row r="888" spans="1:16" s="80" customFormat="1" outlineLevel="1" x14ac:dyDescent="0.25">
      <c r="A888" s="110"/>
      <c r="B888" s="110"/>
      <c r="C888" s="110"/>
      <c r="D888" s="106">
        <v>2026</v>
      </c>
      <c r="E888" s="8">
        <v>0</v>
      </c>
      <c r="F888" s="8">
        <v>0</v>
      </c>
      <c r="G888" s="8">
        <v>0</v>
      </c>
      <c r="H888" s="8">
        <v>0</v>
      </c>
      <c r="I888" s="8">
        <v>0</v>
      </c>
      <c r="J888" s="110"/>
      <c r="K888" s="110"/>
      <c r="M888" s="55"/>
      <c r="N888" s="55"/>
      <c r="O888" s="55"/>
      <c r="P888" s="55"/>
    </row>
    <row r="889" spans="1:16" ht="15" customHeight="1" x14ac:dyDescent="0.25">
      <c r="A889" s="108" t="s">
        <v>116</v>
      </c>
      <c r="B889" s="108" t="s">
        <v>40</v>
      </c>
      <c r="C889" s="108" t="s">
        <v>828</v>
      </c>
      <c r="D889" s="106" t="s">
        <v>8</v>
      </c>
      <c r="E889" s="8">
        <f t="shared" si="54"/>
        <v>1334460.8980899998</v>
      </c>
      <c r="F889" s="8">
        <f>SUM(F890:F895)</f>
        <v>741402.66107999999</v>
      </c>
      <c r="G889" s="8">
        <f>SUM(G890:G894)</f>
        <v>562487.59899999993</v>
      </c>
      <c r="H889" s="8">
        <f>SUM(H890:H894)</f>
        <v>30570.638009999973</v>
      </c>
      <c r="I889" s="8">
        <f>SUM(I890:I894)</f>
        <v>0</v>
      </c>
      <c r="J889" s="108" t="s">
        <v>117</v>
      </c>
      <c r="K889" s="108" t="s">
        <v>601</v>
      </c>
    </row>
    <row r="890" spans="1:16" ht="14.25" customHeight="1" x14ac:dyDescent="0.25">
      <c r="A890" s="109"/>
      <c r="B890" s="109"/>
      <c r="C890" s="109"/>
      <c r="D890" s="106">
        <v>2021</v>
      </c>
      <c r="E890" s="8">
        <f t="shared" si="54"/>
        <v>277483.179</v>
      </c>
      <c r="F890" s="8">
        <f t="shared" ref="F890:I894" si="58">F897+F904+F911+F918</f>
        <v>19160.86</v>
      </c>
      <c r="G890" s="8">
        <f t="shared" si="58"/>
        <v>257488.69899999999</v>
      </c>
      <c r="H890" s="8">
        <f t="shared" si="58"/>
        <v>833.61999999999989</v>
      </c>
      <c r="I890" s="8">
        <f t="shared" si="58"/>
        <v>0</v>
      </c>
      <c r="J890" s="109"/>
      <c r="K890" s="109"/>
    </row>
    <row r="891" spans="1:16" x14ac:dyDescent="0.25">
      <c r="A891" s="109"/>
      <c r="B891" s="109"/>
      <c r="C891" s="109"/>
      <c r="D891" s="106">
        <v>2022</v>
      </c>
      <c r="E891" s="8">
        <f t="shared" si="54"/>
        <v>684506.5541999999</v>
      </c>
      <c r="F891" s="8">
        <f t="shared" si="58"/>
        <v>488280.63192999997</v>
      </c>
      <c r="G891" s="8">
        <f t="shared" si="58"/>
        <v>177607.9</v>
      </c>
      <c r="H891" s="8">
        <f t="shared" si="58"/>
        <v>18618.022270000001</v>
      </c>
      <c r="I891" s="8">
        <f t="shared" si="58"/>
        <v>0</v>
      </c>
      <c r="J891" s="109"/>
      <c r="K891" s="109"/>
    </row>
    <row r="892" spans="1:16" x14ac:dyDescent="0.25">
      <c r="A892" s="109"/>
      <c r="B892" s="109"/>
      <c r="C892" s="109"/>
      <c r="D892" s="106">
        <v>2023</v>
      </c>
      <c r="E892" s="8">
        <f t="shared" si="54"/>
        <v>139473.16488999996</v>
      </c>
      <c r="F892" s="8">
        <f t="shared" si="58"/>
        <v>11675.569150000007</v>
      </c>
      <c r="G892" s="8">
        <f t="shared" si="58"/>
        <v>127391</v>
      </c>
      <c r="H892" s="8">
        <f t="shared" si="58"/>
        <v>406.59573999997519</v>
      </c>
      <c r="I892" s="8">
        <f t="shared" si="58"/>
        <v>0</v>
      </c>
      <c r="J892" s="109"/>
      <c r="K892" s="109"/>
    </row>
    <row r="893" spans="1:16" x14ac:dyDescent="0.25">
      <c r="A893" s="109"/>
      <c r="B893" s="109"/>
      <c r="C893" s="109"/>
      <c r="D893" s="106">
        <v>2024</v>
      </c>
      <c r="E893" s="8">
        <f t="shared" si="54"/>
        <v>220498</v>
      </c>
      <c r="F893" s="8">
        <f t="shared" si="58"/>
        <v>209785.60000000001</v>
      </c>
      <c r="G893" s="8">
        <f t="shared" si="58"/>
        <v>0</v>
      </c>
      <c r="H893" s="8">
        <f t="shared" si="58"/>
        <v>10712.4</v>
      </c>
      <c r="I893" s="8">
        <f t="shared" si="58"/>
        <v>0</v>
      </c>
      <c r="J893" s="109"/>
      <c r="K893" s="109"/>
    </row>
    <row r="894" spans="1:16" x14ac:dyDescent="0.25">
      <c r="A894" s="109"/>
      <c r="B894" s="109"/>
      <c r="C894" s="109"/>
      <c r="D894" s="106">
        <v>2025</v>
      </c>
      <c r="E894" s="8">
        <f t="shared" si="54"/>
        <v>6250</v>
      </c>
      <c r="F894" s="8">
        <f t="shared" si="58"/>
        <v>6250</v>
      </c>
      <c r="G894" s="8">
        <f t="shared" si="58"/>
        <v>0</v>
      </c>
      <c r="H894" s="8">
        <f t="shared" si="58"/>
        <v>0</v>
      </c>
      <c r="I894" s="8">
        <f t="shared" si="58"/>
        <v>0</v>
      </c>
      <c r="J894" s="109"/>
      <c r="K894" s="109"/>
    </row>
    <row r="895" spans="1:16" x14ac:dyDescent="0.25">
      <c r="A895" s="110"/>
      <c r="B895" s="110"/>
      <c r="C895" s="110"/>
      <c r="D895" s="106">
        <v>2026</v>
      </c>
      <c r="E895" s="8">
        <f>SUM(F895:I895)</f>
        <v>6250</v>
      </c>
      <c r="F895" s="8">
        <f>SUM(F902)</f>
        <v>6250</v>
      </c>
      <c r="G895" s="8">
        <f t="shared" ref="G895:I895" si="59">SUM(G902)</f>
        <v>0</v>
      </c>
      <c r="H895" s="8">
        <f t="shared" si="59"/>
        <v>0</v>
      </c>
      <c r="I895" s="8">
        <f t="shared" si="59"/>
        <v>0</v>
      </c>
      <c r="J895" s="110"/>
      <c r="K895" s="110"/>
    </row>
    <row r="896" spans="1:16" ht="21" customHeight="1" x14ac:dyDescent="0.25">
      <c r="A896" s="108" t="s">
        <v>119</v>
      </c>
      <c r="B896" s="108" t="s">
        <v>120</v>
      </c>
      <c r="C896" s="108" t="s">
        <v>828</v>
      </c>
      <c r="D896" s="106" t="s">
        <v>8</v>
      </c>
      <c r="E896" s="8">
        <f t="shared" si="54"/>
        <v>31996.25</v>
      </c>
      <c r="F896" s="8">
        <f>SUM(F897:F902)</f>
        <v>31996.25</v>
      </c>
      <c r="G896" s="8">
        <f>SUM(G897:G901)</f>
        <v>0</v>
      </c>
      <c r="H896" s="8">
        <f>SUM(H897:H901)</f>
        <v>0</v>
      </c>
      <c r="I896" s="8">
        <f>SUM(I897:I901)</f>
        <v>0</v>
      </c>
      <c r="J896" s="135" t="s">
        <v>1796</v>
      </c>
      <c r="K896" s="108" t="s">
        <v>484</v>
      </c>
      <c r="L896" s="124" t="s">
        <v>950</v>
      </c>
    </row>
    <row r="897" spans="1:16" ht="21" customHeight="1" x14ac:dyDescent="0.25">
      <c r="A897" s="109"/>
      <c r="B897" s="109"/>
      <c r="C897" s="109"/>
      <c r="D897" s="106">
        <v>2021</v>
      </c>
      <c r="E897" s="8">
        <f t="shared" si="54"/>
        <v>3320.7</v>
      </c>
      <c r="F897" s="8">
        <v>3320.7</v>
      </c>
      <c r="G897" s="8">
        <v>0</v>
      </c>
      <c r="H897" s="8">
        <v>0</v>
      </c>
      <c r="I897" s="8">
        <v>0</v>
      </c>
      <c r="J897" s="136"/>
      <c r="K897" s="109"/>
      <c r="L897" s="124"/>
    </row>
    <row r="898" spans="1:16" ht="21" customHeight="1" x14ac:dyDescent="0.25">
      <c r="A898" s="109"/>
      <c r="B898" s="109"/>
      <c r="C898" s="109"/>
      <c r="D898" s="106">
        <v>2022</v>
      </c>
      <c r="E898" s="8">
        <f t="shared" si="54"/>
        <v>5975.3</v>
      </c>
      <c r="F898" s="8">
        <v>5975.3</v>
      </c>
      <c r="G898" s="8">
        <v>0</v>
      </c>
      <c r="H898" s="8">
        <v>0</v>
      </c>
      <c r="I898" s="8">
        <v>0</v>
      </c>
      <c r="J898" s="136"/>
      <c r="K898" s="109"/>
      <c r="L898" s="124"/>
    </row>
    <row r="899" spans="1:16" ht="21" customHeight="1" x14ac:dyDescent="0.25">
      <c r="A899" s="109"/>
      <c r="B899" s="109"/>
      <c r="C899" s="109"/>
      <c r="D899" s="106">
        <v>2023</v>
      </c>
      <c r="E899" s="8">
        <f t="shared" si="54"/>
        <v>3950.25</v>
      </c>
      <c r="F899" s="8">
        <f>6250-2299.75</f>
        <v>3950.25</v>
      </c>
      <c r="G899" s="8">
        <v>0</v>
      </c>
      <c r="H899" s="8">
        <v>0</v>
      </c>
      <c r="I899" s="8">
        <v>0</v>
      </c>
      <c r="J899" s="136"/>
      <c r="K899" s="109"/>
      <c r="L899" s="124"/>
    </row>
    <row r="900" spans="1:16" ht="21" customHeight="1" x14ac:dyDescent="0.25">
      <c r="A900" s="109"/>
      <c r="B900" s="109"/>
      <c r="C900" s="109"/>
      <c r="D900" s="106">
        <v>2024</v>
      </c>
      <c r="E900" s="8">
        <f t="shared" si="54"/>
        <v>6250</v>
      </c>
      <c r="F900" s="8">
        <v>6250</v>
      </c>
      <c r="G900" s="8">
        <v>0</v>
      </c>
      <c r="H900" s="8">
        <v>0</v>
      </c>
      <c r="I900" s="8">
        <v>0</v>
      </c>
      <c r="J900" s="136"/>
      <c r="K900" s="109"/>
      <c r="L900" s="124"/>
    </row>
    <row r="901" spans="1:16" ht="21" customHeight="1" x14ac:dyDescent="0.25">
      <c r="A901" s="109"/>
      <c r="B901" s="109"/>
      <c r="C901" s="109"/>
      <c r="D901" s="106">
        <v>2025</v>
      </c>
      <c r="E901" s="8">
        <f t="shared" si="54"/>
        <v>6250</v>
      </c>
      <c r="F901" s="8">
        <v>6250</v>
      </c>
      <c r="G901" s="8">
        <v>0</v>
      </c>
      <c r="H901" s="8">
        <v>0</v>
      </c>
      <c r="I901" s="8">
        <v>0</v>
      </c>
      <c r="J901" s="136"/>
      <c r="K901" s="109"/>
      <c r="L901" s="124"/>
    </row>
    <row r="902" spans="1:16" ht="21" customHeight="1" x14ac:dyDescent="0.25">
      <c r="A902" s="110"/>
      <c r="B902" s="110"/>
      <c r="C902" s="110"/>
      <c r="D902" s="106">
        <v>2026</v>
      </c>
      <c r="E902" s="8">
        <f>F902+G902+H902+I902</f>
        <v>6250</v>
      </c>
      <c r="F902" s="8">
        <v>6250</v>
      </c>
      <c r="G902" s="8">
        <v>0</v>
      </c>
      <c r="H902" s="8">
        <v>0</v>
      </c>
      <c r="I902" s="8">
        <v>0</v>
      </c>
      <c r="J902" s="137"/>
      <c r="K902" s="110"/>
    </row>
    <row r="903" spans="1:16" ht="20.25" customHeight="1" x14ac:dyDescent="0.25">
      <c r="A903" s="108" t="s">
        <v>122</v>
      </c>
      <c r="B903" s="108" t="s">
        <v>123</v>
      </c>
      <c r="C903" s="108" t="s">
        <v>124</v>
      </c>
      <c r="D903" s="106" t="s">
        <v>8</v>
      </c>
      <c r="E903" s="8">
        <f t="shared" si="54"/>
        <v>447152.68754999997</v>
      </c>
      <c r="F903" s="8">
        <f>SUM(F904:F908)</f>
        <v>316032.67813999997</v>
      </c>
      <c r="G903" s="8">
        <f>SUM(G904:G908)</f>
        <v>121253.24804000001</v>
      </c>
      <c r="H903" s="8">
        <f>SUM(H904:H908)</f>
        <v>9866.7613700000002</v>
      </c>
      <c r="I903" s="8">
        <f>SUM(I904:I908)</f>
        <v>0</v>
      </c>
      <c r="J903" s="108" t="s">
        <v>949</v>
      </c>
      <c r="K903" s="108" t="s">
        <v>547</v>
      </c>
      <c r="L903" s="124"/>
    </row>
    <row r="904" spans="1:16" ht="20.25" customHeight="1" x14ac:dyDescent="0.25">
      <c r="A904" s="109"/>
      <c r="B904" s="109"/>
      <c r="C904" s="109"/>
      <c r="D904" s="106">
        <v>2021</v>
      </c>
      <c r="E904" s="8">
        <f t="shared" si="54"/>
        <v>94469.148000000001</v>
      </c>
      <c r="F904" s="8">
        <v>5458.1030000000001</v>
      </c>
      <c r="G904" s="8">
        <v>88723.845000000001</v>
      </c>
      <c r="H904" s="8">
        <v>287.2</v>
      </c>
      <c r="I904" s="8">
        <v>0</v>
      </c>
      <c r="J904" s="109"/>
      <c r="K904" s="109"/>
      <c r="L904" s="124"/>
    </row>
    <row r="905" spans="1:16" ht="20.25" customHeight="1" x14ac:dyDescent="0.25">
      <c r="A905" s="109"/>
      <c r="B905" s="109"/>
      <c r="C905" s="109"/>
      <c r="D905" s="106">
        <v>2022</v>
      </c>
      <c r="E905" s="8">
        <f t="shared" si="54"/>
        <v>352683.53954999999</v>
      </c>
      <c r="F905" s="8">
        <v>310574.57513999997</v>
      </c>
      <c r="G905" s="8">
        <v>32529.403040000001</v>
      </c>
      <c r="H905" s="8">
        <v>9579.5613699999994</v>
      </c>
      <c r="I905" s="8">
        <v>0</v>
      </c>
      <c r="J905" s="109"/>
      <c r="K905" s="109"/>
      <c r="L905" s="124"/>
    </row>
    <row r="906" spans="1:16" ht="20.25" customHeight="1" x14ac:dyDescent="0.25">
      <c r="A906" s="109"/>
      <c r="B906" s="109"/>
      <c r="C906" s="109"/>
      <c r="D906" s="106">
        <v>2023</v>
      </c>
      <c r="E906" s="8">
        <f t="shared" si="54"/>
        <v>0</v>
      </c>
      <c r="F906" s="8">
        <v>0</v>
      </c>
      <c r="G906" s="8">
        <v>0</v>
      </c>
      <c r="H906" s="8">
        <v>0</v>
      </c>
      <c r="I906" s="8">
        <v>0</v>
      </c>
      <c r="J906" s="109"/>
      <c r="K906" s="109"/>
      <c r="L906" s="124"/>
    </row>
    <row r="907" spans="1:16" ht="20.25" customHeight="1" x14ac:dyDescent="0.25">
      <c r="A907" s="109"/>
      <c r="B907" s="109"/>
      <c r="C907" s="109"/>
      <c r="D907" s="106">
        <v>2024</v>
      </c>
      <c r="E907" s="8">
        <f t="shared" si="54"/>
        <v>0</v>
      </c>
      <c r="F907" s="8">
        <v>0</v>
      </c>
      <c r="G907" s="8">
        <v>0</v>
      </c>
      <c r="H907" s="8">
        <v>0</v>
      </c>
      <c r="I907" s="8">
        <v>0</v>
      </c>
      <c r="J907" s="109"/>
      <c r="K907" s="109"/>
      <c r="L907" s="124"/>
    </row>
    <row r="908" spans="1:16" ht="20.25" customHeight="1" x14ac:dyDescent="0.25">
      <c r="A908" s="109"/>
      <c r="B908" s="109"/>
      <c r="C908" s="109"/>
      <c r="D908" s="106">
        <v>2025</v>
      </c>
      <c r="E908" s="8">
        <f t="shared" si="54"/>
        <v>0</v>
      </c>
      <c r="F908" s="8">
        <v>0</v>
      </c>
      <c r="G908" s="8">
        <v>0</v>
      </c>
      <c r="H908" s="8">
        <v>0</v>
      </c>
      <c r="I908" s="8">
        <v>0</v>
      </c>
      <c r="J908" s="109"/>
      <c r="K908" s="109"/>
      <c r="L908" s="124"/>
    </row>
    <row r="909" spans="1:16" s="80" customFormat="1" ht="20.25" customHeight="1" x14ac:dyDescent="0.25">
      <c r="A909" s="110"/>
      <c r="B909" s="110"/>
      <c r="C909" s="110"/>
      <c r="D909" s="106">
        <v>2026</v>
      </c>
      <c r="E909" s="8">
        <v>0</v>
      </c>
      <c r="F909" s="8">
        <v>0</v>
      </c>
      <c r="G909" s="8">
        <v>0</v>
      </c>
      <c r="H909" s="8">
        <v>0</v>
      </c>
      <c r="I909" s="8">
        <v>0</v>
      </c>
      <c r="J909" s="110"/>
      <c r="K909" s="110"/>
      <c r="M909" s="55"/>
      <c r="N909" s="55"/>
      <c r="O909" s="55"/>
      <c r="P909" s="55"/>
    </row>
    <row r="910" spans="1:16" ht="15" customHeight="1" x14ac:dyDescent="0.25">
      <c r="A910" s="108" t="s">
        <v>126</v>
      </c>
      <c r="B910" s="108" t="s">
        <v>127</v>
      </c>
      <c r="C910" s="108" t="s">
        <v>124</v>
      </c>
      <c r="D910" s="106" t="s">
        <v>8</v>
      </c>
      <c r="E910" s="8">
        <f t="shared" si="54"/>
        <v>508717.68395999999</v>
      </c>
      <c r="F910" s="8">
        <v>242209.413</v>
      </c>
      <c r="G910" s="8">
        <v>253746.75095999998</v>
      </c>
      <c r="H910" s="8">
        <v>12761.52</v>
      </c>
      <c r="I910" s="8">
        <f>SUM(I911:I915)</f>
        <v>0</v>
      </c>
      <c r="J910" s="108" t="s">
        <v>1223</v>
      </c>
      <c r="K910" s="108" t="s">
        <v>547</v>
      </c>
    </row>
    <row r="911" spans="1:16" x14ac:dyDescent="0.25">
      <c r="A911" s="109"/>
      <c r="B911" s="109"/>
      <c r="C911" s="109"/>
      <c r="D911" s="106">
        <v>2021</v>
      </c>
      <c r="E911" s="8">
        <f t="shared" si="54"/>
        <v>179693.33100000001</v>
      </c>
      <c r="F911" s="8">
        <v>10382.057000000001</v>
      </c>
      <c r="G911" s="8">
        <v>168764.85399999999</v>
      </c>
      <c r="H911" s="8">
        <v>546.41999999999996</v>
      </c>
      <c r="I911" s="8">
        <v>0</v>
      </c>
      <c r="J911" s="109"/>
      <c r="K911" s="109"/>
    </row>
    <row r="912" spans="1:16" x14ac:dyDescent="0.25">
      <c r="A912" s="109"/>
      <c r="B912" s="109"/>
      <c r="C912" s="109"/>
      <c r="D912" s="106">
        <v>2022</v>
      </c>
      <c r="E912" s="8">
        <f t="shared" si="54"/>
        <v>325847.71465000004</v>
      </c>
      <c r="F912" s="8">
        <v>171730.75679000001</v>
      </c>
      <c r="G912" s="8">
        <v>145078.49695999999</v>
      </c>
      <c r="H912" s="8">
        <v>9038.4609</v>
      </c>
      <c r="I912" s="8">
        <v>0</v>
      </c>
      <c r="J912" s="109"/>
      <c r="K912" s="109"/>
    </row>
    <row r="913" spans="1:16" x14ac:dyDescent="0.25">
      <c r="A913" s="109"/>
      <c r="B913" s="109"/>
      <c r="C913" s="109"/>
      <c r="D913" s="106">
        <v>2023</v>
      </c>
      <c r="E913" s="8">
        <f t="shared" si="54"/>
        <v>0</v>
      </c>
      <c r="F913" s="8">
        <v>0</v>
      </c>
      <c r="G913" s="8">
        <v>0</v>
      </c>
      <c r="H913" s="8">
        <v>0</v>
      </c>
      <c r="I913" s="8">
        <v>0</v>
      </c>
      <c r="J913" s="109"/>
      <c r="K913" s="109"/>
    </row>
    <row r="914" spans="1:16" x14ac:dyDescent="0.25">
      <c r="A914" s="109"/>
      <c r="B914" s="109"/>
      <c r="C914" s="109"/>
      <c r="D914" s="106">
        <v>2024</v>
      </c>
      <c r="E914" s="8">
        <f t="shared" si="54"/>
        <v>0</v>
      </c>
      <c r="F914" s="8">
        <v>0</v>
      </c>
      <c r="G914" s="8">
        <v>0</v>
      </c>
      <c r="H914" s="8">
        <v>0</v>
      </c>
      <c r="I914" s="8">
        <v>0</v>
      </c>
      <c r="J914" s="109"/>
      <c r="K914" s="109"/>
    </row>
    <row r="915" spans="1:16" x14ac:dyDescent="0.25">
      <c r="A915" s="109"/>
      <c r="B915" s="109"/>
      <c r="C915" s="109"/>
      <c r="D915" s="106">
        <v>2025</v>
      </c>
      <c r="E915" s="8">
        <f t="shared" si="54"/>
        <v>0</v>
      </c>
      <c r="F915" s="8">
        <v>0</v>
      </c>
      <c r="G915" s="8">
        <v>0</v>
      </c>
      <c r="H915" s="8">
        <v>0</v>
      </c>
      <c r="I915" s="8">
        <v>0</v>
      </c>
      <c r="J915" s="109"/>
      <c r="K915" s="109"/>
    </row>
    <row r="916" spans="1:16" s="80" customFormat="1" x14ac:dyDescent="0.25">
      <c r="A916" s="110"/>
      <c r="B916" s="110"/>
      <c r="C916" s="110"/>
      <c r="D916" s="106">
        <v>2026</v>
      </c>
      <c r="E916" s="8">
        <v>0</v>
      </c>
      <c r="F916" s="8">
        <v>0</v>
      </c>
      <c r="G916" s="8">
        <v>0</v>
      </c>
      <c r="H916" s="8">
        <v>0</v>
      </c>
      <c r="I916" s="8">
        <v>0</v>
      </c>
      <c r="J916" s="110"/>
      <c r="K916" s="110"/>
      <c r="M916" s="55"/>
      <c r="N916" s="55"/>
      <c r="O916" s="55"/>
      <c r="P916" s="55"/>
    </row>
    <row r="917" spans="1:16" ht="15" customHeight="1" x14ac:dyDescent="0.25">
      <c r="A917" s="108" t="s">
        <v>128</v>
      </c>
      <c r="B917" s="108" t="s">
        <v>1224</v>
      </c>
      <c r="C917" s="108" t="s">
        <v>1216</v>
      </c>
      <c r="D917" s="106" t="s">
        <v>8</v>
      </c>
      <c r="E917" s="8">
        <f t="shared" si="54"/>
        <v>349770.91488999996</v>
      </c>
      <c r="F917" s="8">
        <f>SUM(F918:F922)</f>
        <v>211260.91915</v>
      </c>
      <c r="G917" s="8">
        <f>SUM(G918:G922)</f>
        <v>127391</v>
      </c>
      <c r="H917" s="8">
        <f>SUM(H918:H922)</f>
        <v>11118.995739999975</v>
      </c>
      <c r="I917" s="8">
        <f>SUM(I918:I922)</f>
        <v>0</v>
      </c>
      <c r="J917" s="135" t="s">
        <v>1768</v>
      </c>
      <c r="K917" s="108" t="s">
        <v>547</v>
      </c>
    </row>
    <row r="918" spans="1:16" x14ac:dyDescent="0.25">
      <c r="A918" s="109"/>
      <c r="B918" s="109"/>
      <c r="C918" s="109"/>
      <c r="D918" s="106">
        <v>2021</v>
      </c>
      <c r="E918" s="8">
        <f t="shared" si="54"/>
        <v>0</v>
      </c>
      <c r="F918" s="8">
        <v>0</v>
      </c>
      <c r="G918" s="8">
        <v>0</v>
      </c>
      <c r="H918" s="8">
        <v>0</v>
      </c>
      <c r="I918" s="8">
        <v>0</v>
      </c>
      <c r="J918" s="136"/>
      <c r="K918" s="109"/>
    </row>
    <row r="919" spans="1:16" x14ac:dyDescent="0.25">
      <c r="A919" s="109"/>
      <c r="B919" s="109"/>
      <c r="C919" s="109"/>
      <c r="D919" s="106">
        <v>2022</v>
      </c>
      <c r="E919" s="8">
        <f t="shared" si="54"/>
        <v>0</v>
      </c>
      <c r="F919" s="8">
        <v>0</v>
      </c>
      <c r="G919" s="8">
        <v>0</v>
      </c>
      <c r="H919" s="8">
        <v>0</v>
      </c>
      <c r="I919" s="8">
        <v>0</v>
      </c>
      <c r="J919" s="136"/>
      <c r="K919" s="109"/>
    </row>
    <row r="920" spans="1:16" x14ac:dyDescent="0.25">
      <c r="A920" s="109"/>
      <c r="B920" s="109"/>
      <c r="C920" s="109"/>
      <c r="D920" s="106">
        <v>2023</v>
      </c>
      <c r="E920" s="8">
        <f t="shared" si="54"/>
        <v>135522.91488999996</v>
      </c>
      <c r="F920" s="8">
        <f>(135116319.15-127391000)/1000</f>
        <v>7725.3191500000057</v>
      </c>
      <c r="G920" s="8">
        <v>127391</v>
      </c>
      <c r="H920" s="8">
        <f>135522914.89/1000-F920-G920</f>
        <v>406.59573999997519</v>
      </c>
      <c r="I920" s="8">
        <v>0</v>
      </c>
      <c r="J920" s="136"/>
      <c r="K920" s="109"/>
    </row>
    <row r="921" spans="1:16" x14ac:dyDescent="0.25">
      <c r="A921" s="109"/>
      <c r="B921" s="109"/>
      <c r="C921" s="109"/>
      <c r="D921" s="106">
        <v>2024</v>
      </c>
      <c r="E921" s="8">
        <f t="shared" si="54"/>
        <v>214248</v>
      </c>
      <c r="F921" s="8">
        <v>203535.6</v>
      </c>
      <c r="G921" s="8">
        <v>0</v>
      </c>
      <c r="H921" s="8">
        <v>10712.4</v>
      </c>
      <c r="I921" s="8">
        <v>0</v>
      </c>
      <c r="J921" s="136"/>
      <c r="K921" s="109"/>
    </row>
    <row r="922" spans="1:16" x14ac:dyDescent="0.25">
      <c r="A922" s="109"/>
      <c r="B922" s="109"/>
      <c r="C922" s="109"/>
      <c r="D922" s="106">
        <v>2025</v>
      </c>
      <c r="E922" s="8">
        <f t="shared" si="54"/>
        <v>0</v>
      </c>
      <c r="F922" s="8">
        <v>0</v>
      </c>
      <c r="G922" s="8">
        <v>0</v>
      </c>
      <c r="H922" s="8">
        <v>0</v>
      </c>
      <c r="I922" s="8">
        <v>0</v>
      </c>
      <c r="J922" s="136"/>
      <c r="K922" s="109"/>
    </row>
    <row r="923" spans="1:16" s="80" customFormat="1" x14ac:dyDescent="0.25">
      <c r="A923" s="110"/>
      <c r="B923" s="110"/>
      <c r="C923" s="110"/>
      <c r="D923" s="106">
        <v>2026</v>
      </c>
      <c r="E923" s="8">
        <v>0</v>
      </c>
      <c r="F923" s="8">
        <v>0</v>
      </c>
      <c r="G923" s="8">
        <v>0</v>
      </c>
      <c r="H923" s="8">
        <v>0</v>
      </c>
      <c r="I923" s="8">
        <v>0</v>
      </c>
      <c r="J923" s="137"/>
      <c r="K923" s="110"/>
      <c r="M923" s="55"/>
      <c r="N923" s="55"/>
      <c r="O923" s="55"/>
      <c r="P923" s="55"/>
    </row>
    <row r="924" spans="1:16" ht="15" customHeight="1" x14ac:dyDescent="0.25">
      <c r="A924" s="108" t="s">
        <v>131</v>
      </c>
      <c r="B924" s="108" t="s">
        <v>132</v>
      </c>
      <c r="C924" s="108" t="s">
        <v>828</v>
      </c>
      <c r="D924" s="106" t="s">
        <v>8</v>
      </c>
      <c r="E924" s="8">
        <f t="shared" si="54"/>
        <v>317053.64046000002</v>
      </c>
      <c r="F924" s="8">
        <f>SUM(F925:F930)</f>
        <v>317053.64046000002</v>
      </c>
      <c r="G924" s="8">
        <f>SUM(G925:G929)</f>
        <v>0</v>
      </c>
      <c r="H924" s="8">
        <f>SUM(H925:H929)</f>
        <v>0</v>
      </c>
      <c r="I924" s="8">
        <f>SUM(I925:I929)</f>
        <v>0</v>
      </c>
      <c r="J924" s="108"/>
      <c r="K924" s="108" t="s">
        <v>484</v>
      </c>
    </row>
    <row r="925" spans="1:16" x14ac:dyDescent="0.25">
      <c r="A925" s="109"/>
      <c r="B925" s="109"/>
      <c r="C925" s="109"/>
      <c r="D925" s="106">
        <v>2021</v>
      </c>
      <c r="E925" s="8">
        <f t="shared" si="54"/>
        <v>40456.699999999997</v>
      </c>
      <c r="F925" s="8">
        <f t="shared" ref="F925:I929" si="60">F932</f>
        <v>40456.699999999997</v>
      </c>
      <c r="G925" s="8">
        <f t="shared" si="60"/>
        <v>0</v>
      </c>
      <c r="H925" s="8">
        <f t="shared" si="60"/>
        <v>0</v>
      </c>
      <c r="I925" s="8">
        <f t="shared" si="60"/>
        <v>0</v>
      </c>
      <c r="J925" s="109"/>
      <c r="K925" s="109"/>
    </row>
    <row r="926" spans="1:16" x14ac:dyDescent="0.25">
      <c r="A926" s="109"/>
      <c r="B926" s="109"/>
      <c r="C926" s="109"/>
      <c r="D926" s="106">
        <v>2022</v>
      </c>
      <c r="E926" s="8">
        <f t="shared" si="54"/>
        <v>50867.625999999997</v>
      </c>
      <c r="F926" s="8">
        <f t="shared" si="60"/>
        <v>50867.625999999997</v>
      </c>
      <c r="G926" s="8">
        <f t="shared" si="60"/>
        <v>0</v>
      </c>
      <c r="H926" s="8">
        <f t="shared" si="60"/>
        <v>0</v>
      </c>
      <c r="I926" s="8">
        <f t="shared" si="60"/>
        <v>0</v>
      </c>
      <c r="J926" s="109"/>
      <c r="K926" s="109"/>
    </row>
    <row r="927" spans="1:16" x14ac:dyDescent="0.25">
      <c r="A927" s="109"/>
      <c r="B927" s="109"/>
      <c r="C927" s="109"/>
      <c r="D927" s="106">
        <v>2023</v>
      </c>
      <c r="E927" s="8">
        <f t="shared" si="54"/>
        <v>54796.042999999998</v>
      </c>
      <c r="F927" s="8">
        <f t="shared" si="60"/>
        <v>54796.042999999998</v>
      </c>
      <c r="G927" s="8">
        <f t="shared" si="60"/>
        <v>0</v>
      </c>
      <c r="H927" s="8">
        <f t="shared" si="60"/>
        <v>0</v>
      </c>
      <c r="I927" s="8">
        <f t="shared" si="60"/>
        <v>0</v>
      </c>
      <c r="J927" s="109"/>
      <c r="K927" s="109"/>
    </row>
    <row r="928" spans="1:16" x14ac:dyDescent="0.25">
      <c r="A928" s="109"/>
      <c r="B928" s="109"/>
      <c r="C928" s="109"/>
      <c r="D928" s="106">
        <v>2024</v>
      </c>
      <c r="E928" s="8">
        <f t="shared" si="54"/>
        <v>56948.595869999997</v>
      </c>
      <c r="F928" s="8">
        <f t="shared" si="60"/>
        <v>56948.595869999997</v>
      </c>
      <c r="G928" s="8">
        <f t="shared" si="60"/>
        <v>0</v>
      </c>
      <c r="H928" s="8">
        <f t="shared" si="60"/>
        <v>0</v>
      </c>
      <c r="I928" s="8">
        <f t="shared" si="60"/>
        <v>0</v>
      </c>
      <c r="J928" s="109"/>
      <c r="K928" s="109"/>
    </row>
    <row r="929" spans="1:11" ht="19.5" customHeight="1" x14ac:dyDescent="0.25">
      <c r="A929" s="109"/>
      <c r="B929" s="109"/>
      <c r="C929" s="109"/>
      <c r="D929" s="106">
        <v>2025</v>
      </c>
      <c r="E929" s="8">
        <f t="shared" si="54"/>
        <v>56974.541210000003</v>
      </c>
      <c r="F929" s="8">
        <f t="shared" si="60"/>
        <v>56974.541210000003</v>
      </c>
      <c r="G929" s="8">
        <f t="shared" si="60"/>
        <v>0</v>
      </c>
      <c r="H929" s="8">
        <f t="shared" si="60"/>
        <v>0</v>
      </c>
      <c r="I929" s="8">
        <f t="shared" si="60"/>
        <v>0</v>
      </c>
      <c r="J929" s="109"/>
      <c r="K929" s="109"/>
    </row>
    <row r="930" spans="1:11" ht="19.5" customHeight="1" x14ac:dyDescent="0.25">
      <c r="A930" s="110"/>
      <c r="B930" s="110"/>
      <c r="C930" s="110"/>
      <c r="D930" s="106">
        <v>2026</v>
      </c>
      <c r="E930" s="8">
        <f>SUM(F930:I930)</f>
        <v>57010.134380000003</v>
      </c>
      <c r="F930" s="8">
        <f>SUM(F937)</f>
        <v>57010.134380000003</v>
      </c>
      <c r="G930" s="8">
        <f t="shared" ref="G930:I930" si="61">SUM(G937)</f>
        <v>0</v>
      </c>
      <c r="H930" s="8">
        <f t="shared" si="61"/>
        <v>0</v>
      </c>
      <c r="I930" s="8">
        <f t="shared" si="61"/>
        <v>0</v>
      </c>
      <c r="J930" s="110"/>
      <c r="K930" s="110"/>
    </row>
    <row r="931" spans="1:11" ht="15" customHeight="1" x14ac:dyDescent="0.25">
      <c r="A931" s="108" t="s">
        <v>133</v>
      </c>
      <c r="B931" s="108" t="s">
        <v>134</v>
      </c>
      <c r="C931" s="108" t="s">
        <v>828</v>
      </c>
      <c r="D931" s="106" t="s">
        <v>8</v>
      </c>
      <c r="E931" s="8">
        <f t="shared" si="54"/>
        <v>317053.64046000002</v>
      </c>
      <c r="F931" s="8">
        <f>SUM(F932:F937)</f>
        <v>317053.64046000002</v>
      </c>
      <c r="G931" s="8">
        <f>SUM(G932:G936)</f>
        <v>0</v>
      </c>
      <c r="H931" s="8">
        <f>SUM(H932:H936)</f>
        <v>0</v>
      </c>
      <c r="I931" s="8">
        <f>SUM(I932:I936)</f>
        <v>0</v>
      </c>
      <c r="J931" s="108" t="s">
        <v>605</v>
      </c>
      <c r="K931" s="108" t="s">
        <v>484</v>
      </c>
    </row>
    <row r="932" spans="1:11" x14ac:dyDescent="0.25">
      <c r="A932" s="109"/>
      <c r="B932" s="109"/>
      <c r="C932" s="109"/>
      <c r="D932" s="106">
        <v>2021</v>
      </c>
      <c r="E932" s="8">
        <f t="shared" ref="E932:E943" si="62">SUM(F932:I932)</f>
        <v>40456.699999999997</v>
      </c>
      <c r="F932" s="8">
        <f t="shared" ref="F932:I936" si="63">F939</f>
        <v>40456.699999999997</v>
      </c>
      <c r="G932" s="8">
        <f t="shared" si="63"/>
        <v>0</v>
      </c>
      <c r="H932" s="8">
        <f t="shared" si="63"/>
        <v>0</v>
      </c>
      <c r="I932" s="8">
        <f t="shared" si="63"/>
        <v>0</v>
      </c>
      <c r="J932" s="109"/>
      <c r="K932" s="109"/>
    </row>
    <row r="933" spans="1:11" x14ac:dyDescent="0.25">
      <c r="A933" s="109"/>
      <c r="B933" s="109"/>
      <c r="C933" s="109"/>
      <c r="D933" s="106">
        <v>2022</v>
      </c>
      <c r="E933" s="8">
        <f t="shared" si="62"/>
        <v>50867.625999999997</v>
      </c>
      <c r="F933" s="8">
        <f t="shared" si="63"/>
        <v>50867.625999999997</v>
      </c>
      <c r="G933" s="8">
        <f t="shared" si="63"/>
        <v>0</v>
      </c>
      <c r="H933" s="8">
        <f t="shared" si="63"/>
        <v>0</v>
      </c>
      <c r="I933" s="8">
        <f t="shared" si="63"/>
        <v>0</v>
      </c>
      <c r="J933" s="109"/>
      <c r="K933" s="109"/>
    </row>
    <row r="934" spans="1:11" x14ac:dyDescent="0.25">
      <c r="A934" s="109"/>
      <c r="B934" s="109"/>
      <c r="C934" s="109"/>
      <c r="D934" s="106">
        <v>2023</v>
      </c>
      <c r="E934" s="8">
        <f t="shared" si="62"/>
        <v>54796.042999999998</v>
      </c>
      <c r="F934" s="8">
        <f t="shared" si="63"/>
        <v>54796.042999999998</v>
      </c>
      <c r="G934" s="8">
        <f t="shared" si="63"/>
        <v>0</v>
      </c>
      <c r="H934" s="8">
        <f t="shared" si="63"/>
        <v>0</v>
      </c>
      <c r="I934" s="8">
        <f t="shared" si="63"/>
        <v>0</v>
      </c>
      <c r="J934" s="109"/>
      <c r="K934" s="109"/>
    </row>
    <row r="935" spans="1:11" x14ac:dyDescent="0.25">
      <c r="A935" s="109"/>
      <c r="B935" s="109"/>
      <c r="C935" s="109"/>
      <c r="D935" s="106">
        <v>2024</v>
      </c>
      <c r="E935" s="8">
        <f t="shared" si="62"/>
        <v>56948.595869999997</v>
      </c>
      <c r="F935" s="8">
        <f t="shared" si="63"/>
        <v>56948.595869999997</v>
      </c>
      <c r="G935" s="8">
        <f t="shared" si="63"/>
        <v>0</v>
      </c>
      <c r="H935" s="8">
        <f t="shared" si="63"/>
        <v>0</v>
      </c>
      <c r="I935" s="8">
        <f t="shared" si="63"/>
        <v>0</v>
      </c>
      <c r="J935" s="109"/>
      <c r="K935" s="109"/>
    </row>
    <row r="936" spans="1:11" x14ac:dyDescent="0.25">
      <c r="A936" s="109"/>
      <c r="B936" s="109"/>
      <c r="C936" s="109"/>
      <c r="D936" s="106">
        <v>2025</v>
      </c>
      <c r="E936" s="8">
        <f t="shared" si="62"/>
        <v>56974.541210000003</v>
      </c>
      <c r="F936" s="8">
        <f t="shared" si="63"/>
        <v>56974.541210000003</v>
      </c>
      <c r="G936" s="8">
        <f>G943</f>
        <v>0</v>
      </c>
      <c r="H936" s="8">
        <f>H943</f>
        <v>0</v>
      </c>
      <c r="I936" s="8">
        <f>I943</f>
        <v>0</v>
      </c>
      <c r="J936" s="109"/>
      <c r="K936" s="109"/>
    </row>
    <row r="937" spans="1:11" x14ac:dyDescent="0.25">
      <c r="A937" s="110"/>
      <c r="B937" s="110"/>
      <c r="C937" s="110"/>
      <c r="D937" s="106">
        <v>2026</v>
      </c>
      <c r="E937" s="8">
        <f>SUM(F937:I937)</f>
        <v>57010.134380000003</v>
      </c>
      <c r="F937" s="8">
        <f>F944</f>
        <v>57010.134380000003</v>
      </c>
      <c r="G937" s="8">
        <f t="shared" ref="G937:I937" si="64">G944</f>
        <v>0</v>
      </c>
      <c r="H937" s="8">
        <f t="shared" si="64"/>
        <v>0</v>
      </c>
      <c r="I937" s="8">
        <f t="shared" si="64"/>
        <v>0</v>
      </c>
      <c r="J937" s="110"/>
      <c r="K937" s="110"/>
    </row>
    <row r="938" spans="1:11" ht="15" customHeight="1" x14ac:dyDescent="0.25">
      <c r="A938" s="108" t="s">
        <v>135</v>
      </c>
      <c r="B938" s="108" t="s">
        <v>954</v>
      </c>
      <c r="C938" s="108" t="s">
        <v>828</v>
      </c>
      <c r="D938" s="106" t="s">
        <v>8</v>
      </c>
      <c r="E938" s="8">
        <f t="shared" si="62"/>
        <v>317053.64046000002</v>
      </c>
      <c r="F938" s="8">
        <f>SUM(F939:F944)</f>
        <v>317053.64046000002</v>
      </c>
      <c r="G938" s="8">
        <f>SUM(G939:G943)</f>
        <v>0</v>
      </c>
      <c r="H938" s="8">
        <f>SUM(H939:H943)</f>
        <v>0</v>
      </c>
      <c r="I938" s="8">
        <f>SUM(I939:I943)</f>
        <v>0</v>
      </c>
      <c r="J938" s="108" t="s">
        <v>607</v>
      </c>
      <c r="K938" s="108" t="s">
        <v>484</v>
      </c>
    </row>
    <row r="939" spans="1:11" x14ac:dyDescent="0.25">
      <c r="A939" s="109"/>
      <c r="B939" s="109"/>
      <c r="C939" s="109"/>
      <c r="D939" s="106">
        <v>2021</v>
      </c>
      <c r="E939" s="8">
        <f t="shared" si="62"/>
        <v>40456.699999999997</v>
      </c>
      <c r="F939" s="8">
        <v>40456.699999999997</v>
      </c>
      <c r="G939" s="8">
        <v>0</v>
      </c>
      <c r="H939" s="8">
        <v>0</v>
      </c>
      <c r="I939" s="8">
        <v>0</v>
      </c>
      <c r="J939" s="109"/>
      <c r="K939" s="109"/>
    </row>
    <row r="940" spans="1:11" x14ac:dyDescent="0.25">
      <c r="A940" s="109"/>
      <c r="B940" s="109"/>
      <c r="C940" s="109"/>
      <c r="D940" s="106">
        <v>2022</v>
      </c>
      <c r="E940" s="8">
        <f t="shared" si="62"/>
        <v>50867.625999999997</v>
      </c>
      <c r="F940" s="8">
        <v>50867.625999999997</v>
      </c>
      <c r="G940" s="8">
        <v>0</v>
      </c>
      <c r="H940" s="8">
        <v>0</v>
      </c>
      <c r="I940" s="8">
        <v>0</v>
      </c>
      <c r="J940" s="109"/>
      <c r="K940" s="109"/>
    </row>
    <row r="941" spans="1:11" x14ac:dyDescent="0.25">
      <c r="A941" s="109"/>
      <c r="B941" s="109"/>
      <c r="C941" s="109"/>
      <c r="D941" s="106">
        <v>2023</v>
      </c>
      <c r="E941" s="8">
        <f t="shared" si="62"/>
        <v>54796.042999999998</v>
      </c>
      <c r="F941" s="8">
        <f>54125.195+670.848</f>
        <v>54796.042999999998</v>
      </c>
      <c r="G941" s="8">
        <v>0</v>
      </c>
      <c r="H941" s="8">
        <v>0</v>
      </c>
      <c r="I941" s="8">
        <v>0</v>
      </c>
      <c r="J941" s="109"/>
      <c r="K941" s="109"/>
    </row>
    <row r="942" spans="1:11" x14ac:dyDescent="0.25">
      <c r="A942" s="109"/>
      <c r="B942" s="109"/>
      <c r="C942" s="109"/>
      <c r="D942" s="106">
        <v>2024</v>
      </c>
      <c r="E942" s="8">
        <f t="shared" si="62"/>
        <v>56948.595869999997</v>
      </c>
      <c r="F942" s="8">
        <v>56948.595869999997</v>
      </c>
      <c r="G942" s="8">
        <v>0</v>
      </c>
      <c r="H942" s="8">
        <v>0</v>
      </c>
      <c r="I942" s="8">
        <v>0</v>
      </c>
      <c r="J942" s="109"/>
      <c r="K942" s="109"/>
    </row>
    <row r="943" spans="1:11" x14ac:dyDescent="0.25">
      <c r="A943" s="109"/>
      <c r="B943" s="109"/>
      <c r="C943" s="109"/>
      <c r="D943" s="106">
        <v>2025</v>
      </c>
      <c r="E943" s="8">
        <f t="shared" si="62"/>
        <v>56974.541210000003</v>
      </c>
      <c r="F943" s="8">
        <v>56974.541210000003</v>
      </c>
      <c r="G943" s="8">
        <v>0</v>
      </c>
      <c r="H943" s="8">
        <v>0</v>
      </c>
      <c r="I943" s="8">
        <v>0</v>
      </c>
      <c r="J943" s="109"/>
      <c r="K943" s="109"/>
    </row>
    <row r="944" spans="1:11" x14ac:dyDescent="0.25">
      <c r="A944" s="110"/>
      <c r="B944" s="110"/>
      <c r="C944" s="110"/>
      <c r="D944" s="106">
        <v>2026</v>
      </c>
      <c r="E944" s="8">
        <f>F944+G944+H944+I944</f>
        <v>57010.134380000003</v>
      </c>
      <c r="F944" s="8">
        <v>57010.134380000003</v>
      </c>
      <c r="G944" s="8"/>
      <c r="H944" s="8"/>
      <c r="I944" s="8"/>
      <c r="J944" s="110"/>
      <c r="K944" s="110"/>
    </row>
    <row r="946" spans="1:1" x14ac:dyDescent="0.25">
      <c r="A946" s="17" t="s">
        <v>1745</v>
      </c>
    </row>
  </sheetData>
  <autoFilter ref="A4:L944"/>
  <mergeCells count="698">
    <mergeCell ref="A1:K2"/>
    <mergeCell ref="A3:A4"/>
    <mergeCell ref="B3:B4"/>
    <mergeCell ref="C3:C4"/>
    <mergeCell ref="D3:I3"/>
    <mergeCell ref="J3:J4"/>
    <mergeCell ref="K3:K4"/>
    <mergeCell ref="A5:A11"/>
    <mergeCell ref="B5:B11"/>
    <mergeCell ref="C5:C11"/>
    <mergeCell ref="J5:J11"/>
    <mergeCell ref="K5:K11"/>
    <mergeCell ref="A12:A18"/>
    <mergeCell ref="B12:B18"/>
    <mergeCell ref="C12:C18"/>
    <mergeCell ref="J12:J18"/>
    <mergeCell ref="K12:K18"/>
    <mergeCell ref="L26:L31"/>
    <mergeCell ref="A33:A39"/>
    <mergeCell ref="B33:B39"/>
    <mergeCell ref="C33:C39"/>
    <mergeCell ref="J33:J39"/>
    <mergeCell ref="K33:K39"/>
    <mergeCell ref="L33:L39"/>
    <mergeCell ref="A19:A25"/>
    <mergeCell ref="B19:B25"/>
    <mergeCell ref="C19:C25"/>
    <mergeCell ref="J19:J25"/>
    <mergeCell ref="K19:K25"/>
    <mergeCell ref="A26:A32"/>
    <mergeCell ref="B26:B32"/>
    <mergeCell ref="C26:C32"/>
    <mergeCell ref="J26:J32"/>
    <mergeCell ref="K26:K32"/>
    <mergeCell ref="A40:A46"/>
    <mergeCell ref="B40:B46"/>
    <mergeCell ref="C40:C46"/>
    <mergeCell ref="J40:J46"/>
    <mergeCell ref="K40:K46"/>
    <mergeCell ref="A47:A53"/>
    <mergeCell ref="B47:B53"/>
    <mergeCell ref="C47:C53"/>
    <mergeCell ref="J47:J53"/>
    <mergeCell ref="K47:K53"/>
    <mergeCell ref="A61:A67"/>
    <mergeCell ref="B61:B67"/>
    <mergeCell ref="C61:C67"/>
    <mergeCell ref="J61:J67"/>
    <mergeCell ref="K61:K67"/>
    <mergeCell ref="N61:N67"/>
    <mergeCell ref="L47:L53"/>
    <mergeCell ref="A54:A60"/>
    <mergeCell ref="B54:B60"/>
    <mergeCell ref="C54:C60"/>
    <mergeCell ref="J54:J60"/>
    <mergeCell ref="K54:K60"/>
    <mergeCell ref="L54:L60"/>
    <mergeCell ref="A68:A74"/>
    <mergeCell ref="B68:B74"/>
    <mergeCell ref="C68:C74"/>
    <mergeCell ref="J68:J74"/>
    <mergeCell ref="K68:K74"/>
    <mergeCell ref="A75:A81"/>
    <mergeCell ref="B75:B81"/>
    <mergeCell ref="C75:C81"/>
    <mergeCell ref="J75:J81"/>
    <mergeCell ref="K75:K81"/>
    <mergeCell ref="A82:A88"/>
    <mergeCell ref="B82:B88"/>
    <mergeCell ref="C82:C88"/>
    <mergeCell ref="J82:J88"/>
    <mergeCell ref="K82:K88"/>
    <mergeCell ref="A89:A95"/>
    <mergeCell ref="B89:B95"/>
    <mergeCell ref="C89:C95"/>
    <mergeCell ref="J89:J95"/>
    <mergeCell ref="K89:K95"/>
    <mergeCell ref="A96:A102"/>
    <mergeCell ref="B96:B102"/>
    <mergeCell ref="C96:C102"/>
    <mergeCell ref="J96:J102"/>
    <mergeCell ref="K96:K102"/>
    <mergeCell ref="A103:A109"/>
    <mergeCell ref="B103:B109"/>
    <mergeCell ref="C103:C109"/>
    <mergeCell ref="J103:J109"/>
    <mergeCell ref="K103:K109"/>
    <mergeCell ref="A110:A116"/>
    <mergeCell ref="B110:B116"/>
    <mergeCell ref="C110:C116"/>
    <mergeCell ref="J110:J116"/>
    <mergeCell ref="K110:K116"/>
    <mergeCell ref="A117:A122"/>
    <mergeCell ref="B117:B122"/>
    <mergeCell ref="C117:C122"/>
    <mergeCell ref="J117:J122"/>
    <mergeCell ref="K117:K122"/>
    <mergeCell ref="A123:A129"/>
    <mergeCell ref="B123:B129"/>
    <mergeCell ref="C123:C129"/>
    <mergeCell ref="J123:J129"/>
    <mergeCell ref="K123:K129"/>
    <mergeCell ref="A130:A136"/>
    <mergeCell ref="B130:B136"/>
    <mergeCell ref="C130:C136"/>
    <mergeCell ref="J130:J136"/>
    <mergeCell ref="K130:K136"/>
    <mergeCell ref="A137:A143"/>
    <mergeCell ref="B137:B143"/>
    <mergeCell ref="C137:C143"/>
    <mergeCell ref="J137:J143"/>
    <mergeCell ref="K137:K143"/>
    <mergeCell ref="A144:A150"/>
    <mergeCell ref="B144:B150"/>
    <mergeCell ref="C144:C150"/>
    <mergeCell ref="J144:J150"/>
    <mergeCell ref="K144:K150"/>
    <mergeCell ref="A151:A157"/>
    <mergeCell ref="B151:B157"/>
    <mergeCell ref="C151:C157"/>
    <mergeCell ref="J151:J157"/>
    <mergeCell ref="K151:K157"/>
    <mergeCell ref="A158:A164"/>
    <mergeCell ref="B158:B164"/>
    <mergeCell ref="C158:C164"/>
    <mergeCell ref="J158:J164"/>
    <mergeCell ref="K158:K164"/>
    <mergeCell ref="A165:A171"/>
    <mergeCell ref="B165:B171"/>
    <mergeCell ref="C165:C171"/>
    <mergeCell ref="J165:J171"/>
    <mergeCell ref="K165:K171"/>
    <mergeCell ref="A172:A178"/>
    <mergeCell ref="B172:B178"/>
    <mergeCell ref="C172:C178"/>
    <mergeCell ref="J172:J178"/>
    <mergeCell ref="K172:K178"/>
    <mergeCell ref="L186:L191"/>
    <mergeCell ref="A193:A199"/>
    <mergeCell ref="B193:B199"/>
    <mergeCell ref="C193:C199"/>
    <mergeCell ref="J193:J199"/>
    <mergeCell ref="K193:K199"/>
    <mergeCell ref="A179:A185"/>
    <mergeCell ref="B179:B185"/>
    <mergeCell ref="C179:C185"/>
    <mergeCell ref="J179:J185"/>
    <mergeCell ref="K179:K185"/>
    <mergeCell ref="A186:A192"/>
    <mergeCell ref="B186:B192"/>
    <mergeCell ref="C186:C192"/>
    <mergeCell ref="J186:J192"/>
    <mergeCell ref="K186:K192"/>
    <mergeCell ref="A200:A206"/>
    <mergeCell ref="B200:B206"/>
    <mergeCell ref="C200:C206"/>
    <mergeCell ref="J200:J206"/>
    <mergeCell ref="K200:K206"/>
    <mergeCell ref="A207:A213"/>
    <mergeCell ref="B207:B213"/>
    <mergeCell ref="C207:C213"/>
    <mergeCell ref="J207:J213"/>
    <mergeCell ref="K207:K213"/>
    <mergeCell ref="A221:A227"/>
    <mergeCell ref="B221:B227"/>
    <mergeCell ref="C221:C227"/>
    <mergeCell ref="J221:J227"/>
    <mergeCell ref="K221:K227"/>
    <mergeCell ref="L221:L226"/>
    <mergeCell ref="A214:A220"/>
    <mergeCell ref="B214:B220"/>
    <mergeCell ref="C214:C220"/>
    <mergeCell ref="J214:J220"/>
    <mergeCell ref="K214:K220"/>
    <mergeCell ref="L214:L219"/>
    <mergeCell ref="A228:A234"/>
    <mergeCell ref="B228:B234"/>
    <mergeCell ref="C228:C234"/>
    <mergeCell ref="J228:J234"/>
    <mergeCell ref="K228:K234"/>
    <mergeCell ref="A235:A241"/>
    <mergeCell ref="B235:B241"/>
    <mergeCell ref="C235:C241"/>
    <mergeCell ref="J235:J241"/>
    <mergeCell ref="K235:K241"/>
    <mergeCell ref="A242:A248"/>
    <mergeCell ref="B242:B248"/>
    <mergeCell ref="C242:C248"/>
    <mergeCell ref="J242:J248"/>
    <mergeCell ref="K242:K248"/>
    <mergeCell ref="A249:A255"/>
    <mergeCell ref="B249:B255"/>
    <mergeCell ref="C249:C255"/>
    <mergeCell ref="J249:J255"/>
    <mergeCell ref="K249:K255"/>
    <mergeCell ref="A256:A262"/>
    <mergeCell ref="B256:B262"/>
    <mergeCell ref="C256:C262"/>
    <mergeCell ref="J256:J262"/>
    <mergeCell ref="K256:K262"/>
    <mergeCell ref="A263:A269"/>
    <mergeCell ref="B263:B269"/>
    <mergeCell ref="C263:C269"/>
    <mergeCell ref="J263:J269"/>
    <mergeCell ref="K263:K269"/>
    <mergeCell ref="A270:A276"/>
    <mergeCell ref="B270:B276"/>
    <mergeCell ref="C270:C276"/>
    <mergeCell ref="J270:J276"/>
    <mergeCell ref="K270:K276"/>
    <mergeCell ref="A277:A283"/>
    <mergeCell ref="B277:B283"/>
    <mergeCell ref="C277:C283"/>
    <mergeCell ref="J277:J283"/>
    <mergeCell ref="K277:K283"/>
    <mergeCell ref="A284:A290"/>
    <mergeCell ref="B284:B290"/>
    <mergeCell ref="C284:C290"/>
    <mergeCell ref="J284:J290"/>
    <mergeCell ref="K284:K290"/>
    <mergeCell ref="A291:A297"/>
    <mergeCell ref="B291:B297"/>
    <mergeCell ref="C291:C297"/>
    <mergeCell ref="J291:J297"/>
    <mergeCell ref="K291:K297"/>
    <mergeCell ref="A298:A304"/>
    <mergeCell ref="B298:B304"/>
    <mergeCell ref="C298:C304"/>
    <mergeCell ref="J298:J304"/>
    <mergeCell ref="K298:K304"/>
    <mergeCell ref="A305:A311"/>
    <mergeCell ref="B305:B311"/>
    <mergeCell ref="C305:C311"/>
    <mergeCell ref="J305:J311"/>
    <mergeCell ref="K305:K311"/>
    <mergeCell ref="A312:A318"/>
    <mergeCell ref="B312:B318"/>
    <mergeCell ref="C312:C318"/>
    <mergeCell ref="J312:J318"/>
    <mergeCell ref="K312:K318"/>
    <mergeCell ref="A319:A325"/>
    <mergeCell ref="B319:B325"/>
    <mergeCell ref="C319:C325"/>
    <mergeCell ref="J319:J325"/>
    <mergeCell ref="K319:K325"/>
    <mergeCell ref="A326:A332"/>
    <mergeCell ref="B326:B332"/>
    <mergeCell ref="C326:C332"/>
    <mergeCell ref="J326:J332"/>
    <mergeCell ref="K326:K332"/>
    <mergeCell ref="A333:A339"/>
    <mergeCell ref="B333:B339"/>
    <mergeCell ref="C333:C339"/>
    <mergeCell ref="J333:J339"/>
    <mergeCell ref="K333:K339"/>
    <mergeCell ref="A340:A346"/>
    <mergeCell ref="B340:B346"/>
    <mergeCell ref="C340:C346"/>
    <mergeCell ref="J340:J346"/>
    <mergeCell ref="K340:K346"/>
    <mergeCell ref="A347:A353"/>
    <mergeCell ref="B347:B353"/>
    <mergeCell ref="C347:C353"/>
    <mergeCell ref="J347:J353"/>
    <mergeCell ref="K347:K353"/>
    <mergeCell ref="A354:A360"/>
    <mergeCell ref="B354:B360"/>
    <mergeCell ref="C354:C360"/>
    <mergeCell ref="J354:J360"/>
    <mergeCell ref="K354:K360"/>
    <mergeCell ref="A361:A367"/>
    <mergeCell ref="B361:B367"/>
    <mergeCell ref="C361:C367"/>
    <mergeCell ref="J361:J367"/>
    <mergeCell ref="K361:K367"/>
    <mergeCell ref="A368:A374"/>
    <mergeCell ref="B368:B374"/>
    <mergeCell ref="C368:C374"/>
    <mergeCell ref="J368:J374"/>
    <mergeCell ref="K368:K374"/>
    <mergeCell ref="A375:A381"/>
    <mergeCell ref="B375:B381"/>
    <mergeCell ref="C375:C381"/>
    <mergeCell ref="J375:J381"/>
    <mergeCell ref="K375:K381"/>
    <mergeCell ref="A382:A388"/>
    <mergeCell ref="B382:B388"/>
    <mergeCell ref="C382:C388"/>
    <mergeCell ref="J382:J388"/>
    <mergeCell ref="K382:K388"/>
    <mergeCell ref="A389:A395"/>
    <mergeCell ref="B389:B395"/>
    <mergeCell ref="C389:C395"/>
    <mergeCell ref="J389:J395"/>
    <mergeCell ref="K389:K395"/>
    <mergeCell ref="A396:A401"/>
    <mergeCell ref="B396:B401"/>
    <mergeCell ref="C396:C401"/>
    <mergeCell ref="J396:J401"/>
    <mergeCell ref="K396:K401"/>
    <mergeCell ref="A402:A407"/>
    <mergeCell ref="B402:B407"/>
    <mergeCell ref="C402:C407"/>
    <mergeCell ref="J402:J407"/>
    <mergeCell ref="K402:K407"/>
    <mergeCell ref="A408:A414"/>
    <mergeCell ref="B408:B414"/>
    <mergeCell ref="C408:C414"/>
    <mergeCell ref="J408:J414"/>
    <mergeCell ref="K408:K414"/>
    <mergeCell ref="A415:A421"/>
    <mergeCell ref="B415:B421"/>
    <mergeCell ref="C415:C421"/>
    <mergeCell ref="J415:J421"/>
    <mergeCell ref="K415:K421"/>
    <mergeCell ref="A422:A428"/>
    <mergeCell ref="B422:B428"/>
    <mergeCell ref="C422:C428"/>
    <mergeCell ref="J422:J428"/>
    <mergeCell ref="K422:K428"/>
    <mergeCell ref="A429:A435"/>
    <mergeCell ref="B429:B435"/>
    <mergeCell ref="C429:C435"/>
    <mergeCell ref="J429:J435"/>
    <mergeCell ref="K429:K435"/>
    <mergeCell ref="A436:A442"/>
    <mergeCell ref="B436:B442"/>
    <mergeCell ref="C436:C442"/>
    <mergeCell ref="J436:J442"/>
    <mergeCell ref="K436:K442"/>
    <mergeCell ref="A443:A449"/>
    <mergeCell ref="B443:B449"/>
    <mergeCell ref="C443:C449"/>
    <mergeCell ref="J443:J449"/>
    <mergeCell ref="K443:K449"/>
    <mergeCell ref="A464:A470"/>
    <mergeCell ref="B464:B470"/>
    <mergeCell ref="C464:C470"/>
    <mergeCell ref="J464:J470"/>
    <mergeCell ref="K464:K470"/>
    <mergeCell ref="L464:L470"/>
    <mergeCell ref="A450:A456"/>
    <mergeCell ref="B450:B456"/>
    <mergeCell ref="C450:C456"/>
    <mergeCell ref="J450:J456"/>
    <mergeCell ref="K450:K456"/>
    <mergeCell ref="A457:A463"/>
    <mergeCell ref="B457:B463"/>
    <mergeCell ref="C457:C463"/>
    <mergeCell ref="J457:J463"/>
    <mergeCell ref="K457:K463"/>
    <mergeCell ref="A478:A484"/>
    <mergeCell ref="B478:B484"/>
    <mergeCell ref="C478:C484"/>
    <mergeCell ref="J478:J484"/>
    <mergeCell ref="K478:K484"/>
    <mergeCell ref="L478:L484"/>
    <mergeCell ref="A471:A477"/>
    <mergeCell ref="B471:B477"/>
    <mergeCell ref="C471:C477"/>
    <mergeCell ref="J471:J477"/>
    <mergeCell ref="K471:K477"/>
    <mergeCell ref="L471:L477"/>
    <mergeCell ref="A485:A491"/>
    <mergeCell ref="B485:B491"/>
    <mergeCell ref="C485:C491"/>
    <mergeCell ref="J485:J491"/>
    <mergeCell ref="K485:K491"/>
    <mergeCell ref="A492:A498"/>
    <mergeCell ref="B492:B498"/>
    <mergeCell ref="C492:C498"/>
    <mergeCell ref="J492:J498"/>
    <mergeCell ref="K492:K498"/>
    <mergeCell ref="A513:A519"/>
    <mergeCell ref="B513:B519"/>
    <mergeCell ref="C513:C519"/>
    <mergeCell ref="J513:J519"/>
    <mergeCell ref="K513:K519"/>
    <mergeCell ref="L513:L519"/>
    <mergeCell ref="A499:A505"/>
    <mergeCell ref="B499:B505"/>
    <mergeCell ref="C499:C505"/>
    <mergeCell ref="J499:J505"/>
    <mergeCell ref="K499:K505"/>
    <mergeCell ref="A506:A512"/>
    <mergeCell ref="B506:B512"/>
    <mergeCell ref="C506:C512"/>
    <mergeCell ref="J506:J512"/>
    <mergeCell ref="K506:K512"/>
    <mergeCell ref="L527:L533"/>
    <mergeCell ref="A534:A540"/>
    <mergeCell ref="B534:B540"/>
    <mergeCell ref="C534:C540"/>
    <mergeCell ref="J534:J540"/>
    <mergeCell ref="K534:K540"/>
    <mergeCell ref="A520:A526"/>
    <mergeCell ref="B520:B526"/>
    <mergeCell ref="C520:C526"/>
    <mergeCell ref="J520:J526"/>
    <mergeCell ref="K520:K526"/>
    <mergeCell ref="A527:A533"/>
    <mergeCell ref="B527:B533"/>
    <mergeCell ref="C527:C533"/>
    <mergeCell ref="J527:J533"/>
    <mergeCell ref="K527:K533"/>
    <mergeCell ref="L548:L550"/>
    <mergeCell ref="A555:A561"/>
    <mergeCell ref="B555:B561"/>
    <mergeCell ref="C555:C561"/>
    <mergeCell ref="J555:J561"/>
    <mergeCell ref="K555:K561"/>
    <mergeCell ref="A541:A547"/>
    <mergeCell ref="B541:B547"/>
    <mergeCell ref="C541:C547"/>
    <mergeCell ref="J541:J547"/>
    <mergeCell ref="K541:K547"/>
    <mergeCell ref="A548:A554"/>
    <mergeCell ref="B548:B554"/>
    <mergeCell ref="C548:C554"/>
    <mergeCell ref="J548:J554"/>
    <mergeCell ref="K548:K554"/>
    <mergeCell ref="A562:A567"/>
    <mergeCell ref="B562:B567"/>
    <mergeCell ref="C562:C567"/>
    <mergeCell ref="J562:J567"/>
    <mergeCell ref="K562:K567"/>
    <mergeCell ref="A568:A573"/>
    <mergeCell ref="B568:B573"/>
    <mergeCell ref="C568:C573"/>
    <mergeCell ref="J568:J573"/>
    <mergeCell ref="K568:K573"/>
    <mergeCell ref="A574:A580"/>
    <mergeCell ref="B574:B580"/>
    <mergeCell ref="C574:C580"/>
    <mergeCell ref="J574:J580"/>
    <mergeCell ref="K574:K580"/>
    <mergeCell ref="A581:A587"/>
    <mergeCell ref="B581:B587"/>
    <mergeCell ref="C581:C587"/>
    <mergeCell ref="J581:J587"/>
    <mergeCell ref="K581:K587"/>
    <mergeCell ref="A588:A594"/>
    <mergeCell ref="B588:B594"/>
    <mergeCell ref="C588:C594"/>
    <mergeCell ref="J588:J594"/>
    <mergeCell ref="K588:K594"/>
    <mergeCell ref="A595:A601"/>
    <mergeCell ref="B595:B601"/>
    <mergeCell ref="C595:C601"/>
    <mergeCell ref="J595:J601"/>
    <mergeCell ref="K595:K601"/>
    <mergeCell ref="A602:A608"/>
    <mergeCell ref="B602:B608"/>
    <mergeCell ref="C602:C608"/>
    <mergeCell ref="J602:J608"/>
    <mergeCell ref="K602:K608"/>
    <mergeCell ref="A609:A615"/>
    <mergeCell ref="B609:B615"/>
    <mergeCell ref="C609:C615"/>
    <mergeCell ref="J609:J615"/>
    <mergeCell ref="K609:K615"/>
    <mergeCell ref="A616:A622"/>
    <mergeCell ref="B616:B622"/>
    <mergeCell ref="C616:C622"/>
    <mergeCell ref="J616:J622"/>
    <mergeCell ref="K616:K622"/>
    <mergeCell ref="A623:A629"/>
    <mergeCell ref="B623:B629"/>
    <mergeCell ref="C623:C629"/>
    <mergeCell ref="J623:J629"/>
    <mergeCell ref="K623:K629"/>
    <mergeCell ref="A630:A636"/>
    <mergeCell ref="B630:B636"/>
    <mergeCell ref="C630:C636"/>
    <mergeCell ref="J630:J636"/>
    <mergeCell ref="K630:K636"/>
    <mergeCell ref="A637:A643"/>
    <mergeCell ref="B637:B643"/>
    <mergeCell ref="C637:C643"/>
    <mergeCell ref="J637:J643"/>
    <mergeCell ref="K637:K643"/>
    <mergeCell ref="A644:A650"/>
    <mergeCell ref="B644:B650"/>
    <mergeCell ref="C644:C650"/>
    <mergeCell ref="J644:J650"/>
    <mergeCell ref="K644:K650"/>
    <mergeCell ref="A651:A657"/>
    <mergeCell ref="B651:B657"/>
    <mergeCell ref="C651:C657"/>
    <mergeCell ref="J651:J657"/>
    <mergeCell ref="K651:K657"/>
    <mergeCell ref="A658:A664"/>
    <mergeCell ref="B658:B664"/>
    <mergeCell ref="C658:C664"/>
    <mergeCell ref="J658:J664"/>
    <mergeCell ref="K658:K664"/>
    <mergeCell ref="A665:A671"/>
    <mergeCell ref="B665:B671"/>
    <mergeCell ref="C665:C671"/>
    <mergeCell ref="J665:J671"/>
    <mergeCell ref="K665:K671"/>
    <mergeCell ref="A672:A678"/>
    <mergeCell ref="B672:B678"/>
    <mergeCell ref="C672:C678"/>
    <mergeCell ref="J672:J678"/>
    <mergeCell ref="K672:K678"/>
    <mergeCell ref="A679:A685"/>
    <mergeCell ref="B679:B685"/>
    <mergeCell ref="C679:C685"/>
    <mergeCell ref="J679:J685"/>
    <mergeCell ref="K679:K685"/>
    <mergeCell ref="A686:A692"/>
    <mergeCell ref="B686:B692"/>
    <mergeCell ref="C686:C692"/>
    <mergeCell ref="J686:J692"/>
    <mergeCell ref="K686:K692"/>
    <mergeCell ref="A693:A699"/>
    <mergeCell ref="B693:B699"/>
    <mergeCell ref="C693:C699"/>
    <mergeCell ref="J693:J699"/>
    <mergeCell ref="K693:K699"/>
    <mergeCell ref="A700:A706"/>
    <mergeCell ref="B700:B706"/>
    <mergeCell ref="C700:C706"/>
    <mergeCell ref="J700:J706"/>
    <mergeCell ref="K700:K706"/>
    <mergeCell ref="A707:A713"/>
    <mergeCell ref="B707:B713"/>
    <mergeCell ref="C707:C713"/>
    <mergeCell ref="J707:J713"/>
    <mergeCell ref="K707:K713"/>
    <mergeCell ref="A714:A720"/>
    <mergeCell ref="B714:B720"/>
    <mergeCell ref="C714:C720"/>
    <mergeCell ref="J714:J720"/>
    <mergeCell ref="K714:K720"/>
    <mergeCell ref="A721:A727"/>
    <mergeCell ref="B721:B727"/>
    <mergeCell ref="C721:C727"/>
    <mergeCell ref="J721:J727"/>
    <mergeCell ref="K721:K727"/>
    <mergeCell ref="A728:A734"/>
    <mergeCell ref="B728:B734"/>
    <mergeCell ref="C728:C734"/>
    <mergeCell ref="J728:J734"/>
    <mergeCell ref="K728:K734"/>
    <mergeCell ref="A735:A741"/>
    <mergeCell ref="B735:B741"/>
    <mergeCell ref="C735:C741"/>
    <mergeCell ref="J735:J741"/>
    <mergeCell ref="K735:K741"/>
    <mergeCell ref="A742:A748"/>
    <mergeCell ref="B742:B748"/>
    <mergeCell ref="C742:C748"/>
    <mergeCell ref="J742:J748"/>
    <mergeCell ref="K742:K748"/>
    <mergeCell ref="A749:A755"/>
    <mergeCell ref="B749:B755"/>
    <mergeCell ref="C749:C755"/>
    <mergeCell ref="J749:J755"/>
    <mergeCell ref="K749:K755"/>
    <mergeCell ref="A756:A762"/>
    <mergeCell ref="B756:B762"/>
    <mergeCell ref="C756:C762"/>
    <mergeCell ref="J756:J762"/>
    <mergeCell ref="K756:K762"/>
    <mergeCell ref="A763:A769"/>
    <mergeCell ref="B763:B769"/>
    <mergeCell ref="C763:C769"/>
    <mergeCell ref="J763:J769"/>
    <mergeCell ref="K763:K769"/>
    <mergeCell ref="A770:A776"/>
    <mergeCell ref="B770:B776"/>
    <mergeCell ref="C770:C776"/>
    <mergeCell ref="J770:J776"/>
    <mergeCell ref="K770:K776"/>
    <mergeCell ref="A777:A783"/>
    <mergeCell ref="B777:B783"/>
    <mergeCell ref="C777:C783"/>
    <mergeCell ref="J777:J783"/>
    <mergeCell ref="K777:K783"/>
    <mergeCell ref="A784:A790"/>
    <mergeCell ref="B784:B790"/>
    <mergeCell ref="C784:C790"/>
    <mergeCell ref="J784:J790"/>
    <mergeCell ref="K784:K790"/>
    <mergeCell ref="A791:A797"/>
    <mergeCell ref="B791:B797"/>
    <mergeCell ref="C791:C797"/>
    <mergeCell ref="J791:J797"/>
    <mergeCell ref="K791:K797"/>
    <mergeCell ref="A798:A804"/>
    <mergeCell ref="B798:B804"/>
    <mergeCell ref="C798:C804"/>
    <mergeCell ref="J798:J804"/>
    <mergeCell ref="K798:K804"/>
    <mergeCell ref="A805:A811"/>
    <mergeCell ref="B805:B811"/>
    <mergeCell ref="C805:C811"/>
    <mergeCell ref="J805:J811"/>
    <mergeCell ref="K805:K811"/>
    <mergeCell ref="A812:A818"/>
    <mergeCell ref="B812:B818"/>
    <mergeCell ref="C812:C818"/>
    <mergeCell ref="J812:J818"/>
    <mergeCell ref="K812:K818"/>
    <mergeCell ref="A819:A825"/>
    <mergeCell ref="B819:B825"/>
    <mergeCell ref="C819:C825"/>
    <mergeCell ref="J819:J825"/>
    <mergeCell ref="K819:K825"/>
    <mergeCell ref="A826:A832"/>
    <mergeCell ref="B826:B832"/>
    <mergeCell ref="C826:C832"/>
    <mergeCell ref="J826:J832"/>
    <mergeCell ref="K826:K832"/>
    <mergeCell ref="A833:A839"/>
    <mergeCell ref="B833:B839"/>
    <mergeCell ref="C833:C839"/>
    <mergeCell ref="J833:J839"/>
    <mergeCell ref="K833:K839"/>
    <mergeCell ref="C840:C846"/>
    <mergeCell ref="B840:B846"/>
    <mergeCell ref="A840:A846"/>
    <mergeCell ref="J840:J846"/>
    <mergeCell ref="K840:K846"/>
    <mergeCell ref="B847:B853"/>
    <mergeCell ref="A847:A853"/>
    <mergeCell ref="C847:C853"/>
    <mergeCell ref="J847:J853"/>
    <mergeCell ref="K847:K853"/>
    <mergeCell ref="C854:C860"/>
    <mergeCell ref="B854:B860"/>
    <mergeCell ref="A854:A860"/>
    <mergeCell ref="J854:J860"/>
    <mergeCell ref="K854:K860"/>
    <mergeCell ref="B861:B867"/>
    <mergeCell ref="A861:A867"/>
    <mergeCell ref="C861:C867"/>
    <mergeCell ref="J861:J867"/>
    <mergeCell ref="K861:K867"/>
    <mergeCell ref="B868:B874"/>
    <mergeCell ref="A868:A874"/>
    <mergeCell ref="C868:C874"/>
    <mergeCell ref="C875:C881"/>
    <mergeCell ref="B875:B881"/>
    <mergeCell ref="A875:A881"/>
    <mergeCell ref="J868:J874"/>
    <mergeCell ref="J875:J881"/>
    <mergeCell ref="K875:K881"/>
    <mergeCell ref="K868:K874"/>
    <mergeCell ref="A889:A895"/>
    <mergeCell ref="B889:B895"/>
    <mergeCell ref="C889:C895"/>
    <mergeCell ref="J889:J895"/>
    <mergeCell ref="K889:K895"/>
    <mergeCell ref="C882:C888"/>
    <mergeCell ref="B882:B888"/>
    <mergeCell ref="A882:A888"/>
    <mergeCell ref="J882:J888"/>
    <mergeCell ref="K882:K888"/>
    <mergeCell ref="L903:L908"/>
    <mergeCell ref="A896:A902"/>
    <mergeCell ref="B896:B902"/>
    <mergeCell ref="C896:C902"/>
    <mergeCell ref="J896:J902"/>
    <mergeCell ref="K896:K902"/>
    <mergeCell ref="L896:L901"/>
    <mergeCell ref="C903:C909"/>
    <mergeCell ref="B903:B909"/>
    <mergeCell ref="A903:A909"/>
    <mergeCell ref="J903:J909"/>
    <mergeCell ref="K903:K909"/>
    <mergeCell ref="C910:C916"/>
    <mergeCell ref="B910:B916"/>
    <mergeCell ref="A910:A916"/>
    <mergeCell ref="J910:J916"/>
    <mergeCell ref="K910:K916"/>
    <mergeCell ref="C917:C923"/>
    <mergeCell ref="B917:B923"/>
    <mergeCell ref="A917:A923"/>
    <mergeCell ref="J917:J923"/>
    <mergeCell ref="K917:K923"/>
    <mergeCell ref="A938:A944"/>
    <mergeCell ref="B938:B944"/>
    <mergeCell ref="C938:C944"/>
    <mergeCell ref="J938:J944"/>
    <mergeCell ref="K938:K944"/>
    <mergeCell ref="A924:A930"/>
    <mergeCell ref="B924:B930"/>
    <mergeCell ref="C924:C930"/>
    <mergeCell ref="J924:J930"/>
    <mergeCell ref="K924:K930"/>
    <mergeCell ref="A931:A937"/>
    <mergeCell ref="B931:B937"/>
    <mergeCell ref="C931:C937"/>
    <mergeCell ref="J931:J937"/>
    <mergeCell ref="K931:K937"/>
  </mergeCells>
  <pageMargins left="0.11811023622047245" right="0.11811023622047245" top="0.15748031496062992" bottom="0.15748031496062992" header="0.11811023622047245" footer="0.11811023622047245"/>
  <pageSetup paperSize="9" scale="66" firstPageNumber="4294967295" fitToHeight="0" orientation="landscape" r:id="rId1"/>
  <headerFooter>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2"/>
  <sheetViews>
    <sheetView workbookViewId="0">
      <selection activeCell="C8" sqref="C8"/>
    </sheetView>
  </sheetViews>
  <sheetFormatPr defaultRowHeight="15" x14ac:dyDescent="0.25"/>
  <cols>
    <col min="1" max="1" width="19.5703125" style="82" customWidth="1"/>
    <col min="2" max="2" width="29.85546875" style="82" customWidth="1"/>
    <col min="3" max="3" width="20.28515625" style="82" customWidth="1"/>
    <col min="4" max="4" width="24.7109375" style="82" customWidth="1"/>
    <col min="5" max="5" width="19.85546875" style="82" customWidth="1"/>
    <col min="6" max="6" width="24.85546875" style="82" customWidth="1"/>
    <col min="7" max="7" width="29.42578125" style="82" customWidth="1"/>
    <col min="8" max="8" width="31.7109375" style="82" customWidth="1"/>
    <col min="9" max="16384" width="9.140625" style="82"/>
  </cols>
  <sheetData>
    <row r="1" spans="1:8" x14ac:dyDescent="0.25">
      <c r="D1" s="83" t="s">
        <v>1797</v>
      </c>
    </row>
    <row r="2" spans="1:8" x14ac:dyDescent="0.25">
      <c r="D2" s="83" t="s">
        <v>1798</v>
      </c>
    </row>
    <row r="3" spans="1:8" x14ac:dyDescent="0.25">
      <c r="D3" s="83" t="s">
        <v>1799</v>
      </c>
    </row>
    <row r="4" spans="1:8" x14ac:dyDescent="0.25">
      <c r="D4" s="84"/>
    </row>
    <row r="5" spans="1:8" x14ac:dyDescent="0.25">
      <c r="D5" s="85"/>
    </row>
    <row r="6" spans="1:8" ht="15.75" thickBot="1" x14ac:dyDescent="0.3">
      <c r="A6" s="86"/>
    </row>
    <row r="7" spans="1:8" ht="43.5" customHeight="1" thickBot="1" x14ac:dyDescent="0.3">
      <c r="A7" s="223" t="s">
        <v>1800</v>
      </c>
      <c r="B7" s="223" t="s">
        <v>1801</v>
      </c>
      <c r="C7" s="225" t="s">
        <v>1802</v>
      </c>
      <c r="D7" s="226"/>
      <c r="E7" s="226"/>
      <c r="F7" s="226"/>
      <c r="G7" s="227"/>
      <c r="H7" s="223" t="s">
        <v>804</v>
      </c>
    </row>
    <row r="8" spans="1:8" ht="23.25" customHeight="1" thickBot="1" x14ac:dyDescent="0.3">
      <c r="A8" s="224"/>
      <c r="B8" s="224"/>
      <c r="C8" s="97" t="s">
        <v>805</v>
      </c>
      <c r="D8" s="97" t="s">
        <v>8</v>
      </c>
      <c r="E8" s="97" t="s">
        <v>9</v>
      </c>
      <c r="F8" s="97" t="s">
        <v>10</v>
      </c>
      <c r="G8" s="97" t="s">
        <v>11</v>
      </c>
      <c r="H8" s="224"/>
    </row>
    <row r="9" spans="1:8" ht="18" customHeight="1" thickBot="1" x14ac:dyDescent="0.3">
      <c r="A9" s="228">
        <v>1</v>
      </c>
      <c r="B9" s="228" t="s">
        <v>1803</v>
      </c>
      <c r="C9" s="87" t="s">
        <v>8</v>
      </c>
      <c r="D9" s="87">
        <v>3403.93</v>
      </c>
      <c r="E9" s="87">
        <v>2222.77</v>
      </c>
      <c r="F9" s="87">
        <v>0</v>
      </c>
      <c r="G9" s="87">
        <v>1181.1600000000001</v>
      </c>
      <c r="H9" s="231"/>
    </row>
    <row r="10" spans="1:8" ht="15.75" thickBot="1" x14ac:dyDescent="0.3">
      <c r="A10" s="229"/>
      <c r="B10" s="229"/>
      <c r="C10" s="87">
        <v>2021</v>
      </c>
      <c r="D10" s="87">
        <v>0</v>
      </c>
      <c r="E10" s="87">
        <v>0</v>
      </c>
      <c r="F10" s="87">
        <v>0</v>
      </c>
      <c r="G10" s="87">
        <v>0</v>
      </c>
      <c r="H10" s="232"/>
    </row>
    <row r="11" spans="1:8" ht="15.75" thickBot="1" x14ac:dyDescent="0.3">
      <c r="A11" s="229"/>
      <c r="B11" s="229"/>
      <c r="C11" s="87">
        <v>2022</v>
      </c>
      <c r="D11" s="87">
        <v>3403.93</v>
      </c>
      <c r="E11" s="87">
        <v>2222.77</v>
      </c>
      <c r="F11" s="87">
        <v>0</v>
      </c>
      <c r="G11" s="87">
        <v>1181.1600000000001</v>
      </c>
      <c r="H11" s="232"/>
    </row>
    <row r="12" spans="1:8" ht="15.75" thickBot="1" x14ac:dyDescent="0.3">
      <c r="A12" s="229"/>
      <c r="B12" s="229"/>
      <c r="C12" s="87">
        <v>2023</v>
      </c>
      <c r="D12" s="87">
        <v>0</v>
      </c>
      <c r="E12" s="87">
        <v>0</v>
      </c>
      <c r="F12" s="87">
        <v>0</v>
      </c>
      <c r="G12" s="87">
        <v>0</v>
      </c>
      <c r="H12" s="232"/>
    </row>
    <row r="13" spans="1:8" ht="15.75" thickBot="1" x14ac:dyDescent="0.3">
      <c r="A13" s="229"/>
      <c r="B13" s="229"/>
      <c r="C13" s="87">
        <v>2024</v>
      </c>
      <c r="D13" s="87">
        <v>0</v>
      </c>
      <c r="E13" s="87">
        <v>0</v>
      </c>
      <c r="F13" s="87">
        <v>0</v>
      </c>
      <c r="G13" s="87">
        <v>0</v>
      </c>
      <c r="H13" s="232"/>
    </row>
    <row r="14" spans="1:8" ht="15.75" thickBot="1" x14ac:dyDescent="0.3">
      <c r="A14" s="230"/>
      <c r="B14" s="230"/>
      <c r="C14" s="87">
        <v>2025</v>
      </c>
      <c r="D14" s="87">
        <v>0</v>
      </c>
      <c r="E14" s="87">
        <v>0</v>
      </c>
      <c r="F14" s="87">
        <v>0</v>
      </c>
      <c r="G14" s="87">
        <v>0</v>
      </c>
      <c r="H14" s="233"/>
    </row>
    <row r="15" spans="1:8" ht="19.5" customHeight="1" thickBot="1" x14ac:dyDescent="0.3">
      <c r="A15" s="228">
        <v>2</v>
      </c>
      <c r="B15" s="228" t="s">
        <v>1804</v>
      </c>
      <c r="C15" s="88" t="s">
        <v>8</v>
      </c>
      <c r="D15" s="88">
        <v>5060.9399999999996</v>
      </c>
      <c r="E15" s="88">
        <v>4286.55</v>
      </c>
      <c r="F15" s="88">
        <v>0</v>
      </c>
      <c r="G15" s="88">
        <v>774.39</v>
      </c>
      <c r="H15" s="231"/>
    </row>
    <row r="16" spans="1:8" ht="15.75" thickBot="1" x14ac:dyDescent="0.3">
      <c r="A16" s="229"/>
      <c r="B16" s="229"/>
      <c r="C16" s="87">
        <v>2021</v>
      </c>
      <c r="D16" s="87">
        <v>0</v>
      </c>
      <c r="E16" s="87">
        <v>0</v>
      </c>
      <c r="F16" s="87">
        <v>0</v>
      </c>
      <c r="G16" s="87">
        <v>0</v>
      </c>
      <c r="H16" s="232"/>
    </row>
    <row r="17" spans="1:8" ht="15.75" thickBot="1" x14ac:dyDescent="0.3">
      <c r="A17" s="229"/>
      <c r="B17" s="229"/>
      <c r="C17" s="87">
        <v>2022</v>
      </c>
      <c r="D17" s="87">
        <v>5060.9399999999996</v>
      </c>
      <c r="E17" s="87">
        <v>4286.55</v>
      </c>
      <c r="F17" s="87">
        <v>0</v>
      </c>
      <c r="G17" s="87">
        <v>774.39</v>
      </c>
      <c r="H17" s="232"/>
    </row>
    <row r="18" spans="1:8" ht="15.75" thickBot="1" x14ac:dyDescent="0.3">
      <c r="A18" s="229"/>
      <c r="B18" s="229"/>
      <c r="C18" s="87">
        <v>2023</v>
      </c>
      <c r="D18" s="87">
        <v>0</v>
      </c>
      <c r="E18" s="87">
        <v>0</v>
      </c>
      <c r="F18" s="87">
        <v>0</v>
      </c>
      <c r="G18" s="87">
        <v>0</v>
      </c>
      <c r="H18" s="232"/>
    </row>
    <row r="19" spans="1:8" ht="15.75" thickBot="1" x14ac:dyDescent="0.3">
      <c r="A19" s="229"/>
      <c r="B19" s="229"/>
      <c r="C19" s="87">
        <v>2024</v>
      </c>
      <c r="D19" s="87">
        <v>0</v>
      </c>
      <c r="E19" s="87">
        <v>0</v>
      </c>
      <c r="F19" s="87">
        <v>0</v>
      </c>
      <c r="G19" s="87">
        <v>0</v>
      </c>
      <c r="H19" s="232"/>
    </row>
    <row r="20" spans="1:8" ht="15.75" thickBot="1" x14ac:dyDescent="0.3">
      <c r="A20" s="230"/>
      <c r="B20" s="230"/>
      <c r="C20" s="87">
        <v>2025</v>
      </c>
      <c r="D20" s="87">
        <v>0</v>
      </c>
      <c r="E20" s="87">
        <v>0</v>
      </c>
      <c r="F20" s="87">
        <v>0</v>
      </c>
      <c r="G20" s="87">
        <v>0</v>
      </c>
      <c r="H20" s="233"/>
    </row>
    <row r="21" spans="1:8" ht="23.25" customHeight="1" thickBot="1" x14ac:dyDescent="0.3">
      <c r="A21" s="228">
        <v>3</v>
      </c>
      <c r="B21" s="228" t="s">
        <v>810</v>
      </c>
      <c r="C21" s="87" t="s">
        <v>8</v>
      </c>
      <c r="D21" s="87">
        <v>8220.86</v>
      </c>
      <c r="E21" s="87">
        <v>8220.86</v>
      </c>
      <c r="F21" s="87">
        <v>0</v>
      </c>
      <c r="G21" s="87">
        <v>0</v>
      </c>
      <c r="H21" s="231"/>
    </row>
    <row r="22" spans="1:8" ht="15.75" thickBot="1" x14ac:dyDescent="0.3">
      <c r="A22" s="229"/>
      <c r="B22" s="229"/>
      <c r="C22" s="87">
        <v>2021</v>
      </c>
      <c r="D22" s="87">
        <v>0</v>
      </c>
      <c r="E22" s="87">
        <v>0</v>
      </c>
      <c r="F22" s="87">
        <v>0</v>
      </c>
      <c r="G22" s="87">
        <v>0</v>
      </c>
      <c r="H22" s="232"/>
    </row>
    <row r="23" spans="1:8" ht="15.75" thickBot="1" x14ac:dyDescent="0.3">
      <c r="A23" s="229"/>
      <c r="B23" s="229"/>
      <c r="C23" s="87">
        <v>2022</v>
      </c>
      <c r="D23" s="87">
        <v>0</v>
      </c>
      <c r="E23" s="87">
        <v>0</v>
      </c>
      <c r="F23" s="87">
        <v>0</v>
      </c>
      <c r="G23" s="87">
        <v>0</v>
      </c>
      <c r="H23" s="232"/>
    </row>
    <row r="24" spans="1:8" ht="15.75" thickBot="1" x14ac:dyDescent="0.3">
      <c r="A24" s="229"/>
      <c r="B24" s="229"/>
      <c r="C24" s="87">
        <v>2023</v>
      </c>
      <c r="D24" s="87">
        <v>8220.86</v>
      </c>
      <c r="E24" s="87">
        <v>8220.86</v>
      </c>
      <c r="F24" s="87">
        <v>0</v>
      </c>
      <c r="G24" s="87">
        <v>0</v>
      </c>
      <c r="H24" s="232"/>
    </row>
    <row r="25" spans="1:8" ht="15.75" thickBot="1" x14ac:dyDescent="0.3">
      <c r="A25" s="229"/>
      <c r="B25" s="229"/>
      <c r="C25" s="87">
        <v>2024</v>
      </c>
      <c r="D25" s="87">
        <v>0</v>
      </c>
      <c r="E25" s="87">
        <v>0</v>
      </c>
      <c r="F25" s="87">
        <v>0</v>
      </c>
      <c r="G25" s="87">
        <v>0</v>
      </c>
      <c r="H25" s="232"/>
    </row>
    <row r="26" spans="1:8" ht="15.75" thickBot="1" x14ac:dyDescent="0.3">
      <c r="A26" s="230"/>
      <c r="B26" s="230"/>
      <c r="C26" s="87">
        <v>2025</v>
      </c>
      <c r="D26" s="89"/>
      <c r="E26" s="87">
        <v>0</v>
      </c>
      <c r="F26" s="87">
        <v>0</v>
      </c>
      <c r="G26" s="87">
        <v>0</v>
      </c>
      <c r="H26" s="233"/>
    </row>
    <row r="27" spans="1:8" ht="24.75" customHeight="1" thickBot="1" x14ac:dyDescent="0.3">
      <c r="A27" s="228">
        <v>4</v>
      </c>
      <c r="B27" s="228" t="s">
        <v>809</v>
      </c>
      <c r="C27" s="87" t="s">
        <v>8</v>
      </c>
      <c r="D27" s="87">
        <v>8965.2900000000009</v>
      </c>
      <c r="E27" s="87">
        <v>8965.2900000000009</v>
      </c>
      <c r="F27" s="87">
        <v>0</v>
      </c>
      <c r="G27" s="87">
        <v>0</v>
      </c>
      <c r="H27" s="231"/>
    </row>
    <row r="28" spans="1:8" ht="15.75" thickBot="1" x14ac:dyDescent="0.3">
      <c r="A28" s="229"/>
      <c r="B28" s="229"/>
      <c r="C28" s="87">
        <v>2021</v>
      </c>
      <c r="D28" s="87">
        <v>0</v>
      </c>
      <c r="E28" s="87">
        <v>0</v>
      </c>
      <c r="F28" s="87">
        <v>0</v>
      </c>
      <c r="G28" s="87">
        <v>0</v>
      </c>
      <c r="H28" s="232"/>
    </row>
    <row r="29" spans="1:8" ht="15.75" thickBot="1" x14ac:dyDescent="0.3">
      <c r="A29" s="229"/>
      <c r="B29" s="229"/>
      <c r="C29" s="87">
        <v>2022</v>
      </c>
      <c r="D29" s="87">
        <v>8965.2900000000009</v>
      </c>
      <c r="E29" s="87">
        <v>8965.2900000000009</v>
      </c>
      <c r="F29" s="87">
        <v>0</v>
      </c>
      <c r="G29" s="87">
        <v>0</v>
      </c>
      <c r="H29" s="232"/>
    </row>
    <row r="30" spans="1:8" ht="15.75" thickBot="1" x14ac:dyDescent="0.3">
      <c r="A30" s="229"/>
      <c r="B30" s="229"/>
      <c r="C30" s="87">
        <v>2023</v>
      </c>
      <c r="D30" s="87">
        <v>0</v>
      </c>
      <c r="E30" s="87">
        <v>0</v>
      </c>
      <c r="F30" s="87">
        <v>0</v>
      </c>
      <c r="G30" s="87">
        <v>0</v>
      </c>
      <c r="H30" s="232"/>
    </row>
    <row r="31" spans="1:8" ht="15.75" thickBot="1" x14ac:dyDescent="0.3">
      <c r="A31" s="229"/>
      <c r="B31" s="229"/>
      <c r="C31" s="87">
        <v>2024</v>
      </c>
      <c r="D31" s="87">
        <v>0</v>
      </c>
      <c r="E31" s="87">
        <v>0</v>
      </c>
      <c r="F31" s="87">
        <v>0</v>
      </c>
      <c r="G31" s="87">
        <v>0</v>
      </c>
      <c r="H31" s="232"/>
    </row>
    <row r="32" spans="1:8" ht="15.75" thickBot="1" x14ac:dyDescent="0.3">
      <c r="A32" s="230"/>
      <c r="B32" s="230"/>
      <c r="C32" s="87">
        <v>2025</v>
      </c>
      <c r="D32" s="87">
        <v>0</v>
      </c>
      <c r="E32" s="87">
        <v>0</v>
      </c>
      <c r="F32" s="87">
        <v>0</v>
      </c>
      <c r="G32" s="87">
        <v>0</v>
      </c>
      <c r="H32" s="233"/>
    </row>
    <row r="33" spans="1:8" ht="34.5" customHeight="1" thickBot="1" x14ac:dyDescent="0.3">
      <c r="A33" s="228">
        <v>5</v>
      </c>
      <c r="B33" s="228" t="s">
        <v>1805</v>
      </c>
      <c r="C33" s="87" t="s">
        <v>8</v>
      </c>
      <c r="D33" s="87">
        <v>7828.23</v>
      </c>
      <c r="E33" s="87">
        <v>7828.23</v>
      </c>
      <c r="F33" s="87">
        <v>0</v>
      </c>
      <c r="G33" s="87">
        <v>0</v>
      </c>
      <c r="H33" s="231"/>
    </row>
    <row r="34" spans="1:8" ht="15.75" thickBot="1" x14ac:dyDescent="0.3">
      <c r="A34" s="229"/>
      <c r="B34" s="229"/>
      <c r="C34" s="87">
        <v>2021</v>
      </c>
      <c r="D34" s="87">
        <v>0</v>
      </c>
      <c r="E34" s="87">
        <v>0</v>
      </c>
      <c r="F34" s="87">
        <v>0</v>
      </c>
      <c r="G34" s="87">
        <v>0</v>
      </c>
      <c r="H34" s="232"/>
    </row>
    <row r="35" spans="1:8" ht="15.75" thickBot="1" x14ac:dyDescent="0.3">
      <c r="A35" s="229"/>
      <c r="B35" s="229"/>
      <c r="C35" s="87">
        <v>2022</v>
      </c>
      <c r="D35" s="87">
        <v>7828.23</v>
      </c>
      <c r="E35" s="87">
        <v>7828.23</v>
      </c>
      <c r="F35" s="87">
        <v>0</v>
      </c>
      <c r="G35" s="87">
        <v>0</v>
      </c>
      <c r="H35" s="232"/>
    </row>
    <row r="36" spans="1:8" ht="15.75" thickBot="1" x14ac:dyDescent="0.3">
      <c r="A36" s="229"/>
      <c r="B36" s="229"/>
      <c r="C36" s="87">
        <v>2023</v>
      </c>
      <c r="D36" s="87">
        <v>0</v>
      </c>
      <c r="E36" s="87">
        <v>0</v>
      </c>
      <c r="F36" s="87">
        <v>0</v>
      </c>
      <c r="G36" s="87">
        <v>0</v>
      </c>
      <c r="H36" s="232"/>
    </row>
    <row r="37" spans="1:8" ht="15.75" thickBot="1" x14ac:dyDescent="0.3">
      <c r="A37" s="229"/>
      <c r="B37" s="229"/>
      <c r="C37" s="87">
        <v>2024</v>
      </c>
      <c r="D37" s="87">
        <v>0</v>
      </c>
      <c r="E37" s="87">
        <v>0</v>
      </c>
      <c r="F37" s="87">
        <v>0</v>
      </c>
      <c r="G37" s="87">
        <v>0</v>
      </c>
      <c r="H37" s="232"/>
    </row>
    <row r="38" spans="1:8" ht="15.75" thickBot="1" x14ac:dyDescent="0.3">
      <c r="A38" s="230"/>
      <c r="B38" s="230"/>
      <c r="C38" s="87">
        <v>2025</v>
      </c>
      <c r="D38" s="87">
        <v>0</v>
      </c>
      <c r="E38" s="87">
        <v>0</v>
      </c>
      <c r="F38" s="87">
        <v>0</v>
      </c>
      <c r="G38" s="87">
        <v>0</v>
      </c>
      <c r="H38" s="233"/>
    </row>
    <row r="39" spans="1:8" ht="25.5" customHeight="1" thickBot="1" x14ac:dyDescent="0.3">
      <c r="A39" s="228">
        <v>6</v>
      </c>
      <c r="B39" s="228" t="s">
        <v>610</v>
      </c>
      <c r="C39" s="87" t="s">
        <v>8</v>
      </c>
      <c r="D39" s="87">
        <v>8626</v>
      </c>
      <c r="E39" s="87">
        <v>8626</v>
      </c>
      <c r="F39" s="87">
        <v>0</v>
      </c>
      <c r="G39" s="87">
        <v>0</v>
      </c>
      <c r="H39" s="231"/>
    </row>
    <row r="40" spans="1:8" ht="15.75" thickBot="1" x14ac:dyDescent="0.3">
      <c r="A40" s="229"/>
      <c r="B40" s="229"/>
      <c r="C40" s="87">
        <v>2021</v>
      </c>
      <c r="D40" s="87">
        <v>0</v>
      </c>
      <c r="E40" s="87">
        <v>0</v>
      </c>
      <c r="F40" s="87">
        <v>0</v>
      </c>
      <c r="G40" s="87">
        <v>0</v>
      </c>
      <c r="H40" s="232"/>
    </row>
    <row r="41" spans="1:8" ht="15.75" thickBot="1" x14ac:dyDescent="0.3">
      <c r="A41" s="229"/>
      <c r="B41" s="229"/>
      <c r="C41" s="87">
        <v>2022</v>
      </c>
      <c r="D41" s="87">
        <v>8626</v>
      </c>
      <c r="E41" s="87">
        <v>8626</v>
      </c>
      <c r="F41" s="87">
        <v>0</v>
      </c>
      <c r="G41" s="87">
        <v>0</v>
      </c>
      <c r="H41" s="232"/>
    </row>
    <row r="42" spans="1:8" ht="15.75" thickBot="1" x14ac:dyDescent="0.3">
      <c r="A42" s="229"/>
      <c r="B42" s="229"/>
      <c r="C42" s="87">
        <v>2023</v>
      </c>
      <c r="D42" s="87">
        <v>0</v>
      </c>
      <c r="E42" s="87">
        <v>0</v>
      </c>
      <c r="F42" s="87">
        <v>0</v>
      </c>
      <c r="G42" s="87">
        <v>0</v>
      </c>
      <c r="H42" s="232"/>
    </row>
    <row r="43" spans="1:8" ht="15.75" thickBot="1" x14ac:dyDescent="0.3">
      <c r="A43" s="229"/>
      <c r="B43" s="229"/>
      <c r="C43" s="87">
        <v>2024</v>
      </c>
      <c r="D43" s="87">
        <v>0</v>
      </c>
      <c r="E43" s="87">
        <v>0</v>
      </c>
      <c r="F43" s="87">
        <v>0</v>
      </c>
      <c r="G43" s="87">
        <v>0</v>
      </c>
      <c r="H43" s="232"/>
    </row>
    <row r="44" spans="1:8" ht="15.75" thickBot="1" x14ac:dyDescent="0.3">
      <c r="A44" s="230"/>
      <c r="B44" s="230"/>
      <c r="C44" s="87">
        <v>2025</v>
      </c>
      <c r="D44" s="87">
        <v>0</v>
      </c>
      <c r="E44" s="87">
        <v>0</v>
      </c>
      <c r="F44" s="87">
        <v>0</v>
      </c>
      <c r="G44" s="87">
        <v>0</v>
      </c>
      <c r="H44" s="233"/>
    </row>
    <row r="45" spans="1:8" ht="51" customHeight="1" thickBot="1" x14ac:dyDescent="0.3">
      <c r="A45" s="228">
        <v>7</v>
      </c>
      <c r="B45" s="228" t="s">
        <v>1806</v>
      </c>
      <c r="C45" s="87" t="s">
        <v>8</v>
      </c>
      <c r="D45" s="87">
        <v>21694.400000000001</v>
      </c>
      <c r="E45" s="87">
        <v>18201.599999999999</v>
      </c>
      <c r="F45" s="87">
        <v>0</v>
      </c>
      <c r="G45" s="87">
        <v>3492.8</v>
      </c>
      <c r="H45" s="231"/>
    </row>
    <row r="46" spans="1:8" ht="29.25" customHeight="1" thickBot="1" x14ac:dyDescent="0.3">
      <c r="A46" s="229"/>
      <c r="B46" s="229"/>
      <c r="C46" s="87">
        <v>2021</v>
      </c>
      <c r="D46" s="87">
        <v>0</v>
      </c>
      <c r="E46" s="87">
        <v>0</v>
      </c>
      <c r="F46" s="87">
        <v>0</v>
      </c>
      <c r="G46" s="87">
        <v>0</v>
      </c>
      <c r="H46" s="232"/>
    </row>
    <row r="47" spans="1:8" ht="33.75" customHeight="1" thickBot="1" x14ac:dyDescent="0.3">
      <c r="A47" s="229"/>
      <c r="B47" s="229"/>
      <c r="C47" s="87">
        <v>2022</v>
      </c>
      <c r="D47" s="87">
        <v>21694.400000000001</v>
      </c>
      <c r="E47" s="87">
        <v>18201.599999999999</v>
      </c>
      <c r="F47" s="87">
        <v>0</v>
      </c>
      <c r="G47" s="87">
        <v>3492.8</v>
      </c>
      <c r="H47" s="232"/>
    </row>
    <row r="48" spans="1:8" ht="15.75" thickBot="1" x14ac:dyDescent="0.3">
      <c r="A48" s="229"/>
      <c r="B48" s="229"/>
      <c r="C48" s="87">
        <v>2023</v>
      </c>
      <c r="D48" s="87">
        <v>0</v>
      </c>
      <c r="E48" s="87">
        <v>0</v>
      </c>
      <c r="F48" s="87">
        <v>0</v>
      </c>
      <c r="G48" s="87">
        <v>0</v>
      </c>
      <c r="H48" s="232"/>
    </row>
    <row r="49" spans="1:8" ht="15.75" thickBot="1" x14ac:dyDescent="0.3">
      <c r="A49" s="229"/>
      <c r="B49" s="229"/>
      <c r="C49" s="87">
        <v>2024</v>
      </c>
      <c r="D49" s="87">
        <v>0</v>
      </c>
      <c r="E49" s="87">
        <v>0</v>
      </c>
      <c r="F49" s="87">
        <v>0</v>
      </c>
      <c r="G49" s="87">
        <v>0</v>
      </c>
      <c r="H49" s="232"/>
    </row>
    <row r="50" spans="1:8" ht="15.75" thickBot="1" x14ac:dyDescent="0.3">
      <c r="A50" s="230"/>
      <c r="B50" s="230"/>
      <c r="C50" s="87">
        <v>2025</v>
      </c>
      <c r="D50" s="87">
        <v>0</v>
      </c>
      <c r="E50" s="87">
        <v>0</v>
      </c>
      <c r="F50" s="87">
        <v>0</v>
      </c>
      <c r="G50" s="87">
        <v>0</v>
      </c>
      <c r="H50" s="233"/>
    </row>
    <row r="51" spans="1:8" ht="15.75" thickBot="1" x14ac:dyDescent="0.3">
      <c r="A51" s="228">
        <v>8</v>
      </c>
      <c r="B51" s="228" t="s">
        <v>1166</v>
      </c>
      <c r="C51" s="88" t="s">
        <v>8</v>
      </c>
      <c r="D51" s="88">
        <v>6815.8</v>
      </c>
      <c r="E51" s="88">
        <v>6475</v>
      </c>
      <c r="F51" s="88">
        <v>0</v>
      </c>
      <c r="G51" s="88">
        <v>340.8</v>
      </c>
      <c r="H51" s="231"/>
    </row>
    <row r="52" spans="1:8" ht="15.75" thickBot="1" x14ac:dyDescent="0.3">
      <c r="A52" s="229"/>
      <c r="B52" s="229"/>
      <c r="C52" s="87">
        <v>2021</v>
      </c>
      <c r="D52" s="87">
        <v>0</v>
      </c>
      <c r="E52" s="87">
        <v>0</v>
      </c>
      <c r="F52" s="87">
        <v>0</v>
      </c>
      <c r="G52" s="87">
        <v>0</v>
      </c>
      <c r="H52" s="232"/>
    </row>
    <row r="53" spans="1:8" ht="15.75" thickBot="1" x14ac:dyDescent="0.3">
      <c r="A53" s="229"/>
      <c r="B53" s="229"/>
      <c r="C53" s="87">
        <v>2022</v>
      </c>
      <c r="D53" s="87">
        <v>0</v>
      </c>
      <c r="E53" s="87">
        <v>0</v>
      </c>
      <c r="F53" s="87">
        <v>0</v>
      </c>
      <c r="G53" s="87">
        <v>0</v>
      </c>
      <c r="H53" s="232"/>
    </row>
    <row r="54" spans="1:8" ht="15.75" thickBot="1" x14ac:dyDescent="0.3">
      <c r="A54" s="229"/>
      <c r="B54" s="229"/>
      <c r="C54" s="87">
        <v>2023</v>
      </c>
      <c r="D54" s="87">
        <v>6815.8</v>
      </c>
      <c r="E54" s="87">
        <v>6475</v>
      </c>
      <c r="F54" s="87">
        <v>0</v>
      </c>
      <c r="G54" s="87">
        <v>340.8</v>
      </c>
      <c r="H54" s="232"/>
    </row>
    <row r="55" spans="1:8" ht="15.75" thickBot="1" x14ac:dyDescent="0.3">
      <c r="A55" s="229"/>
      <c r="B55" s="229"/>
      <c r="C55" s="87">
        <v>2024</v>
      </c>
      <c r="D55" s="87">
        <v>0</v>
      </c>
      <c r="E55" s="87">
        <v>0</v>
      </c>
      <c r="F55" s="87">
        <v>0</v>
      </c>
      <c r="G55" s="87">
        <v>0</v>
      </c>
      <c r="H55" s="232"/>
    </row>
    <row r="56" spans="1:8" ht="15.75" thickBot="1" x14ac:dyDescent="0.3">
      <c r="A56" s="230"/>
      <c r="B56" s="230"/>
      <c r="C56" s="87">
        <v>2025</v>
      </c>
      <c r="D56" s="87">
        <v>0</v>
      </c>
      <c r="E56" s="87">
        <v>0</v>
      </c>
      <c r="F56" s="87">
        <v>0</v>
      </c>
      <c r="G56" s="87">
        <v>0</v>
      </c>
      <c r="H56" s="233"/>
    </row>
    <row r="57" spans="1:8" ht="22.5" customHeight="1" thickBot="1" x14ac:dyDescent="0.3">
      <c r="A57" s="228">
        <v>9</v>
      </c>
      <c r="B57" s="228" t="s">
        <v>1807</v>
      </c>
      <c r="C57" s="88" t="s">
        <v>8</v>
      </c>
      <c r="D57" s="88">
        <v>1914.86</v>
      </c>
      <c r="E57" s="88">
        <v>1895.71</v>
      </c>
      <c r="F57" s="88">
        <v>0</v>
      </c>
      <c r="G57" s="88">
        <v>19.149999999999999</v>
      </c>
      <c r="H57" s="231"/>
    </row>
    <row r="58" spans="1:8" ht="15.75" thickBot="1" x14ac:dyDescent="0.3">
      <c r="A58" s="229"/>
      <c r="B58" s="229"/>
      <c r="C58" s="87">
        <v>2021</v>
      </c>
      <c r="D58" s="87">
        <v>0</v>
      </c>
      <c r="E58" s="87">
        <v>0</v>
      </c>
      <c r="F58" s="87">
        <v>0</v>
      </c>
      <c r="G58" s="87">
        <v>0</v>
      </c>
      <c r="H58" s="232"/>
    </row>
    <row r="59" spans="1:8" ht="15.75" thickBot="1" x14ac:dyDescent="0.3">
      <c r="A59" s="229"/>
      <c r="B59" s="229"/>
      <c r="C59" s="87">
        <v>2022</v>
      </c>
      <c r="D59" s="87">
        <v>0</v>
      </c>
      <c r="E59" s="87">
        <v>0</v>
      </c>
      <c r="F59" s="87">
        <v>0</v>
      </c>
      <c r="G59" s="87">
        <v>0</v>
      </c>
      <c r="H59" s="232"/>
    </row>
    <row r="60" spans="1:8" ht="15.75" thickBot="1" x14ac:dyDescent="0.3">
      <c r="A60" s="229"/>
      <c r="B60" s="229"/>
      <c r="C60" s="87">
        <v>2023</v>
      </c>
      <c r="D60" s="87">
        <v>1914.86</v>
      </c>
      <c r="E60" s="87">
        <v>1895.71</v>
      </c>
      <c r="F60" s="87">
        <v>0</v>
      </c>
      <c r="G60" s="87">
        <v>19.149999999999999</v>
      </c>
      <c r="H60" s="232"/>
    </row>
    <row r="61" spans="1:8" ht="15.75" thickBot="1" x14ac:dyDescent="0.3">
      <c r="A61" s="229"/>
      <c r="B61" s="229"/>
      <c r="C61" s="87">
        <v>2024</v>
      </c>
      <c r="D61" s="87">
        <v>0</v>
      </c>
      <c r="E61" s="87">
        <v>0</v>
      </c>
      <c r="F61" s="87">
        <v>0</v>
      </c>
      <c r="G61" s="87">
        <v>0</v>
      </c>
      <c r="H61" s="232"/>
    </row>
    <row r="62" spans="1:8" ht="15.75" thickBot="1" x14ac:dyDescent="0.3">
      <c r="A62" s="230"/>
      <c r="B62" s="230"/>
      <c r="C62" s="87">
        <v>2025</v>
      </c>
      <c r="D62" s="87">
        <v>0</v>
      </c>
      <c r="E62" s="87">
        <v>0</v>
      </c>
      <c r="F62" s="87">
        <v>0</v>
      </c>
      <c r="G62" s="87">
        <v>0</v>
      </c>
      <c r="H62" s="233"/>
    </row>
    <row r="63" spans="1:8" ht="20.25" customHeight="1" thickBot="1" x14ac:dyDescent="0.3">
      <c r="A63" s="234">
        <v>10</v>
      </c>
      <c r="B63" s="228" t="s">
        <v>1808</v>
      </c>
      <c r="C63" s="88" t="s">
        <v>8</v>
      </c>
      <c r="D63" s="88">
        <v>3150</v>
      </c>
      <c r="E63" s="88">
        <v>2992.5</v>
      </c>
      <c r="F63" s="88">
        <v>0</v>
      </c>
      <c r="G63" s="88">
        <v>157.5</v>
      </c>
      <c r="H63" s="231"/>
    </row>
    <row r="64" spans="1:8" ht="15.75" thickBot="1" x14ac:dyDescent="0.3">
      <c r="A64" s="235"/>
      <c r="B64" s="229"/>
      <c r="C64" s="87">
        <v>2021</v>
      </c>
      <c r="D64" s="87">
        <v>0</v>
      </c>
      <c r="E64" s="87">
        <v>0</v>
      </c>
      <c r="F64" s="87">
        <v>0</v>
      </c>
      <c r="G64" s="87">
        <v>0</v>
      </c>
      <c r="H64" s="232"/>
    </row>
    <row r="65" spans="1:8" ht="15.75" thickBot="1" x14ac:dyDescent="0.3">
      <c r="A65" s="235"/>
      <c r="B65" s="229"/>
      <c r="C65" s="87">
        <v>2022</v>
      </c>
      <c r="D65" s="87">
        <v>0</v>
      </c>
      <c r="E65" s="87">
        <v>0</v>
      </c>
      <c r="F65" s="87">
        <v>0</v>
      </c>
      <c r="G65" s="87">
        <v>0</v>
      </c>
      <c r="H65" s="232"/>
    </row>
    <row r="66" spans="1:8" ht="15.75" thickBot="1" x14ac:dyDescent="0.3">
      <c r="A66" s="235"/>
      <c r="B66" s="229"/>
      <c r="C66" s="87">
        <v>2023</v>
      </c>
      <c r="D66" s="87">
        <v>3150</v>
      </c>
      <c r="E66" s="87">
        <v>2992.5</v>
      </c>
      <c r="F66" s="87">
        <v>0</v>
      </c>
      <c r="G66" s="87">
        <v>157.5</v>
      </c>
      <c r="H66" s="232"/>
    </row>
    <row r="67" spans="1:8" ht="15.75" thickBot="1" x14ac:dyDescent="0.3">
      <c r="A67" s="235"/>
      <c r="B67" s="229"/>
      <c r="C67" s="87">
        <v>2024</v>
      </c>
      <c r="D67" s="87">
        <v>0</v>
      </c>
      <c r="E67" s="87">
        <v>0</v>
      </c>
      <c r="F67" s="87">
        <v>0</v>
      </c>
      <c r="G67" s="87">
        <v>0</v>
      </c>
      <c r="H67" s="232"/>
    </row>
    <row r="68" spans="1:8" ht="15.75" thickBot="1" x14ac:dyDescent="0.3">
      <c r="A68" s="236"/>
      <c r="B68" s="230"/>
      <c r="C68" s="87">
        <v>2025</v>
      </c>
      <c r="D68" s="87">
        <v>0</v>
      </c>
      <c r="E68" s="87">
        <v>0</v>
      </c>
      <c r="F68" s="87">
        <v>0</v>
      </c>
      <c r="G68" s="87">
        <v>0</v>
      </c>
      <c r="H68" s="233"/>
    </row>
    <row r="69" spans="1:8" ht="23.25" customHeight="1" thickBot="1" x14ac:dyDescent="0.3">
      <c r="A69" s="234">
        <v>11</v>
      </c>
      <c r="B69" s="228" t="s">
        <v>1189</v>
      </c>
      <c r="C69" s="88" t="s">
        <v>8</v>
      </c>
      <c r="D69" s="88">
        <v>4306.47</v>
      </c>
      <c r="E69" s="88">
        <v>4306.47</v>
      </c>
      <c r="F69" s="88">
        <v>0</v>
      </c>
      <c r="G69" s="88">
        <v>0</v>
      </c>
      <c r="H69" s="231"/>
    </row>
    <row r="70" spans="1:8" ht="15.75" thickBot="1" x14ac:dyDescent="0.3">
      <c r="A70" s="235"/>
      <c r="B70" s="229"/>
      <c r="C70" s="87">
        <v>2021</v>
      </c>
      <c r="D70" s="87">
        <v>0</v>
      </c>
      <c r="E70" s="87">
        <v>0</v>
      </c>
      <c r="F70" s="87">
        <v>0</v>
      </c>
      <c r="G70" s="87">
        <v>0</v>
      </c>
      <c r="H70" s="232"/>
    </row>
    <row r="71" spans="1:8" ht="15.75" thickBot="1" x14ac:dyDescent="0.3">
      <c r="A71" s="235"/>
      <c r="B71" s="229"/>
      <c r="C71" s="87">
        <v>2022</v>
      </c>
      <c r="D71" s="87">
        <v>0</v>
      </c>
      <c r="E71" s="87">
        <v>0</v>
      </c>
      <c r="F71" s="87">
        <v>0</v>
      </c>
      <c r="G71" s="87">
        <v>0</v>
      </c>
      <c r="H71" s="232"/>
    </row>
    <row r="72" spans="1:8" ht="15.75" thickBot="1" x14ac:dyDescent="0.3">
      <c r="A72" s="235"/>
      <c r="B72" s="229"/>
      <c r="C72" s="87">
        <v>2023</v>
      </c>
      <c r="D72" s="87">
        <v>4306.47</v>
      </c>
      <c r="E72" s="87">
        <v>4306.47</v>
      </c>
      <c r="F72" s="87">
        <v>0</v>
      </c>
      <c r="G72" s="87">
        <v>0</v>
      </c>
      <c r="H72" s="232"/>
    </row>
    <row r="73" spans="1:8" ht="15.75" thickBot="1" x14ac:dyDescent="0.3">
      <c r="A73" s="235"/>
      <c r="B73" s="229"/>
      <c r="C73" s="87">
        <v>2024</v>
      </c>
      <c r="D73" s="87">
        <v>0</v>
      </c>
      <c r="E73" s="87">
        <v>0</v>
      </c>
      <c r="F73" s="87">
        <v>0</v>
      </c>
      <c r="G73" s="87">
        <v>0</v>
      </c>
      <c r="H73" s="232"/>
    </row>
    <row r="74" spans="1:8" ht="15.75" thickBot="1" x14ac:dyDescent="0.3">
      <c r="A74" s="236"/>
      <c r="B74" s="230"/>
      <c r="C74" s="87">
        <v>2025</v>
      </c>
      <c r="D74" s="87">
        <v>0</v>
      </c>
      <c r="E74" s="87">
        <v>0</v>
      </c>
      <c r="F74" s="87">
        <v>0</v>
      </c>
      <c r="G74" s="87">
        <v>0</v>
      </c>
      <c r="H74" s="233"/>
    </row>
    <row r="75" spans="1:8" ht="21.75" customHeight="1" thickBot="1" x14ac:dyDescent="0.3">
      <c r="A75" s="234">
        <v>12</v>
      </c>
      <c r="B75" s="228" t="s">
        <v>1809</v>
      </c>
      <c r="C75" s="88" t="s">
        <v>8</v>
      </c>
      <c r="D75" s="88">
        <v>3010.93</v>
      </c>
      <c r="E75" s="88">
        <v>2980.82</v>
      </c>
      <c r="F75" s="88">
        <v>0</v>
      </c>
      <c r="G75" s="88">
        <v>30.11</v>
      </c>
      <c r="H75" s="231"/>
    </row>
    <row r="76" spans="1:8" ht="15.75" thickBot="1" x14ac:dyDescent="0.3">
      <c r="A76" s="235"/>
      <c r="B76" s="229"/>
      <c r="C76" s="87">
        <v>2021</v>
      </c>
      <c r="D76" s="87">
        <v>0</v>
      </c>
      <c r="E76" s="87">
        <v>0</v>
      </c>
      <c r="F76" s="87">
        <v>0</v>
      </c>
      <c r="G76" s="87">
        <v>0</v>
      </c>
      <c r="H76" s="232"/>
    </row>
    <row r="77" spans="1:8" ht="15.75" thickBot="1" x14ac:dyDescent="0.3">
      <c r="A77" s="235"/>
      <c r="B77" s="229"/>
      <c r="C77" s="87">
        <v>2022</v>
      </c>
      <c r="D77" s="87">
        <v>0</v>
      </c>
      <c r="E77" s="87">
        <v>0</v>
      </c>
      <c r="F77" s="87">
        <v>0</v>
      </c>
      <c r="G77" s="87">
        <v>0</v>
      </c>
      <c r="H77" s="232"/>
    </row>
    <row r="78" spans="1:8" ht="15.75" thickBot="1" x14ac:dyDescent="0.3">
      <c r="A78" s="235"/>
      <c r="B78" s="229"/>
      <c r="C78" s="87">
        <v>2023</v>
      </c>
      <c r="D78" s="87">
        <v>3010.93</v>
      </c>
      <c r="E78" s="87">
        <v>2980.82</v>
      </c>
      <c r="F78" s="87">
        <v>0</v>
      </c>
      <c r="G78" s="87">
        <v>30.11</v>
      </c>
      <c r="H78" s="232"/>
    </row>
    <row r="79" spans="1:8" ht="15.75" thickBot="1" x14ac:dyDescent="0.3">
      <c r="A79" s="235"/>
      <c r="B79" s="229"/>
      <c r="C79" s="87">
        <v>2024</v>
      </c>
      <c r="D79" s="87">
        <v>0</v>
      </c>
      <c r="E79" s="87">
        <v>0</v>
      </c>
      <c r="F79" s="87">
        <v>0</v>
      </c>
      <c r="G79" s="87">
        <v>0</v>
      </c>
      <c r="H79" s="232"/>
    </row>
    <row r="80" spans="1:8" ht="15.75" thickBot="1" x14ac:dyDescent="0.3">
      <c r="A80" s="236"/>
      <c r="B80" s="230"/>
      <c r="C80" s="87">
        <v>2025</v>
      </c>
      <c r="D80" s="87">
        <v>0</v>
      </c>
      <c r="E80" s="87">
        <v>0</v>
      </c>
      <c r="F80" s="87">
        <v>0</v>
      </c>
      <c r="G80" s="87">
        <v>0</v>
      </c>
      <c r="H80" s="233"/>
    </row>
    <row r="81" spans="1:8" ht="24" customHeight="1" thickBot="1" x14ac:dyDescent="0.3">
      <c r="A81" s="228">
        <v>13</v>
      </c>
      <c r="B81" s="228" t="s">
        <v>1736</v>
      </c>
      <c r="C81" s="87" t="s">
        <v>8</v>
      </c>
      <c r="D81" s="87">
        <v>7025.22</v>
      </c>
      <c r="E81" s="87">
        <v>2037.32</v>
      </c>
      <c r="F81" s="87">
        <v>4987.8999999999996</v>
      </c>
      <c r="G81" s="87">
        <v>0</v>
      </c>
      <c r="H81" s="231"/>
    </row>
    <row r="82" spans="1:8" ht="15.75" thickBot="1" x14ac:dyDescent="0.3">
      <c r="A82" s="229"/>
      <c r="B82" s="229"/>
      <c r="C82" s="87">
        <v>2021</v>
      </c>
      <c r="D82" s="87">
        <v>0</v>
      </c>
      <c r="E82" s="87">
        <v>0</v>
      </c>
      <c r="F82" s="87">
        <v>0</v>
      </c>
      <c r="G82" s="87">
        <v>0</v>
      </c>
      <c r="H82" s="232"/>
    </row>
    <row r="83" spans="1:8" ht="15.75" thickBot="1" x14ac:dyDescent="0.3">
      <c r="A83" s="229"/>
      <c r="B83" s="229"/>
      <c r="C83" s="88">
        <v>2022</v>
      </c>
      <c r="D83" s="88">
        <v>0</v>
      </c>
      <c r="E83" s="88">
        <v>0</v>
      </c>
      <c r="F83" s="88">
        <v>0</v>
      </c>
      <c r="G83" s="88">
        <v>0</v>
      </c>
      <c r="H83" s="232"/>
    </row>
    <row r="84" spans="1:8" ht="15.75" thickBot="1" x14ac:dyDescent="0.3">
      <c r="A84" s="229"/>
      <c r="B84" s="229"/>
      <c r="C84" s="87">
        <v>2023</v>
      </c>
      <c r="D84" s="87">
        <v>7025.22</v>
      </c>
      <c r="E84" s="87">
        <v>2037.32</v>
      </c>
      <c r="F84" s="87">
        <v>4987.8999999999996</v>
      </c>
      <c r="G84" s="87">
        <v>0</v>
      </c>
      <c r="H84" s="232"/>
    </row>
    <row r="85" spans="1:8" ht="15.75" thickBot="1" x14ac:dyDescent="0.3">
      <c r="A85" s="229"/>
      <c r="B85" s="229"/>
      <c r="C85" s="87">
        <v>2024</v>
      </c>
      <c r="D85" s="87">
        <v>0</v>
      </c>
      <c r="E85" s="87">
        <v>0</v>
      </c>
      <c r="F85" s="87">
        <v>0</v>
      </c>
      <c r="G85" s="87">
        <v>0</v>
      </c>
      <c r="H85" s="232"/>
    </row>
    <row r="86" spans="1:8" ht="15.75" thickBot="1" x14ac:dyDescent="0.3">
      <c r="A86" s="230"/>
      <c r="B86" s="230"/>
      <c r="C86" s="87">
        <v>2025</v>
      </c>
      <c r="D86" s="88">
        <v>0</v>
      </c>
      <c r="E86" s="88">
        <v>0</v>
      </c>
      <c r="F86" s="88">
        <v>0</v>
      </c>
      <c r="G86" s="88">
        <v>0</v>
      </c>
      <c r="H86" s="233"/>
    </row>
    <row r="87" spans="1:8" ht="15.75" thickBot="1" x14ac:dyDescent="0.3">
      <c r="A87" s="237">
        <v>14</v>
      </c>
      <c r="B87" s="237" t="s">
        <v>101</v>
      </c>
      <c r="C87" s="90" t="s">
        <v>8</v>
      </c>
      <c r="D87" s="91">
        <f>D88+D89+D90+D91+D92</f>
        <v>67844.468859999994</v>
      </c>
      <c r="E87" s="91">
        <f t="shared" ref="E87:G87" si="0">E88+E89+E90+E91+E92</f>
        <v>67844.468859999994</v>
      </c>
      <c r="F87" s="91">
        <f t="shared" si="0"/>
        <v>0</v>
      </c>
      <c r="G87" s="91">
        <f t="shared" si="0"/>
        <v>0</v>
      </c>
      <c r="H87" s="240"/>
    </row>
    <row r="88" spans="1:8" ht="15.75" thickBot="1" x14ac:dyDescent="0.3">
      <c r="A88" s="238"/>
      <c r="B88" s="238"/>
      <c r="C88" s="90">
        <v>2021</v>
      </c>
      <c r="D88" s="90">
        <v>0</v>
      </c>
      <c r="E88" s="90">
        <v>0</v>
      </c>
      <c r="F88" s="90">
        <v>0</v>
      </c>
      <c r="G88" s="90">
        <v>0</v>
      </c>
      <c r="H88" s="241"/>
    </row>
    <row r="89" spans="1:8" ht="15.75" thickBot="1" x14ac:dyDescent="0.3">
      <c r="A89" s="238"/>
      <c r="B89" s="238"/>
      <c r="C89" s="92">
        <v>2022</v>
      </c>
      <c r="D89" s="92">
        <v>0</v>
      </c>
      <c r="E89" s="92">
        <v>0</v>
      </c>
      <c r="F89" s="92">
        <v>0</v>
      </c>
      <c r="G89" s="92">
        <v>0</v>
      </c>
      <c r="H89" s="241"/>
    </row>
    <row r="90" spans="1:8" ht="15.75" thickBot="1" x14ac:dyDescent="0.3">
      <c r="A90" s="238"/>
      <c r="B90" s="238"/>
      <c r="C90" s="90">
        <v>2023</v>
      </c>
      <c r="D90" s="90">
        <v>0</v>
      </c>
      <c r="E90" s="90">
        <v>0</v>
      </c>
      <c r="F90" s="90">
        <v>0</v>
      </c>
      <c r="G90" s="90">
        <v>0</v>
      </c>
      <c r="H90" s="241"/>
    </row>
    <row r="91" spans="1:8" ht="15.75" thickBot="1" x14ac:dyDescent="0.3">
      <c r="A91" s="238"/>
      <c r="B91" s="238"/>
      <c r="C91" s="90">
        <v>2024</v>
      </c>
      <c r="D91" s="91">
        <f>E91</f>
        <v>67844.468859999994</v>
      </c>
      <c r="E91" s="91">
        <v>67844.468859999994</v>
      </c>
      <c r="F91" s="90">
        <v>0</v>
      </c>
      <c r="G91" s="90">
        <v>0</v>
      </c>
      <c r="H91" s="241"/>
    </row>
    <row r="92" spans="1:8" ht="15.75" thickBot="1" x14ac:dyDescent="0.3">
      <c r="A92" s="239"/>
      <c r="B92" s="239"/>
      <c r="C92" s="90">
        <v>2025</v>
      </c>
      <c r="D92" s="92">
        <v>0</v>
      </c>
      <c r="E92" s="92">
        <v>0</v>
      </c>
      <c r="F92" s="92">
        <v>0</v>
      </c>
      <c r="G92" s="92">
        <v>0</v>
      </c>
      <c r="H92" s="242"/>
    </row>
  </sheetData>
  <mergeCells count="46">
    <mergeCell ref="A87:A92"/>
    <mergeCell ref="B87:B92"/>
    <mergeCell ref="H87:H92"/>
    <mergeCell ref="A75:A80"/>
    <mergeCell ref="B75:B80"/>
    <mergeCell ref="H75:H80"/>
    <mergeCell ref="A81:A86"/>
    <mergeCell ref="B81:B86"/>
    <mergeCell ref="H81:H86"/>
    <mergeCell ref="A63:A68"/>
    <mergeCell ref="B63:B68"/>
    <mergeCell ref="H63:H68"/>
    <mergeCell ref="A69:A74"/>
    <mergeCell ref="B69:B74"/>
    <mergeCell ref="H69:H74"/>
    <mergeCell ref="A51:A56"/>
    <mergeCell ref="B51:B56"/>
    <mergeCell ref="H51:H56"/>
    <mergeCell ref="A57:A62"/>
    <mergeCell ref="B57:B62"/>
    <mergeCell ref="H57:H62"/>
    <mergeCell ref="A39:A44"/>
    <mergeCell ref="B39:B44"/>
    <mergeCell ref="H39:H44"/>
    <mergeCell ref="A45:A50"/>
    <mergeCell ref="B45:B50"/>
    <mergeCell ref="H45:H50"/>
    <mergeCell ref="A27:A32"/>
    <mergeCell ref="B27:B32"/>
    <mergeCell ref="H27:H32"/>
    <mergeCell ref="A33:A38"/>
    <mergeCell ref="B33:B38"/>
    <mergeCell ref="H33:H38"/>
    <mergeCell ref="A15:A20"/>
    <mergeCell ref="B15:B20"/>
    <mergeCell ref="H15:H20"/>
    <mergeCell ref="A21:A26"/>
    <mergeCell ref="B21:B26"/>
    <mergeCell ref="H21:H26"/>
    <mergeCell ref="A7:A8"/>
    <mergeCell ref="B7:B8"/>
    <mergeCell ref="C7:G7"/>
    <mergeCell ref="H7:H8"/>
    <mergeCell ref="A9:A14"/>
    <mergeCell ref="B9:B14"/>
    <mergeCell ref="H9:H14"/>
  </mergeCells>
  <pageMargins left="0.7" right="0.7" top="0.75" bottom="0.75" header="0.3" footer="0.3"/>
  <pageSetup paperSize="9" orientation="portrait"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42"/>
  <sheetViews>
    <sheetView workbookViewId="0">
      <selection activeCell="B31" sqref="B31:B36"/>
    </sheetView>
  </sheetViews>
  <sheetFormatPr defaultRowHeight="15" x14ac:dyDescent="0.25"/>
  <cols>
    <col min="1" max="1" width="7.7109375" customWidth="1"/>
    <col min="2" max="2" width="46.42578125" customWidth="1"/>
    <col min="3" max="3" width="18.5703125" customWidth="1"/>
    <col min="5" max="5" width="12.5703125" customWidth="1"/>
    <col min="6" max="6" width="16.140625" customWidth="1"/>
    <col min="7" max="7" width="13.85546875" customWidth="1"/>
    <col min="8" max="8" width="12.42578125" customWidth="1"/>
    <col min="9" max="9" width="14" customWidth="1"/>
    <col min="10" max="10" width="23" customWidth="1"/>
  </cols>
  <sheetData>
    <row r="3" spans="1:10" x14ac:dyDescent="0.25">
      <c r="A3" s="107" t="s">
        <v>1227</v>
      </c>
      <c r="B3" s="107"/>
      <c r="C3" s="107"/>
      <c r="D3" s="107"/>
      <c r="E3" s="107"/>
      <c r="F3" s="107"/>
      <c r="G3" s="107"/>
      <c r="H3" s="107"/>
      <c r="I3" s="107"/>
      <c r="J3" s="107"/>
    </row>
    <row r="5" spans="1:10" ht="25.5" customHeight="1" x14ac:dyDescent="0.25">
      <c r="A5" s="107" t="s">
        <v>802</v>
      </c>
      <c r="B5" s="107" t="s">
        <v>1228</v>
      </c>
      <c r="C5" s="107" t="s">
        <v>3</v>
      </c>
      <c r="D5" s="107" t="s">
        <v>4</v>
      </c>
      <c r="E5" s="107"/>
      <c r="F5" s="107"/>
      <c r="G5" s="107"/>
      <c r="H5" s="107"/>
      <c r="I5" s="107"/>
      <c r="J5" s="107" t="s">
        <v>1229</v>
      </c>
    </row>
    <row r="6" spans="1:10" ht="29.25" customHeight="1" x14ac:dyDescent="0.25">
      <c r="A6" s="107"/>
      <c r="B6" s="107"/>
      <c r="C6" s="107"/>
      <c r="D6" t="s">
        <v>1230</v>
      </c>
      <c r="E6" t="s">
        <v>8</v>
      </c>
      <c r="F6" t="s">
        <v>9</v>
      </c>
      <c r="G6" t="s">
        <v>10</v>
      </c>
      <c r="H6" t="s">
        <v>11</v>
      </c>
      <c r="I6" t="s">
        <v>12</v>
      </c>
      <c r="J6" s="107"/>
    </row>
    <row r="7" spans="1:10" ht="15" customHeight="1" x14ac:dyDescent="0.25">
      <c r="A7" s="107"/>
      <c r="B7" s="107" t="s">
        <v>13</v>
      </c>
      <c r="C7" s="107" t="s">
        <v>14</v>
      </c>
      <c r="D7" t="s">
        <v>8</v>
      </c>
      <c r="E7" t="e">
        <f>#REF!</f>
        <v>#REF!</v>
      </c>
      <c r="F7" t="e">
        <f>#REF!</f>
        <v>#REF!</v>
      </c>
      <c r="G7" t="e">
        <f>#REF!</f>
        <v>#REF!</v>
      </c>
      <c r="H7" t="e">
        <f>#REF!</f>
        <v>#REF!</v>
      </c>
      <c r="I7" t="e">
        <f>#REF!</f>
        <v>#REF!</v>
      </c>
      <c r="J7" s="107" t="s">
        <v>482</v>
      </c>
    </row>
    <row r="8" spans="1:10" x14ac:dyDescent="0.25">
      <c r="A8" s="107"/>
      <c r="B8" s="107"/>
      <c r="C8" s="107"/>
      <c r="D8">
        <v>2021</v>
      </c>
      <c r="E8" t="e">
        <f>#REF!</f>
        <v>#REF!</v>
      </c>
      <c r="F8" t="e">
        <f>#REF!</f>
        <v>#REF!</v>
      </c>
      <c r="G8" t="e">
        <f>#REF!</f>
        <v>#REF!</v>
      </c>
      <c r="H8" t="e">
        <f>#REF!</f>
        <v>#REF!</v>
      </c>
      <c r="I8" t="e">
        <f>#REF!</f>
        <v>#REF!</v>
      </c>
      <c r="J8" s="107"/>
    </row>
    <row r="9" spans="1:10" x14ac:dyDescent="0.25">
      <c r="A9" s="107"/>
      <c r="B9" s="107"/>
      <c r="C9" s="107"/>
      <c r="D9">
        <v>2022</v>
      </c>
      <c r="E9" t="e">
        <f>#REF!</f>
        <v>#REF!</v>
      </c>
      <c r="F9" t="e">
        <f>#REF!</f>
        <v>#REF!</v>
      </c>
      <c r="G9" t="e">
        <f>#REF!</f>
        <v>#REF!</v>
      </c>
      <c r="H9" t="e">
        <f>#REF!</f>
        <v>#REF!</v>
      </c>
      <c r="I9" t="e">
        <f>#REF!</f>
        <v>#REF!</v>
      </c>
      <c r="J9" s="107"/>
    </row>
    <row r="10" spans="1:10" x14ac:dyDescent="0.25">
      <c r="A10" s="107"/>
      <c r="B10" s="107"/>
      <c r="C10" s="107"/>
      <c r="D10">
        <v>2023</v>
      </c>
      <c r="E10" t="e">
        <f>#REF!</f>
        <v>#REF!</v>
      </c>
      <c r="F10" t="e">
        <f>#REF!</f>
        <v>#REF!</v>
      </c>
      <c r="G10" t="e">
        <f>#REF!</f>
        <v>#REF!</v>
      </c>
      <c r="H10" t="e">
        <f>#REF!</f>
        <v>#REF!</v>
      </c>
      <c r="I10" t="e">
        <f>#REF!</f>
        <v>#REF!</v>
      </c>
      <c r="J10" s="107"/>
    </row>
    <row r="11" spans="1:10" x14ac:dyDescent="0.25">
      <c r="A11" s="107"/>
      <c r="B11" s="107"/>
      <c r="C11" s="107"/>
      <c r="D11">
        <v>2024</v>
      </c>
      <c r="E11" t="e">
        <f>#REF!</f>
        <v>#REF!</v>
      </c>
      <c r="F11" t="e">
        <f>#REF!</f>
        <v>#REF!</v>
      </c>
      <c r="G11" t="e">
        <f>#REF!</f>
        <v>#REF!</v>
      </c>
      <c r="H11" t="e">
        <f>#REF!</f>
        <v>#REF!</v>
      </c>
      <c r="I11" t="e">
        <f>#REF!</f>
        <v>#REF!</v>
      </c>
      <c r="J11" s="107"/>
    </row>
    <row r="12" spans="1:10" x14ac:dyDescent="0.25">
      <c r="A12" s="107"/>
      <c r="B12" s="107"/>
      <c r="C12" s="107"/>
      <c r="D12">
        <v>2025</v>
      </c>
      <c r="E12" t="e">
        <f>#REF!</f>
        <v>#REF!</v>
      </c>
      <c r="F12" t="e">
        <f>#REF!</f>
        <v>#REF!</v>
      </c>
      <c r="G12" t="e">
        <f>#REF!</f>
        <v>#REF!</v>
      </c>
      <c r="H12" t="e">
        <f>#REF!</f>
        <v>#REF!</v>
      </c>
      <c r="I12" t="e">
        <f>#REF!</f>
        <v>#REF!</v>
      </c>
      <c r="J12" s="107"/>
    </row>
    <row r="13" spans="1:10" x14ac:dyDescent="0.25">
      <c r="A13" s="107"/>
      <c r="B13" s="107" t="s">
        <v>483</v>
      </c>
      <c r="C13" s="107" t="s">
        <v>14</v>
      </c>
      <c r="D13" t="s">
        <v>8</v>
      </c>
      <c r="E13" t="e">
        <f>#REF!</f>
        <v>#REF!</v>
      </c>
      <c r="F13" t="e">
        <f>#REF!</f>
        <v>#REF!</v>
      </c>
      <c r="G13" t="e">
        <f>#REF!</f>
        <v>#REF!</v>
      </c>
      <c r="H13" t="e">
        <f>#REF!</f>
        <v>#REF!</v>
      </c>
      <c r="I13" t="e">
        <f>#REF!</f>
        <v>#REF!</v>
      </c>
      <c r="J13" s="107" t="s">
        <v>484</v>
      </c>
    </row>
    <row r="14" spans="1:10" x14ac:dyDescent="0.25">
      <c r="A14" s="107"/>
      <c r="B14" s="107"/>
      <c r="C14" s="107"/>
      <c r="D14">
        <v>2021</v>
      </c>
      <c r="E14" t="e">
        <f>#REF!</f>
        <v>#REF!</v>
      </c>
      <c r="F14" t="e">
        <f>#REF!</f>
        <v>#REF!</v>
      </c>
      <c r="G14" t="e">
        <f>#REF!</f>
        <v>#REF!</v>
      </c>
      <c r="H14" t="e">
        <f>#REF!</f>
        <v>#REF!</v>
      </c>
      <c r="I14" t="e">
        <f>#REF!</f>
        <v>#REF!</v>
      </c>
      <c r="J14" s="107"/>
    </row>
    <row r="15" spans="1:10" x14ac:dyDescent="0.25">
      <c r="A15" s="107"/>
      <c r="B15" s="107"/>
      <c r="C15" s="107"/>
      <c r="D15">
        <v>2022</v>
      </c>
      <c r="E15" t="e">
        <f>#REF!</f>
        <v>#REF!</v>
      </c>
      <c r="F15" t="e">
        <f>#REF!</f>
        <v>#REF!</v>
      </c>
      <c r="G15" t="e">
        <f>#REF!</f>
        <v>#REF!</v>
      </c>
      <c r="H15" t="e">
        <f>#REF!</f>
        <v>#REF!</v>
      </c>
      <c r="I15" t="e">
        <f>#REF!</f>
        <v>#REF!</v>
      </c>
      <c r="J15" s="107"/>
    </row>
    <row r="16" spans="1:10" x14ac:dyDescent="0.25">
      <c r="A16" s="107"/>
      <c r="B16" s="107"/>
      <c r="C16" s="107"/>
      <c r="D16">
        <v>2023</v>
      </c>
      <c r="E16" t="e">
        <f>#REF!</f>
        <v>#REF!</v>
      </c>
      <c r="F16" t="e">
        <f>#REF!</f>
        <v>#REF!</v>
      </c>
      <c r="G16" t="e">
        <f>#REF!</f>
        <v>#REF!</v>
      </c>
      <c r="H16" t="e">
        <f>#REF!</f>
        <v>#REF!</v>
      </c>
      <c r="I16" t="e">
        <f>#REF!</f>
        <v>#REF!</v>
      </c>
      <c r="J16" s="107"/>
    </row>
    <row r="17" spans="1:10" x14ac:dyDescent="0.25">
      <c r="A17" s="107"/>
      <c r="B17" s="107"/>
      <c r="C17" s="107"/>
      <c r="D17">
        <v>2024</v>
      </c>
      <c r="E17" t="e">
        <f>#REF!</f>
        <v>#REF!</v>
      </c>
      <c r="F17" t="e">
        <f>#REF!</f>
        <v>#REF!</v>
      </c>
      <c r="G17" t="e">
        <f>#REF!</f>
        <v>#REF!</v>
      </c>
      <c r="H17" t="e">
        <f>#REF!</f>
        <v>#REF!</v>
      </c>
      <c r="I17" t="e">
        <f>#REF!</f>
        <v>#REF!</v>
      </c>
      <c r="J17" s="107"/>
    </row>
    <row r="18" spans="1:10" x14ac:dyDescent="0.25">
      <c r="A18" s="107"/>
      <c r="B18" s="107"/>
      <c r="C18" s="107"/>
      <c r="D18">
        <v>2025</v>
      </c>
      <c r="E18" t="e">
        <f>#REF!</f>
        <v>#REF!</v>
      </c>
      <c r="F18" t="e">
        <f>#REF!</f>
        <v>#REF!</v>
      </c>
      <c r="G18" t="e">
        <f>#REF!</f>
        <v>#REF!</v>
      </c>
      <c r="H18" t="e">
        <f>#REF!</f>
        <v>#REF!</v>
      </c>
      <c r="I18" t="e">
        <f>#REF!</f>
        <v>#REF!</v>
      </c>
      <c r="J18" s="107"/>
    </row>
    <row r="19" spans="1:10" x14ac:dyDescent="0.25">
      <c r="A19" s="107" t="s">
        <v>806</v>
      </c>
      <c r="B19" s="107" t="s">
        <v>818</v>
      </c>
      <c r="C19" s="107" t="s">
        <v>14</v>
      </c>
      <c r="D19" t="s">
        <v>8</v>
      </c>
      <c r="E19" t="e">
        <f>#REF!</f>
        <v>#REF!</v>
      </c>
      <c r="F19" t="e">
        <f>#REF!</f>
        <v>#REF!</v>
      </c>
      <c r="G19" t="e">
        <f>#REF!</f>
        <v>#REF!</v>
      </c>
      <c r="H19" t="e">
        <f>#REF!</f>
        <v>#REF!</v>
      </c>
      <c r="I19" t="e">
        <f>#REF!</f>
        <v>#REF!</v>
      </c>
      <c r="J19" s="107" t="s">
        <v>486</v>
      </c>
    </row>
    <row r="20" spans="1:10" x14ac:dyDescent="0.25">
      <c r="A20" s="107"/>
      <c r="B20" s="107"/>
      <c r="C20" s="107"/>
      <c r="D20">
        <v>2021</v>
      </c>
      <c r="E20" t="e">
        <f>#REF!</f>
        <v>#REF!</v>
      </c>
      <c r="F20" t="e">
        <f>#REF!</f>
        <v>#REF!</v>
      </c>
      <c r="G20" t="e">
        <f>#REF!</f>
        <v>#REF!</v>
      </c>
      <c r="H20" t="e">
        <f>#REF!</f>
        <v>#REF!</v>
      </c>
      <c r="I20" t="e">
        <f>#REF!</f>
        <v>#REF!</v>
      </c>
      <c r="J20" s="107"/>
    </row>
    <row r="21" spans="1:10" x14ac:dyDescent="0.25">
      <c r="A21" s="107"/>
      <c r="B21" s="107"/>
      <c r="C21" s="107"/>
      <c r="D21">
        <v>2022</v>
      </c>
      <c r="E21" t="e">
        <f>#REF!</f>
        <v>#REF!</v>
      </c>
      <c r="F21" t="e">
        <f>#REF!</f>
        <v>#REF!</v>
      </c>
      <c r="G21" t="e">
        <f>#REF!</f>
        <v>#REF!</v>
      </c>
      <c r="H21" t="e">
        <f>#REF!</f>
        <v>#REF!</v>
      </c>
      <c r="I21" t="e">
        <f>#REF!</f>
        <v>#REF!</v>
      </c>
      <c r="J21" s="107"/>
    </row>
    <row r="22" spans="1:10" x14ac:dyDescent="0.25">
      <c r="A22" s="107"/>
      <c r="B22" s="107"/>
      <c r="C22" s="107"/>
      <c r="D22">
        <v>2023</v>
      </c>
      <c r="E22" t="e">
        <f>#REF!</f>
        <v>#REF!</v>
      </c>
      <c r="F22" t="e">
        <f>#REF!</f>
        <v>#REF!</v>
      </c>
      <c r="G22" t="e">
        <f>#REF!</f>
        <v>#REF!</v>
      </c>
      <c r="H22" t="e">
        <f>#REF!</f>
        <v>#REF!</v>
      </c>
      <c r="I22" t="e">
        <f>#REF!</f>
        <v>#REF!</v>
      </c>
      <c r="J22" s="107"/>
    </row>
    <row r="23" spans="1:10" x14ac:dyDescent="0.25">
      <c r="A23" s="107"/>
      <c r="B23" s="107"/>
      <c r="C23" s="107"/>
      <c r="D23">
        <v>2024</v>
      </c>
      <c r="E23" t="e">
        <f>#REF!</f>
        <v>#REF!</v>
      </c>
      <c r="F23" t="e">
        <f>#REF!</f>
        <v>#REF!</v>
      </c>
      <c r="G23" t="e">
        <f>#REF!</f>
        <v>#REF!</v>
      </c>
      <c r="H23" t="e">
        <f>#REF!</f>
        <v>#REF!</v>
      </c>
      <c r="I23" t="e">
        <f>#REF!</f>
        <v>#REF!</v>
      </c>
      <c r="J23" s="107"/>
    </row>
    <row r="24" spans="1:10" x14ac:dyDescent="0.25">
      <c r="A24" s="107"/>
      <c r="B24" s="107"/>
      <c r="C24" s="107"/>
      <c r="D24">
        <v>2025</v>
      </c>
      <c r="E24" t="e">
        <f>#REF!</f>
        <v>#REF!</v>
      </c>
      <c r="F24" t="e">
        <f>#REF!</f>
        <v>#REF!</v>
      </c>
      <c r="G24" t="e">
        <f>#REF!</f>
        <v>#REF!</v>
      </c>
      <c r="H24" t="e">
        <f>#REF!</f>
        <v>#REF!</v>
      </c>
      <c r="I24" t="e">
        <f>#REF!</f>
        <v>#REF!</v>
      </c>
      <c r="J24" s="107"/>
    </row>
    <row r="25" spans="1:10" ht="15" customHeight="1" x14ac:dyDescent="0.25">
      <c r="A25" s="107" t="s">
        <v>30</v>
      </c>
      <c r="B25" s="107" t="s">
        <v>1231</v>
      </c>
      <c r="C25" s="107" t="s">
        <v>14</v>
      </c>
      <c r="D25" t="s">
        <v>8</v>
      </c>
      <c r="E25" t="e">
        <f>#REF!</f>
        <v>#REF!</v>
      </c>
      <c r="F25" t="e">
        <f>#REF!</f>
        <v>#REF!</v>
      </c>
      <c r="G25" t="e">
        <f>#REF!</f>
        <v>#REF!</v>
      </c>
      <c r="H25" t="e">
        <f>#REF!</f>
        <v>#REF!</v>
      </c>
      <c r="I25" t="e">
        <f>#REF!</f>
        <v>#REF!</v>
      </c>
      <c r="J25" s="107" t="s">
        <v>486</v>
      </c>
    </row>
    <row r="26" spans="1:10" x14ac:dyDescent="0.25">
      <c r="A26" s="107"/>
      <c r="B26" s="107"/>
      <c r="C26" s="107"/>
      <c r="D26">
        <v>2021</v>
      </c>
      <c r="E26" t="e">
        <f>#REF!</f>
        <v>#REF!</v>
      </c>
      <c r="F26" t="e">
        <f>#REF!</f>
        <v>#REF!</v>
      </c>
      <c r="G26" t="e">
        <f>#REF!</f>
        <v>#REF!</v>
      </c>
      <c r="H26" t="e">
        <f>#REF!</f>
        <v>#REF!</v>
      </c>
      <c r="I26" t="e">
        <f>#REF!</f>
        <v>#REF!</v>
      </c>
      <c r="J26" s="107"/>
    </row>
    <row r="27" spans="1:10" x14ac:dyDescent="0.25">
      <c r="A27" s="107"/>
      <c r="B27" s="107"/>
      <c r="C27" s="107"/>
      <c r="D27">
        <v>2022</v>
      </c>
      <c r="E27" t="e">
        <f>#REF!</f>
        <v>#REF!</v>
      </c>
      <c r="F27" t="e">
        <f>#REF!</f>
        <v>#REF!</v>
      </c>
      <c r="G27" t="e">
        <f>#REF!</f>
        <v>#REF!</v>
      </c>
      <c r="H27" t="e">
        <f>#REF!</f>
        <v>#REF!</v>
      </c>
      <c r="I27" t="e">
        <f>#REF!</f>
        <v>#REF!</v>
      </c>
      <c r="J27" s="107"/>
    </row>
    <row r="28" spans="1:10" x14ac:dyDescent="0.25">
      <c r="A28" s="107"/>
      <c r="B28" s="107"/>
      <c r="C28" s="107"/>
      <c r="D28">
        <v>2023</v>
      </c>
      <c r="E28" t="e">
        <f>#REF!</f>
        <v>#REF!</v>
      </c>
      <c r="F28" t="e">
        <f>#REF!</f>
        <v>#REF!</v>
      </c>
      <c r="G28" t="e">
        <f>#REF!</f>
        <v>#REF!</v>
      </c>
      <c r="H28" t="e">
        <f>#REF!</f>
        <v>#REF!</v>
      </c>
      <c r="I28" t="e">
        <f>#REF!</f>
        <v>#REF!</v>
      </c>
      <c r="J28" s="107"/>
    </row>
    <row r="29" spans="1:10" x14ac:dyDescent="0.25">
      <c r="A29" s="107"/>
      <c r="B29" s="107"/>
      <c r="C29" s="107"/>
      <c r="D29">
        <v>2024</v>
      </c>
      <c r="E29" t="e">
        <f>#REF!</f>
        <v>#REF!</v>
      </c>
      <c r="F29" t="e">
        <f>#REF!</f>
        <v>#REF!</v>
      </c>
      <c r="G29" t="e">
        <f>#REF!</f>
        <v>#REF!</v>
      </c>
      <c r="H29" t="e">
        <f>#REF!</f>
        <v>#REF!</v>
      </c>
      <c r="I29" t="e">
        <f>#REF!</f>
        <v>#REF!</v>
      </c>
      <c r="J29" s="107"/>
    </row>
    <row r="30" spans="1:10" x14ac:dyDescent="0.25">
      <c r="A30" s="107"/>
      <c r="B30" s="107"/>
      <c r="C30" s="107"/>
      <c r="D30">
        <v>2025</v>
      </c>
      <c r="E30" t="e">
        <f>#REF!</f>
        <v>#REF!</v>
      </c>
      <c r="F30" t="e">
        <f>#REF!</f>
        <v>#REF!</v>
      </c>
      <c r="G30" t="e">
        <f>#REF!</f>
        <v>#REF!</v>
      </c>
      <c r="H30" t="e">
        <f>#REF!</f>
        <v>#REF!</v>
      </c>
      <c r="I30" t="e">
        <f>#REF!</f>
        <v>#REF!</v>
      </c>
      <c r="J30" s="107"/>
    </row>
    <row r="31" spans="1:10" ht="15" customHeight="1" x14ac:dyDescent="0.25">
      <c r="A31" s="107" t="s">
        <v>54</v>
      </c>
      <c r="B31" s="107" t="s">
        <v>55</v>
      </c>
      <c r="C31" s="107" t="s">
        <v>14</v>
      </c>
      <c r="D31" t="s">
        <v>8</v>
      </c>
      <c r="E31" t="e">
        <f>#REF!</f>
        <v>#REF!</v>
      </c>
      <c r="F31" t="e">
        <f>#REF!</f>
        <v>#REF!</v>
      </c>
      <c r="G31" t="e">
        <f>#REF!</f>
        <v>#REF!</v>
      </c>
      <c r="H31" t="e">
        <f>#REF!</f>
        <v>#REF!</v>
      </c>
      <c r="I31" t="e">
        <f>#REF!</f>
        <v>#REF!</v>
      </c>
      <c r="J31" s="107" t="s">
        <v>510</v>
      </c>
    </row>
    <row r="32" spans="1:10" x14ac:dyDescent="0.25">
      <c r="A32" s="107"/>
      <c r="B32" s="107"/>
      <c r="C32" s="107"/>
      <c r="D32">
        <v>2021</v>
      </c>
      <c r="E32" t="e">
        <f>#REF!</f>
        <v>#REF!</v>
      </c>
      <c r="F32" t="e">
        <f>#REF!</f>
        <v>#REF!</v>
      </c>
      <c r="G32" t="e">
        <f>#REF!</f>
        <v>#REF!</v>
      </c>
      <c r="H32" t="e">
        <f>#REF!</f>
        <v>#REF!</v>
      </c>
      <c r="I32" t="e">
        <f>#REF!</f>
        <v>#REF!</v>
      </c>
      <c r="J32" s="107"/>
    </row>
    <row r="33" spans="1:10" x14ac:dyDescent="0.25">
      <c r="A33" s="107"/>
      <c r="B33" s="107"/>
      <c r="C33" s="107"/>
      <c r="D33">
        <v>2022</v>
      </c>
      <c r="E33" t="e">
        <f>#REF!</f>
        <v>#REF!</v>
      </c>
      <c r="F33" t="e">
        <f>#REF!</f>
        <v>#REF!</v>
      </c>
      <c r="G33" t="e">
        <f>#REF!</f>
        <v>#REF!</v>
      </c>
      <c r="H33" t="e">
        <f>#REF!</f>
        <v>#REF!</v>
      </c>
      <c r="I33" t="e">
        <f>#REF!</f>
        <v>#REF!</v>
      </c>
      <c r="J33" s="107"/>
    </row>
    <row r="34" spans="1:10" x14ac:dyDescent="0.25">
      <c r="A34" s="107"/>
      <c r="B34" s="107"/>
      <c r="C34" s="107"/>
      <c r="D34">
        <v>2023</v>
      </c>
      <c r="E34" t="e">
        <f>#REF!</f>
        <v>#REF!</v>
      </c>
      <c r="F34" t="e">
        <f>#REF!</f>
        <v>#REF!</v>
      </c>
      <c r="G34" t="e">
        <f>#REF!</f>
        <v>#REF!</v>
      </c>
      <c r="H34" t="e">
        <f>#REF!</f>
        <v>#REF!</v>
      </c>
      <c r="I34" t="e">
        <f>#REF!</f>
        <v>#REF!</v>
      </c>
      <c r="J34" s="107"/>
    </row>
    <row r="35" spans="1:10" x14ac:dyDescent="0.25">
      <c r="A35" s="107"/>
      <c r="B35" s="107"/>
      <c r="C35" s="107"/>
      <c r="D35">
        <v>2024</v>
      </c>
      <c r="E35" t="e">
        <f>#REF!</f>
        <v>#REF!</v>
      </c>
      <c r="F35" t="e">
        <f>#REF!</f>
        <v>#REF!</v>
      </c>
      <c r="G35" t="e">
        <f>#REF!</f>
        <v>#REF!</v>
      </c>
      <c r="H35" t="e">
        <f>#REF!</f>
        <v>#REF!</v>
      </c>
      <c r="I35" t="e">
        <f>#REF!</f>
        <v>#REF!</v>
      </c>
      <c r="J35" s="107"/>
    </row>
    <row r="36" spans="1:10" x14ac:dyDescent="0.25">
      <c r="A36" s="107"/>
      <c r="B36" s="107"/>
      <c r="C36" s="107"/>
      <c r="D36">
        <v>2025</v>
      </c>
      <c r="E36" t="e">
        <f>#REF!</f>
        <v>#REF!</v>
      </c>
      <c r="F36" t="e">
        <f>#REF!</f>
        <v>#REF!</v>
      </c>
      <c r="G36" t="e">
        <f>#REF!</f>
        <v>#REF!</v>
      </c>
      <c r="H36" t="e">
        <f>#REF!</f>
        <v>#REF!</v>
      </c>
      <c r="I36" t="e">
        <f>#REF!</f>
        <v>#REF!</v>
      </c>
      <c r="J36" s="107"/>
    </row>
    <row r="37" spans="1:10" ht="15" customHeight="1" x14ac:dyDescent="0.25">
      <c r="A37" s="107" t="s">
        <v>56</v>
      </c>
      <c r="B37" s="107" t="s">
        <v>518</v>
      </c>
      <c r="C37" s="107" t="s">
        <v>14</v>
      </c>
      <c r="D37" t="s">
        <v>8</v>
      </c>
      <c r="E37" t="e">
        <f>#REF!</f>
        <v>#REF!</v>
      </c>
      <c r="F37" t="e">
        <f>#REF!</f>
        <v>#REF!</v>
      </c>
      <c r="G37" t="e">
        <f>#REF!</f>
        <v>#REF!</v>
      </c>
      <c r="H37" t="e">
        <f>#REF!</f>
        <v>#REF!</v>
      </c>
      <c r="I37" t="e">
        <f>#REF!</f>
        <v>#REF!</v>
      </c>
      <c r="J37" s="107" t="s">
        <v>486</v>
      </c>
    </row>
    <row r="38" spans="1:10" x14ac:dyDescent="0.25">
      <c r="A38" s="107"/>
      <c r="B38" s="107"/>
      <c r="C38" s="107"/>
      <c r="D38">
        <v>2021</v>
      </c>
      <c r="E38" t="e">
        <f>#REF!</f>
        <v>#REF!</v>
      </c>
      <c r="F38" t="e">
        <f>#REF!</f>
        <v>#REF!</v>
      </c>
      <c r="G38" t="e">
        <f>#REF!</f>
        <v>#REF!</v>
      </c>
      <c r="H38" t="e">
        <f>#REF!</f>
        <v>#REF!</v>
      </c>
      <c r="I38" t="e">
        <f>#REF!</f>
        <v>#REF!</v>
      </c>
      <c r="J38" s="107"/>
    </row>
    <row r="39" spans="1:10" x14ac:dyDescent="0.25">
      <c r="A39" s="107"/>
      <c r="B39" s="107"/>
      <c r="C39" s="107"/>
      <c r="D39">
        <v>2022</v>
      </c>
      <c r="E39" t="e">
        <f>#REF!</f>
        <v>#REF!</v>
      </c>
      <c r="F39" t="e">
        <f>#REF!</f>
        <v>#REF!</v>
      </c>
      <c r="G39" t="e">
        <f>#REF!</f>
        <v>#REF!</v>
      </c>
      <c r="H39" t="e">
        <f>#REF!</f>
        <v>#REF!</v>
      </c>
      <c r="I39" t="e">
        <f>#REF!</f>
        <v>#REF!</v>
      </c>
      <c r="J39" s="107"/>
    </row>
    <row r="40" spans="1:10" x14ac:dyDescent="0.25">
      <c r="A40" s="107"/>
      <c r="B40" s="107"/>
      <c r="C40" s="107"/>
      <c r="D40">
        <v>2023</v>
      </c>
      <c r="E40" t="e">
        <f>#REF!</f>
        <v>#REF!</v>
      </c>
      <c r="F40" t="e">
        <f>#REF!</f>
        <v>#REF!</v>
      </c>
      <c r="G40" t="e">
        <f>#REF!</f>
        <v>#REF!</v>
      </c>
      <c r="H40" t="e">
        <f>#REF!</f>
        <v>#REF!</v>
      </c>
      <c r="I40" t="e">
        <f>#REF!</f>
        <v>#REF!</v>
      </c>
      <c r="J40" s="107"/>
    </row>
    <row r="41" spans="1:10" x14ac:dyDescent="0.25">
      <c r="A41" s="107"/>
      <c r="B41" s="107"/>
      <c r="C41" s="107"/>
      <c r="D41">
        <v>2024</v>
      </c>
      <c r="E41" t="e">
        <f>#REF!</f>
        <v>#REF!</v>
      </c>
      <c r="F41" t="e">
        <f>#REF!</f>
        <v>#REF!</v>
      </c>
      <c r="G41" t="e">
        <f>#REF!</f>
        <v>#REF!</v>
      </c>
      <c r="H41" t="e">
        <f>#REF!</f>
        <v>#REF!</v>
      </c>
      <c r="I41" t="e">
        <f>#REF!</f>
        <v>#REF!</v>
      </c>
      <c r="J41" s="107"/>
    </row>
    <row r="42" spans="1:10" x14ac:dyDescent="0.25">
      <c r="A42" s="107"/>
      <c r="B42" s="107"/>
      <c r="C42" s="107"/>
      <c r="D42">
        <v>2025</v>
      </c>
      <c r="E42" t="e">
        <f>#REF!</f>
        <v>#REF!</v>
      </c>
      <c r="F42" t="e">
        <f>#REF!</f>
        <v>#REF!</v>
      </c>
      <c r="G42" t="e">
        <f>#REF!</f>
        <v>#REF!</v>
      </c>
      <c r="H42" t="e">
        <f>#REF!</f>
        <v>#REF!</v>
      </c>
      <c r="I42" t="e">
        <f>#REF!</f>
        <v>#REF!</v>
      </c>
      <c r="J42" s="107"/>
    </row>
  </sheetData>
  <mergeCells count="30">
    <mergeCell ref="A31:A36"/>
    <mergeCell ref="B31:B36"/>
    <mergeCell ref="C31:C36"/>
    <mergeCell ref="J31:J36"/>
    <mergeCell ref="A37:A42"/>
    <mergeCell ref="B37:B42"/>
    <mergeCell ref="C37:C42"/>
    <mergeCell ref="J37:J42"/>
    <mergeCell ref="A19:A24"/>
    <mergeCell ref="B19:B24"/>
    <mergeCell ref="C19:C24"/>
    <mergeCell ref="J19:J24"/>
    <mergeCell ref="A25:A30"/>
    <mergeCell ref="B25:B30"/>
    <mergeCell ref="C25:C30"/>
    <mergeCell ref="J25:J30"/>
    <mergeCell ref="A7:A12"/>
    <mergeCell ref="B7:B12"/>
    <mergeCell ref="C7:C12"/>
    <mergeCell ref="J7:J12"/>
    <mergeCell ref="A13:A18"/>
    <mergeCell ref="B13:B18"/>
    <mergeCell ref="C13:C18"/>
    <mergeCell ref="J13:J18"/>
    <mergeCell ref="A3:J3"/>
    <mergeCell ref="A5:A6"/>
    <mergeCell ref="B5:B6"/>
    <mergeCell ref="C5:C6"/>
    <mergeCell ref="D5:I5"/>
    <mergeCell ref="J5:J6"/>
  </mergeCells>
  <pageMargins left="0.70866141732283472" right="0.70866141732283472" top="0.74803149606299213" bottom="0.74803149606299213" header="0.31496062992125984" footer="0.31496062992125984"/>
  <pageSetup paperSize="9" scale="60" firstPageNumber="4294967295" orientation="landscape" horizontalDpi="0" verticalDpi="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60" workbookViewId="0">
      <selection activeCell="U33" sqref="U33"/>
    </sheetView>
  </sheetViews>
  <sheetFormatPr defaultColWidth="16.140625" defaultRowHeight="15" x14ac:dyDescent="0.25"/>
  <cols>
    <col min="1" max="1" width="8.7109375" customWidth="1"/>
    <col min="2" max="2" width="33.28515625" customWidth="1"/>
    <col min="10" max="10" width="25" customWidth="1"/>
    <col min="11" max="11" width="24.28515625" customWidth="1"/>
    <col min="12" max="13" width="19.85546875" customWidth="1"/>
    <col min="17" max="17" width="34.140625" customWidth="1"/>
    <col min="18" max="19" width="16.42578125" bestFit="1" customWidth="1"/>
    <col min="20" max="22" width="16.28515625" bestFit="1" customWidth="1"/>
    <col min="23" max="23" width="32.85546875" customWidth="1"/>
    <col min="24" max="24" width="27.7109375" customWidth="1"/>
  </cols>
  <sheetData>
    <row r="1" spans="1:24" x14ac:dyDescent="0.25">
      <c r="J1" s="107"/>
      <c r="K1" s="107"/>
      <c r="X1" t="s">
        <v>1232</v>
      </c>
    </row>
    <row r="4" spans="1:24" x14ac:dyDescent="0.25">
      <c r="Q4" t="e">
        <f>#REF!+#REF!</f>
        <v>#REF!</v>
      </c>
    </row>
    <row r="5" spans="1:24" x14ac:dyDescent="0.25">
      <c r="X5" t="s">
        <v>1233</v>
      </c>
    </row>
    <row r="6" spans="1:24" ht="15" customHeight="1" x14ac:dyDescent="0.25">
      <c r="A6" s="107"/>
      <c r="B6" s="107"/>
      <c r="C6" s="107"/>
      <c r="D6" s="107"/>
      <c r="E6" s="107"/>
      <c r="F6" s="107"/>
      <c r="G6" s="107"/>
      <c r="H6" s="107"/>
      <c r="I6" s="107"/>
      <c r="J6" s="107"/>
      <c r="K6" s="107"/>
    </row>
    <row r="8" spans="1:24" ht="15" customHeight="1" x14ac:dyDescent="0.25">
      <c r="A8" s="107" t="s">
        <v>1</v>
      </c>
      <c r="B8" s="107" t="s">
        <v>1234</v>
      </c>
      <c r="C8" s="107" t="s">
        <v>1235</v>
      </c>
      <c r="D8" s="107" t="s">
        <v>1236</v>
      </c>
      <c r="E8" s="107"/>
      <c r="F8" s="107"/>
      <c r="G8" s="107"/>
      <c r="H8" s="107"/>
      <c r="I8" s="107"/>
      <c r="J8" s="107" t="s">
        <v>5</v>
      </c>
      <c r="K8" s="107" t="s">
        <v>6</v>
      </c>
      <c r="L8" s="107" t="s">
        <v>1237</v>
      </c>
      <c r="M8" s="107"/>
      <c r="N8" s="107"/>
      <c r="O8" s="107"/>
      <c r="P8" s="107"/>
      <c r="Q8" s="107" t="s">
        <v>620</v>
      </c>
      <c r="R8" s="107"/>
      <c r="S8" s="107"/>
      <c r="T8" s="107"/>
      <c r="U8" s="107"/>
      <c r="V8" s="107"/>
      <c r="W8" s="107"/>
      <c r="X8" s="107" t="s">
        <v>1238</v>
      </c>
    </row>
    <row r="9" spans="1:24" x14ac:dyDescent="0.25">
      <c r="A9" s="107"/>
      <c r="B9" s="107"/>
      <c r="C9" s="107"/>
      <c r="D9" t="s">
        <v>1102</v>
      </c>
      <c r="E9" t="s">
        <v>8</v>
      </c>
      <c r="F9" t="s">
        <v>9</v>
      </c>
      <c r="G9" t="s">
        <v>10</v>
      </c>
      <c r="H9" t="s">
        <v>11</v>
      </c>
      <c r="I9" t="s">
        <v>12</v>
      </c>
      <c r="J9" s="107"/>
      <c r="K9" s="107"/>
      <c r="L9" t="s">
        <v>8</v>
      </c>
      <c r="M9" t="s">
        <v>9</v>
      </c>
      <c r="N9" t="s">
        <v>10</v>
      </c>
      <c r="O9" t="s">
        <v>11</v>
      </c>
      <c r="P9" t="s">
        <v>12</v>
      </c>
      <c r="Q9" t="s">
        <v>1239</v>
      </c>
      <c r="R9" t="s">
        <v>8</v>
      </c>
      <c r="S9" t="s">
        <v>9</v>
      </c>
      <c r="T9" t="s">
        <v>10</v>
      </c>
      <c r="U9" t="s">
        <v>11</v>
      </c>
      <c r="V9" t="s">
        <v>12</v>
      </c>
      <c r="W9" t="s">
        <v>1240</v>
      </c>
      <c r="X9" s="107"/>
    </row>
    <row r="10" spans="1:24" ht="37.5" customHeight="1" x14ac:dyDescent="0.25">
      <c r="A10" s="107"/>
      <c r="B10" s="107" t="s">
        <v>1241</v>
      </c>
      <c r="C10" s="107" t="s">
        <v>14</v>
      </c>
      <c r="D10" t="s">
        <v>8</v>
      </c>
      <c r="E10">
        <f>План_минэн.!E10</f>
        <v>75904110.533611581</v>
      </c>
      <c r="F10">
        <f>План_минэн.!F10</f>
        <v>63783148.497399993</v>
      </c>
      <c r="G10">
        <f>План_минэн.!G10</f>
        <v>6847446.53333</v>
      </c>
      <c r="H10">
        <f>План_минэн.!H10</f>
        <v>4476926.5128815789</v>
      </c>
      <c r="I10">
        <f>План_минэн.!I10</f>
        <v>796588.99</v>
      </c>
      <c r="J10" s="107"/>
      <c r="K10" s="107"/>
      <c r="L10">
        <f t="shared" ref="L10:P33" si="0">R10-E10</f>
        <v>-59186.821940004826</v>
      </c>
      <c r="M10">
        <f t="shared" si="0"/>
        <v>-59186.821939997375</v>
      </c>
      <c r="N10">
        <f t="shared" si="0"/>
        <v>0</v>
      </c>
      <c r="O10">
        <f t="shared" si="0"/>
        <v>0</v>
      </c>
      <c r="P10">
        <f t="shared" si="0"/>
        <v>0</v>
      </c>
      <c r="Q10" s="107"/>
      <c r="R10">
        <f>План_нов_ред.минэн.!E10</f>
        <v>75844923.711671576</v>
      </c>
      <c r="S10">
        <f>План_нов_ред.минэн.!F10</f>
        <v>63723961.675459996</v>
      </c>
      <c r="T10">
        <f>План_нов_ред.минэн.!G10</f>
        <v>6847446.53333</v>
      </c>
      <c r="U10">
        <f>План_нов_ред.минэн.!H10</f>
        <v>4476926.5128815789</v>
      </c>
      <c r="V10">
        <f>План_нов_ред.минэн.!I10</f>
        <v>796588.99</v>
      </c>
      <c r="W10" s="107"/>
      <c r="X10" s="107"/>
    </row>
    <row r="11" spans="1:24" ht="47.25" customHeight="1" x14ac:dyDescent="0.25">
      <c r="A11" s="107"/>
      <c r="B11" s="107"/>
      <c r="C11" s="107"/>
      <c r="D11">
        <v>2021</v>
      </c>
      <c r="E11">
        <f>План_минэн.!E11</f>
        <v>14303970.520818945</v>
      </c>
      <c r="F11">
        <f>План_минэн.!F11</f>
        <v>12262546.638989998</v>
      </c>
      <c r="G11">
        <f>План_минэн.!G11</f>
        <v>1441099.2</v>
      </c>
      <c r="H11">
        <f>План_минэн.!H11</f>
        <v>439631.22182894737</v>
      </c>
      <c r="I11">
        <f>План_минэн.!I11</f>
        <v>160693.46</v>
      </c>
      <c r="J11" s="107"/>
      <c r="K11" s="107"/>
      <c r="L11">
        <f t="shared" si="0"/>
        <v>0</v>
      </c>
      <c r="M11">
        <f t="shared" si="0"/>
        <v>0</v>
      </c>
      <c r="N11">
        <f t="shared" si="0"/>
        <v>0</v>
      </c>
      <c r="O11">
        <f t="shared" si="0"/>
        <v>0</v>
      </c>
      <c r="P11">
        <f t="shared" si="0"/>
        <v>0</v>
      </c>
      <c r="Q11" s="107"/>
      <c r="R11">
        <f>План_нов_ред.минэн.!E11</f>
        <v>14303970.520818945</v>
      </c>
      <c r="S11">
        <f>План_нов_ред.минэн.!F11</f>
        <v>12262546.638989998</v>
      </c>
      <c r="T11">
        <f>План_нов_ред.минэн.!G11</f>
        <v>1441099.2</v>
      </c>
      <c r="U11">
        <f>План_нов_ред.минэн.!H11</f>
        <v>439631.22182894737</v>
      </c>
      <c r="V11">
        <f>План_нов_ред.минэн.!I11</f>
        <v>160693.46</v>
      </c>
      <c r="W11" s="107"/>
      <c r="X11" s="107"/>
    </row>
    <row r="12" spans="1:24" ht="33.75" customHeight="1" x14ac:dyDescent="0.25">
      <c r="A12" s="107"/>
      <c r="B12" s="107"/>
      <c r="C12" s="107"/>
      <c r="D12">
        <v>2022</v>
      </c>
      <c r="E12">
        <f>План_минэн.!E12</f>
        <v>24326093.439549997</v>
      </c>
      <c r="F12">
        <f>План_минэн.!F12</f>
        <v>20913806.155959997</v>
      </c>
      <c r="G12">
        <f>План_минэн.!G12</f>
        <v>2198335.6015900001</v>
      </c>
      <c r="H12">
        <f>План_минэн.!H12</f>
        <v>1028056.152</v>
      </c>
      <c r="I12">
        <f>План_минэн.!I12</f>
        <v>185895.53</v>
      </c>
      <c r="J12" s="107"/>
      <c r="K12" s="107"/>
      <c r="L12">
        <f t="shared" si="0"/>
        <v>0</v>
      </c>
      <c r="M12">
        <f t="shared" si="0"/>
        <v>0</v>
      </c>
      <c r="N12">
        <f t="shared" si="0"/>
        <v>0</v>
      </c>
      <c r="O12">
        <f t="shared" si="0"/>
        <v>0</v>
      </c>
      <c r="P12">
        <f t="shared" si="0"/>
        <v>0</v>
      </c>
      <c r="Q12" s="107"/>
      <c r="R12">
        <f>План_нов_ред.минэн.!E12</f>
        <v>24326093.439549997</v>
      </c>
      <c r="S12">
        <f>План_нов_ред.минэн.!F12</f>
        <v>20913806.155959997</v>
      </c>
      <c r="T12">
        <f>План_нов_ред.минэн.!G12</f>
        <v>2198335.6015900001</v>
      </c>
      <c r="U12">
        <f>План_нов_ред.минэн.!H12</f>
        <v>1028056.152</v>
      </c>
      <c r="V12">
        <f>План_нов_ред.минэн.!I12</f>
        <v>185895.53</v>
      </c>
      <c r="W12" s="107"/>
      <c r="X12" s="107"/>
    </row>
    <row r="13" spans="1:24" ht="45" customHeight="1" x14ac:dyDescent="0.25">
      <c r="A13" s="107"/>
      <c r="B13" s="107"/>
      <c r="C13" s="107"/>
      <c r="D13">
        <v>2023</v>
      </c>
      <c r="E13">
        <f>План_минэн.!E13</f>
        <v>16307980.98116263</v>
      </c>
      <c r="F13">
        <f>План_минэн.!F13</f>
        <v>12484238.667369999</v>
      </c>
      <c r="G13">
        <f>План_минэн.!G13</f>
        <v>2397119.45474</v>
      </c>
      <c r="H13">
        <f>План_минэн.!H13</f>
        <v>1276622.8590526315</v>
      </c>
      <c r="I13">
        <f>План_минэн.!I13</f>
        <v>150000</v>
      </c>
      <c r="J13" s="107"/>
      <c r="K13" s="107"/>
      <c r="L13">
        <f t="shared" si="0"/>
        <v>-59186.8219400011</v>
      </c>
      <c r="M13">
        <f t="shared" si="0"/>
        <v>-59186.8219400011</v>
      </c>
      <c r="N13">
        <f t="shared" si="0"/>
        <v>0</v>
      </c>
      <c r="O13">
        <f t="shared" si="0"/>
        <v>0</v>
      </c>
      <c r="P13">
        <f t="shared" si="0"/>
        <v>0</v>
      </c>
      <c r="Q13" s="107"/>
      <c r="R13">
        <f>План_нов_ред.минэн.!E13</f>
        <v>16248794.159222629</v>
      </c>
      <c r="S13">
        <f>План_нов_ред.минэн.!F13</f>
        <v>12425051.845429998</v>
      </c>
      <c r="T13">
        <f>План_нов_ред.минэн.!G13</f>
        <v>2397119.45474</v>
      </c>
      <c r="U13">
        <f>План_нов_ред.минэн.!H13</f>
        <v>1276622.8590526315</v>
      </c>
      <c r="V13">
        <f>План_нов_ред.минэн.!I13</f>
        <v>150000</v>
      </c>
      <c r="W13" s="107"/>
      <c r="X13" s="107"/>
    </row>
    <row r="14" spans="1:24" ht="29.25" customHeight="1" x14ac:dyDescent="0.25">
      <c r="A14" s="107"/>
      <c r="B14" s="107"/>
      <c r="C14" s="107"/>
      <c r="D14">
        <v>2024</v>
      </c>
      <c r="E14">
        <f>План_минэн.!E14</f>
        <v>11966402.73043</v>
      </c>
      <c r="F14">
        <f>План_минэн.!F14</f>
        <v>10105865.873429999</v>
      </c>
      <c r="G14">
        <f>План_минэн.!G14</f>
        <v>781536.777</v>
      </c>
      <c r="H14">
        <f>План_минэн.!H14</f>
        <v>929000.08000000007</v>
      </c>
      <c r="I14">
        <f>План_минэн.!I14</f>
        <v>150000</v>
      </c>
      <c r="J14" s="107"/>
      <c r="K14" s="107"/>
      <c r="L14">
        <f t="shared" si="0"/>
        <v>0</v>
      </c>
      <c r="M14">
        <f t="shared" si="0"/>
        <v>0</v>
      </c>
      <c r="N14">
        <f t="shared" si="0"/>
        <v>0</v>
      </c>
      <c r="O14">
        <f t="shared" si="0"/>
        <v>0</v>
      </c>
      <c r="P14">
        <f t="shared" si="0"/>
        <v>0</v>
      </c>
      <c r="Q14" s="107"/>
      <c r="R14">
        <f>План_нов_ред.минэн.!E14</f>
        <v>11966402.73043</v>
      </c>
      <c r="S14">
        <f>План_нов_ред.минэн.!F14</f>
        <v>10105865.873429999</v>
      </c>
      <c r="T14">
        <f>План_нов_ред.минэн.!G14</f>
        <v>781536.777</v>
      </c>
      <c r="U14">
        <f>План_нов_ред.минэн.!H14</f>
        <v>929000.08000000007</v>
      </c>
      <c r="V14">
        <f>План_нов_ред.минэн.!I14</f>
        <v>150000</v>
      </c>
      <c r="W14" s="107"/>
      <c r="X14" s="107"/>
    </row>
    <row r="15" spans="1:24" ht="40.5" customHeight="1" x14ac:dyDescent="0.25">
      <c r="A15" s="107"/>
      <c r="B15" s="107"/>
      <c r="C15" s="107"/>
      <c r="D15">
        <v>2025</v>
      </c>
      <c r="E15">
        <f>План_минэн.!E15</f>
        <v>8999662.8616499994</v>
      </c>
      <c r="F15">
        <f>План_минэн.!F15</f>
        <v>8016691.1616500001</v>
      </c>
      <c r="G15">
        <f>План_минэн.!G15</f>
        <v>29355.5</v>
      </c>
      <c r="H15">
        <f>План_минэн.!H15</f>
        <v>803616.2</v>
      </c>
      <c r="I15">
        <f>План_минэн.!I15</f>
        <v>150000</v>
      </c>
      <c r="J15" s="107"/>
      <c r="K15" s="107"/>
      <c r="L15">
        <f t="shared" si="0"/>
        <v>0</v>
      </c>
      <c r="M15">
        <f t="shared" si="0"/>
        <v>0</v>
      </c>
      <c r="N15">
        <f t="shared" si="0"/>
        <v>0</v>
      </c>
      <c r="O15">
        <f t="shared" si="0"/>
        <v>0</v>
      </c>
      <c r="P15">
        <f t="shared" si="0"/>
        <v>0</v>
      </c>
      <c r="Q15" s="107"/>
      <c r="R15">
        <f>План_нов_ред.минэн.!E15</f>
        <v>8999662.8616499994</v>
      </c>
      <c r="S15">
        <f>План_нов_ред.минэн.!F15</f>
        <v>8016691.1616500001</v>
      </c>
      <c r="T15">
        <f>План_нов_ред.минэн.!G15</f>
        <v>29355.5</v>
      </c>
      <c r="U15">
        <f>План_нов_ред.минэн.!H15</f>
        <v>803616.2</v>
      </c>
      <c r="V15">
        <f>План_нов_ред.минэн.!I15</f>
        <v>150000</v>
      </c>
      <c r="W15" s="107"/>
      <c r="X15" s="107"/>
    </row>
    <row r="16" spans="1:24" ht="42.75" customHeight="1" x14ac:dyDescent="0.25">
      <c r="A16" s="107">
        <v>4</v>
      </c>
      <c r="B16" s="107" t="s">
        <v>1242</v>
      </c>
      <c r="C16" s="107" t="s">
        <v>14</v>
      </c>
      <c r="D16" t="s">
        <v>8</v>
      </c>
      <c r="E16">
        <f>План_минэн.!E718</f>
        <v>42360504.029319994</v>
      </c>
      <c r="F16">
        <f>План_минэн.!F718</f>
        <v>42147572.77832</v>
      </c>
      <c r="G16">
        <f>План_минэн.!G718</f>
        <v>93391.400999999998</v>
      </c>
      <c r="H16">
        <f>План_минэн.!H718</f>
        <v>86984.8</v>
      </c>
      <c r="I16">
        <f>План_минэн.!I718</f>
        <v>32555.05</v>
      </c>
      <c r="J16" s="107"/>
      <c r="K16" s="107"/>
      <c r="L16">
        <f t="shared" si="0"/>
        <v>-59186.821940004826</v>
      </c>
      <c r="M16">
        <f t="shared" si="0"/>
        <v>-59186.821940004826</v>
      </c>
      <c r="N16">
        <f t="shared" si="0"/>
        <v>0</v>
      </c>
      <c r="O16">
        <f t="shared" si="0"/>
        <v>0</v>
      </c>
      <c r="P16">
        <f t="shared" si="0"/>
        <v>0</v>
      </c>
      <c r="Q16" s="107"/>
      <c r="R16">
        <f>План_нов_ред.минэн.!E718</f>
        <v>42301317.207379989</v>
      </c>
      <c r="S16">
        <f>План_нов_ред.минэн.!F718</f>
        <v>42088385.956379995</v>
      </c>
      <c r="T16">
        <f>План_нов_ред.минэн.!G718</f>
        <v>93391.400999999998</v>
      </c>
      <c r="U16">
        <f>План_нов_ред.минэн.!H718</f>
        <v>86984.8</v>
      </c>
      <c r="V16">
        <f>План_нов_ред.минэн.!I718</f>
        <v>32555.05</v>
      </c>
      <c r="W16" s="107"/>
      <c r="X16" s="107"/>
    </row>
    <row r="17" spans="1:24" ht="27.75" customHeight="1" x14ac:dyDescent="0.25">
      <c r="A17" s="107"/>
      <c r="B17" s="107"/>
      <c r="C17" s="107"/>
      <c r="D17">
        <v>2021</v>
      </c>
      <c r="E17">
        <f>План_минэн.!E719</f>
        <v>9939158.6680100001</v>
      </c>
      <c r="F17">
        <f>План_минэн.!F719</f>
        <v>9918962.9080099985</v>
      </c>
      <c r="G17">
        <f>План_минэн.!G719</f>
        <v>0</v>
      </c>
      <c r="H17">
        <f>План_минэн.!H719</f>
        <v>9502.3000000000011</v>
      </c>
      <c r="I17">
        <f>План_минэн.!I719</f>
        <v>10693.46</v>
      </c>
      <c r="J17" s="107"/>
      <c r="K17" s="107"/>
      <c r="L17">
        <f t="shared" si="0"/>
        <v>0</v>
      </c>
      <c r="M17">
        <f t="shared" si="0"/>
        <v>0</v>
      </c>
      <c r="N17">
        <f t="shared" si="0"/>
        <v>0</v>
      </c>
      <c r="O17">
        <f t="shared" si="0"/>
        <v>0</v>
      </c>
      <c r="P17">
        <f t="shared" si="0"/>
        <v>0</v>
      </c>
      <c r="Q17" s="107"/>
      <c r="R17">
        <f>План_нов_ред.минэн.!E719</f>
        <v>9939158.6680100001</v>
      </c>
      <c r="S17">
        <f>План_нов_ред.минэн.!F719</f>
        <v>9918962.9080099985</v>
      </c>
      <c r="T17">
        <f>План_нов_ред.минэн.!G719</f>
        <v>0</v>
      </c>
      <c r="U17">
        <f>План_нов_ред.минэн.!H719</f>
        <v>9502.3000000000011</v>
      </c>
      <c r="V17">
        <f>План_нов_ред.минэн.!I719</f>
        <v>10693.46</v>
      </c>
      <c r="W17" s="107"/>
      <c r="X17" s="107"/>
    </row>
    <row r="18" spans="1:24" ht="36" customHeight="1" x14ac:dyDescent="0.25">
      <c r="A18" s="107"/>
      <c r="B18" s="107"/>
      <c r="C18" s="107"/>
      <c r="D18">
        <v>2022</v>
      </c>
      <c r="E18">
        <f>План_минэн.!E720</f>
        <v>13830830.340499999</v>
      </c>
      <c r="F18">
        <f>План_минэн.!F720</f>
        <v>13667943.349499999</v>
      </c>
      <c r="G18">
        <f>План_минэн.!G720</f>
        <v>93391.400999999998</v>
      </c>
      <c r="H18">
        <f>План_минэн.!H720</f>
        <v>47634</v>
      </c>
      <c r="I18">
        <f>План_минэн.!I720</f>
        <v>21861.59</v>
      </c>
      <c r="J18" s="107"/>
      <c r="K18" s="107"/>
      <c r="L18">
        <f t="shared" si="0"/>
        <v>0</v>
      </c>
      <c r="M18">
        <f t="shared" si="0"/>
        <v>0</v>
      </c>
      <c r="N18">
        <f t="shared" si="0"/>
        <v>0</v>
      </c>
      <c r="O18">
        <f t="shared" si="0"/>
        <v>0</v>
      </c>
      <c r="P18">
        <f t="shared" si="0"/>
        <v>0</v>
      </c>
      <c r="Q18" s="107"/>
      <c r="R18">
        <f>План_нов_ред.минэн.!E720</f>
        <v>13830830.340499999</v>
      </c>
      <c r="S18">
        <f>План_нов_ред.минэн.!F720</f>
        <v>13667943.349499999</v>
      </c>
      <c r="T18">
        <f>План_нов_ред.минэн.!G720</f>
        <v>93391.400999999998</v>
      </c>
      <c r="U18">
        <f>План_нов_ред.минэн.!H720</f>
        <v>47634</v>
      </c>
      <c r="V18">
        <f>План_нов_ред.минэн.!I720</f>
        <v>21861.59</v>
      </c>
      <c r="W18" s="107"/>
      <c r="X18" s="107"/>
    </row>
    <row r="19" spans="1:24" ht="42" customHeight="1" x14ac:dyDescent="0.25">
      <c r="A19" s="107"/>
      <c r="B19" s="107"/>
      <c r="C19" s="107"/>
      <c r="D19">
        <v>2023</v>
      </c>
      <c r="E19">
        <f>План_минэн.!E721</f>
        <v>7277119.192379999</v>
      </c>
      <c r="F19">
        <f>План_минэн.!F721</f>
        <v>7267169.692379999</v>
      </c>
      <c r="G19">
        <f>План_минэн.!G721</f>
        <v>0</v>
      </c>
      <c r="H19">
        <f>План_минэн.!H721</f>
        <v>9949.5</v>
      </c>
      <c r="I19">
        <f>План_минэн.!I721</f>
        <v>0</v>
      </c>
      <c r="J19" s="107"/>
      <c r="K19" s="107"/>
      <c r="L19">
        <f t="shared" si="0"/>
        <v>-59186.821940000169</v>
      </c>
      <c r="M19">
        <f t="shared" si="0"/>
        <v>-59186.821940000169</v>
      </c>
      <c r="N19">
        <f t="shared" si="0"/>
        <v>0</v>
      </c>
      <c r="O19">
        <f t="shared" si="0"/>
        <v>0</v>
      </c>
      <c r="P19">
        <f t="shared" si="0"/>
        <v>0</v>
      </c>
      <c r="Q19" s="107"/>
      <c r="R19">
        <f>План_нов_ред.минэн.!E721</f>
        <v>7217932.3704399988</v>
      </c>
      <c r="S19">
        <f>План_нов_ред.минэн.!F721</f>
        <v>7207982.8704399988</v>
      </c>
      <c r="T19">
        <f>План_нов_ред.минэн.!G721</f>
        <v>0</v>
      </c>
      <c r="U19">
        <f>План_нов_ред.минэн.!H721</f>
        <v>9949.5</v>
      </c>
      <c r="V19">
        <f>План_нов_ред.минэн.!I721</f>
        <v>0</v>
      </c>
      <c r="W19" s="107"/>
      <c r="X19" s="107"/>
    </row>
    <row r="20" spans="1:24" ht="28.5" customHeight="1" x14ac:dyDescent="0.25">
      <c r="A20" s="107"/>
      <c r="B20" s="107"/>
      <c r="C20" s="107"/>
      <c r="D20">
        <v>2024</v>
      </c>
      <c r="E20">
        <f>План_минэн.!E722</f>
        <v>5718548.6519999988</v>
      </c>
      <c r="F20">
        <f>План_минэн.!F722</f>
        <v>5708599.1519999988</v>
      </c>
      <c r="G20">
        <f>План_минэн.!G722</f>
        <v>0</v>
      </c>
      <c r="H20">
        <f>План_минэн.!H722</f>
        <v>9949.5</v>
      </c>
      <c r="I20">
        <f>План_минэн.!I722</f>
        <v>0</v>
      </c>
      <c r="J20" s="107"/>
      <c r="K20" s="107"/>
      <c r="L20">
        <f t="shared" si="0"/>
        <v>0</v>
      </c>
      <c r="M20">
        <f t="shared" si="0"/>
        <v>0</v>
      </c>
      <c r="N20">
        <f t="shared" si="0"/>
        <v>0</v>
      </c>
      <c r="O20">
        <f t="shared" si="0"/>
        <v>0</v>
      </c>
      <c r="P20">
        <f t="shared" si="0"/>
        <v>0</v>
      </c>
      <c r="Q20" s="107"/>
      <c r="R20">
        <f>План_нов_ред.минэн.!E722</f>
        <v>5718548.6519999988</v>
      </c>
      <c r="S20">
        <f>План_нов_ред.минэн.!F722</f>
        <v>5708599.1519999988</v>
      </c>
      <c r="T20">
        <f>План_нов_ред.минэн.!G722</f>
        <v>0</v>
      </c>
      <c r="U20">
        <f>План_нов_ред.минэн.!H722</f>
        <v>9949.5</v>
      </c>
      <c r="V20">
        <f>План_нов_ред.минэн.!I722</f>
        <v>0</v>
      </c>
      <c r="W20" s="107"/>
      <c r="X20" s="107"/>
    </row>
    <row r="21" spans="1:24" ht="32.25" customHeight="1" x14ac:dyDescent="0.25">
      <c r="A21" s="107"/>
      <c r="B21" s="107"/>
      <c r="C21" s="107"/>
      <c r="D21">
        <v>2025</v>
      </c>
      <c r="E21">
        <f>План_минэн.!E723</f>
        <v>5594847.17643</v>
      </c>
      <c r="F21">
        <f>План_минэн.!F723</f>
        <v>5584897.67643</v>
      </c>
      <c r="G21">
        <f>План_минэн.!G723</f>
        <v>0</v>
      </c>
      <c r="H21">
        <f>План_минэн.!H723</f>
        <v>9949.5</v>
      </c>
      <c r="I21">
        <f>План_минэн.!I723</f>
        <v>0</v>
      </c>
      <c r="J21" s="107"/>
      <c r="K21" s="107"/>
      <c r="L21">
        <f t="shared" si="0"/>
        <v>0</v>
      </c>
      <c r="M21">
        <f t="shared" si="0"/>
        <v>0</v>
      </c>
      <c r="N21">
        <f t="shared" si="0"/>
        <v>0</v>
      </c>
      <c r="O21">
        <f t="shared" si="0"/>
        <v>0</v>
      </c>
      <c r="P21">
        <f t="shared" si="0"/>
        <v>0</v>
      </c>
      <c r="Q21" s="107"/>
      <c r="R21">
        <f>План_нов_ред.минэн.!E723</f>
        <v>5594847.17643</v>
      </c>
      <c r="S21">
        <f>План_нов_ред.минэн.!F723</f>
        <v>5584897.67643</v>
      </c>
      <c r="T21">
        <f>План_нов_ред.минэн.!G723</f>
        <v>0</v>
      </c>
      <c r="U21">
        <f>План_нов_ред.минэн.!H723</f>
        <v>9949.5</v>
      </c>
      <c r="V21">
        <f>План_нов_ред.минэн.!I723</f>
        <v>0</v>
      </c>
      <c r="W21" s="107"/>
      <c r="X21" s="107"/>
    </row>
    <row r="22" spans="1:24" ht="33" customHeight="1" x14ac:dyDescent="0.25">
      <c r="A22" s="107" t="s">
        <v>1243</v>
      </c>
      <c r="B22" s="107" t="s">
        <v>1244</v>
      </c>
      <c r="C22" s="107" t="s">
        <v>14</v>
      </c>
      <c r="D22" t="s">
        <v>8</v>
      </c>
      <c r="E22">
        <f>План_минэн.!E802</f>
        <v>38288806.841969997</v>
      </c>
      <c r="F22">
        <f>План_минэн.!F802</f>
        <v>38288806.841969997</v>
      </c>
      <c r="G22">
        <f>План_минэн.!G802</f>
        <v>0</v>
      </c>
      <c r="H22">
        <f>План_минэн.!H802</f>
        <v>0</v>
      </c>
      <c r="I22">
        <f>План_минэн.!I802</f>
        <v>0</v>
      </c>
      <c r="J22" s="107"/>
      <c r="K22" s="107"/>
      <c r="L22">
        <f t="shared" si="0"/>
        <v>-59186.821940004826</v>
      </c>
      <c r="M22">
        <f t="shared" si="0"/>
        <v>-59186.821940004826</v>
      </c>
      <c r="N22">
        <f t="shared" si="0"/>
        <v>0</v>
      </c>
      <c r="O22">
        <f t="shared" si="0"/>
        <v>0</v>
      </c>
      <c r="P22">
        <f t="shared" si="0"/>
        <v>0</v>
      </c>
      <c r="Q22" s="107"/>
      <c r="R22">
        <f>План_нов_ред.минэн.!E802</f>
        <v>38229620.020029992</v>
      </c>
      <c r="S22">
        <f>План_нов_ред.минэн.!F802</f>
        <v>38229620.020029992</v>
      </c>
      <c r="T22">
        <f>План_нов_ред.минэн.!G802</f>
        <v>0</v>
      </c>
      <c r="U22">
        <f>План_нов_ред.минэн.!H802</f>
        <v>0</v>
      </c>
      <c r="V22">
        <f>План_нов_ред.минэн.!I802</f>
        <v>0</v>
      </c>
      <c r="W22" s="107"/>
      <c r="X22" s="107"/>
    </row>
    <row r="23" spans="1:24" ht="33" customHeight="1" x14ac:dyDescent="0.25">
      <c r="A23" s="107"/>
      <c r="B23" s="107"/>
      <c r="C23" s="107"/>
      <c r="D23">
        <v>2021</v>
      </c>
      <c r="E23">
        <f>План_минэн.!E803</f>
        <v>9604557.6809999999</v>
      </c>
      <c r="F23">
        <f>План_минэн.!F803</f>
        <v>9604557.6809999999</v>
      </c>
      <c r="G23">
        <f>План_минэн.!G803</f>
        <v>0</v>
      </c>
      <c r="H23">
        <f>План_минэн.!H803</f>
        <v>0</v>
      </c>
      <c r="I23">
        <f>План_минэн.!I803</f>
        <v>0</v>
      </c>
      <c r="J23" s="107"/>
      <c r="K23" s="107"/>
      <c r="L23">
        <f t="shared" si="0"/>
        <v>0</v>
      </c>
      <c r="M23">
        <f t="shared" si="0"/>
        <v>0</v>
      </c>
      <c r="N23">
        <f t="shared" si="0"/>
        <v>0</v>
      </c>
      <c r="O23">
        <f t="shared" si="0"/>
        <v>0</v>
      </c>
      <c r="P23">
        <f t="shared" si="0"/>
        <v>0</v>
      </c>
      <c r="Q23" s="107"/>
      <c r="R23">
        <f>План_нов_ред.минэн.!E803</f>
        <v>9604557.6809999999</v>
      </c>
      <c r="S23">
        <f>План_нов_ред.минэн.!F803</f>
        <v>9604557.6809999999</v>
      </c>
      <c r="T23">
        <f>План_нов_ред.минэн.!G803</f>
        <v>0</v>
      </c>
      <c r="U23">
        <f>План_нов_ред.минэн.!H803</f>
        <v>0</v>
      </c>
      <c r="V23">
        <f>План_нов_ред.минэн.!I803</f>
        <v>0</v>
      </c>
      <c r="W23" s="107"/>
      <c r="X23" s="107"/>
    </row>
    <row r="24" spans="1:24" ht="31.5" customHeight="1" x14ac:dyDescent="0.25">
      <c r="A24" s="107"/>
      <c r="B24" s="107"/>
      <c r="C24" s="107"/>
      <c r="D24">
        <v>2022</v>
      </c>
      <c r="E24">
        <f>План_минэн.!E804</f>
        <v>11779606.149999999</v>
      </c>
      <c r="F24">
        <f>План_минэн.!F804</f>
        <v>11779606.149999999</v>
      </c>
      <c r="G24">
        <f>План_минэн.!G804</f>
        <v>0</v>
      </c>
      <c r="H24">
        <f>План_минэн.!H804</f>
        <v>0</v>
      </c>
      <c r="I24">
        <f>План_минэн.!I804</f>
        <v>0</v>
      </c>
      <c r="J24" s="107"/>
      <c r="K24" s="107"/>
      <c r="L24">
        <f t="shared" si="0"/>
        <v>0</v>
      </c>
      <c r="M24">
        <f t="shared" si="0"/>
        <v>0</v>
      </c>
      <c r="N24">
        <f t="shared" si="0"/>
        <v>0</v>
      </c>
      <c r="O24">
        <f t="shared" si="0"/>
        <v>0</v>
      </c>
      <c r="P24">
        <f t="shared" si="0"/>
        <v>0</v>
      </c>
      <c r="Q24" s="107"/>
      <c r="R24">
        <f>План_нов_ред.минэн.!E804</f>
        <v>11779606.149999999</v>
      </c>
      <c r="S24">
        <f>План_нов_ред.минэн.!F804</f>
        <v>11779606.149999999</v>
      </c>
      <c r="T24">
        <f>План_нов_ред.минэн.!G804</f>
        <v>0</v>
      </c>
      <c r="U24">
        <f>План_нов_ред.минэн.!H804</f>
        <v>0</v>
      </c>
      <c r="V24">
        <f>План_нов_ред.минэн.!I804</f>
        <v>0</v>
      </c>
      <c r="W24" s="107"/>
      <c r="X24" s="107"/>
    </row>
    <row r="25" spans="1:24" ht="40.5" customHeight="1" x14ac:dyDescent="0.25">
      <c r="A25" s="107"/>
      <c r="B25" s="107"/>
      <c r="C25" s="107"/>
      <c r="D25">
        <v>2023</v>
      </c>
      <c r="E25">
        <f>План_минэн.!E805</f>
        <v>6398914.9749999987</v>
      </c>
      <c r="F25">
        <f>План_минэн.!F805</f>
        <v>6398914.9749999987</v>
      </c>
      <c r="G25">
        <f>План_минэн.!G805</f>
        <v>0</v>
      </c>
      <c r="H25">
        <f>План_минэн.!H805</f>
        <v>0</v>
      </c>
      <c r="I25">
        <f>План_минэн.!I805</f>
        <v>0</v>
      </c>
      <c r="J25" s="107"/>
      <c r="K25" s="107"/>
      <c r="L25">
        <f t="shared" si="0"/>
        <v>-59186.821940000169</v>
      </c>
      <c r="M25">
        <f t="shared" si="0"/>
        <v>-59186.821940000169</v>
      </c>
      <c r="N25">
        <f t="shared" si="0"/>
        <v>0</v>
      </c>
      <c r="O25">
        <f t="shared" si="0"/>
        <v>0</v>
      </c>
      <c r="P25">
        <f t="shared" si="0"/>
        <v>0</v>
      </c>
      <c r="Q25" s="107"/>
      <c r="R25">
        <f>План_нов_ред.минэн.!E805</f>
        <v>6339728.1530599985</v>
      </c>
      <c r="S25">
        <f>План_нов_ред.минэн.!F805</f>
        <v>6339728.1530599985</v>
      </c>
      <c r="T25">
        <f>План_нов_ред.минэн.!G805</f>
        <v>0</v>
      </c>
      <c r="U25">
        <f>План_нов_ред.минэн.!H805</f>
        <v>0</v>
      </c>
      <c r="V25">
        <f>План_нов_ред.минэн.!I805</f>
        <v>0</v>
      </c>
      <c r="W25" s="107"/>
      <c r="X25" s="107"/>
    </row>
    <row r="26" spans="1:24" ht="40.5" customHeight="1" x14ac:dyDescent="0.25">
      <c r="A26" s="107"/>
      <c r="B26" s="107"/>
      <c r="C26" s="107"/>
      <c r="D26">
        <v>2024</v>
      </c>
      <c r="E26">
        <f>План_минэн.!E806</f>
        <v>5214422.5359699987</v>
      </c>
      <c r="F26">
        <f>План_минэн.!F806</f>
        <v>5214422.5359699987</v>
      </c>
      <c r="G26">
        <f>План_минэн.!G806</f>
        <v>0</v>
      </c>
      <c r="H26">
        <f>План_минэн.!H806</f>
        <v>0</v>
      </c>
      <c r="I26">
        <f>План_минэн.!I806</f>
        <v>0</v>
      </c>
      <c r="J26" s="107"/>
      <c r="K26" s="107"/>
      <c r="L26">
        <f t="shared" si="0"/>
        <v>0</v>
      </c>
      <c r="M26">
        <f t="shared" si="0"/>
        <v>0</v>
      </c>
      <c r="N26">
        <f t="shared" si="0"/>
        <v>0</v>
      </c>
      <c r="O26">
        <f t="shared" si="0"/>
        <v>0</v>
      </c>
      <c r="P26">
        <f t="shared" si="0"/>
        <v>0</v>
      </c>
      <c r="Q26" s="107"/>
      <c r="R26">
        <f>План_нов_ред.минэн.!E806</f>
        <v>5214422.5359699987</v>
      </c>
      <c r="S26">
        <f>План_нов_ред.минэн.!F806</f>
        <v>5214422.5359699987</v>
      </c>
      <c r="T26">
        <f>План_нов_ред.минэн.!G806</f>
        <v>0</v>
      </c>
      <c r="U26">
        <f>План_нов_ред.минэн.!H806</f>
        <v>0</v>
      </c>
      <c r="V26">
        <f>План_нов_ред.минэн.!I806</f>
        <v>0</v>
      </c>
      <c r="W26" s="107"/>
      <c r="X26" s="107"/>
    </row>
    <row r="27" spans="1:24" ht="36.75" customHeight="1" x14ac:dyDescent="0.25">
      <c r="A27" s="107"/>
      <c r="B27" s="107"/>
      <c r="C27" s="107"/>
      <c r="D27">
        <v>2025</v>
      </c>
      <c r="E27">
        <f>План_минэн.!E807</f>
        <v>5291305.5</v>
      </c>
      <c r="F27">
        <f>План_минэн.!F807</f>
        <v>5291305.5</v>
      </c>
      <c r="G27">
        <f>План_минэн.!G807</f>
        <v>0</v>
      </c>
      <c r="H27">
        <f>План_минэн.!H807</f>
        <v>0</v>
      </c>
      <c r="I27">
        <f>План_минэн.!I807</f>
        <v>0</v>
      </c>
      <c r="J27" s="107"/>
      <c r="K27" s="107"/>
      <c r="L27">
        <f t="shared" si="0"/>
        <v>0</v>
      </c>
      <c r="M27">
        <f t="shared" si="0"/>
        <v>0</v>
      </c>
      <c r="N27">
        <f t="shared" si="0"/>
        <v>0</v>
      </c>
      <c r="O27">
        <f t="shared" si="0"/>
        <v>0</v>
      </c>
      <c r="P27">
        <f t="shared" si="0"/>
        <v>0</v>
      </c>
      <c r="Q27" s="107"/>
      <c r="R27">
        <f>План_нов_ред.минэн.!E807</f>
        <v>5291305.5</v>
      </c>
      <c r="S27">
        <f>План_нов_ред.минэн.!F807</f>
        <v>5291305.5</v>
      </c>
      <c r="T27">
        <f>План_нов_ред.минэн.!G807</f>
        <v>0</v>
      </c>
      <c r="U27">
        <f>План_нов_ред.минэн.!H807</f>
        <v>0</v>
      </c>
      <c r="V27">
        <f>План_нов_ред.минэн.!I807</f>
        <v>0</v>
      </c>
      <c r="W27" s="107"/>
      <c r="X27" s="107"/>
    </row>
    <row r="28" spans="1:24" ht="29.25" customHeight="1" x14ac:dyDescent="0.25">
      <c r="A28" s="107" t="s">
        <v>1245</v>
      </c>
      <c r="B28" s="107" t="str">
        <f>[9]нов.ред.!B808</f>
        <v>Финансовое обеспечение затрат организациям в связи с производством (реализацией) тепловой энергии потребителям по регулируемым тарифам на территории Мурманской области</v>
      </c>
      <c r="C28" s="107" t="s">
        <v>14</v>
      </c>
      <c r="D28" t="s">
        <v>8</v>
      </c>
      <c r="E28">
        <f>План_минэн.!E808</f>
        <v>28622437.520969998</v>
      </c>
      <c r="F28">
        <f>План_минэн.!F808</f>
        <v>28622437.520969998</v>
      </c>
      <c r="G28">
        <f>План_минэн.!G808</f>
        <v>0</v>
      </c>
      <c r="H28">
        <f>План_минэн.!H808</f>
        <v>0</v>
      </c>
      <c r="I28">
        <f>План_минэн.!I808</f>
        <v>0</v>
      </c>
      <c r="J28" s="107"/>
      <c r="K28" s="107"/>
      <c r="L28">
        <f t="shared" si="0"/>
        <v>-59186.821939997375</v>
      </c>
      <c r="M28">
        <f t="shared" si="0"/>
        <v>-59186.821939997375</v>
      </c>
      <c r="N28">
        <f t="shared" si="0"/>
        <v>0</v>
      </c>
      <c r="O28">
        <f t="shared" si="0"/>
        <v>0</v>
      </c>
      <c r="P28">
        <f t="shared" si="0"/>
        <v>0</v>
      </c>
      <c r="Q28" s="107"/>
      <c r="R28">
        <f>План_нов_ред.минэн.!E808</f>
        <v>28563250.699030001</v>
      </c>
      <c r="S28">
        <f>План_нов_ред.минэн.!F808</f>
        <v>28563250.699030001</v>
      </c>
      <c r="T28">
        <f>План_нов_ред.минэн.!G808</f>
        <v>0</v>
      </c>
      <c r="U28">
        <f>План_нов_ред.минэн.!H808</f>
        <v>0</v>
      </c>
      <c r="V28">
        <f>План_нов_ред.минэн.!I808</f>
        <v>0</v>
      </c>
      <c r="W28" s="107"/>
      <c r="X28" s="107"/>
    </row>
    <row r="29" spans="1:24" ht="29.25" customHeight="1" x14ac:dyDescent="0.25">
      <c r="A29" s="107"/>
      <c r="B29" s="107"/>
      <c r="C29" s="107"/>
      <c r="D29">
        <v>2021</v>
      </c>
      <c r="E29">
        <f>План_минэн.!E809</f>
        <v>5129301.4000000004</v>
      </c>
      <c r="F29">
        <f>План_минэн.!F809</f>
        <v>5129301.4000000004</v>
      </c>
      <c r="G29">
        <f>План_минэн.!G809</f>
        <v>0</v>
      </c>
      <c r="H29">
        <f>План_минэн.!H809</f>
        <v>0</v>
      </c>
      <c r="I29">
        <f>План_минэн.!I809</f>
        <v>0</v>
      </c>
      <c r="J29" s="107"/>
      <c r="K29" s="107"/>
      <c r="L29">
        <f t="shared" si="0"/>
        <v>0</v>
      </c>
      <c r="M29">
        <f t="shared" si="0"/>
        <v>0</v>
      </c>
      <c r="N29">
        <f t="shared" si="0"/>
        <v>0</v>
      </c>
      <c r="O29">
        <f t="shared" si="0"/>
        <v>0</v>
      </c>
      <c r="P29">
        <f t="shared" si="0"/>
        <v>0</v>
      </c>
      <c r="Q29" s="107"/>
      <c r="R29">
        <f>План_нов_ред.минэн.!E809</f>
        <v>5129301.4000000004</v>
      </c>
      <c r="S29">
        <f>План_нов_ред.минэн.!F809</f>
        <v>5129301.4000000004</v>
      </c>
      <c r="T29">
        <f>План_нов_ред.минэн.!G809</f>
        <v>0</v>
      </c>
      <c r="U29">
        <f>План_нов_ред.минэн.!H809</f>
        <v>0</v>
      </c>
      <c r="V29">
        <f>План_нов_ред.минэн.!I809</f>
        <v>0</v>
      </c>
      <c r="W29" s="107"/>
      <c r="X29" s="107"/>
    </row>
    <row r="30" spans="1:24" ht="34.5" customHeight="1" x14ac:dyDescent="0.25">
      <c r="A30" s="107"/>
      <c r="B30" s="107"/>
      <c r="C30" s="107"/>
      <c r="D30">
        <v>2022</v>
      </c>
      <c r="E30">
        <f>План_минэн.!E810</f>
        <v>9617212</v>
      </c>
      <c r="F30">
        <f>План_минэн.!F810</f>
        <v>9617212</v>
      </c>
      <c r="G30">
        <f>План_минэн.!G810</f>
        <v>0</v>
      </c>
      <c r="H30">
        <f>План_минэн.!H810</f>
        <v>0</v>
      </c>
      <c r="I30">
        <f>План_минэн.!I810</f>
        <v>0</v>
      </c>
      <c r="J30" s="107"/>
      <c r="K30" s="107"/>
      <c r="L30">
        <f t="shared" si="0"/>
        <v>0</v>
      </c>
      <c r="M30">
        <f t="shared" si="0"/>
        <v>0</v>
      </c>
      <c r="N30">
        <f t="shared" si="0"/>
        <v>0</v>
      </c>
      <c r="O30">
        <f t="shared" si="0"/>
        <v>0</v>
      </c>
      <c r="P30">
        <f t="shared" si="0"/>
        <v>0</v>
      </c>
      <c r="Q30" s="107"/>
      <c r="R30">
        <f>План_нов_ред.минэн.!E810</f>
        <v>9617212</v>
      </c>
      <c r="S30">
        <f>План_нов_ред.минэн.!F810</f>
        <v>9617212</v>
      </c>
      <c r="T30">
        <f>План_нов_ред.минэн.!G810</f>
        <v>0</v>
      </c>
      <c r="U30">
        <f>План_нов_ред.минэн.!H810</f>
        <v>0</v>
      </c>
      <c r="V30">
        <f>План_нов_ред.минэн.!I810</f>
        <v>0</v>
      </c>
      <c r="W30" s="107"/>
      <c r="X30" s="107"/>
    </row>
    <row r="31" spans="1:24" ht="31.5" customHeight="1" x14ac:dyDescent="0.25">
      <c r="A31" s="107"/>
      <c r="B31" s="107"/>
      <c r="C31" s="107"/>
      <c r="D31">
        <v>2023</v>
      </c>
      <c r="E31">
        <f>План_минэн.!E811</f>
        <v>5052235.334999999</v>
      </c>
      <c r="F31">
        <f>План_минэн.!F811</f>
        <v>5052235.334999999</v>
      </c>
      <c r="G31">
        <f>План_минэн.!G811</f>
        <v>0</v>
      </c>
      <c r="H31">
        <f>План_минэн.!H811</f>
        <v>0</v>
      </c>
      <c r="I31">
        <f>План_минэн.!I811</f>
        <v>0</v>
      </c>
      <c r="J31" s="107"/>
      <c r="K31" s="107"/>
      <c r="L31">
        <f t="shared" si="0"/>
        <v>-59186.821940000169</v>
      </c>
      <c r="M31">
        <f t="shared" si="0"/>
        <v>-59186.821940000169</v>
      </c>
      <c r="N31">
        <f t="shared" si="0"/>
        <v>0</v>
      </c>
      <c r="O31">
        <f t="shared" si="0"/>
        <v>0</v>
      </c>
      <c r="P31">
        <f t="shared" si="0"/>
        <v>0</v>
      </c>
      <c r="Q31" s="107"/>
      <c r="R31">
        <f>План_нов_ред.минэн.!E811</f>
        <v>4993048.5130599989</v>
      </c>
      <c r="S31">
        <f>План_нов_ред.минэн.!F811</f>
        <v>4993048.5130599989</v>
      </c>
      <c r="T31">
        <f>План_нов_ред.минэн.!G811</f>
        <v>0</v>
      </c>
      <c r="U31">
        <f>План_нов_ред.минэн.!H811</f>
        <v>0</v>
      </c>
      <c r="V31">
        <f>План_нов_ред.минэн.!I811</f>
        <v>0</v>
      </c>
      <c r="W31" s="107"/>
      <c r="X31" s="107"/>
    </row>
    <row r="32" spans="1:24" ht="33.75" customHeight="1" x14ac:dyDescent="0.25">
      <c r="A32" s="107"/>
      <c r="B32" s="107"/>
      <c r="C32" s="107"/>
      <c r="D32">
        <v>2024</v>
      </c>
      <c r="E32">
        <f>План_минэн.!E812</f>
        <v>4368722.4859699998</v>
      </c>
      <c r="F32">
        <f>План_минэн.!F812</f>
        <v>4368722.4859699998</v>
      </c>
      <c r="G32">
        <f>План_минэн.!G812</f>
        <v>0</v>
      </c>
      <c r="H32">
        <f>План_минэн.!H812</f>
        <v>0</v>
      </c>
      <c r="I32">
        <f>План_минэн.!I812</f>
        <v>0</v>
      </c>
      <c r="J32" s="107"/>
      <c r="K32" s="107"/>
      <c r="L32">
        <f t="shared" si="0"/>
        <v>0</v>
      </c>
      <c r="M32">
        <f t="shared" si="0"/>
        <v>0</v>
      </c>
      <c r="N32">
        <f t="shared" si="0"/>
        <v>0</v>
      </c>
      <c r="O32">
        <f t="shared" si="0"/>
        <v>0</v>
      </c>
      <c r="P32">
        <f t="shared" si="0"/>
        <v>0</v>
      </c>
      <c r="Q32" s="107"/>
      <c r="R32">
        <f>План_нов_ред.минэн.!E812</f>
        <v>4368722.4859699998</v>
      </c>
      <c r="S32">
        <f>План_нов_ред.минэн.!F812</f>
        <v>4368722.4859699998</v>
      </c>
      <c r="T32">
        <f>План_нов_ред.минэн.!G812</f>
        <v>0</v>
      </c>
      <c r="U32">
        <f>План_нов_ред.минэн.!H812</f>
        <v>0</v>
      </c>
      <c r="V32">
        <f>План_нов_ред.минэн.!I812</f>
        <v>0</v>
      </c>
      <c r="W32" s="107"/>
      <c r="X32" s="107"/>
    </row>
    <row r="33" spans="1:24" ht="41.25" customHeight="1" x14ac:dyDescent="0.25">
      <c r="A33" s="107"/>
      <c r="B33" s="107"/>
      <c r="C33" s="107"/>
      <c r="D33">
        <v>2025</v>
      </c>
      <c r="E33">
        <f>План_минэн.!E813</f>
        <v>4454966.3</v>
      </c>
      <c r="F33">
        <f>План_минэн.!F813</f>
        <v>4454966.3</v>
      </c>
      <c r="G33">
        <f>План_минэн.!G813</f>
        <v>0</v>
      </c>
      <c r="H33">
        <f>План_минэн.!H813</f>
        <v>0</v>
      </c>
      <c r="I33">
        <f>План_минэн.!I813</f>
        <v>0</v>
      </c>
      <c r="J33" s="107"/>
      <c r="K33" s="107"/>
      <c r="L33">
        <f t="shared" si="0"/>
        <v>0</v>
      </c>
      <c r="M33">
        <f t="shared" si="0"/>
        <v>0</v>
      </c>
      <c r="N33">
        <f t="shared" si="0"/>
        <v>0</v>
      </c>
      <c r="O33">
        <f t="shared" si="0"/>
        <v>0</v>
      </c>
      <c r="P33">
        <f t="shared" si="0"/>
        <v>0</v>
      </c>
      <c r="Q33" s="107"/>
      <c r="R33">
        <f>План_нов_ред.минэн.!E813</f>
        <v>4454966.3</v>
      </c>
      <c r="S33">
        <f>План_нов_ред.минэн.!F813</f>
        <v>4454966.3</v>
      </c>
      <c r="T33">
        <f>План_нов_ред.минэн.!G813</f>
        <v>0</v>
      </c>
      <c r="U33">
        <f>План_нов_ред.минэн.!H813</f>
        <v>0</v>
      </c>
      <c r="V33">
        <f>План_нов_ред.минэн.!I813</f>
        <v>0</v>
      </c>
      <c r="W33" s="107"/>
      <c r="X33" s="107"/>
    </row>
    <row r="35" spans="1:24" x14ac:dyDescent="0.25">
      <c r="A35" s="107"/>
      <c r="B35" s="107"/>
      <c r="C35" s="107"/>
      <c r="D35" s="107"/>
      <c r="E35" s="107"/>
      <c r="F35" s="107"/>
      <c r="G35" s="107"/>
      <c r="H35" s="107"/>
      <c r="I35" s="107"/>
      <c r="J35" s="107"/>
    </row>
    <row r="37" spans="1:24" x14ac:dyDescent="0.25">
      <c r="A37" s="107"/>
      <c r="B37" s="107"/>
      <c r="C37" s="107"/>
      <c r="D37" s="107"/>
      <c r="E37" s="107"/>
      <c r="F37" s="107"/>
      <c r="G37" s="107"/>
      <c r="H37" s="107"/>
      <c r="I37" s="107"/>
      <c r="J37" s="107"/>
    </row>
    <row r="40" spans="1:24" x14ac:dyDescent="0.25">
      <c r="K40" t="s">
        <v>1246</v>
      </c>
      <c r="L40" s="107" t="s">
        <v>1247</v>
      </c>
      <c r="M40" s="107"/>
      <c r="N40" s="107"/>
      <c r="O40" s="107"/>
      <c r="P40" s="107"/>
      <c r="R40" s="107" t="s">
        <v>1248</v>
      </c>
      <c r="S40" s="107"/>
      <c r="T40" s="107"/>
      <c r="U40" s="107"/>
      <c r="V40" s="107"/>
    </row>
    <row r="41" spans="1:24" x14ac:dyDescent="0.25">
      <c r="L41">
        <v>40791249.600000001</v>
      </c>
      <c r="M41">
        <v>40433650</v>
      </c>
      <c r="N41">
        <v>0</v>
      </c>
      <c r="O41">
        <v>356906.1</v>
      </c>
      <c r="P41">
        <v>693.5</v>
      </c>
      <c r="R41">
        <f t="shared" ref="R41:V46" si="1">L41+L10</f>
        <v>40732062.778059997</v>
      </c>
      <c r="S41">
        <f t="shared" si="1"/>
        <v>40374463.178060003</v>
      </c>
      <c r="T41">
        <f t="shared" si="1"/>
        <v>0</v>
      </c>
      <c r="U41">
        <f t="shared" si="1"/>
        <v>356906.1</v>
      </c>
      <c r="V41">
        <f t="shared" si="1"/>
        <v>693.5</v>
      </c>
    </row>
    <row r="42" spans="1:24" x14ac:dyDescent="0.25">
      <c r="L42">
        <v>9134411.3000000007</v>
      </c>
      <c r="M42">
        <v>9039021.5999999996</v>
      </c>
      <c r="N42">
        <v>0</v>
      </c>
      <c r="O42">
        <v>94696.2</v>
      </c>
      <c r="P42">
        <v>693.5</v>
      </c>
      <c r="R42">
        <f t="shared" si="1"/>
        <v>9134411.3000000007</v>
      </c>
      <c r="S42">
        <f t="shared" si="1"/>
        <v>9039021.5999999996</v>
      </c>
      <c r="T42">
        <f t="shared" si="1"/>
        <v>0</v>
      </c>
      <c r="U42">
        <f t="shared" si="1"/>
        <v>94696.2</v>
      </c>
      <c r="V42">
        <f t="shared" si="1"/>
        <v>693.5</v>
      </c>
    </row>
    <row r="43" spans="1:24" x14ac:dyDescent="0.25">
      <c r="L43">
        <v>13704091.5</v>
      </c>
      <c r="M43">
        <v>13471730.1</v>
      </c>
      <c r="N43">
        <v>0</v>
      </c>
      <c r="O43">
        <v>232361.4</v>
      </c>
      <c r="P43">
        <v>0</v>
      </c>
      <c r="R43">
        <f t="shared" si="1"/>
        <v>13704091.5</v>
      </c>
      <c r="S43">
        <f t="shared" si="1"/>
        <v>13471730.1</v>
      </c>
      <c r="T43">
        <f t="shared" si="1"/>
        <v>0</v>
      </c>
      <c r="U43">
        <f t="shared" si="1"/>
        <v>232361.4</v>
      </c>
      <c r="V43">
        <f t="shared" si="1"/>
        <v>0</v>
      </c>
    </row>
    <row r="44" spans="1:24" x14ac:dyDescent="0.25">
      <c r="L44">
        <v>6490799</v>
      </c>
      <c r="M44">
        <v>6480849.5</v>
      </c>
      <c r="N44">
        <v>0</v>
      </c>
      <c r="O44">
        <v>9949.5</v>
      </c>
      <c r="P44">
        <v>0</v>
      </c>
      <c r="R44">
        <f t="shared" si="1"/>
        <v>6431612.1780599989</v>
      </c>
      <c r="S44">
        <f t="shared" si="1"/>
        <v>6421662.6780599989</v>
      </c>
      <c r="T44">
        <f t="shared" si="1"/>
        <v>0</v>
      </c>
      <c r="U44">
        <f t="shared" si="1"/>
        <v>9949.5</v>
      </c>
      <c r="V44">
        <f t="shared" si="1"/>
        <v>0</v>
      </c>
    </row>
    <row r="45" spans="1:24" x14ac:dyDescent="0.25">
      <c r="B45" s="107"/>
      <c r="C45" s="107"/>
      <c r="L45">
        <v>5793667.0999999996</v>
      </c>
      <c r="M45">
        <v>5783717.5999999996</v>
      </c>
      <c r="N45">
        <v>0</v>
      </c>
      <c r="O45">
        <v>9949.5</v>
      </c>
      <c r="P45">
        <v>0</v>
      </c>
      <c r="R45">
        <f t="shared" si="1"/>
        <v>5793667.0999999996</v>
      </c>
      <c r="S45">
        <f t="shared" si="1"/>
        <v>5783717.5999999996</v>
      </c>
      <c r="T45">
        <f t="shared" si="1"/>
        <v>0</v>
      </c>
      <c r="U45">
        <f t="shared" si="1"/>
        <v>9949.5</v>
      </c>
      <c r="V45">
        <f t="shared" si="1"/>
        <v>0</v>
      </c>
    </row>
    <row r="46" spans="1:24" x14ac:dyDescent="0.25">
      <c r="B46" s="107"/>
      <c r="C46" s="107"/>
      <c r="L46">
        <v>5668280.7000000002</v>
      </c>
      <c r="M46">
        <v>5658331.2000000002</v>
      </c>
      <c r="N46">
        <v>0</v>
      </c>
      <c r="O46">
        <v>9949.5</v>
      </c>
      <c r="P46">
        <v>0</v>
      </c>
      <c r="R46">
        <f t="shared" si="1"/>
        <v>5668280.7000000002</v>
      </c>
      <c r="S46">
        <f t="shared" si="1"/>
        <v>5658331.2000000002</v>
      </c>
      <c r="T46">
        <f t="shared" si="1"/>
        <v>0</v>
      </c>
      <c r="U46">
        <f t="shared" si="1"/>
        <v>9949.5</v>
      </c>
      <c r="V46">
        <f t="shared" si="1"/>
        <v>0</v>
      </c>
    </row>
    <row r="47" spans="1:24" x14ac:dyDescent="0.25">
      <c r="B47" s="107"/>
      <c r="C47" s="107"/>
    </row>
    <row r="48" spans="1:24" x14ac:dyDescent="0.25">
      <c r="B48" s="107"/>
      <c r="C48" s="107"/>
    </row>
    <row r="49" spans="2:3" x14ac:dyDescent="0.25">
      <c r="B49" s="107"/>
      <c r="C49" s="107"/>
    </row>
    <row r="50" spans="2:3" x14ac:dyDescent="0.25">
      <c r="B50" s="107"/>
      <c r="C50" s="107"/>
    </row>
  </sheetData>
  <mergeCells count="48">
    <mergeCell ref="L40:P40"/>
    <mergeCell ref="R40:V40"/>
    <mergeCell ref="B45:C50"/>
    <mergeCell ref="Q28:Q33"/>
    <mergeCell ref="W28:W33"/>
    <mergeCell ref="X28:X33"/>
    <mergeCell ref="A35:J35"/>
    <mergeCell ref="A37:J37"/>
    <mergeCell ref="A28:A33"/>
    <mergeCell ref="B28:B33"/>
    <mergeCell ref="C28:C33"/>
    <mergeCell ref="J28:J33"/>
    <mergeCell ref="K28:K33"/>
    <mergeCell ref="Q16:Q21"/>
    <mergeCell ref="W16:W21"/>
    <mergeCell ref="X16:X21"/>
    <mergeCell ref="A22:A27"/>
    <mergeCell ref="B22:B27"/>
    <mergeCell ref="C22:C27"/>
    <mergeCell ref="J22:J27"/>
    <mergeCell ref="K22:K27"/>
    <mergeCell ref="Q22:Q27"/>
    <mergeCell ref="W22:W27"/>
    <mergeCell ref="X22:X27"/>
    <mergeCell ref="A16:A21"/>
    <mergeCell ref="B16:B21"/>
    <mergeCell ref="C16:C21"/>
    <mergeCell ref="J16:J21"/>
    <mergeCell ref="K16:K21"/>
    <mergeCell ref="L8:P8"/>
    <mergeCell ref="Q8:W8"/>
    <mergeCell ref="X8:X9"/>
    <mergeCell ref="A10:A15"/>
    <mergeCell ref="B10:B15"/>
    <mergeCell ref="C10:C15"/>
    <mergeCell ref="J10:J15"/>
    <mergeCell ref="K10:K15"/>
    <mergeCell ref="Q10:Q15"/>
    <mergeCell ref="W10:W15"/>
    <mergeCell ref="X10:X15"/>
    <mergeCell ref="J1:K1"/>
    <mergeCell ref="A6:K6"/>
    <mergeCell ref="A8:A9"/>
    <mergeCell ref="B8:B9"/>
    <mergeCell ref="C8:C9"/>
    <mergeCell ref="D8:I8"/>
    <mergeCell ref="J8:J9"/>
    <mergeCell ref="K8:K9"/>
  </mergeCells>
  <pageMargins left="0.7" right="0.7" top="0.75" bottom="0.75" header="0.3" footer="0.3"/>
  <pageSetup paperSize="9" firstPageNumber="4294967295"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0"/>
  <sheetViews>
    <sheetView workbookViewId="0">
      <selection activeCell="J13" sqref="J13:J18"/>
    </sheetView>
  </sheetViews>
  <sheetFormatPr defaultRowHeight="15" x14ac:dyDescent="0.25"/>
  <cols>
    <col min="2" max="2" width="26.140625" customWidth="1"/>
    <col min="3" max="4" width="18.28515625" customWidth="1"/>
    <col min="5" max="5" width="16.42578125" customWidth="1"/>
    <col min="6" max="6" width="15.5703125" customWidth="1"/>
    <col min="7" max="7" width="15" customWidth="1"/>
    <col min="8" max="8" width="17.5703125" customWidth="1"/>
    <col min="9" max="9" width="12.7109375" customWidth="1"/>
    <col min="10" max="10" width="45.42578125" customWidth="1"/>
  </cols>
  <sheetData>
    <row r="3" spans="1:10" x14ac:dyDescent="0.25">
      <c r="B3" s="107" t="s">
        <v>1227</v>
      </c>
      <c r="C3" s="107"/>
      <c r="D3" s="107"/>
      <c r="E3" s="107"/>
      <c r="F3" s="107"/>
      <c r="G3" s="107"/>
      <c r="H3" s="107"/>
      <c r="I3" s="107"/>
      <c r="J3" s="107"/>
    </row>
    <row r="5" spans="1:10" ht="21.75" customHeight="1" x14ac:dyDescent="0.25">
      <c r="A5" s="107" t="s">
        <v>802</v>
      </c>
      <c r="B5" s="107" t="s">
        <v>1228</v>
      </c>
      <c r="C5" s="107" t="s">
        <v>3</v>
      </c>
      <c r="D5" s="107" t="s">
        <v>4</v>
      </c>
      <c r="E5" s="107"/>
      <c r="F5" s="107"/>
      <c r="G5" s="107"/>
      <c r="H5" s="107"/>
      <c r="I5" s="107"/>
      <c r="J5" s="107" t="s">
        <v>1229</v>
      </c>
    </row>
    <row r="6" spans="1:10" ht="27.75" customHeight="1" x14ac:dyDescent="0.25">
      <c r="A6" s="107"/>
      <c r="B6" s="107"/>
      <c r="C6" s="107"/>
      <c r="D6" t="s">
        <v>1230</v>
      </c>
      <c r="E6" t="s">
        <v>8</v>
      </c>
      <c r="F6" t="s">
        <v>9</v>
      </c>
      <c r="G6" t="s">
        <v>10</v>
      </c>
      <c r="H6" t="s">
        <v>11</v>
      </c>
      <c r="I6" t="s">
        <v>12</v>
      </c>
      <c r="J6" s="107"/>
    </row>
    <row r="7" spans="1:10" x14ac:dyDescent="0.25">
      <c r="A7" s="107"/>
      <c r="B7" s="107" t="s">
        <v>1241</v>
      </c>
      <c r="C7" s="107" t="s">
        <v>14</v>
      </c>
      <c r="D7" t="s">
        <v>8</v>
      </c>
      <c r="E7">
        <f>План_нов_ред.минэн.!E10</f>
        <v>75844923.711671576</v>
      </c>
      <c r="F7">
        <f>План_нов_ред.минэн.!F10</f>
        <v>63723961.675459996</v>
      </c>
      <c r="G7">
        <f>План_нов_ред.минэн.!G10</f>
        <v>6847446.53333</v>
      </c>
      <c r="H7">
        <f>План_нов_ред.минэн.!H10</f>
        <v>4476926.5128815789</v>
      </c>
      <c r="I7">
        <f>План_нов_ред.минэн.!I10</f>
        <v>796588.99</v>
      </c>
      <c r="J7" s="107" t="s">
        <v>1249</v>
      </c>
    </row>
    <row r="8" spans="1:10" x14ac:dyDescent="0.25">
      <c r="A8" s="107"/>
      <c r="B8" s="107"/>
      <c r="C8" s="107"/>
      <c r="D8">
        <v>2021</v>
      </c>
      <c r="E8">
        <f>План_нов_ред.минэн.!E11</f>
        <v>14303970.520818945</v>
      </c>
      <c r="F8">
        <f>План_нов_ред.минэн.!F11</f>
        <v>12262546.638989998</v>
      </c>
      <c r="G8">
        <f>План_нов_ред.минэн.!G11</f>
        <v>1441099.2</v>
      </c>
      <c r="H8">
        <f>План_нов_ред.минэн.!H11</f>
        <v>439631.22182894737</v>
      </c>
      <c r="I8">
        <f>План_нов_ред.минэн.!I11</f>
        <v>160693.46</v>
      </c>
      <c r="J8" s="107"/>
    </row>
    <row r="9" spans="1:10" x14ac:dyDescent="0.25">
      <c r="A9" s="107"/>
      <c r="B9" s="107"/>
      <c r="C9" s="107"/>
      <c r="D9">
        <v>2022</v>
      </c>
      <c r="E9">
        <f>План_нов_ред.минэн.!E12</f>
        <v>24326093.439549997</v>
      </c>
      <c r="F9">
        <f>План_нов_ред.минэн.!F12</f>
        <v>20913806.155959997</v>
      </c>
      <c r="G9">
        <f>План_нов_ред.минэн.!G12</f>
        <v>2198335.6015900001</v>
      </c>
      <c r="H9">
        <f>План_нов_ред.минэн.!H12</f>
        <v>1028056.152</v>
      </c>
      <c r="I9">
        <f>План_нов_ред.минэн.!I12</f>
        <v>185895.53</v>
      </c>
      <c r="J9" s="107"/>
    </row>
    <row r="10" spans="1:10" x14ac:dyDescent="0.25">
      <c r="A10" s="107"/>
      <c r="B10" s="107"/>
      <c r="C10" s="107"/>
      <c r="D10">
        <v>2023</v>
      </c>
      <c r="E10">
        <f>План_нов_ред.минэн.!E13</f>
        <v>16248794.159222629</v>
      </c>
      <c r="F10">
        <f>План_нов_ред.минэн.!F13</f>
        <v>12425051.845429998</v>
      </c>
      <c r="G10">
        <f>План_нов_ред.минэн.!G13</f>
        <v>2397119.45474</v>
      </c>
      <c r="H10">
        <f>План_нов_ред.минэн.!H13</f>
        <v>1276622.8590526315</v>
      </c>
      <c r="I10">
        <f>План_нов_ред.минэн.!I13</f>
        <v>150000</v>
      </c>
      <c r="J10" s="107"/>
    </row>
    <row r="11" spans="1:10" ht="31.5" customHeight="1" x14ac:dyDescent="0.25">
      <c r="A11" s="107"/>
      <c r="B11" s="107"/>
      <c r="C11" s="107"/>
      <c r="D11">
        <v>2024</v>
      </c>
      <c r="E11">
        <f>План_нов_ред.минэн.!E14</f>
        <v>11966402.73043</v>
      </c>
      <c r="F11">
        <f>План_нов_ред.минэн.!F14</f>
        <v>10105865.873429999</v>
      </c>
      <c r="G11">
        <f>План_нов_ред.минэн.!G14</f>
        <v>781536.777</v>
      </c>
      <c r="H11">
        <f>План_нов_ред.минэн.!H14</f>
        <v>929000.08000000007</v>
      </c>
      <c r="I11">
        <f>План_нов_ред.минэн.!I14</f>
        <v>150000</v>
      </c>
      <c r="J11" s="107"/>
    </row>
    <row r="12" spans="1:10" ht="40.5" customHeight="1" x14ac:dyDescent="0.25">
      <c r="A12" s="107"/>
      <c r="B12" s="107"/>
      <c r="C12" s="107"/>
      <c r="D12">
        <v>2025</v>
      </c>
      <c r="E12">
        <f>План_нов_ред.минэн.!E15</f>
        <v>8999662.8616499994</v>
      </c>
      <c r="F12">
        <f>План_нов_ред.минэн.!F15</f>
        <v>8016691.1616500001</v>
      </c>
      <c r="G12">
        <f>План_нов_ред.минэн.!G15</f>
        <v>29355.5</v>
      </c>
      <c r="H12">
        <f>План_нов_ред.минэн.!H15</f>
        <v>803616.2</v>
      </c>
      <c r="I12">
        <f>План_нов_ред.минэн.!I15</f>
        <v>150000</v>
      </c>
      <c r="J12" s="107"/>
    </row>
    <row r="13" spans="1:10" ht="25.5" customHeight="1" x14ac:dyDescent="0.25">
      <c r="A13" s="107"/>
      <c r="B13" s="107" t="s">
        <v>1250</v>
      </c>
      <c r="C13" s="107" t="s">
        <v>14</v>
      </c>
      <c r="D13" t="s">
        <v>8</v>
      </c>
      <c r="E13">
        <f>SUM(E14:E18)</f>
        <v>41276659.700000003</v>
      </c>
      <c r="F13">
        <f>SUM(F14:F18)</f>
        <v>40859873.278060004</v>
      </c>
      <c r="G13">
        <v>0</v>
      </c>
      <c r="H13">
        <f>SUM(H14:H18)</f>
        <v>356906.1</v>
      </c>
      <c r="I13">
        <f>SUM(I14:I18)</f>
        <v>693.5</v>
      </c>
      <c r="J13" s="107" t="s">
        <v>1251</v>
      </c>
    </row>
    <row r="14" spans="1:10" ht="21.75" customHeight="1" x14ac:dyDescent="0.25">
      <c r="A14" s="107"/>
      <c r="B14" s="107"/>
      <c r="C14" s="107"/>
      <c r="D14">
        <v>2021</v>
      </c>
      <c r="E14">
        <v>9134411.3000000007</v>
      </c>
      <c r="F14">
        <v>9039021.5999999996</v>
      </c>
      <c r="G14">
        <v>0</v>
      </c>
      <c r="H14">
        <v>94696.2</v>
      </c>
      <c r="I14">
        <v>693.5</v>
      </c>
      <c r="J14" s="107"/>
    </row>
    <row r="15" spans="1:10" ht="21" customHeight="1" x14ac:dyDescent="0.25">
      <c r="A15" s="107"/>
      <c r="B15" s="107"/>
      <c r="C15" s="107"/>
      <c r="D15">
        <v>2022</v>
      </c>
      <c r="E15">
        <v>13704091.5</v>
      </c>
      <c r="F15">
        <v>13471730.1</v>
      </c>
      <c r="G15">
        <v>0</v>
      </c>
      <c r="H15">
        <v>232361.4</v>
      </c>
      <c r="I15">
        <v>0</v>
      </c>
      <c r="J15" s="107"/>
    </row>
    <row r="16" spans="1:10" ht="23.25" customHeight="1" x14ac:dyDescent="0.25">
      <c r="A16" s="107"/>
      <c r="B16" s="107"/>
      <c r="C16" s="107"/>
      <c r="D16">
        <v>2023</v>
      </c>
      <c r="E16">
        <v>6976209.0999999996</v>
      </c>
      <c r="F16">
        <f>6966259.6-59186.82194</f>
        <v>6907072.7780599995</v>
      </c>
      <c r="G16">
        <v>0</v>
      </c>
      <c r="H16">
        <v>9949.5</v>
      </c>
      <c r="I16">
        <v>0</v>
      </c>
      <c r="J16" s="107"/>
    </row>
    <row r="17" spans="1:10" ht="23.25" customHeight="1" x14ac:dyDescent="0.25">
      <c r="A17" s="107"/>
      <c r="B17" s="107"/>
      <c r="C17" s="107"/>
      <c r="D17">
        <v>2024</v>
      </c>
      <c r="E17">
        <f>SUM(F17:I17)</f>
        <v>5793667.0999999996</v>
      </c>
      <c r="F17">
        <v>5783717.5999999996</v>
      </c>
      <c r="G17">
        <v>0</v>
      </c>
      <c r="H17">
        <v>9949.5</v>
      </c>
      <c r="I17">
        <v>0</v>
      </c>
      <c r="J17" s="107"/>
    </row>
    <row r="18" spans="1:10" ht="22.5" customHeight="1" x14ac:dyDescent="0.25">
      <c r="A18" s="107"/>
      <c r="B18" s="107"/>
      <c r="C18" s="107"/>
      <c r="D18">
        <v>2025</v>
      </c>
      <c r="E18">
        <v>5668280.7000000002</v>
      </c>
      <c r="F18">
        <v>5658331.2000000002</v>
      </c>
      <c r="G18">
        <v>0</v>
      </c>
      <c r="H18">
        <v>9949.5</v>
      </c>
      <c r="I18">
        <v>0</v>
      </c>
      <c r="J18" s="107"/>
    </row>
    <row r="19" spans="1:10" x14ac:dyDescent="0.25">
      <c r="A19" s="107">
        <v>4</v>
      </c>
      <c r="B19" s="107" t="s">
        <v>1242</v>
      </c>
      <c r="C19" s="107" t="s">
        <v>14</v>
      </c>
      <c r="D19" t="s">
        <v>8</v>
      </c>
      <c r="E19">
        <f>План_нов_ред.минэн.!E718</f>
        <v>42301317.207379989</v>
      </c>
      <c r="F19">
        <f>План_нов_ред.минэн.!F718</f>
        <v>42088385.956379995</v>
      </c>
      <c r="G19">
        <f>План_нов_ред.минэн.!G718</f>
        <v>93391.400999999998</v>
      </c>
      <c r="H19">
        <f>План_нов_ред.минэн.!H718</f>
        <v>86984.8</v>
      </c>
      <c r="I19">
        <f>План_нов_ред.минэн.!I718</f>
        <v>32555.05</v>
      </c>
      <c r="J19" s="107" t="s">
        <v>1252</v>
      </c>
    </row>
    <row r="20" spans="1:10" x14ac:dyDescent="0.25">
      <c r="A20" s="107"/>
      <c r="B20" s="107"/>
      <c r="C20" s="107"/>
      <c r="D20">
        <v>2021</v>
      </c>
      <c r="E20">
        <f>План_нов_ред.минэн.!E719</f>
        <v>9939158.6680100001</v>
      </c>
      <c r="F20">
        <f>План_нов_ред.минэн.!F719</f>
        <v>9918962.9080099985</v>
      </c>
      <c r="G20">
        <f>План_нов_ред.минэн.!G719</f>
        <v>0</v>
      </c>
      <c r="H20">
        <f>План_нов_ред.минэн.!H719</f>
        <v>9502.3000000000011</v>
      </c>
      <c r="I20">
        <f>План_нов_ред.минэн.!I719</f>
        <v>10693.46</v>
      </c>
      <c r="J20" s="107"/>
    </row>
    <row r="21" spans="1:10" x14ac:dyDescent="0.25">
      <c r="A21" s="107"/>
      <c r="B21" s="107"/>
      <c r="C21" s="107"/>
      <c r="D21">
        <v>2022</v>
      </c>
      <c r="E21">
        <f>План_нов_ред.минэн.!E720</f>
        <v>13830830.340499999</v>
      </c>
      <c r="F21">
        <f>План_нов_ред.минэн.!F720</f>
        <v>13667943.349499999</v>
      </c>
      <c r="G21">
        <f>План_нов_ред.минэн.!G720</f>
        <v>93391.400999999998</v>
      </c>
      <c r="H21">
        <f>План_нов_ред.минэн.!H720</f>
        <v>47634</v>
      </c>
      <c r="I21">
        <f>План_нов_ред.минэн.!I720</f>
        <v>21861.59</v>
      </c>
      <c r="J21" s="107"/>
    </row>
    <row r="22" spans="1:10" x14ac:dyDescent="0.25">
      <c r="A22" s="107"/>
      <c r="B22" s="107"/>
      <c r="C22" s="107"/>
      <c r="D22">
        <v>2023</v>
      </c>
      <c r="E22">
        <f>План_нов_ред.минэн.!E721</f>
        <v>7217932.3704399988</v>
      </c>
      <c r="F22">
        <f>План_нов_ред.минэн.!F721</f>
        <v>7207982.8704399988</v>
      </c>
      <c r="G22">
        <f>План_нов_ред.минэн.!G721</f>
        <v>0</v>
      </c>
      <c r="H22">
        <f>План_нов_ред.минэн.!H721</f>
        <v>9949.5</v>
      </c>
      <c r="I22">
        <f>План_нов_ред.минэн.!I721</f>
        <v>0</v>
      </c>
      <c r="J22" s="107"/>
    </row>
    <row r="23" spans="1:10" x14ac:dyDescent="0.25">
      <c r="A23" s="107"/>
      <c r="B23" s="107"/>
      <c r="C23" s="107"/>
      <c r="D23">
        <v>2024</v>
      </c>
      <c r="E23">
        <f>План_нов_ред.минэн.!E722</f>
        <v>5718548.6519999988</v>
      </c>
      <c r="F23">
        <f>План_нов_ред.минэн.!F722</f>
        <v>5708599.1519999988</v>
      </c>
      <c r="G23">
        <f>План_нов_ред.минэн.!G722</f>
        <v>0</v>
      </c>
      <c r="H23">
        <f>План_нов_ред.минэн.!H722</f>
        <v>9949.5</v>
      </c>
      <c r="I23">
        <f>План_нов_ред.минэн.!I722</f>
        <v>0</v>
      </c>
      <c r="J23" s="107"/>
    </row>
    <row r="24" spans="1:10" x14ac:dyDescent="0.25">
      <c r="A24" s="107"/>
      <c r="B24" s="107"/>
      <c r="C24" s="107"/>
      <c r="D24">
        <v>2025</v>
      </c>
      <c r="E24">
        <f>План_нов_ред.минэн.!E723</f>
        <v>5594847.17643</v>
      </c>
      <c r="F24">
        <f>План_нов_ред.минэн.!F723</f>
        <v>5584897.67643</v>
      </c>
      <c r="G24">
        <f>План_нов_ред.минэн.!G723</f>
        <v>0</v>
      </c>
      <c r="H24">
        <f>План_нов_ред.минэн.!H723</f>
        <v>9949.5</v>
      </c>
      <c r="I24">
        <f>План_нов_ред.минэн.!I723</f>
        <v>0</v>
      </c>
      <c r="J24" s="107"/>
    </row>
    <row r="25" spans="1:10" ht="15" customHeight="1" x14ac:dyDescent="0.25">
      <c r="A25" s="107" t="s">
        <v>1243</v>
      </c>
      <c r="B25" s="107" t="s">
        <v>1244</v>
      </c>
      <c r="C25" s="107" t="s">
        <v>14</v>
      </c>
      <c r="D25" t="s">
        <v>8</v>
      </c>
      <c r="E25">
        <f>План_нов_ред.минэн.!E802</f>
        <v>38229620.020029992</v>
      </c>
      <c r="F25">
        <f>План_нов_ред.минэн.!F802</f>
        <v>38229620.020029992</v>
      </c>
      <c r="G25">
        <f>План_нов_ред.минэн.!G802</f>
        <v>0</v>
      </c>
      <c r="H25">
        <f>План_нов_ред.минэн.!H802</f>
        <v>0</v>
      </c>
      <c r="I25">
        <f>План_нов_ред.минэн.!I802</f>
        <v>0</v>
      </c>
      <c r="J25" s="107" t="s">
        <v>1253</v>
      </c>
    </row>
    <row r="26" spans="1:10" x14ac:dyDescent="0.25">
      <c r="A26" s="107"/>
      <c r="B26" s="107"/>
      <c r="C26" s="107"/>
      <c r="D26">
        <v>2021</v>
      </c>
      <c r="E26">
        <f>План_нов_ред.минэн.!E803</f>
        <v>9604557.6809999999</v>
      </c>
      <c r="F26">
        <f>План_нов_ред.минэн.!F803</f>
        <v>9604557.6809999999</v>
      </c>
      <c r="G26">
        <f>План_нов_ред.минэн.!G803</f>
        <v>0</v>
      </c>
      <c r="H26">
        <f>План_нов_ред.минэн.!H803</f>
        <v>0</v>
      </c>
      <c r="I26">
        <f>План_нов_ред.минэн.!I803</f>
        <v>0</v>
      </c>
      <c r="J26" s="107"/>
    </row>
    <row r="27" spans="1:10" x14ac:dyDescent="0.25">
      <c r="A27" s="107"/>
      <c r="B27" s="107"/>
      <c r="C27" s="107"/>
      <c r="D27">
        <v>2022</v>
      </c>
      <c r="E27">
        <f>План_нов_ред.минэн.!E804</f>
        <v>11779606.149999999</v>
      </c>
      <c r="F27">
        <f>План_нов_ред.минэн.!F804</f>
        <v>11779606.149999999</v>
      </c>
      <c r="G27">
        <f>План_нов_ред.минэн.!G804</f>
        <v>0</v>
      </c>
      <c r="H27">
        <f>План_нов_ред.минэн.!H804</f>
        <v>0</v>
      </c>
      <c r="I27">
        <f>План_нов_ред.минэн.!I804</f>
        <v>0</v>
      </c>
      <c r="J27" s="107"/>
    </row>
    <row r="28" spans="1:10" x14ac:dyDescent="0.25">
      <c r="A28" s="107"/>
      <c r="B28" s="107"/>
      <c r="C28" s="107"/>
      <c r="D28">
        <v>2023</v>
      </c>
      <c r="E28">
        <f>План_нов_ред.минэн.!E805</f>
        <v>6339728.1530599985</v>
      </c>
      <c r="F28">
        <f>План_нов_ред.минэн.!F805</f>
        <v>6339728.1530599985</v>
      </c>
      <c r="G28">
        <f>План_нов_ред.минэн.!G805</f>
        <v>0</v>
      </c>
      <c r="H28">
        <f>План_нов_ред.минэн.!H805</f>
        <v>0</v>
      </c>
      <c r="I28">
        <f>План_нов_ред.минэн.!I805</f>
        <v>0</v>
      </c>
      <c r="J28" s="107"/>
    </row>
    <row r="29" spans="1:10" x14ac:dyDescent="0.25">
      <c r="A29" s="107"/>
      <c r="B29" s="107"/>
      <c r="C29" s="107"/>
      <c r="D29">
        <v>2024</v>
      </c>
      <c r="E29">
        <f>План_нов_ред.минэн.!E806</f>
        <v>5214422.5359699987</v>
      </c>
      <c r="F29">
        <f>План_нов_ред.минэн.!F806</f>
        <v>5214422.5359699987</v>
      </c>
      <c r="G29">
        <f>План_нов_ред.минэн.!G806</f>
        <v>0</v>
      </c>
      <c r="H29">
        <f>План_нов_ред.минэн.!H806</f>
        <v>0</v>
      </c>
      <c r="I29">
        <f>План_нов_ред.минэн.!I806</f>
        <v>0</v>
      </c>
      <c r="J29" s="107"/>
    </row>
    <row r="30" spans="1:10" x14ac:dyDescent="0.25">
      <c r="A30" s="107"/>
      <c r="B30" s="107"/>
      <c r="C30" s="107"/>
      <c r="D30">
        <v>2025</v>
      </c>
      <c r="E30">
        <f>План_нов_ред.минэн.!E807</f>
        <v>5291305.5</v>
      </c>
      <c r="F30">
        <f>План_нов_ред.минэн.!F807</f>
        <v>5291305.5</v>
      </c>
      <c r="G30">
        <f>План_нов_ред.минэн.!G807</f>
        <v>0</v>
      </c>
      <c r="H30">
        <f>План_нов_ред.минэн.!H807</f>
        <v>0</v>
      </c>
      <c r="I30">
        <f>План_нов_ред.минэн.!I807</f>
        <v>0</v>
      </c>
      <c r="J30" s="107"/>
    </row>
  </sheetData>
  <mergeCells count="22">
    <mergeCell ref="A19:A24"/>
    <mergeCell ref="B19:B24"/>
    <mergeCell ref="C19:C24"/>
    <mergeCell ref="J19:J24"/>
    <mergeCell ref="A25:A30"/>
    <mergeCell ref="B25:B30"/>
    <mergeCell ref="C25:C30"/>
    <mergeCell ref="J25:J30"/>
    <mergeCell ref="A7:A12"/>
    <mergeCell ref="B7:B12"/>
    <mergeCell ref="C7:C12"/>
    <mergeCell ref="J7:J12"/>
    <mergeCell ref="A13:A18"/>
    <mergeCell ref="B13:B18"/>
    <mergeCell ref="C13:C18"/>
    <mergeCell ref="J13:J18"/>
    <mergeCell ref="B3:J3"/>
    <mergeCell ref="A5:A6"/>
    <mergeCell ref="B5:B6"/>
    <mergeCell ref="C5:C6"/>
    <mergeCell ref="D5:I5"/>
    <mergeCell ref="J5:J6"/>
  </mergeCells>
  <pageMargins left="0.70866141732283472" right="0.70866141732283472" top="0.74803149606299213" bottom="0.74803149606299213" header="0.31496062992125984" footer="0.31496062992125984"/>
  <pageSetup paperSize="9" scale="65" firstPageNumber="4294967295" orientation="landscape"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2"/>
  <sheetViews>
    <sheetView topLeftCell="A772" zoomScale="70" workbookViewId="0">
      <selection activeCell="I10" sqref="I10"/>
    </sheetView>
  </sheetViews>
  <sheetFormatPr defaultRowHeight="15" x14ac:dyDescent="0.25"/>
  <cols>
    <col min="1" max="1" width="8.140625" customWidth="1"/>
    <col min="2" max="2" width="40.28515625" customWidth="1"/>
    <col min="3" max="3" width="12" customWidth="1"/>
    <col min="4" max="4" width="13.85546875" customWidth="1"/>
    <col min="5" max="5" width="21.85546875" customWidth="1"/>
    <col min="6" max="6" width="21.7109375" customWidth="1"/>
    <col min="7" max="7" width="21.5703125" customWidth="1"/>
    <col min="8" max="8" width="18.42578125" customWidth="1"/>
    <col min="9" max="9" width="32.85546875" customWidth="1"/>
    <col min="10" max="10" width="48.42578125" customWidth="1"/>
    <col min="11" max="11" width="40.42578125" customWidth="1"/>
    <col min="12" max="12" width="23.5703125" hidden="1" customWidth="1"/>
    <col min="13" max="13" width="14.85546875" hidden="1" customWidth="1"/>
    <col min="14" max="14" width="13.5703125" hidden="1" customWidth="1"/>
    <col min="15" max="15" width="14" hidden="1" customWidth="1"/>
    <col min="16" max="18" width="12.5703125" hidden="1" customWidth="1"/>
    <col min="19" max="19" width="0" hidden="1" customWidth="1"/>
    <col min="20" max="20" width="10" hidden="1" customWidth="1"/>
    <col min="21" max="21" width="11.7109375" hidden="1" customWidth="1"/>
    <col min="22" max="23" width="0" hidden="1" customWidth="1"/>
    <col min="24" max="24" width="10.28515625" hidden="1" customWidth="1"/>
    <col min="25" max="25" width="0" hidden="1" customWidth="1"/>
    <col min="27" max="28" width="11.85546875" bestFit="1" customWidth="1"/>
    <col min="29" max="29" width="3.85546875" bestFit="1" customWidth="1"/>
    <col min="30" max="30" width="10.42578125" bestFit="1" customWidth="1"/>
    <col min="31" max="31" width="6" bestFit="1" customWidth="1"/>
  </cols>
  <sheetData>
    <row r="2" spans="1:32" x14ac:dyDescent="0.25">
      <c r="K2" t="s">
        <v>1254</v>
      </c>
    </row>
    <row r="3" spans="1:32" x14ac:dyDescent="0.25">
      <c r="B3" t="s">
        <v>1255</v>
      </c>
      <c r="K3" s="107" t="s">
        <v>1256</v>
      </c>
    </row>
    <row r="4" spans="1:32" x14ac:dyDescent="0.25">
      <c r="K4" s="107"/>
    </row>
    <row r="5" spans="1:32" x14ac:dyDescent="0.25">
      <c r="C5" t="s">
        <v>1257</v>
      </c>
      <c r="J5" s="107" t="s">
        <v>1258</v>
      </c>
      <c r="K5" s="107"/>
    </row>
    <row r="8" spans="1:32" x14ac:dyDescent="0.25">
      <c r="A8" s="107" t="s">
        <v>1</v>
      </c>
      <c r="B8" s="107" t="s">
        <v>1234</v>
      </c>
      <c r="C8" s="107" t="s">
        <v>1235</v>
      </c>
      <c r="D8" s="107" t="s">
        <v>1259</v>
      </c>
      <c r="E8" s="107"/>
      <c r="F8" s="107"/>
      <c r="G8" s="107"/>
      <c r="H8" s="107"/>
      <c r="I8" s="107"/>
      <c r="J8" s="107" t="s">
        <v>5</v>
      </c>
      <c r="K8" s="107" t="s">
        <v>6</v>
      </c>
    </row>
    <row r="9" spans="1:32" x14ac:dyDescent="0.25">
      <c r="A9" s="107"/>
      <c r="B9" s="107"/>
      <c r="C9" s="107"/>
      <c r="D9" t="s">
        <v>1102</v>
      </c>
      <c r="E9" t="s">
        <v>8</v>
      </c>
      <c r="F9" t="s">
        <v>9</v>
      </c>
      <c r="G9" t="s">
        <v>10</v>
      </c>
      <c r="H9" t="s">
        <v>11</v>
      </c>
      <c r="I9" t="s">
        <v>12</v>
      </c>
      <c r="J9" s="107"/>
      <c r="K9" s="107"/>
    </row>
    <row r="10" spans="1:32" x14ac:dyDescent="0.25">
      <c r="A10" s="107"/>
      <c r="B10" s="107" t="s">
        <v>1241</v>
      </c>
      <c r="C10" s="107" t="s">
        <v>14</v>
      </c>
      <c r="D10" t="s">
        <v>8</v>
      </c>
      <c r="E10">
        <f>SUM(E11:E15)</f>
        <v>75904110.533611581</v>
      </c>
      <c r="F10">
        <f>SUM(F11:F15)</f>
        <v>63783148.497399993</v>
      </c>
      <c r="G10">
        <f>SUM(G11:G15)</f>
        <v>6847446.53333</v>
      </c>
      <c r="H10">
        <f>SUM(H11:H15)</f>
        <v>4476926.5128815789</v>
      </c>
      <c r="I10">
        <f>SUM(I11:I15)</f>
        <v>796588.99</v>
      </c>
      <c r="J10" s="107"/>
      <c r="K10" s="107" t="s">
        <v>1249</v>
      </c>
      <c r="L10" s="107"/>
      <c r="M10" t="s">
        <v>8</v>
      </c>
      <c r="N10">
        <v>71357089.200000003</v>
      </c>
      <c r="O10">
        <v>60414245.68</v>
      </c>
      <c r="P10">
        <v>6511233.3700000001</v>
      </c>
      <c r="Q10">
        <v>3752015.42</v>
      </c>
      <c r="R10">
        <v>679594.73</v>
      </c>
      <c r="T10">
        <f t="shared" ref="T10:Y15" si="0">E10-N10</f>
        <v>4547021.3336115777</v>
      </c>
      <c r="U10">
        <f t="shared" si="0"/>
        <v>3368902.8173999935</v>
      </c>
      <c r="V10">
        <f t="shared" si="0"/>
        <v>336213.16332999989</v>
      </c>
      <c r="W10">
        <f t="shared" si="0"/>
        <v>724911.09288157895</v>
      </c>
      <c r="X10">
        <f t="shared" si="0"/>
        <v>116994.26000000001</v>
      </c>
      <c r="Y10">
        <f t="shared" si="0"/>
        <v>0</v>
      </c>
    </row>
    <row r="11" spans="1:32" x14ac:dyDescent="0.25">
      <c r="A11" s="107"/>
      <c r="B11" s="107"/>
      <c r="C11" s="107"/>
      <c r="D11">
        <v>2021</v>
      </c>
      <c r="E11">
        <f t="shared" ref="E11:E15" si="1">SUM(F11:I11)</f>
        <v>14303970.520818945</v>
      </c>
      <c r="F11">
        <f t="shared" ref="F11:I15" si="2">F17+F347+F593+F719+F929</f>
        <v>12262546.638989998</v>
      </c>
      <c r="G11">
        <f t="shared" si="2"/>
        <v>1441099.2</v>
      </c>
      <c r="H11">
        <f t="shared" si="2"/>
        <v>439631.22182894737</v>
      </c>
      <c r="I11">
        <f t="shared" si="2"/>
        <v>160693.46</v>
      </c>
      <c r="J11" s="107"/>
      <c r="K11" s="107"/>
      <c r="L11" s="107"/>
      <c r="M11">
        <v>2021</v>
      </c>
      <c r="N11">
        <v>14303970.52</v>
      </c>
      <c r="O11">
        <v>12262546.640000001</v>
      </c>
      <c r="P11">
        <v>1441099.2</v>
      </c>
      <c r="Q11">
        <v>439631.22</v>
      </c>
      <c r="R11">
        <v>160693.46</v>
      </c>
      <c r="T11">
        <f t="shared" si="0"/>
        <v>8.1894546747207642E-4</v>
      </c>
      <c r="U11">
        <f t="shared" si="0"/>
        <v>-1.0100025683641434E-3</v>
      </c>
      <c r="V11">
        <f t="shared" si="0"/>
        <v>0</v>
      </c>
      <c r="W11">
        <f t="shared" si="0"/>
        <v>1.8289473955519497E-3</v>
      </c>
      <c r="X11">
        <f t="shared" si="0"/>
        <v>0</v>
      </c>
      <c r="Y11">
        <f t="shared" si="0"/>
        <v>0</v>
      </c>
    </row>
    <row r="12" spans="1:32" x14ac:dyDescent="0.25">
      <c r="A12" s="107"/>
      <c r="B12" s="107"/>
      <c r="C12" s="107"/>
      <c r="D12">
        <v>2022</v>
      </c>
      <c r="E12">
        <f t="shared" si="1"/>
        <v>24326093.439549997</v>
      </c>
      <c r="F12">
        <f t="shared" si="2"/>
        <v>20913806.155959997</v>
      </c>
      <c r="G12">
        <f t="shared" si="2"/>
        <v>2198335.6015900001</v>
      </c>
      <c r="H12">
        <f t="shared" si="2"/>
        <v>1028056.152</v>
      </c>
      <c r="I12">
        <f t="shared" si="2"/>
        <v>185895.53</v>
      </c>
      <c r="J12" s="107"/>
      <c r="K12" s="107"/>
      <c r="M12">
        <v>2022</v>
      </c>
      <c r="N12">
        <v>24884861.52</v>
      </c>
      <c r="O12">
        <v>20889150.57</v>
      </c>
      <c r="P12">
        <v>2973524.63</v>
      </c>
      <c r="Q12">
        <v>885324.73</v>
      </c>
      <c r="R12">
        <v>136861.59</v>
      </c>
      <c r="T12">
        <f t="shared" si="0"/>
        <v>-558768.0804500021</v>
      </c>
      <c r="U12">
        <f t="shared" si="0"/>
        <v>24655.585959997028</v>
      </c>
      <c r="V12">
        <f t="shared" si="0"/>
        <v>-775189.0284099998</v>
      </c>
      <c r="W12">
        <f t="shared" si="0"/>
        <v>142731.42200000002</v>
      </c>
      <c r="X12">
        <f t="shared" si="0"/>
        <v>49033.94</v>
      </c>
      <c r="Y12">
        <f t="shared" si="0"/>
        <v>0</v>
      </c>
      <c r="Z12" s="107"/>
      <c r="AA12" s="107"/>
      <c r="AB12" s="107"/>
      <c r="AC12" s="107"/>
      <c r="AD12" s="107"/>
      <c r="AE12" s="107"/>
      <c r="AF12" s="107"/>
    </row>
    <row r="13" spans="1:32" x14ac:dyDescent="0.25">
      <c r="A13" s="107"/>
      <c r="B13" s="107"/>
      <c r="C13" s="107"/>
      <c r="D13">
        <v>2023</v>
      </c>
      <c r="E13">
        <f t="shared" si="1"/>
        <v>16307980.98116263</v>
      </c>
      <c r="F13">
        <f t="shared" si="2"/>
        <v>12484238.667369999</v>
      </c>
      <c r="G13">
        <f t="shared" si="2"/>
        <v>2397119.45474</v>
      </c>
      <c r="H13">
        <f t="shared" si="2"/>
        <v>1276622.8590526315</v>
      </c>
      <c r="I13">
        <f t="shared" si="2"/>
        <v>150000</v>
      </c>
      <c r="J13" s="107"/>
      <c r="K13" s="107"/>
      <c r="M13">
        <v>2023</v>
      </c>
      <c r="N13">
        <v>16246301.6</v>
      </c>
      <c r="O13">
        <v>13403418.470000001</v>
      </c>
      <c r="P13">
        <v>1784973.64</v>
      </c>
      <c r="Q13">
        <v>940869.81</v>
      </c>
      <c r="R13">
        <v>117039.67999999999</v>
      </c>
      <c r="T13">
        <f t="shared" si="0"/>
        <v>61679.381162630394</v>
      </c>
      <c r="U13">
        <f t="shared" si="0"/>
        <v>-919179.80263000168</v>
      </c>
      <c r="V13">
        <f t="shared" si="0"/>
        <v>612145.81474000006</v>
      </c>
      <c r="W13">
        <f t="shared" si="0"/>
        <v>335753.04905263148</v>
      </c>
      <c r="X13">
        <f t="shared" si="0"/>
        <v>32960.320000000007</v>
      </c>
      <c r="Y13">
        <f t="shared" si="0"/>
        <v>0</v>
      </c>
      <c r="Z13" s="107"/>
      <c r="AA13" s="107"/>
      <c r="AB13" s="107"/>
      <c r="AC13" s="107"/>
      <c r="AD13" s="107"/>
      <c r="AE13" s="107"/>
      <c r="AF13" s="107"/>
    </row>
    <row r="14" spans="1:32" x14ac:dyDescent="0.25">
      <c r="A14" s="107"/>
      <c r="B14" s="107"/>
      <c r="C14" s="107"/>
      <c r="D14">
        <v>2024</v>
      </c>
      <c r="E14">
        <f t="shared" si="1"/>
        <v>11966402.73043</v>
      </c>
      <c r="F14">
        <f t="shared" si="2"/>
        <v>10105865.873429999</v>
      </c>
      <c r="G14">
        <f t="shared" si="2"/>
        <v>781536.777</v>
      </c>
      <c r="H14">
        <f t="shared" si="2"/>
        <v>929000.08000000007</v>
      </c>
      <c r="I14">
        <f t="shared" si="2"/>
        <v>150000</v>
      </c>
      <c r="J14" s="107"/>
      <c r="K14" s="107"/>
      <c r="M14">
        <v>2024</v>
      </c>
      <c r="N14">
        <v>10885035.15</v>
      </c>
      <c r="O14">
        <v>9557996.3200000003</v>
      </c>
      <c r="P14">
        <v>287953.90000000002</v>
      </c>
      <c r="Q14">
        <v>924084.94</v>
      </c>
      <c r="R14">
        <v>115000</v>
      </c>
      <c r="T14">
        <f t="shared" si="0"/>
        <v>1081367.5804299992</v>
      </c>
      <c r="U14">
        <f t="shared" si="0"/>
        <v>547869.55342999846</v>
      </c>
      <c r="V14">
        <f t="shared" si="0"/>
        <v>493582.87699999998</v>
      </c>
      <c r="W14">
        <f t="shared" si="0"/>
        <v>4915.1400000001304</v>
      </c>
      <c r="X14">
        <f t="shared" si="0"/>
        <v>35000</v>
      </c>
      <c r="Y14">
        <f t="shared" si="0"/>
        <v>0</v>
      </c>
      <c r="Z14" s="107"/>
      <c r="AA14" s="107"/>
      <c r="AB14" s="107"/>
      <c r="AC14" s="107"/>
      <c r="AD14" s="107"/>
      <c r="AE14" s="107"/>
      <c r="AF14" s="107"/>
    </row>
    <row r="15" spans="1:32" ht="66" customHeight="1" x14ac:dyDescent="0.25">
      <c r="A15" s="107"/>
      <c r="B15" s="107"/>
      <c r="C15" s="107"/>
      <c r="D15">
        <v>2025</v>
      </c>
      <c r="E15">
        <f t="shared" si="1"/>
        <v>8999662.8616499994</v>
      </c>
      <c r="F15">
        <f t="shared" si="2"/>
        <v>8016691.1616500001</v>
      </c>
      <c r="G15">
        <f t="shared" si="2"/>
        <v>29355.5</v>
      </c>
      <c r="H15">
        <f t="shared" si="2"/>
        <v>803616.2</v>
      </c>
      <c r="I15">
        <f t="shared" si="2"/>
        <v>150000</v>
      </c>
      <c r="J15" s="107"/>
      <c r="K15" s="107"/>
      <c r="M15" t="s">
        <v>1260</v>
      </c>
      <c r="N15">
        <v>5036920.4000000004</v>
      </c>
      <c r="O15">
        <v>4301133.68</v>
      </c>
      <c r="P15">
        <v>23682</v>
      </c>
      <c r="Q15">
        <v>562104.72</v>
      </c>
      <c r="R15">
        <v>150000</v>
      </c>
      <c r="T15">
        <f t="shared" si="0"/>
        <v>3962742.461649999</v>
      </c>
      <c r="U15">
        <f t="shared" si="0"/>
        <v>3715557.4816500004</v>
      </c>
      <c r="V15">
        <f t="shared" si="0"/>
        <v>5673.5</v>
      </c>
      <c r="W15">
        <f t="shared" si="0"/>
        <v>241511.47999999998</v>
      </c>
      <c r="X15">
        <f t="shared" si="0"/>
        <v>0</v>
      </c>
      <c r="Y15">
        <f t="shared" si="0"/>
        <v>0</v>
      </c>
    </row>
    <row r="16" spans="1:32" x14ac:dyDescent="0.25">
      <c r="A16" s="107">
        <v>1</v>
      </c>
      <c r="B16" s="107" t="s">
        <v>1261</v>
      </c>
      <c r="C16" s="107" t="s">
        <v>14</v>
      </c>
      <c r="D16" t="s">
        <v>8</v>
      </c>
      <c r="E16">
        <f>SUM(E17:E21)</f>
        <v>13057901.6609</v>
      </c>
      <c r="F16">
        <f>SUM(F17:F21)</f>
        <v>10108669.222200001</v>
      </c>
      <c r="G16">
        <f>SUM(G17:G21)</f>
        <v>1255337.625</v>
      </c>
      <c r="H16">
        <f>SUM(H17:H21)</f>
        <v>943894.81370000006</v>
      </c>
      <c r="I16">
        <f>SUM(I17:I21)</f>
        <v>750000</v>
      </c>
      <c r="J16" s="107"/>
      <c r="K16" s="107" t="s">
        <v>1262</v>
      </c>
    </row>
    <row r="17" spans="1:25" x14ac:dyDescent="0.25">
      <c r="A17" s="107"/>
      <c r="B17" s="107"/>
      <c r="C17" s="107"/>
      <c r="D17">
        <v>2021</v>
      </c>
      <c r="E17">
        <f t="shared" ref="E17:E21" si="3">SUM(F17:I17)</f>
        <v>1518283.6040400001</v>
      </c>
      <c r="F17">
        <f t="shared" ref="F17:I21" si="4">F23+F41+F155+F167+F185+F227+F239+F263+F275+F287+F305+F329+F317</f>
        <v>1118539.10234</v>
      </c>
      <c r="G17">
        <f t="shared" si="4"/>
        <v>74257.099999999991</v>
      </c>
      <c r="H17">
        <f t="shared" si="4"/>
        <v>175487.40169999999</v>
      </c>
      <c r="I17">
        <f t="shared" si="4"/>
        <v>150000</v>
      </c>
      <c r="J17" s="107"/>
      <c r="K17" s="107"/>
      <c r="N17">
        <v>14409825.880000001</v>
      </c>
      <c r="O17">
        <v>11872923.76</v>
      </c>
      <c r="P17">
        <v>874889.5</v>
      </c>
      <c r="Q17">
        <v>1014972.94</v>
      </c>
      <c r="R17">
        <v>647039.68000000005</v>
      </c>
      <c r="T17">
        <f t="shared" ref="T17:Y21" si="5">N17-E16</f>
        <v>1351924.2191000003</v>
      </c>
      <c r="U17">
        <f t="shared" si="5"/>
        <v>1764254.5377999991</v>
      </c>
      <c r="V17">
        <f t="shared" si="5"/>
        <v>-380448.125</v>
      </c>
      <c r="W17">
        <f t="shared" si="5"/>
        <v>71078.126299999887</v>
      </c>
      <c r="X17">
        <f t="shared" si="5"/>
        <v>-102960.31999999995</v>
      </c>
      <c r="Y17">
        <f t="shared" si="5"/>
        <v>0</v>
      </c>
    </row>
    <row r="18" spans="1:25" x14ac:dyDescent="0.25">
      <c r="A18" s="107"/>
      <c r="B18" s="107"/>
      <c r="C18" s="107"/>
      <c r="D18">
        <v>2022</v>
      </c>
      <c r="E18">
        <f t="shared" si="3"/>
        <v>5900773.2748600002</v>
      </c>
      <c r="F18">
        <f t="shared" si="4"/>
        <v>4568669.2378599998</v>
      </c>
      <c r="G18">
        <f t="shared" si="4"/>
        <v>954021.32500000007</v>
      </c>
      <c r="H18">
        <f t="shared" si="4"/>
        <v>228082.712</v>
      </c>
      <c r="I18">
        <f t="shared" si="4"/>
        <v>150000</v>
      </c>
      <c r="J18" s="107"/>
      <c r="K18" s="107"/>
      <c r="N18">
        <v>1518283.6</v>
      </c>
      <c r="O18">
        <v>1118539.1000000001</v>
      </c>
      <c r="P18">
        <v>74257.100000000006</v>
      </c>
      <c r="Q18">
        <v>175487.4</v>
      </c>
      <c r="R18">
        <v>150000</v>
      </c>
      <c r="T18">
        <f t="shared" si="5"/>
        <v>-4.0400000289082527E-3</v>
      </c>
      <c r="U18">
        <f t="shared" si="5"/>
        <v>-2.3399998899549246E-3</v>
      </c>
      <c r="V18">
        <f t="shared" si="5"/>
        <v>0</v>
      </c>
      <c r="W18">
        <f t="shared" si="5"/>
        <v>-1.6999999934341758E-3</v>
      </c>
      <c r="X18">
        <f t="shared" si="5"/>
        <v>0</v>
      </c>
      <c r="Y18">
        <f t="shared" si="5"/>
        <v>0</v>
      </c>
    </row>
    <row r="19" spans="1:25" x14ac:dyDescent="0.25">
      <c r="A19" s="107"/>
      <c r="B19" s="107"/>
      <c r="C19" s="107"/>
      <c r="D19">
        <v>2023</v>
      </c>
      <c r="E19">
        <f t="shared" si="3"/>
        <v>2627062.9530000007</v>
      </c>
      <c r="F19">
        <f t="shared" si="4"/>
        <v>2157230.0530000003</v>
      </c>
      <c r="G19">
        <f t="shared" si="4"/>
        <v>112447.70000000001</v>
      </c>
      <c r="H19">
        <f t="shared" si="4"/>
        <v>207385.2</v>
      </c>
      <c r="I19">
        <f t="shared" si="4"/>
        <v>150000</v>
      </c>
      <c r="J19" s="107"/>
      <c r="K19" s="107"/>
      <c r="N19">
        <v>5430124.9699999997</v>
      </c>
      <c r="O19">
        <v>4638405.16</v>
      </c>
      <c r="P19">
        <v>434908.9</v>
      </c>
      <c r="Q19">
        <v>241810.91</v>
      </c>
      <c r="R19">
        <v>115000</v>
      </c>
      <c r="T19">
        <f t="shared" si="5"/>
        <v>-470648.3048600005</v>
      </c>
      <c r="U19">
        <f t="shared" si="5"/>
        <v>69735.922140000388</v>
      </c>
      <c r="V19">
        <f t="shared" si="5"/>
        <v>-519112.42500000005</v>
      </c>
      <c r="W19">
        <f t="shared" si="5"/>
        <v>13728.198000000004</v>
      </c>
      <c r="X19">
        <f t="shared" si="5"/>
        <v>-35000</v>
      </c>
      <c r="Y19">
        <f t="shared" si="5"/>
        <v>0</v>
      </c>
    </row>
    <row r="20" spans="1:25" x14ac:dyDescent="0.25">
      <c r="A20" s="107"/>
      <c r="B20" s="107"/>
      <c r="C20" s="107"/>
      <c r="D20">
        <v>2024</v>
      </c>
      <c r="E20">
        <f t="shared" si="3"/>
        <v>1676826.8289999999</v>
      </c>
      <c r="F20">
        <f t="shared" si="4"/>
        <v>1263672.429</v>
      </c>
      <c r="G20">
        <f t="shared" si="4"/>
        <v>85256</v>
      </c>
      <c r="H20">
        <f t="shared" si="4"/>
        <v>177898.40000000002</v>
      </c>
      <c r="I20">
        <f t="shared" si="4"/>
        <v>150000</v>
      </c>
      <c r="J20" s="107"/>
      <c r="K20" s="107"/>
      <c r="N20">
        <v>4871897.96</v>
      </c>
      <c r="O20">
        <v>4277103.57</v>
      </c>
      <c r="P20">
        <v>263036.09999999998</v>
      </c>
      <c r="Q20">
        <v>214718.61</v>
      </c>
      <c r="R20">
        <v>117039.67999999999</v>
      </c>
      <c r="T20">
        <f t="shared" si="5"/>
        <v>2244835.0069999993</v>
      </c>
      <c r="U20">
        <f t="shared" si="5"/>
        <v>2119873.517</v>
      </c>
      <c r="V20">
        <f t="shared" si="5"/>
        <v>150588.39999999997</v>
      </c>
      <c r="W20">
        <f t="shared" si="5"/>
        <v>7333.4099999999744</v>
      </c>
      <c r="X20">
        <f t="shared" si="5"/>
        <v>-32960.320000000007</v>
      </c>
      <c r="Y20">
        <f t="shared" si="5"/>
        <v>0</v>
      </c>
    </row>
    <row r="21" spans="1:25" x14ac:dyDescent="0.25">
      <c r="A21" s="107"/>
      <c r="B21" s="107"/>
      <c r="C21" s="107"/>
      <c r="D21">
        <v>2025</v>
      </c>
      <c r="E21">
        <f t="shared" si="3"/>
        <v>1334955</v>
      </c>
      <c r="F21">
        <f t="shared" si="4"/>
        <v>1000558.3999999999</v>
      </c>
      <c r="G21">
        <f t="shared" si="4"/>
        <v>29355.5</v>
      </c>
      <c r="H21">
        <f t="shared" si="4"/>
        <v>155041.1</v>
      </c>
      <c r="I21">
        <f t="shared" si="4"/>
        <v>150000</v>
      </c>
      <c r="J21" s="107"/>
      <c r="K21" s="107"/>
      <c r="N21">
        <v>1888189.13</v>
      </c>
      <c r="O21">
        <v>1473133.12</v>
      </c>
      <c r="P21">
        <v>79005.399999999994</v>
      </c>
      <c r="Q21">
        <v>221050.61</v>
      </c>
      <c r="R21">
        <v>115000</v>
      </c>
      <c r="T21">
        <f t="shared" si="5"/>
        <v>211362.30099999998</v>
      </c>
      <c r="U21">
        <f t="shared" si="5"/>
        <v>209460.69100000011</v>
      </c>
      <c r="V21">
        <f t="shared" si="5"/>
        <v>-6250.6000000000058</v>
      </c>
      <c r="W21">
        <f t="shared" si="5"/>
        <v>43152.209999999963</v>
      </c>
      <c r="X21">
        <f t="shared" si="5"/>
        <v>-35000</v>
      </c>
      <c r="Y21">
        <f t="shared" si="5"/>
        <v>0</v>
      </c>
    </row>
    <row r="22" spans="1:25" x14ac:dyDescent="0.25">
      <c r="A22" s="107" t="s">
        <v>39</v>
      </c>
      <c r="B22" s="107" t="s">
        <v>1263</v>
      </c>
      <c r="C22" s="107" t="s">
        <v>41</v>
      </c>
      <c r="D22" t="s">
        <v>8</v>
      </c>
      <c r="E22">
        <f>F22+G22+H22+I22</f>
        <v>229277.37199999997</v>
      </c>
      <c r="F22">
        <f>SUM(F23:F27)</f>
        <v>179045.81999999998</v>
      </c>
      <c r="G22">
        <f>SUM(G23:G27)</f>
        <v>0</v>
      </c>
      <c r="H22">
        <f>SUM(H23:H27)</f>
        <v>50231.552000000003</v>
      </c>
      <c r="I22">
        <f>SUM(I23:I27)</f>
        <v>0</v>
      </c>
      <c r="J22" s="107" t="s">
        <v>1264</v>
      </c>
      <c r="K22" s="107" t="s">
        <v>1265</v>
      </c>
      <c r="L22" s="107" t="s">
        <v>1266</v>
      </c>
      <c r="M22" s="107"/>
      <c r="N22" s="107"/>
      <c r="O22" s="107"/>
    </row>
    <row r="23" spans="1:25" x14ac:dyDescent="0.25">
      <c r="A23" s="107"/>
      <c r="B23" s="107"/>
      <c r="C23" s="107"/>
      <c r="D23">
        <v>2021</v>
      </c>
      <c r="E23">
        <f t="shared" ref="E23:E26" si="6">SUM(F23:I23)</f>
        <v>61749.37</v>
      </c>
      <c r="F23">
        <f t="shared" ref="F23:I27" si="7">F29+F35</f>
        <v>45400.37</v>
      </c>
      <c r="G23">
        <f>G29+G35</f>
        <v>0</v>
      </c>
      <c r="H23">
        <f>H29+H35</f>
        <v>16349</v>
      </c>
      <c r="I23">
        <f>I29+I35</f>
        <v>0</v>
      </c>
      <c r="J23" s="107"/>
      <c r="K23" s="107"/>
      <c r="L23">
        <f>F23+F41+F155+F167+F191+F197+F203+F215+F227+F239+F263+F275+F287+F305+F401+F407+F413+F461+F521+F551+F593+F749+F755+F761+F767+F773+F779+N539+F785</f>
        <v>2003954.6709799997</v>
      </c>
      <c r="M23">
        <f>G23+G41+G155+G167+G191+G197+G203+G215+G227+G239+G263+G275+G287+G305+G401+G407+G413+G461+G521+G551+G593+G749+G755+G761+G767+G773+G779+O539+G785</f>
        <v>1299199.6000000001</v>
      </c>
      <c r="N23">
        <f>H23+H41+H155+H167+H191+H197+H203+H215+H227+H239+H263+H275+H287+H305+H401+H407+H413+H461+H521+H551+H593+H749+H755+H761+H767+H773+H779+P539+H785</f>
        <v>226216.72182894737</v>
      </c>
      <c r="O23">
        <f>I23+I41+I155+I167+I191+I197+I203+I215+I227+I239+I263+I275+I287+I305+I401+I407+I413+I461+I521+I551+I593+I749+I755+I761+I767+I773+I779+Q539+I785</f>
        <v>160000</v>
      </c>
    </row>
    <row r="24" spans="1:25" x14ac:dyDescent="0.25">
      <c r="A24" s="107"/>
      <c r="B24" s="107"/>
      <c r="C24" s="107"/>
      <c r="D24">
        <v>2022</v>
      </c>
      <c r="E24">
        <f t="shared" si="6"/>
        <v>130546.10199999998</v>
      </c>
      <c r="F24">
        <f t="shared" si="7"/>
        <v>105322.84999999999</v>
      </c>
      <c r="G24">
        <f t="shared" si="7"/>
        <v>0</v>
      </c>
      <c r="H24">
        <f t="shared" si="7"/>
        <v>25223.252</v>
      </c>
      <c r="I24">
        <f t="shared" si="7"/>
        <v>0</v>
      </c>
      <c r="J24" s="107"/>
      <c r="K24" s="107"/>
      <c r="L24">
        <f t="shared" ref="L24:L27" si="8">F24+F42+F156+F168+F192+F198+F204+F216+F228+F240+F264+F276+F288+F306+F402+F408+F414+F462+F522+F552+F594+F750+F756+F762+F768+F774+F780+F540+F786</f>
        <v>7036722.9889599998</v>
      </c>
      <c r="M24">
        <f t="shared" ref="M24:M27" si="9">G24+G42+G156+G168+G192+G198+G204+G216+G228+G240+G264+G276+G288+G306+G402+G408+G414+G462+G522+G552+G594+G750+G756+G762+G768+G774+G780+G540</f>
        <v>2146049.9765900001</v>
      </c>
      <c r="N24">
        <f t="shared" ref="N24:N25" si="10">H24+H42+H156+H168+H192+H198+H204+H216+H228+H240+H264+H276+H288+H306+H402+H408+H414+H462+H522+H552+H594+H750+H756+H762+H768+H774+H780+H540+H786</f>
        <v>536153.80200000003</v>
      </c>
      <c r="O24">
        <f t="shared" ref="O24:O27" si="11">I24+I42+I156+I168+I192+I198+I204+I216+I228+I240+I264+I276+I288+I306+I402+I408+I414+I462+I522+I552+I594+I750+I756+I762+I768+I774+I780+I540</f>
        <v>185895.53</v>
      </c>
    </row>
    <row r="25" spans="1:25" x14ac:dyDescent="0.25">
      <c r="A25" s="107"/>
      <c r="B25" s="107"/>
      <c r="C25" s="107"/>
      <c r="D25">
        <v>2023</v>
      </c>
      <c r="E25">
        <f t="shared" si="6"/>
        <v>29415.3</v>
      </c>
      <c r="F25">
        <f t="shared" si="7"/>
        <v>24539.3</v>
      </c>
      <c r="G25">
        <f t="shared" si="7"/>
        <v>0</v>
      </c>
      <c r="H25">
        <f t="shared" si="7"/>
        <v>4876</v>
      </c>
      <c r="I25">
        <f t="shared" si="7"/>
        <v>0</v>
      </c>
      <c r="J25" s="107"/>
      <c r="K25" s="107"/>
      <c r="L25">
        <f t="shared" si="8"/>
        <v>4256374.4160000002</v>
      </c>
      <c r="M25">
        <f t="shared" si="9"/>
        <v>2054065.75474</v>
      </c>
      <c r="N25">
        <f t="shared" si="10"/>
        <v>614738.85905263154</v>
      </c>
      <c r="O25">
        <f t="shared" si="11"/>
        <v>150000</v>
      </c>
    </row>
    <row r="26" spans="1:25" x14ac:dyDescent="0.25">
      <c r="A26" s="107"/>
      <c r="B26" s="107"/>
      <c r="C26" s="107"/>
      <c r="D26">
        <v>2024</v>
      </c>
      <c r="E26">
        <f t="shared" si="6"/>
        <v>7566.6</v>
      </c>
      <c r="F26">
        <f t="shared" si="7"/>
        <v>3783.3</v>
      </c>
      <c r="G26">
        <f t="shared" si="7"/>
        <v>0</v>
      </c>
      <c r="H26">
        <f t="shared" si="7"/>
        <v>3783.3</v>
      </c>
      <c r="I26">
        <f t="shared" si="7"/>
        <v>0</v>
      </c>
      <c r="J26" s="107"/>
      <c r="K26" s="107"/>
      <c r="L26">
        <f t="shared" si="8"/>
        <v>3170729.25868</v>
      </c>
      <c r="M26">
        <f t="shared" si="9"/>
        <v>572588.277</v>
      </c>
      <c r="N26">
        <f t="shared" ref="N26:N27" si="12">H26+H44+H158+H170+H194+H200+H206+H218+H230+H242+H266+H278+H290+H308+H404+H410+H416+H464+H524+H554+H596+H752+H758+H764+H770+H776+H782+H542</f>
        <v>257920.28000000003</v>
      </c>
      <c r="O26">
        <f t="shared" si="11"/>
        <v>150000</v>
      </c>
    </row>
    <row r="27" spans="1:25" x14ac:dyDescent="0.25">
      <c r="A27" s="107"/>
      <c r="B27" s="107"/>
      <c r="C27" s="107"/>
      <c r="D27">
        <v>2025</v>
      </c>
      <c r="E27">
        <v>0</v>
      </c>
      <c r="F27">
        <f t="shared" si="7"/>
        <v>0</v>
      </c>
      <c r="G27">
        <f t="shared" si="7"/>
        <v>0</v>
      </c>
      <c r="H27">
        <f t="shared" si="7"/>
        <v>0</v>
      </c>
      <c r="I27">
        <f t="shared" si="7"/>
        <v>0</v>
      </c>
      <c r="J27" s="107"/>
      <c r="K27" s="107"/>
      <c r="L27">
        <f t="shared" si="8"/>
        <v>1204505.4999999998</v>
      </c>
      <c r="M27">
        <f t="shared" si="9"/>
        <v>29355.5</v>
      </c>
      <c r="N27">
        <f t="shared" si="12"/>
        <v>156966.80000000002</v>
      </c>
      <c r="O27">
        <f t="shared" si="11"/>
        <v>150000</v>
      </c>
    </row>
    <row r="28" spans="1:25" x14ac:dyDescent="0.25">
      <c r="A28" s="107" t="s">
        <v>1267</v>
      </c>
      <c r="B28" s="107" t="s">
        <v>1268</v>
      </c>
      <c r="C28" s="107" t="s">
        <v>41</v>
      </c>
      <c r="D28" t="s">
        <v>8</v>
      </c>
      <c r="E28">
        <f>F28+G28+H28+I28</f>
        <v>229277.37199999997</v>
      </c>
      <c r="F28">
        <f>SUM(F29:F33)</f>
        <v>179045.81999999998</v>
      </c>
      <c r="G28">
        <f>SUM(G29:G33)</f>
        <v>0</v>
      </c>
      <c r="H28">
        <f>SUM(H29:H33)</f>
        <v>50231.552000000003</v>
      </c>
      <c r="I28">
        <f>SUM(I29:I33)</f>
        <v>0</v>
      </c>
      <c r="J28" s="107" t="s">
        <v>1269</v>
      </c>
      <c r="K28" s="107" t="s">
        <v>1265</v>
      </c>
    </row>
    <row r="29" spans="1:25" x14ac:dyDescent="0.25">
      <c r="A29" s="107"/>
      <c r="B29" s="107"/>
      <c r="C29" s="107"/>
      <c r="D29">
        <v>2021</v>
      </c>
      <c r="E29">
        <f t="shared" ref="E29:E32" si="13">SUM(F29:I29)</f>
        <v>61749.37</v>
      </c>
      <c r="F29">
        <v>45400.37</v>
      </c>
      <c r="G29">
        <v>0</v>
      </c>
      <c r="H29">
        <v>16349</v>
      </c>
      <c r="I29">
        <v>0</v>
      </c>
      <c r="J29" s="107"/>
      <c r="K29" s="107"/>
    </row>
    <row r="30" spans="1:25" x14ac:dyDescent="0.25">
      <c r="A30" s="107"/>
      <c r="B30" s="107"/>
      <c r="C30" s="107"/>
      <c r="D30">
        <v>2022</v>
      </c>
      <c r="E30">
        <f t="shared" si="13"/>
        <v>130546.10199999998</v>
      </c>
      <c r="F30">
        <f>122744.59-17421.74</f>
        <v>105322.84999999999</v>
      </c>
      <c r="G30">
        <v>0</v>
      </c>
      <c r="H30">
        <v>25223.252</v>
      </c>
      <c r="I30">
        <v>0</v>
      </c>
      <c r="J30" s="107"/>
      <c r="K30" s="107"/>
    </row>
    <row r="31" spans="1:25" x14ac:dyDescent="0.25">
      <c r="A31" s="107"/>
      <c r="B31" s="107"/>
      <c r="C31" s="107"/>
      <c r="D31">
        <v>2023</v>
      </c>
      <c r="E31">
        <f t="shared" si="13"/>
        <v>29415.3</v>
      </c>
      <c r="F31">
        <f>24539.3</f>
        <v>24539.3</v>
      </c>
      <c r="G31">
        <v>0</v>
      </c>
      <c r="H31">
        <v>4876</v>
      </c>
      <c r="I31">
        <v>0</v>
      </c>
      <c r="J31" s="107"/>
      <c r="K31" s="107"/>
    </row>
    <row r="32" spans="1:25" x14ac:dyDescent="0.25">
      <c r="A32" s="107"/>
      <c r="B32" s="107"/>
      <c r="C32" s="107"/>
      <c r="D32">
        <v>2024</v>
      </c>
      <c r="E32">
        <f t="shared" si="13"/>
        <v>7566.6</v>
      </c>
      <c r="F32">
        <v>3783.3</v>
      </c>
      <c r="G32">
        <v>0</v>
      </c>
      <c r="H32">
        <v>3783.3</v>
      </c>
      <c r="I32">
        <v>0</v>
      </c>
      <c r="J32" s="107"/>
      <c r="K32" s="107"/>
    </row>
    <row r="33" spans="1:23" x14ac:dyDescent="0.25">
      <c r="A33" s="107"/>
      <c r="B33" s="107"/>
      <c r="C33" s="107"/>
      <c r="D33">
        <v>2025</v>
      </c>
      <c r="E33">
        <v>0</v>
      </c>
      <c r="F33">
        <v>0</v>
      </c>
      <c r="G33">
        <v>0</v>
      </c>
      <c r="H33">
        <v>0</v>
      </c>
      <c r="I33">
        <v>0</v>
      </c>
      <c r="J33" s="107"/>
      <c r="K33" s="107"/>
    </row>
    <row r="34" spans="1:23" x14ac:dyDescent="0.25">
      <c r="A34" s="107" t="s">
        <v>1270</v>
      </c>
      <c r="B34" s="107" t="s">
        <v>1271</v>
      </c>
      <c r="C34" s="107" t="s">
        <v>1169</v>
      </c>
      <c r="D34" t="s">
        <v>8</v>
      </c>
      <c r="E34">
        <f t="shared" ref="E34:E40" si="14">F34+G34+H34+I34</f>
        <v>0</v>
      </c>
      <c r="F34">
        <f>F35+F36+F37+F38+F39</f>
        <v>0</v>
      </c>
      <c r="G34">
        <f>G35+G36+G37+G38+G39</f>
        <v>0</v>
      </c>
      <c r="H34">
        <f>H35+H36+H37+H38+H39</f>
        <v>0</v>
      </c>
      <c r="I34">
        <f>I35+I36+I37+I38+I39</f>
        <v>0</v>
      </c>
      <c r="J34" s="107" t="s">
        <v>1272</v>
      </c>
      <c r="K34" s="107" t="s">
        <v>1273</v>
      </c>
    </row>
    <row r="35" spans="1:23" x14ac:dyDescent="0.25">
      <c r="A35" s="107"/>
      <c r="B35" s="107"/>
      <c r="C35" s="107"/>
      <c r="D35">
        <v>2021</v>
      </c>
      <c r="E35">
        <f t="shared" si="14"/>
        <v>0</v>
      </c>
      <c r="F35">
        <v>0</v>
      </c>
      <c r="G35">
        <v>0</v>
      </c>
      <c r="H35">
        <v>0</v>
      </c>
      <c r="I35">
        <v>0</v>
      </c>
      <c r="J35" s="107"/>
      <c r="K35" s="107"/>
    </row>
    <row r="36" spans="1:23" x14ac:dyDescent="0.25">
      <c r="A36" s="107"/>
      <c r="B36" s="107"/>
      <c r="C36" s="107"/>
      <c r="D36">
        <v>2022</v>
      </c>
      <c r="E36">
        <f t="shared" si="14"/>
        <v>0</v>
      </c>
      <c r="F36">
        <v>0</v>
      </c>
      <c r="G36">
        <v>0</v>
      </c>
      <c r="J36" s="107"/>
      <c r="K36" s="107"/>
    </row>
    <row r="37" spans="1:23" x14ac:dyDescent="0.25">
      <c r="A37" s="107"/>
      <c r="B37" s="107"/>
      <c r="C37" s="107"/>
      <c r="D37">
        <v>2023</v>
      </c>
      <c r="E37">
        <f t="shared" si="14"/>
        <v>0</v>
      </c>
      <c r="F37">
        <v>0</v>
      </c>
      <c r="G37">
        <v>0</v>
      </c>
      <c r="J37" s="107"/>
      <c r="K37" s="107"/>
    </row>
    <row r="38" spans="1:23" x14ac:dyDescent="0.25">
      <c r="A38" s="107"/>
      <c r="B38" s="107"/>
      <c r="C38" s="107"/>
      <c r="D38">
        <v>2024</v>
      </c>
      <c r="E38">
        <f t="shared" si="14"/>
        <v>0</v>
      </c>
      <c r="F38">
        <v>0</v>
      </c>
      <c r="G38">
        <v>0</v>
      </c>
      <c r="J38" s="107"/>
      <c r="K38" s="107"/>
    </row>
    <row r="39" spans="1:23" x14ac:dyDescent="0.25">
      <c r="A39" s="107"/>
      <c r="B39" s="107"/>
      <c r="C39" s="107"/>
      <c r="D39">
        <v>2025</v>
      </c>
      <c r="E39">
        <f t="shared" si="14"/>
        <v>0</v>
      </c>
      <c r="J39" s="107"/>
      <c r="K39" s="107"/>
    </row>
    <row r="40" spans="1:23" x14ac:dyDescent="0.25">
      <c r="A40" s="107" t="s">
        <v>23</v>
      </c>
      <c r="B40" s="107" t="s">
        <v>1274</v>
      </c>
      <c r="C40" s="107" t="s">
        <v>14</v>
      </c>
      <c r="D40" t="s">
        <v>8</v>
      </c>
      <c r="E40">
        <f t="shared" si="14"/>
        <v>3281034.05186</v>
      </c>
      <c r="F40">
        <f>F41+F42+F43+F44+F45</f>
        <v>2497235.9658599999</v>
      </c>
      <c r="G40">
        <f>G41+G42+G43+G44+G45</f>
        <v>783021.4</v>
      </c>
      <c r="H40">
        <f>H41+H42+H43+H44+H45</f>
        <v>776.68600000000004</v>
      </c>
      <c r="I40">
        <f>I41+I42+I43+I44+I45</f>
        <v>0</v>
      </c>
      <c r="J40" s="107" t="s">
        <v>1275</v>
      </c>
      <c r="K40" s="107" t="s">
        <v>1276</v>
      </c>
      <c r="M40">
        <v>4910755.47</v>
      </c>
      <c r="N40">
        <v>4910755.47</v>
      </c>
      <c r="O40" t="s">
        <v>1277</v>
      </c>
      <c r="P40" t="s">
        <v>1277</v>
      </c>
      <c r="Q40" t="s">
        <v>1277</v>
      </c>
      <c r="R40">
        <f t="shared" ref="R40:W45" si="15">M40-E40</f>
        <v>1629721.4181399997</v>
      </c>
      <c r="S40">
        <f t="shared" si="15"/>
        <v>2413519.5041399999</v>
      </c>
      <c r="T40" t="e">
        <f>O40-G40</f>
        <v>#VALUE!</v>
      </c>
      <c r="U40" t="e">
        <f t="shared" si="15"/>
        <v>#VALUE!</v>
      </c>
      <c r="V40" t="e">
        <f t="shared" si="15"/>
        <v>#VALUE!</v>
      </c>
      <c r="W40" t="e">
        <f t="shared" si="15"/>
        <v>#VALUE!</v>
      </c>
    </row>
    <row r="41" spans="1:23" x14ac:dyDescent="0.25">
      <c r="A41" s="107"/>
      <c r="B41" s="107"/>
      <c r="C41" s="107"/>
      <c r="D41">
        <v>2021</v>
      </c>
      <c r="E41">
        <f t="shared" ref="E41:E45" si="16">SUM(F41:I41)</f>
        <v>270328.09999999998</v>
      </c>
      <c r="F41">
        <f t="shared" ref="F41:I45" si="17">F47+F53+F59+F65+F71+F77+F83+F89+F95+F101+F107+F113+F119+F125+F131+F137+F143+F149</f>
        <v>270328.09999999998</v>
      </c>
      <c r="G41">
        <f t="shared" ref="G41:I41" si="18">G47+G53+G59+G65+G71+G77+G83+G89+G95+G101+G107+G113+G119+G125+G131+G137+G143+G149</f>
        <v>0</v>
      </c>
      <c r="H41">
        <f t="shared" si="18"/>
        <v>0</v>
      </c>
      <c r="I41">
        <f t="shared" si="18"/>
        <v>0</v>
      </c>
      <c r="J41" s="107"/>
      <c r="K41" s="107"/>
      <c r="M41">
        <v>270328.09999999998</v>
      </c>
      <c r="N41">
        <v>270328.09999999998</v>
      </c>
      <c r="O41" t="s">
        <v>1277</v>
      </c>
      <c r="P41" t="s">
        <v>1277</v>
      </c>
      <c r="Q41" t="s">
        <v>1277</v>
      </c>
      <c r="R41">
        <f t="shared" si="15"/>
        <v>0</v>
      </c>
      <c r="S41">
        <f t="shared" si="15"/>
        <v>0</v>
      </c>
      <c r="T41" t="e">
        <f t="shared" si="15"/>
        <v>#VALUE!</v>
      </c>
      <c r="U41" t="e">
        <f t="shared" si="15"/>
        <v>#VALUE!</v>
      </c>
      <c r="V41" t="e">
        <f t="shared" si="15"/>
        <v>#VALUE!</v>
      </c>
      <c r="W41">
        <f t="shared" si="15"/>
        <v>0</v>
      </c>
    </row>
    <row r="42" spans="1:23" x14ac:dyDescent="0.25">
      <c r="A42" s="107"/>
      <c r="B42" s="107"/>
      <c r="C42" s="107"/>
      <c r="D42">
        <v>2022</v>
      </c>
      <c r="E42">
        <f t="shared" si="16"/>
        <v>1820125.2268600001</v>
      </c>
      <c r="F42">
        <f t="shared" si="17"/>
        <v>1036327.14086</v>
      </c>
      <c r="G42">
        <f t="shared" si="17"/>
        <v>783021.4</v>
      </c>
      <c r="H42">
        <f t="shared" si="17"/>
        <v>776.68600000000004</v>
      </c>
      <c r="I42">
        <f t="shared" si="17"/>
        <v>0</v>
      </c>
      <c r="J42" s="107"/>
      <c r="K42" s="107"/>
      <c r="M42">
        <v>1911692.08</v>
      </c>
      <c r="N42">
        <v>1911692.08</v>
      </c>
      <c r="O42" t="s">
        <v>1277</v>
      </c>
      <c r="P42" t="s">
        <v>1277</v>
      </c>
      <c r="Q42" t="s">
        <v>1277</v>
      </c>
      <c r="R42">
        <f t="shared" si="15"/>
        <v>91566.853140000021</v>
      </c>
      <c r="S42">
        <f t="shared" si="15"/>
        <v>875364.93914000003</v>
      </c>
      <c r="T42" t="e">
        <f t="shared" si="15"/>
        <v>#VALUE!</v>
      </c>
      <c r="U42" t="e">
        <f t="shared" si="15"/>
        <v>#VALUE!</v>
      </c>
      <c r="V42" t="e">
        <f t="shared" si="15"/>
        <v>#VALUE!</v>
      </c>
      <c r="W42">
        <f t="shared" si="15"/>
        <v>91566.853140000021</v>
      </c>
    </row>
    <row r="43" spans="1:23" x14ac:dyDescent="0.25">
      <c r="A43" s="107"/>
      <c r="B43" s="107"/>
      <c r="C43" s="107"/>
      <c r="D43">
        <v>2023</v>
      </c>
      <c r="E43">
        <f t="shared" si="16"/>
        <v>846340.95600000001</v>
      </c>
      <c r="F43">
        <f t="shared" si="17"/>
        <v>846340.95600000001</v>
      </c>
      <c r="G43">
        <f t="shared" si="17"/>
        <v>0</v>
      </c>
      <c r="H43">
        <f t="shared" si="17"/>
        <v>0</v>
      </c>
      <c r="I43">
        <f t="shared" si="17"/>
        <v>0</v>
      </c>
      <c r="J43" s="107"/>
      <c r="K43" s="107"/>
      <c r="M43">
        <v>2677746.33</v>
      </c>
      <c r="N43">
        <v>2677746.33</v>
      </c>
      <c r="O43" t="s">
        <v>1277</v>
      </c>
      <c r="P43" t="s">
        <v>1277</v>
      </c>
      <c r="Q43" t="s">
        <v>1277</v>
      </c>
      <c r="R43">
        <f t="shared" si="15"/>
        <v>1831405.3740000001</v>
      </c>
      <c r="S43">
        <f t="shared" si="15"/>
        <v>1831405.3740000001</v>
      </c>
      <c r="T43" t="e">
        <f t="shared" si="15"/>
        <v>#VALUE!</v>
      </c>
      <c r="U43" t="e">
        <f t="shared" si="15"/>
        <v>#VALUE!</v>
      </c>
      <c r="V43" t="e">
        <f t="shared" si="15"/>
        <v>#VALUE!</v>
      </c>
      <c r="W43">
        <f t="shared" si="15"/>
        <v>1831405.3740000001</v>
      </c>
    </row>
    <row r="44" spans="1:23" x14ac:dyDescent="0.25">
      <c r="A44" s="107"/>
      <c r="B44" s="107"/>
      <c r="C44" s="107"/>
      <c r="D44">
        <v>2024</v>
      </c>
      <c r="E44">
        <f t="shared" si="16"/>
        <v>293461.72899999999</v>
      </c>
      <c r="F44">
        <f t="shared" si="17"/>
        <v>293461.72899999999</v>
      </c>
      <c r="G44">
        <f t="shared" si="17"/>
        <v>0</v>
      </c>
      <c r="H44">
        <f t="shared" si="17"/>
        <v>0</v>
      </c>
      <c r="I44">
        <f t="shared" si="17"/>
        <v>0</v>
      </c>
      <c r="J44" s="107"/>
      <c r="K44" s="107"/>
      <c r="M44">
        <v>50988.959999999999</v>
      </c>
      <c r="N44">
        <v>50988.959999999999</v>
      </c>
      <c r="O44" t="s">
        <v>1277</v>
      </c>
      <c r="P44" t="s">
        <v>1277</v>
      </c>
      <c r="Q44" t="s">
        <v>1277</v>
      </c>
      <c r="R44">
        <f t="shared" si="15"/>
        <v>-242472.769</v>
      </c>
      <c r="S44">
        <f t="shared" si="15"/>
        <v>-242472.769</v>
      </c>
      <c r="T44" t="e">
        <f t="shared" si="15"/>
        <v>#VALUE!</v>
      </c>
      <c r="U44" t="e">
        <f t="shared" si="15"/>
        <v>#VALUE!</v>
      </c>
      <c r="V44" t="e">
        <f t="shared" si="15"/>
        <v>#VALUE!</v>
      </c>
      <c r="W44">
        <f t="shared" si="15"/>
        <v>-242472.769</v>
      </c>
    </row>
    <row r="45" spans="1:23" x14ac:dyDescent="0.25">
      <c r="A45" s="107"/>
      <c r="B45" s="107"/>
      <c r="C45" s="107"/>
      <c r="D45">
        <v>2025</v>
      </c>
      <c r="E45">
        <f t="shared" si="16"/>
        <v>50778.04</v>
      </c>
      <c r="F45">
        <f t="shared" si="17"/>
        <v>50778.04</v>
      </c>
      <c r="G45">
        <f t="shared" si="17"/>
        <v>0</v>
      </c>
      <c r="H45">
        <f t="shared" si="17"/>
        <v>0</v>
      </c>
      <c r="I45">
        <f t="shared" si="17"/>
        <v>0</v>
      </c>
      <c r="J45" s="107"/>
      <c r="K45" s="107"/>
      <c r="M45" t="s">
        <v>1277</v>
      </c>
      <c r="R45" t="e">
        <f t="shared" si="15"/>
        <v>#VALUE!</v>
      </c>
      <c r="S45">
        <f t="shared" si="15"/>
        <v>-50778.04</v>
      </c>
      <c r="T45">
        <f t="shared" si="15"/>
        <v>0</v>
      </c>
      <c r="U45">
        <f t="shared" si="15"/>
        <v>0</v>
      </c>
      <c r="V45">
        <f t="shared" si="15"/>
        <v>0</v>
      </c>
      <c r="W45" t="e">
        <f t="shared" si="15"/>
        <v>#VALUE!</v>
      </c>
    </row>
    <row r="46" spans="1:23" x14ac:dyDescent="0.25">
      <c r="A46" s="107" t="s">
        <v>27</v>
      </c>
      <c r="B46" s="107" t="s">
        <v>1278</v>
      </c>
      <c r="C46" s="107" t="s">
        <v>14</v>
      </c>
      <c r="D46" t="s">
        <v>8</v>
      </c>
      <c r="E46">
        <f>F46+G46+H46+I46</f>
        <v>0</v>
      </c>
      <c r="F46">
        <f>SUM(F47:F51)</f>
        <v>0</v>
      </c>
      <c r="G46">
        <f>SUM(G47:G51)</f>
        <v>0</v>
      </c>
      <c r="H46">
        <f>SUM(H47:H51)</f>
        <v>0</v>
      </c>
      <c r="I46">
        <f>SUM(I47:I51)</f>
        <v>0</v>
      </c>
      <c r="J46" s="107" t="s">
        <v>1279</v>
      </c>
      <c r="K46" s="107" t="s">
        <v>1265</v>
      </c>
    </row>
    <row r="47" spans="1:23" x14ac:dyDescent="0.25">
      <c r="A47" s="107"/>
      <c r="B47" s="107"/>
      <c r="C47" s="107"/>
      <c r="D47">
        <v>2021</v>
      </c>
      <c r="E47">
        <f t="shared" ref="E47:E51" si="19">SUM(F47:I47)</f>
        <v>0</v>
      </c>
      <c r="F47">
        <f t="shared" ref="F47:F51" si="20">2000-2000</f>
        <v>0</v>
      </c>
      <c r="G47">
        <v>0</v>
      </c>
      <c r="H47">
        <f t="shared" ref="H47:H51" si="21">100-100</f>
        <v>0</v>
      </c>
      <c r="I47">
        <v>0</v>
      </c>
      <c r="J47" s="107"/>
      <c r="K47" s="107"/>
    </row>
    <row r="48" spans="1:23" x14ac:dyDescent="0.25">
      <c r="A48" s="107"/>
      <c r="B48" s="107"/>
      <c r="C48" s="107"/>
      <c r="D48">
        <v>2022</v>
      </c>
      <c r="E48">
        <f t="shared" si="19"/>
        <v>0</v>
      </c>
      <c r="F48">
        <f t="shared" si="20"/>
        <v>0</v>
      </c>
      <c r="G48">
        <v>0</v>
      </c>
      <c r="H48">
        <f t="shared" si="21"/>
        <v>0</v>
      </c>
      <c r="I48">
        <v>0</v>
      </c>
      <c r="J48" s="107"/>
      <c r="K48" s="107"/>
    </row>
    <row r="49" spans="1:11" x14ac:dyDescent="0.25">
      <c r="A49" s="107"/>
      <c r="B49" s="107"/>
      <c r="C49" s="107"/>
      <c r="D49">
        <v>2023</v>
      </c>
      <c r="E49">
        <f t="shared" si="19"/>
        <v>0</v>
      </c>
      <c r="F49">
        <f t="shared" si="20"/>
        <v>0</v>
      </c>
      <c r="G49">
        <v>0</v>
      </c>
      <c r="H49">
        <f t="shared" si="21"/>
        <v>0</v>
      </c>
      <c r="I49">
        <v>0</v>
      </c>
      <c r="J49" s="107"/>
      <c r="K49" s="107"/>
    </row>
    <row r="50" spans="1:11" x14ac:dyDescent="0.25">
      <c r="A50" s="107"/>
      <c r="B50" s="107"/>
      <c r="C50" s="107"/>
      <c r="D50">
        <v>2024</v>
      </c>
      <c r="E50">
        <f t="shared" si="19"/>
        <v>0</v>
      </c>
      <c r="F50">
        <f t="shared" si="20"/>
        <v>0</v>
      </c>
      <c r="G50">
        <v>0</v>
      </c>
      <c r="H50">
        <f t="shared" si="21"/>
        <v>0</v>
      </c>
      <c r="I50">
        <v>0</v>
      </c>
      <c r="J50" s="107"/>
      <c r="K50" s="107"/>
    </row>
    <row r="51" spans="1:11" x14ac:dyDescent="0.25">
      <c r="A51" s="107"/>
      <c r="B51" s="107"/>
      <c r="C51" s="107"/>
      <c r="D51">
        <v>2025</v>
      </c>
      <c r="E51">
        <f t="shared" si="19"/>
        <v>0</v>
      </c>
      <c r="F51">
        <f t="shared" si="20"/>
        <v>0</v>
      </c>
      <c r="G51">
        <v>0</v>
      </c>
      <c r="H51">
        <f t="shared" si="21"/>
        <v>0</v>
      </c>
      <c r="I51">
        <v>0</v>
      </c>
      <c r="J51" s="107"/>
      <c r="K51" s="107"/>
    </row>
    <row r="52" spans="1:11" x14ac:dyDescent="0.25">
      <c r="A52" s="107" t="s">
        <v>491</v>
      </c>
      <c r="B52" s="107" t="s">
        <v>1280</v>
      </c>
      <c r="C52" s="107">
        <v>2021</v>
      </c>
      <c r="D52" t="s">
        <v>8</v>
      </c>
      <c r="E52">
        <f t="shared" ref="E52:E115" si="22">F52+G52+H52+I52</f>
        <v>224710</v>
      </c>
      <c r="F52">
        <f>F53+F54+F55+F56+F57</f>
        <v>224710</v>
      </c>
      <c r="G52">
        <f>G53+G54+G55+G56+G57</f>
        <v>0</v>
      </c>
      <c r="H52">
        <f>H53+H54+H55+H56+H57</f>
        <v>0</v>
      </c>
      <c r="I52">
        <f>I53+I54+I55+I56+I57</f>
        <v>0</v>
      </c>
      <c r="J52" s="107" t="s">
        <v>1281</v>
      </c>
      <c r="K52" s="107" t="s">
        <v>1282</v>
      </c>
    </row>
    <row r="53" spans="1:11" x14ac:dyDescent="0.25">
      <c r="A53" s="107"/>
      <c r="B53" s="107"/>
      <c r="C53" s="107"/>
      <c r="D53">
        <v>2021</v>
      </c>
      <c r="E53">
        <f t="shared" si="22"/>
        <v>216301.1</v>
      </c>
      <c r="F53">
        <v>216301.1</v>
      </c>
      <c r="G53">
        <v>0</v>
      </c>
      <c r="H53">
        <v>0</v>
      </c>
      <c r="I53">
        <v>0</v>
      </c>
      <c r="J53" s="107"/>
      <c r="K53" s="107"/>
    </row>
    <row r="54" spans="1:11" x14ac:dyDescent="0.25">
      <c r="A54" s="107"/>
      <c r="B54" s="107"/>
      <c r="C54" s="107"/>
      <c r="D54">
        <v>2022</v>
      </c>
      <c r="E54">
        <f t="shared" si="22"/>
        <v>8408.9</v>
      </c>
      <c r="F54">
        <v>8408.9</v>
      </c>
      <c r="G54">
        <v>0</v>
      </c>
      <c r="H54">
        <v>0</v>
      </c>
      <c r="I54">
        <v>0</v>
      </c>
      <c r="J54" s="107"/>
      <c r="K54" s="107"/>
    </row>
    <row r="55" spans="1:11" x14ac:dyDescent="0.25">
      <c r="A55" s="107"/>
      <c r="B55" s="107"/>
      <c r="C55" s="107"/>
      <c r="D55">
        <v>2023</v>
      </c>
      <c r="E55">
        <f t="shared" si="22"/>
        <v>0</v>
      </c>
      <c r="F55">
        <v>0</v>
      </c>
      <c r="G55">
        <v>0</v>
      </c>
      <c r="H55">
        <v>0</v>
      </c>
      <c r="I55">
        <v>0</v>
      </c>
      <c r="J55" s="107"/>
      <c r="K55" s="107"/>
    </row>
    <row r="56" spans="1:11" x14ac:dyDescent="0.25">
      <c r="A56" s="107"/>
      <c r="B56" s="107"/>
      <c r="C56" s="107"/>
      <c r="D56">
        <v>2024</v>
      </c>
      <c r="E56">
        <f t="shared" si="22"/>
        <v>0</v>
      </c>
      <c r="F56">
        <v>0</v>
      </c>
      <c r="G56">
        <v>0</v>
      </c>
      <c r="H56">
        <v>0</v>
      </c>
      <c r="I56">
        <v>0</v>
      </c>
      <c r="J56" s="107"/>
      <c r="K56" s="107"/>
    </row>
    <row r="57" spans="1:11" x14ac:dyDescent="0.25">
      <c r="A57" s="107"/>
      <c r="B57" s="107"/>
      <c r="C57" s="107"/>
      <c r="D57">
        <v>2025</v>
      </c>
      <c r="E57">
        <f t="shared" si="22"/>
        <v>0</v>
      </c>
      <c r="H57">
        <v>0</v>
      </c>
      <c r="I57">
        <v>0</v>
      </c>
      <c r="J57" s="107"/>
      <c r="K57" s="107"/>
    </row>
    <row r="58" spans="1:11" x14ac:dyDescent="0.25">
      <c r="A58" s="107" t="s">
        <v>1283</v>
      </c>
      <c r="B58" s="107" t="s">
        <v>1284</v>
      </c>
      <c r="C58" s="107" t="s">
        <v>19</v>
      </c>
      <c r="D58" t="s">
        <v>8</v>
      </c>
      <c r="E58">
        <f t="shared" si="22"/>
        <v>880382.69200000004</v>
      </c>
      <c r="F58">
        <f>F59+F60+F61+F62+F63</f>
        <v>880382.69200000004</v>
      </c>
      <c r="G58">
        <f>G59+G60+G61+G62+G63</f>
        <v>0</v>
      </c>
      <c r="H58">
        <f>H59+H60+H61+H62+H63</f>
        <v>0</v>
      </c>
      <c r="I58">
        <f>I59+I60+I61+I62+I63</f>
        <v>0</v>
      </c>
      <c r="J58" s="107" t="s">
        <v>1285</v>
      </c>
      <c r="K58" s="107" t="s">
        <v>1286</v>
      </c>
    </row>
    <row r="59" spans="1:11" x14ac:dyDescent="0.25">
      <c r="A59" s="107"/>
      <c r="B59" s="107"/>
      <c r="C59" s="107"/>
      <c r="D59">
        <v>2021</v>
      </c>
      <c r="E59">
        <f t="shared" si="22"/>
        <v>0</v>
      </c>
      <c r="F59">
        <v>0</v>
      </c>
      <c r="G59">
        <v>0</v>
      </c>
      <c r="H59">
        <v>0</v>
      </c>
      <c r="I59">
        <v>0</v>
      </c>
      <c r="J59" s="107"/>
      <c r="K59" s="107"/>
    </row>
    <row r="60" spans="1:11" x14ac:dyDescent="0.25">
      <c r="A60" s="107"/>
      <c r="B60" s="107"/>
      <c r="C60" s="107"/>
      <c r="D60">
        <v>2022</v>
      </c>
      <c r="E60">
        <f t="shared" si="22"/>
        <v>250570.12599999999</v>
      </c>
      <c r="F60">
        <f>151185.8+320043.3-24336.6-23902.4-148142.686-17777.288-6500</f>
        <v>250570.12599999999</v>
      </c>
      <c r="G60">
        <v>0</v>
      </c>
      <c r="H60">
        <v>0</v>
      </c>
      <c r="I60">
        <v>0</v>
      </c>
      <c r="J60" s="107"/>
      <c r="K60" s="107"/>
    </row>
    <row r="61" spans="1:11" x14ac:dyDescent="0.25">
      <c r="A61" s="107"/>
      <c r="B61" s="107"/>
      <c r="C61" s="107"/>
      <c r="D61">
        <v>2023</v>
      </c>
      <c r="E61">
        <f t="shared" si="22"/>
        <v>387128.87699999998</v>
      </c>
      <c r="F61">
        <f>387128.877</f>
        <v>387128.87699999998</v>
      </c>
      <c r="G61">
        <v>0</v>
      </c>
      <c r="H61">
        <v>0</v>
      </c>
      <c r="I61">
        <v>0</v>
      </c>
      <c r="J61" s="107"/>
      <c r="K61" s="107"/>
    </row>
    <row r="62" spans="1:11" x14ac:dyDescent="0.25">
      <c r="A62" s="107"/>
      <c r="B62" s="107"/>
      <c r="C62" s="107"/>
      <c r="D62">
        <v>2024</v>
      </c>
      <c r="E62">
        <f t="shared" si="22"/>
        <v>242683.68900000001</v>
      </c>
      <c r="F62">
        <v>242683.68900000001</v>
      </c>
      <c r="G62">
        <v>0</v>
      </c>
      <c r="H62">
        <v>0</v>
      </c>
      <c r="I62">
        <v>0</v>
      </c>
      <c r="J62" s="107"/>
      <c r="K62" s="107"/>
    </row>
    <row r="63" spans="1:11" x14ac:dyDescent="0.25">
      <c r="A63" s="107"/>
      <c r="B63" s="107"/>
      <c r="C63" s="107"/>
      <c r="D63">
        <v>2025</v>
      </c>
      <c r="E63">
        <f t="shared" si="22"/>
        <v>0</v>
      </c>
      <c r="F63">
        <v>0</v>
      </c>
      <c r="G63">
        <v>0</v>
      </c>
      <c r="H63">
        <v>0</v>
      </c>
      <c r="I63">
        <v>0</v>
      </c>
      <c r="J63" s="107"/>
      <c r="K63" s="107"/>
    </row>
    <row r="64" spans="1:11" x14ac:dyDescent="0.25">
      <c r="A64" s="107" t="s">
        <v>1287</v>
      </c>
      <c r="B64" s="107" t="s">
        <v>1288</v>
      </c>
      <c r="C64" s="107" t="s">
        <v>124</v>
      </c>
      <c r="D64" t="s">
        <v>8</v>
      </c>
      <c r="E64">
        <f t="shared" si="22"/>
        <v>227911.66</v>
      </c>
      <c r="F64">
        <f>F65+F66+F67+F68+F69</f>
        <v>227911.66</v>
      </c>
      <c r="G64">
        <f>G65+G66+G67+G68+G69</f>
        <v>0</v>
      </c>
      <c r="H64">
        <f>H65+H66+H67+H68+H69</f>
        <v>0</v>
      </c>
      <c r="I64">
        <f>I65+I66+I67+I68+I69</f>
        <v>0</v>
      </c>
      <c r="J64" s="107" t="s">
        <v>1289</v>
      </c>
      <c r="K64" s="107" t="s">
        <v>1286</v>
      </c>
    </row>
    <row r="65" spans="1:11" x14ac:dyDescent="0.25">
      <c r="A65" s="107"/>
      <c r="B65" s="107"/>
      <c r="C65" s="107"/>
      <c r="D65">
        <v>2021</v>
      </c>
      <c r="E65">
        <f t="shared" si="22"/>
        <v>39539.9</v>
      </c>
      <c r="F65">
        <v>39539.9</v>
      </c>
      <c r="G65">
        <v>0</v>
      </c>
      <c r="H65">
        <v>0</v>
      </c>
      <c r="I65">
        <v>0</v>
      </c>
      <c r="J65" s="107"/>
      <c r="K65" s="107"/>
    </row>
    <row r="66" spans="1:11" x14ac:dyDescent="0.25">
      <c r="A66" s="107"/>
      <c r="B66" s="107"/>
      <c r="C66" s="107"/>
      <c r="D66">
        <v>2022</v>
      </c>
      <c r="E66">
        <f t="shared" si="22"/>
        <v>48562.94</v>
      </c>
      <c r="F66">
        <f>46952.94+1610</f>
        <v>48562.94</v>
      </c>
      <c r="G66">
        <v>0</v>
      </c>
      <c r="H66">
        <v>0</v>
      </c>
      <c r="I66">
        <v>0</v>
      </c>
      <c r="J66" s="107"/>
      <c r="K66" s="107"/>
    </row>
    <row r="67" spans="1:11" x14ac:dyDescent="0.25">
      <c r="A67" s="107"/>
      <c r="B67" s="107"/>
      <c r="C67" s="107"/>
      <c r="D67">
        <v>2023</v>
      </c>
      <c r="E67">
        <f t="shared" si="22"/>
        <v>46602.94</v>
      </c>
      <c r="F67">
        <v>46602.94</v>
      </c>
      <c r="G67">
        <v>0</v>
      </c>
      <c r="H67">
        <v>0</v>
      </c>
      <c r="I67">
        <v>0</v>
      </c>
      <c r="J67" s="107"/>
      <c r="K67" s="107"/>
    </row>
    <row r="68" spans="1:11" x14ac:dyDescent="0.25">
      <c r="A68" s="107"/>
      <c r="B68" s="107"/>
      <c r="C68" s="107"/>
      <c r="D68">
        <v>2024</v>
      </c>
      <c r="E68">
        <f t="shared" si="22"/>
        <v>46602.94</v>
      </c>
      <c r="F68">
        <v>46602.94</v>
      </c>
      <c r="G68">
        <v>0</v>
      </c>
      <c r="H68">
        <v>0</v>
      </c>
      <c r="I68">
        <v>0</v>
      </c>
      <c r="J68" s="107"/>
      <c r="K68" s="107"/>
    </row>
    <row r="69" spans="1:11" ht="18.75" customHeight="1" x14ac:dyDescent="0.25">
      <c r="A69" s="107"/>
      <c r="B69" s="107"/>
      <c r="C69" s="107"/>
      <c r="D69">
        <v>2025</v>
      </c>
      <c r="E69">
        <f t="shared" si="22"/>
        <v>46602.94</v>
      </c>
      <c r="F69">
        <v>46602.94</v>
      </c>
      <c r="G69">
        <v>0</v>
      </c>
      <c r="H69">
        <v>0</v>
      </c>
      <c r="I69">
        <v>0</v>
      </c>
      <c r="J69" s="107"/>
      <c r="K69" s="107"/>
    </row>
    <row r="70" spans="1:11" x14ac:dyDescent="0.25">
      <c r="A70" s="107" t="s">
        <v>1290</v>
      </c>
      <c r="B70" s="107" t="s">
        <v>1291</v>
      </c>
      <c r="C70" s="107" t="s">
        <v>19</v>
      </c>
      <c r="D70" t="s">
        <v>8</v>
      </c>
      <c r="E70">
        <f t="shared" si="22"/>
        <v>0</v>
      </c>
      <c r="F70">
        <f>F71+F72+F73+F74+F75</f>
        <v>0</v>
      </c>
      <c r="G70">
        <f>G71+G72+G73+G74+G75</f>
        <v>0</v>
      </c>
      <c r="H70">
        <f>H71+H72+H73+H74+H75</f>
        <v>0</v>
      </c>
      <c r="I70">
        <f>I71+I72+I73+I74+I75</f>
        <v>0</v>
      </c>
      <c r="J70" s="107" t="s">
        <v>1292</v>
      </c>
      <c r="K70" s="107" t="s">
        <v>1286</v>
      </c>
    </row>
    <row r="71" spans="1:11" x14ac:dyDescent="0.25">
      <c r="A71" s="107"/>
      <c r="B71" s="107"/>
      <c r="C71" s="107"/>
      <c r="D71">
        <v>2021</v>
      </c>
      <c r="E71">
        <f t="shared" si="22"/>
        <v>0</v>
      </c>
      <c r="F71">
        <v>0</v>
      </c>
      <c r="G71">
        <v>0</v>
      </c>
      <c r="H71">
        <v>0</v>
      </c>
      <c r="I71">
        <v>0</v>
      </c>
      <c r="J71" s="107"/>
      <c r="K71" s="107"/>
    </row>
    <row r="72" spans="1:11" x14ac:dyDescent="0.25">
      <c r="A72" s="107"/>
      <c r="B72" s="107"/>
      <c r="C72" s="107"/>
      <c r="D72">
        <v>2022</v>
      </c>
      <c r="E72">
        <f t="shared" si="22"/>
        <v>0</v>
      </c>
      <c r="F72">
        <v>0</v>
      </c>
      <c r="G72">
        <v>0</v>
      </c>
      <c r="H72">
        <v>0</v>
      </c>
      <c r="I72">
        <v>0</v>
      </c>
      <c r="J72" s="107"/>
      <c r="K72" s="107"/>
    </row>
    <row r="73" spans="1:11" x14ac:dyDescent="0.25">
      <c r="A73" s="107"/>
      <c r="B73" s="107"/>
      <c r="C73" s="107"/>
      <c r="D73">
        <v>2023</v>
      </c>
      <c r="E73">
        <f t="shared" si="22"/>
        <v>0</v>
      </c>
      <c r="F73">
        <v>0</v>
      </c>
      <c r="G73">
        <v>0</v>
      </c>
      <c r="H73">
        <v>0</v>
      </c>
      <c r="I73">
        <v>0</v>
      </c>
      <c r="J73" s="107"/>
      <c r="K73" s="107"/>
    </row>
    <row r="74" spans="1:11" x14ac:dyDescent="0.25">
      <c r="A74" s="107"/>
      <c r="B74" s="107"/>
      <c r="C74" s="107"/>
      <c r="D74">
        <v>2024</v>
      </c>
      <c r="E74">
        <f t="shared" si="22"/>
        <v>0</v>
      </c>
      <c r="F74">
        <v>0</v>
      </c>
      <c r="G74">
        <v>0</v>
      </c>
      <c r="H74">
        <v>0</v>
      </c>
      <c r="I74">
        <v>0</v>
      </c>
      <c r="J74" s="107"/>
      <c r="K74" s="107"/>
    </row>
    <row r="75" spans="1:11" x14ac:dyDescent="0.25">
      <c r="A75" s="107"/>
      <c r="B75" s="107"/>
      <c r="C75" s="107"/>
      <c r="D75">
        <v>2025</v>
      </c>
      <c r="E75">
        <f t="shared" si="22"/>
        <v>0</v>
      </c>
      <c r="F75">
        <v>0</v>
      </c>
      <c r="G75">
        <v>0</v>
      </c>
      <c r="H75">
        <v>0</v>
      </c>
      <c r="I75">
        <v>0</v>
      </c>
      <c r="J75" s="107"/>
      <c r="K75" s="107"/>
    </row>
    <row r="76" spans="1:11" x14ac:dyDescent="0.25">
      <c r="A76" s="107" t="s">
        <v>1293</v>
      </c>
      <c r="B76" s="107" t="s">
        <v>1294</v>
      </c>
      <c r="C76" s="107" t="s">
        <v>19</v>
      </c>
      <c r="D76" t="s">
        <v>8</v>
      </c>
      <c r="E76">
        <f t="shared" si="22"/>
        <v>4.0000000008149073E-2</v>
      </c>
      <c r="F76">
        <f>F77+F78+F79+F80+F81</f>
        <v>4.0000000008149073E-2</v>
      </c>
      <c r="G76">
        <f>G77+G78+G79+G80+G81</f>
        <v>0</v>
      </c>
      <c r="H76">
        <f>H77+H78+H79+H80+H81</f>
        <v>0</v>
      </c>
      <c r="I76">
        <f>I77+I78+I79+I80+I81</f>
        <v>0</v>
      </c>
      <c r="J76" s="107" t="s">
        <v>1295</v>
      </c>
      <c r="K76" s="107" t="s">
        <v>1286</v>
      </c>
    </row>
    <row r="77" spans="1:11" x14ac:dyDescent="0.25">
      <c r="A77" s="107"/>
      <c r="B77" s="107"/>
      <c r="C77" s="107"/>
      <c r="D77">
        <v>2021</v>
      </c>
      <c r="E77">
        <f t="shared" si="22"/>
        <v>0</v>
      </c>
      <c r="F77">
        <v>0</v>
      </c>
      <c r="G77">
        <v>0</v>
      </c>
      <c r="H77">
        <v>0</v>
      </c>
      <c r="I77">
        <v>0</v>
      </c>
      <c r="J77" s="107"/>
      <c r="K77" s="107"/>
    </row>
    <row r="78" spans="1:11" x14ac:dyDescent="0.25">
      <c r="A78" s="107"/>
      <c r="B78" s="107"/>
      <c r="C78" s="107"/>
      <c r="D78">
        <v>2022</v>
      </c>
      <c r="E78">
        <f t="shared" si="22"/>
        <v>0</v>
      </c>
      <c r="G78">
        <v>0</v>
      </c>
      <c r="H78">
        <v>0</v>
      </c>
      <c r="I78">
        <v>0</v>
      </c>
      <c r="J78" s="107"/>
      <c r="K78" s="107"/>
    </row>
    <row r="79" spans="1:11" x14ac:dyDescent="0.25">
      <c r="A79" s="107"/>
      <c r="B79" s="107"/>
      <c r="C79" s="107"/>
      <c r="D79">
        <v>2023</v>
      </c>
      <c r="E79">
        <f t="shared" si="22"/>
        <v>4.0000000008149073E-2</v>
      </c>
      <c r="F79">
        <f>158197.04-158197</f>
        <v>4.0000000008149073E-2</v>
      </c>
      <c r="G79">
        <v>0</v>
      </c>
      <c r="H79">
        <v>0</v>
      </c>
      <c r="I79">
        <v>0</v>
      </c>
      <c r="J79" s="107"/>
      <c r="K79" s="107"/>
    </row>
    <row r="80" spans="1:11" x14ac:dyDescent="0.25">
      <c r="A80" s="107"/>
      <c r="B80" s="107"/>
      <c r="C80" s="107"/>
      <c r="D80">
        <v>2024</v>
      </c>
      <c r="E80">
        <f t="shared" si="22"/>
        <v>0</v>
      </c>
      <c r="F80">
        <v>0</v>
      </c>
      <c r="G80">
        <v>0</v>
      </c>
      <c r="H80">
        <v>0</v>
      </c>
      <c r="I80">
        <v>0</v>
      </c>
      <c r="J80" s="107"/>
      <c r="K80" s="107"/>
    </row>
    <row r="81" spans="1:11" x14ac:dyDescent="0.25">
      <c r="A81" s="107"/>
      <c r="B81" s="107"/>
      <c r="C81" s="107"/>
      <c r="D81">
        <v>2025</v>
      </c>
      <c r="E81">
        <f t="shared" si="22"/>
        <v>0</v>
      </c>
      <c r="F81">
        <v>0</v>
      </c>
      <c r="G81">
        <v>0</v>
      </c>
      <c r="H81">
        <v>0</v>
      </c>
      <c r="I81">
        <v>0</v>
      </c>
      <c r="J81" s="107"/>
      <c r="K81" s="107"/>
    </row>
    <row r="82" spans="1:11" x14ac:dyDescent="0.25">
      <c r="A82" s="107" t="s">
        <v>1296</v>
      </c>
      <c r="B82" s="107" t="s">
        <v>1297</v>
      </c>
      <c r="C82" s="107" t="s">
        <v>19</v>
      </c>
      <c r="D82" t="s">
        <v>8</v>
      </c>
      <c r="E82">
        <f t="shared" si="22"/>
        <v>210003.7</v>
      </c>
      <c r="F82">
        <f>F83+F84+F85+F86+F87</f>
        <v>210003.7</v>
      </c>
      <c r="G82">
        <f>G83+G84+G85+G86+G87</f>
        <v>0</v>
      </c>
      <c r="H82">
        <f>H83+H84+H85+H86+H87</f>
        <v>0</v>
      </c>
      <c r="I82">
        <f>I83+I84+I85+I86+I87</f>
        <v>0</v>
      </c>
      <c r="J82" s="107" t="s">
        <v>1298</v>
      </c>
      <c r="K82" s="107" t="s">
        <v>1286</v>
      </c>
    </row>
    <row r="83" spans="1:11" x14ac:dyDescent="0.25">
      <c r="A83" s="107"/>
      <c r="B83" s="107"/>
      <c r="C83" s="107"/>
      <c r="D83">
        <v>2021</v>
      </c>
      <c r="E83">
        <f t="shared" si="22"/>
        <v>0</v>
      </c>
      <c r="F83">
        <v>0</v>
      </c>
      <c r="G83">
        <v>0</v>
      </c>
      <c r="H83">
        <v>0</v>
      </c>
      <c r="I83">
        <v>0</v>
      </c>
      <c r="J83" s="107"/>
      <c r="K83" s="107"/>
    </row>
    <row r="84" spans="1:11" x14ac:dyDescent="0.25">
      <c r="A84" s="107"/>
      <c r="B84" s="107"/>
      <c r="C84" s="107"/>
      <c r="D84">
        <v>2022</v>
      </c>
      <c r="E84">
        <f t="shared" si="22"/>
        <v>210003.7</v>
      </c>
      <c r="F84">
        <f>342216.1+206783.9-338996.3</f>
        <v>210003.7</v>
      </c>
      <c r="G84">
        <v>0</v>
      </c>
      <c r="H84">
        <v>0</v>
      </c>
      <c r="I84">
        <v>0</v>
      </c>
      <c r="J84" s="107"/>
      <c r="K84" s="107"/>
    </row>
    <row r="85" spans="1:11" x14ac:dyDescent="0.25">
      <c r="A85" s="107"/>
      <c r="B85" s="107"/>
      <c r="C85" s="107"/>
      <c r="D85">
        <v>2023</v>
      </c>
      <c r="E85">
        <f t="shared" si="22"/>
        <v>0</v>
      </c>
      <c r="F85">
        <v>0</v>
      </c>
      <c r="G85">
        <v>0</v>
      </c>
      <c r="H85">
        <v>0</v>
      </c>
      <c r="I85">
        <v>0</v>
      </c>
      <c r="J85" s="107"/>
      <c r="K85" s="107"/>
    </row>
    <row r="86" spans="1:11" x14ac:dyDescent="0.25">
      <c r="A86" s="107"/>
      <c r="B86" s="107"/>
      <c r="C86" s="107"/>
      <c r="D86">
        <v>2024</v>
      </c>
      <c r="E86">
        <f t="shared" si="22"/>
        <v>0</v>
      </c>
      <c r="F86">
        <v>0</v>
      </c>
      <c r="G86">
        <v>0</v>
      </c>
      <c r="H86">
        <v>0</v>
      </c>
      <c r="I86">
        <v>0</v>
      </c>
      <c r="J86" s="107"/>
      <c r="K86" s="107"/>
    </row>
    <row r="87" spans="1:11" x14ac:dyDescent="0.25">
      <c r="A87" s="107"/>
      <c r="B87" s="107"/>
      <c r="C87" s="107"/>
      <c r="D87">
        <v>2025</v>
      </c>
      <c r="E87">
        <f t="shared" si="22"/>
        <v>0</v>
      </c>
      <c r="F87">
        <v>0</v>
      </c>
      <c r="G87">
        <v>0</v>
      </c>
      <c r="H87">
        <v>0</v>
      </c>
      <c r="I87">
        <v>0</v>
      </c>
      <c r="J87" s="107"/>
      <c r="K87" s="107"/>
    </row>
    <row r="88" spans="1:11" x14ac:dyDescent="0.25">
      <c r="A88" s="107" t="s">
        <v>1299</v>
      </c>
      <c r="B88" s="107" t="s">
        <v>1300</v>
      </c>
      <c r="C88" s="107" t="s">
        <v>19</v>
      </c>
      <c r="D88" t="s">
        <v>8</v>
      </c>
      <c r="E88">
        <f t="shared" si="22"/>
        <v>10001.905999999988</v>
      </c>
      <c r="F88">
        <f>F89+F90+F91+F92+F93</f>
        <v>10001.905999999988</v>
      </c>
      <c r="G88">
        <f>G89+G90+G91+G92+G93</f>
        <v>0</v>
      </c>
      <c r="H88">
        <f>H89+H90+H91+H92+H93</f>
        <v>0</v>
      </c>
      <c r="I88">
        <f>I89+I90+I91+I92+I93</f>
        <v>0</v>
      </c>
      <c r="J88" s="107" t="s">
        <v>1301</v>
      </c>
      <c r="K88" s="107" t="s">
        <v>1286</v>
      </c>
    </row>
    <row r="89" spans="1:11" x14ac:dyDescent="0.25">
      <c r="A89" s="107"/>
      <c r="B89" s="107"/>
      <c r="C89" s="107"/>
      <c r="D89">
        <v>2021</v>
      </c>
      <c r="E89">
        <f t="shared" si="22"/>
        <v>0</v>
      </c>
      <c r="F89">
        <v>0</v>
      </c>
      <c r="G89">
        <v>0</v>
      </c>
      <c r="H89">
        <v>0</v>
      </c>
      <c r="I89">
        <v>0</v>
      </c>
      <c r="J89" s="107"/>
      <c r="K89" s="107"/>
    </row>
    <row r="90" spans="1:11" x14ac:dyDescent="0.25">
      <c r="A90" s="107"/>
      <c r="B90" s="107"/>
      <c r="C90" s="107"/>
      <c r="D90">
        <v>2022</v>
      </c>
      <c r="E90">
        <f t="shared" si="22"/>
        <v>10001.905999999988</v>
      </c>
      <c r="F90">
        <f>49319.22+148142.686-187460</f>
        <v>10001.905999999988</v>
      </c>
      <c r="G90">
        <v>0</v>
      </c>
      <c r="H90">
        <v>0</v>
      </c>
      <c r="I90">
        <v>0</v>
      </c>
      <c r="J90" s="107"/>
      <c r="K90" s="107"/>
    </row>
    <row r="91" spans="1:11" x14ac:dyDescent="0.25">
      <c r="A91" s="107"/>
      <c r="B91" s="107"/>
      <c r="C91" s="107"/>
      <c r="D91">
        <v>2023</v>
      </c>
      <c r="E91">
        <f t="shared" si="22"/>
        <v>0</v>
      </c>
      <c r="F91">
        <v>0</v>
      </c>
      <c r="G91">
        <v>0</v>
      </c>
      <c r="H91">
        <v>0</v>
      </c>
      <c r="I91">
        <v>0</v>
      </c>
      <c r="J91" s="107"/>
      <c r="K91" s="107"/>
    </row>
    <row r="92" spans="1:11" x14ac:dyDescent="0.25">
      <c r="A92" s="107"/>
      <c r="B92" s="107"/>
      <c r="C92" s="107"/>
      <c r="D92">
        <v>2024</v>
      </c>
      <c r="E92">
        <f t="shared" si="22"/>
        <v>0</v>
      </c>
      <c r="F92">
        <v>0</v>
      </c>
      <c r="G92">
        <v>0</v>
      </c>
      <c r="H92">
        <v>0</v>
      </c>
      <c r="I92">
        <v>0</v>
      </c>
      <c r="J92" s="107"/>
      <c r="K92" s="107"/>
    </row>
    <row r="93" spans="1:11" x14ac:dyDescent="0.25">
      <c r="A93" s="107"/>
      <c r="B93" s="107"/>
      <c r="C93" s="107"/>
      <c r="D93">
        <v>2025</v>
      </c>
      <c r="E93">
        <f t="shared" si="22"/>
        <v>0</v>
      </c>
      <c r="F93">
        <v>0</v>
      </c>
      <c r="G93">
        <v>0</v>
      </c>
      <c r="H93">
        <v>0</v>
      </c>
      <c r="I93">
        <v>0</v>
      </c>
      <c r="J93" s="107"/>
      <c r="K93" s="107"/>
    </row>
    <row r="94" spans="1:11" x14ac:dyDescent="0.25">
      <c r="A94" s="107" t="s">
        <v>1302</v>
      </c>
      <c r="B94" s="107" t="s">
        <v>1303</v>
      </c>
      <c r="C94" s="107" t="s">
        <v>19</v>
      </c>
      <c r="D94" t="s">
        <v>8</v>
      </c>
      <c r="E94">
        <f t="shared" si="22"/>
        <v>0</v>
      </c>
      <c r="F94">
        <f>F95+F96+F97+F98+F99</f>
        <v>0</v>
      </c>
      <c r="G94">
        <f>G95+G96+G97+G98+G99</f>
        <v>0</v>
      </c>
      <c r="H94">
        <f>H95+H96+H97+H98+H99</f>
        <v>0</v>
      </c>
      <c r="I94">
        <f>I95+I96+I97+I98+I99</f>
        <v>0</v>
      </c>
      <c r="J94" s="107" t="s">
        <v>1304</v>
      </c>
      <c r="K94" s="107" t="s">
        <v>1286</v>
      </c>
    </row>
    <row r="95" spans="1:11" x14ac:dyDescent="0.25">
      <c r="A95" s="107"/>
      <c r="B95" s="107"/>
      <c r="C95" s="107"/>
      <c r="D95">
        <v>2021</v>
      </c>
      <c r="E95">
        <f t="shared" si="22"/>
        <v>0</v>
      </c>
      <c r="F95">
        <v>0</v>
      </c>
      <c r="G95">
        <v>0</v>
      </c>
      <c r="H95">
        <v>0</v>
      </c>
      <c r="I95">
        <v>0</v>
      </c>
      <c r="J95" s="107"/>
      <c r="K95" s="107"/>
    </row>
    <row r="96" spans="1:11" x14ac:dyDescent="0.25">
      <c r="A96" s="107"/>
      <c r="B96" s="107"/>
      <c r="C96" s="107"/>
      <c r="D96">
        <v>2022</v>
      </c>
      <c r="E96">
        <f t="shared" si="22"/>
        <v>0</v>
      </c>
      <c r="F96">
        <v>0</v>
      </c>
      <c r="G96">
        <v>0</v>
      </c>
      <c r="H96">
        <v>0</v>
      </c>
      <c r="I96">
        <v>0</v>
      </c>
      <c r="J96" s="107"/>
      <c r="K96" s="107"/>
    </row>
    <row r="97" spans="1:11" x14ac:dyDescent="0.25">
      <c r="A97" s="107"/>
      <c r="B97" s="107"/>
      <c r="C97" s="107"/>
      <c r="D97">
        <v>2023</v>
      </c>
      <c r="E97">
        <f t="shared" si="22"/>
        <v>0</v>
      </c>
      <c r="F97">
        <v>0</v>
      </c>
      <c r="G97">
        <v>0</v>
      </c>
      <c r="H97">
        <v>0</v>
      </c>
      <c r="I97">
        <v>0</v>
      </c>
      <c r="J97" s="107"/>
      <c r="K97" s="107"/>
    </row>
    <row r="98" spans="1:11" x14ac:dyDescent="0.25">
      <c r="A98" s="107"/>
      <c r="B98" s="107"/>
      <c r="C98" s="107"/>
      <c r="D98">
        <v>2024</v>
      </c>
      <c r="E98">
        <f t="shared" si="22"/>
        <v>0</v>
      </c>
      <c r="F98">
        <v>0</v>
      </c>
      <c r="G98">
        <v>0</v>
      </c>
      <c r="H98">
        <v>0</v>
      </c>
      <c r="I98">
        <v>0</v>
      </c>
      <c r="J98" s="107"/>
      <c r="K98" s="107"/>
    </row>
    <row r="99" spans="1:11" x14ac:dyDescent="0.25">
      <c r="A99" s="107"/>
      <c r="B99" s="107"/>
      <c r="C99" s="107"/>
      <c r="D99">
        <v>2025</v>
      </c>
      <c r="E99">
        <f t="shared" si="22"/>
        <v>0</v>
      </c>
      <c r="F99">
        <v>0</v>
      </c>
      <c r="G99">
        <v>0</v>
      </c>
      <c r="H99">
        <v>0</v>
      </c>
      <c r="I99">
        <v>0</v>
      </c>
      <c r="J99" s="107"/>
      <c r="K99" s="107"/>
    </row>
    <row r="100" spans="1:11" x14ac:dyDescent="0.25">
      <c r="A100" s="107" t="s">
        <v>1305</v>
      </c>
      <c r="B100" s="107" t="s">
        <v>1306</v>
      </c>
      <c r="C100" s="107">
        <v>2021</v>
      </c>
      <c r="D100" t="s">
        <v>8</v>
      </c>
      <c r="E100">
        <f t="shared" si="22"/>
        <v>0</v>
      </c>
      <c r="F100">
        <f>F101+F102+F103+F104+F105</f>
        <v>0</v>
      </c>
      <c r="G100">
        <f>G101+G102+G103+G104+G105</f>
        <v>0</v>
      </c>
      <c r="H100">
        <f>H101+H102+H103+H104+H105</f>
        <v>0</v>
      </c>
      <c r="I100">
        <f>I101+I102+I103+I104+I105</f>
        <v>0</v>
      </c>
      <c r="J100" s="107" t="s">
        <v>1307</v>
      </c>
      <c r="K100" s="107" t="s">
        <v>1282</v>
      </c>
    </row>
    <row r="101" spans="1:11" x14ac:dyDescent="0.25">
      <c r="A101" s="107"/>
      <c r="B101" s="107"/>
      <c r="C101" s="107"/>
      <c r="D101">
        <v>2021</v>
      </c>
      <c r="E101">
        <f t="shared" si="22"/>
        <v>0</v>
      </c>
      <c r="F101">
        <v>0</v>
      </c>
      <c r="G101">
        <v>0</v>
      </c>
      <c r="H101">
        <v>0</v>
      </c>
      <c r="I101">
        <v>0</v>
      </c>
      <c r="J101" s="107"/>
      <c r="K101" s="107"/>
    </row>
    <row r="102" spans="1:11" x14ac:dyDescent="0.25">
      <c r="A102" s="107"/>
      <c r="B102" s="107"/>
      <c r="C102" s="107"/>
      <c r="D102">
        <v>2022</v>
      </c>
      <c r="E102">
        <f t="shared" si="22"/>
        <v>0</v>
      </c>
      <c r="F102">
        <v>0</v>
      </c>
      <c r="G102">
        <v>0</v>
      </c>
      <c r="H102">
        <v>0</v>
      </c>
      <c r="I102">
        <v>0</v>
      </c>
      <c r="J102" s="107"/>
      <c r="K102" s="107"/>
    </row>
    <row r="103" spans="1:11" x14ac:dyDescent="0.25">
      <c r="A103" s="107"/>
      <c r="B103" s="107"/>
      <c r="C103" s="107"/>
      <c r="D103">
        <v>2023</v>
      </c>
      <c r="E103">
        <f t="shared" si="22"/>
        <v>0</v>
      </c>
      <c r="F103">
        <v>0</v>
      </c>
      <c r="G103">
        <v>0</v>
      </c>
      <c r="H103">
        <v>0</v>
      </c>
      <c r="I103">
        <v>0</v>
      </c>
      <c r="J103" s="107"/>
      <c r="K103" s="107"/>
    </row>
    <row r="104" spans="1:11" x14ac:dyDescent="0.25">
      <c r="A104" s="107"/>
      <c r="B104" s="107"/>
      <c r="C104" s="107"/>
      <c r="D104">
        <v>2024</v>
      </c>
      <c r="E104">
        <f t="shared" si="22"/>
        <v>0</v>
      </c>
      <c r="F104">
        <v>0</v>
      </c>
      <c r="G104">
        <v>0</v>
      </c>
      <c r="H104">
        <v>0</v>
      </c>
      <c r="I104">
        <v>0</v>
      </c>
      <c r="J104" s="107"/>
      <c r="K104" s="107"/>
    </row>
    <row r="105" spans="1:11" x14ac:dyDescent="0.25">
      <c r="A105" s="107"/>
      <c r="B105" s="107"/>
      <c r="C105" s="107"/>
      <c r="D105">
        <v>2025</v>
      </c>
      <c r="E105">
        <f t="shared" si="22"/>
        <v>0</v>
      </c>
      <c r="F105">
        <v>0</v>
      </c>
      <c r="G105">
        <v>0</v>
      </c>
      <c r="H105">
        <v>0</v>
      </c>
      <c r="I105">
        <v>0</v>
      </c>
      <c r="J105" s="107"/>
      <c r="K105" s="107"/>
    </row>
    <row r="106" spans="1:11" x14ac:dyDescent="0.25">
      <c r="A106" s="107" t="s">
        <v>1308</v>
      </c>
      <c r="B106" s="107" t="s">
        <v>1309</v>
      </c>
      <c r="C106" s="107">
        <v>2021</v>
      </c>
      <c r="D106" t="s">
        <v>8</v>
      </c>
      <c r="E106">
        <f t="shared" si="22"/>
        <v>14487.1</v>
      </c>
      <c r="F106">
        <f>F107+F108</f>
        <v>14487.1</v>
      </c>
      <c r="G106">
        <v>0</v>
      </c>
      <c r="H106">
        <v>0</v>
      </c>
      <c r="I106">
        <v>0</v>
      </c>
      <c r="J106" s="107" t="s">
        <v>1310</v>
      </c>
      <c r="K106" s="107" t="s">
        <v>1311</v>
      </c>
    </row>
    <row r="107" spans="1:11" x14ac:dyDescent="0.25">
      <c r="A107" s="107"/>
      <c r="B107" s="107"/>
      <c r="C107" s="107"/>
      <c r="D107">
        <v>2021</v>
      </c>
      <c r="E107">
        <f t="shared" si="22"/>
        <v>14487.1</v>
      </c>
      <c r="F107">
        <v>14487.1</v>
      </c>
      <c r="J107" s="107"/>
      <c r="K107" s="107"/>
    </row>
    <row r="108" spans="1:11" x14ac:dyDescent="0.25">
      <c r="A108" s="107"/>
      <c r="B108" s="107"/>
      <c r="C108" s="107"/>
      <c r="D108">
        <v>2022</v>
      </c>
      <c r="E108">
        <f t="shared" si="22"/>
        <v>0</v>
      </c>
      <c r="F108">
        <v>0</v>
      </c>
      <c r="G108">
        <v>0</v>
      </c>
      <c r="H108">
        <v>0</v>
      </c>
      <c r="I108">
        <v>0</v>
      </c>
      <c r="J108" s="107"/>
      <c r="K108" s="107"/>
    </row>
    <row r="109" spans="1:11" x14ac:dyDescent="0.25">
      <c r="A109" s="107"/>
      <c r="B109" s="107"/>
      <c r="C109" s="107"/>
      <c r="D109">
        <v>2023</v>
      </c>
      <c r="E109">
        <f t="shared" si="22"/>
        <v>0</v>
      </c>
      <c r="F109">
        <v>0</v>
      </c>
      <c r="G109">
        <v>0</v>
      </c>
      <c r="H109">
        <v>0</v>
      </c>
      <c r="I109">
        <v>0</v>
      </c>
      <c r="J109" s="107"/>
      <c r="K109" s="107"/>
    </row>
    <row r="110" spans="1:11" x14ac:dyDescent="0.25">
      <c r="A110" s="107"/>
      <c r="B110" s="107"/>
      <c r="C110" s="107"/>
      <c r="D110">
        <v>2024</v>
      </c>
      <c r="E110">
        <f t="shared" si="22"/>
        <v>0</v>
      </c>
      <c r="F110">
        <v>0</v>
      </c>
      <c r="G110">
        <v>0</v>
      </c>
      <c r="H110">
        <v>0</v>
      </c>
      <c r="I110">
        <v>0</v>
      </c>
      <c r="J110" s="107"/>
      <c r="K110" s="107"/>
    </row>
    <row r="111" spans="1:11" x14ac:dyDescent="0.25">
      <c r="A111" s="107"/>
      <c r="B111" s="107"/>
      <c r="C111" s="107"/>
      <c r="D111">
        <v>2025</v>
      </c>
      <c r="E111">
        <f t="shared" si="22"/>
        <v>0</v>
      </c>
      <c r="F111">
        <v>0</v>
      </c>
      <c r="G111">
        <v>0</v>
      </c>
      <c r="H111">
        <v>0</v>
      </c>
      <c r="I111">
        <v>0</v>
      </c>
      <c r="J111" s="107"/>
      <c r="K111" s="107"/>
    </row>
    <row r="112" spans="1:11" x14ac:dyDescent="0.25">
      <c r="A112" s="107" t="s">
        <v>1312</v>
      </c>
      <c r="B112" s="107" t="s">
        <v>1313</v>
      </c>
      <c r="C112" s="107" t="s">
        <v>41</v>
      </c>
      <c r="D112" t="s">
        <v>8</v>
      </c>
      <c r="E112">
        <f t="shared" si="22"/>
        <v>16579.72</v>
      </c>
      <c r="F112">
        <f>F113+F114+F115+F116+F117</f>
        <v>16579.72</v>
      </c>
      <c r="G112">
        <f>G113+G114+G115+G116+G117</f>
        <v>0</v>
      </c>
      <c r="H112">
        <f>H113+H114+H115+H116+H117</f>
        <v>0</v>
      </c>
      <c r="I112">
        <f>I113+I114+I115+I116+I117</f>
        <v>0</v>
      </c>
      <c r="J112" s="107" t="s">
        <v>1314</v>
      </c>
      <c r="K112" s="107" t="s">
        <v>748</v>
      </c>
    </row>
    <row r="113" spans="1:11" x14ac:dyDescent="0.25">
      <c r="A113" s="107"/>
      <c r="B113" s="107"/>
      <c r="C113" s="107"/>
      <c r="D113">
        <v>2021</v>
      </c>
      <c r="E113">
        <f t="shared" si="22"/>
        <v>0</v>
      </c>
      <c r="F113">
        <v>0</v>
      </c>
      <c r="G113">
        <v>0</v>
      </c>
      <c r="H113">
        <v>0</v>
      </c>
      <c r="I113">
        <v>0</v>
      </c>
      <c r="J113" s="107"/>
      <c r="K113" s="107"/>
    </row>
    <row r="114" spans="1:11" x14ac:dyDescent="0.25">
      <c r="A114" s="107"/>
      <c r="B114" s="107"/>
      <c r="C114" s="107"/>
      <c r="D114">
        <v>2022</v>
      </c>
      <c r="E114">
        <f t="shared" si="22"/>
        <v>4054.42</v>
      </c>
      <c r="F114">
        <v>4054.42</v>
      </c>
      <c r="G114">
        <v>0</v>
      </c>
      <c r="H114">
        <v>0</v>
      </c>
      <c r="I114">
        <v>0</v>
      </c>
      <c r="J114" s="107"/>
      <c r="K114" s="107"/>
    </row>
    <row r="115" spans="1:11" x14ac:dyDescent="0.25">
      <c r="A115" s="107"/>
      <c r="B115" s="107"/>
      <c r="C115" s="107"/>
      <c r="D115">
        <v>2023</v>
      </c>
      <c r="E115">
        <f t="shared" si="22"/>
        <v>4175.1000000000004</v>
      </c>
      <c r="F115">
        <v>4175.1000000000004</v>
      </c>
      <c r="G115">
        <v>0</v>
      </c>
      <c r="H115">
        <v>0</v>
      </c>
      <c r="I115">
        <v>0</v>
      </c>
      <c r="J115" s="107"/>
      <c r="K115" s="107"/>
    </row>
    <row r="116" spans="1:11" x14ac:dyDescent="0.25">
      <c r="A116" s="107"/>
      <c r="B116" s="107"/>
      <c r="C116" s="107"/>
      <c r="D116">
        <v>2024</v>
      </c>
      <c r="E116">
        <f t="shared" ref="E116:E123" si="23">F116+G116+H116+I116</f>
        <v>4175.1000000000004</v>
      </c>
      <c r="F116">
        <v>4175.1000000000004</v>
      </c>
      <c r="G116">
        <v>0</v>
      </c>
      <c r="H116">
        <v>0</v>
      </c>
      <c r="I116">
        <v>0</v>
      </c>
      <c r="J116" s="107"/>
      <c r="K116" s="107"/>
    </row>
    <row r="117" spans="1:11" x14ac:dyDescent="0.25">
      <c r="A117" s="107"/>
      <c r="B117" s="107"/>
      <c r="C117" s="107"/>
      <c r="D117">
        <v>2025</v>
      </c>
      <c r="E117">
        <f t="shared" si="23"/>
        <v>4175.1000000000004</v>
      </c>
      <c r="F117">
        <v>4175.1000000000004</v>
      </c>
      <c r="G117">
        <v>0</v>
      </c>
      <c r="H117">
        <v>0</v>
      </c>
      <c r="I117">
        <v>0</v>
      </c>
      <c r="J117" s="107"/>
      <c r="K117" s="107"/>
    </row>
    <row r="118" spans="1:11" x14ac:dyDescent="0.25">
      <c r="A118" s="107" t="s">
        <v>1315</v>
      </c>
      <c r="B118" s="107" t="s">
        <v>1316</v>
      </c>
      <c r="C118" s="107" t="s">
        <v>41</v>
      </c>
      <c r="D118" t="s">
        <v>8</v>
      </c>
      <c r="E118">
        <f t="shared" si="23"/>
        <v>9226.1</v>
      </c>
      <c r="F118">
        <f>F119+F120+F121+F122+F123</f>
        <v>9226.1</v>
      </c>
      <c r="G118">
        <f>G119+G120+G121+G122+G123</f>
        <v>0</v>
      </c>
      <c r="H118">
        <f>H119+H120+H121+H122+H123</f>
        <v>0</v>
      </c>
      <c r="I118">
        <f>I119+I120+I121+I122+I123</f>
        <v>0</v>
      </c>
      <c r="J118" s="107" t="s">
        <v>1317</v>
      </c>
      <c r="K118" s="107" t="s">
        <v>748</v>
      </c>
    </row>
    <row r="119" spans="1:11" x14ac:dyDescent="0.25">
      <c r="A119" s="107"/>
      <c r="B119" s="107"/>
      <c r="C119" s="107"/>
      <c r="D119">
        <v>2021</v>
      </c>
      <c r="E119">
        <f t="shared" si="23"/>
        <v>0</v>
      </c>
      <c r="F119">
        <v>0</v>
      </c>
      <c r="G119">
        <v>0</v>
      </c>
      <c r="H119">
        <v>0</v>
      </c>
      <c r="I119">
        <v>0</v>
      </c>
      <c r="J119" s="107"/>
      <c r="K119" s="107"/>
    </row>
    <row r="120" spans="1:11" x14ac:dyDescent="0.25">
      <c r="A120" s="107"/>
      <c r="B120" s="107"/>
      <c r="C120" s="107"/>
      <c r="D120">
        <v>2022</v>
      </c>
      <c r="E120">
        <f t="shared" si="23"/>
        <v>9226.1</v>
      </c>
      <c r="F120">
        <f>20000-10773.9</f>
        <v>9226.1</v>
      </c>
      <c r="G120">
        <v>0</v>
      </c>
      <c r="H120">
        <v>0</v>
      </c>
      <c r="I120">
        <v>0</v>
      </c>
      <c r="J120" s="107"/>
      <c r="K120" s="107"/>
    </row>
    <row r="121" spans="1:11" x14ac:dyDescent="0.25">
      <c r="A121" s="107"/>
      <c r="B121" s="107"/>
      <c r="C121" s="107"/>
      <c r="D121">
        <v>2023</v>
      </c>
      <c r="E121">
        <f t="shared" si="23"/>
        <v>0</v>
      </c>
      <c r="F121">
        <v>0</v>
      </c>
      <c r="G121">
        <v>0</v>
      </c>
      <c r="H121">
        <v>0</v>
      </c>
      <c r="I121">
        <v>0</v>
      </c>
      <c r="J121" s="107"/>
      <c r="K121" s="107"/>
    </row>
    <row r="122" spans="1:11" x14ac:dyDescent="0.25">
      <c r="A122" s="107"/>
      <c r="B122" s="107"/>
      <c r="C122" s="107"/>
      <c r="D122">
        <v>2024</v>
      </c>
      <c r="E122">
        <f t="shared" si="23"/>
        <v>0</v>
      </c>
      <c r="F122">
        <v>0</v>
      </c>
      <c r="G122">
        <v>0</v>
      </c>
      <c r="H122">
        <v>0</v>
      </c>
      <c r="I122">
        <v>0</v>
      </c>
      <c r="J122" s="107"/>
      <c r="K122" s="107"/>
    </row>
    <row r="123" spans="1:11" x14ac:dyDescent="0.25">
      <c r="A123" s="107"/>
      <c r="B123" s="107"/>
      <c r="C123" s="107"/>
      <c r="D123">
        <v>2025</v>
      </c>
      <c r="E123">
        <f t="shared" si="23"/>
        <v>0</v>
      </c>
      <c r="F123">
        <v>0</v>
      </c>
      <c r="G123">
        <v>0</v>
      </c>
      <c r="H123">
        <v>0</v>
      </c>
      <c r="I123">
        <v>0</v>
      </c>
      <c r="J123" s="107"/>
      <c r="K123" s="107"/>
    </row>
    <row r="124" spans="1:11" x14ac:dyDescent="0.25">
      <c r="A124" s="107" t="s">
        <v>1318</v>
      </c>
      <c r="B124" s="107" t="s">
        <v>1319</v>
      </c>
      <c r="C124" s="107" t="s">
        <v>1169</v>
      </c>
      <c r="D124" t="s">
        <v>8</v>
      </c>
      <c r="E124">
        <f>E125+E126+E127+E128+E129</f>
        <v>627262.67549000005</v>
      </c>
      <c r="F124">
        <f>F125+F126+F127+F128+F129</f>
        <v>627262.67549000005</v>
      </c>
      <c r="G124">
        <f>G125+G126+G127+G128+G129</f>
        <v>0</v>
      </c>
      <c r="H124">
        <f>H125+H126+H127+H128+H129</f>
        <v>0</v>
      </c>
      <c r="I124">
        <f>I125+I126+I127+I128+I129</f>
        <v>0</v>
      </c>
      <c r="J124" s="107" t="s">
        <v>1320</v>
      </c>
      <c r="K124" s="107" t="s">
        <v>1311</v>
      </c>
    </row>
    <row r="125" spans="1:11" x14ac:dyDescent="0.25">
      <c r="A125" s="107"/>
      <c r="B125" s="107"/>
      <c r="C125" s="107"/>
      <c r="D125">
        <v>2021</v>
      </c>
      <c r="E125">
        <v>0</v>
      </c>
      <c r="F125">
        <v>0</v>
      </c>
      <c r="G125">
        <v>0</v>
      </c>
      <c r="H125">
        <v>0</v>
      </c>
      <c r="I125">
        <v>0</v>
      </c>
      <c r="J125" s="107"/>
      <c r="K125" s="107"/>
    </row>
    <row r="126" spans="1:11" x14ac:dyDescent="0.25">
      <c r="A126" s="107"/>
      <c r="B126" s="107"/>
      <c r="C126" s="107"/>
      <c r="D126">
        <v>2022</v>
      </c>
      <c r="E126">
        <f t="shared" ref="E126:E129" si="24">F126+G126+H126+I126</f>
        <v>255319.97649</v>
      </c>
      <c r="F126">
        <f>254804.6+(515376.49/1000)</f>
        <v>255319.97649</v>
      </c>
      <c r="G126">
        <v>0</v>
      </c>
      <c r="H126">
        <v>0</v>
      </c>
      <c r="I126">
        <v>0</v>
      </c>
      <c r="J126" s="107"/>
      <c r="K126" s="107"/>
    </row>
    <row r="127" spans="1:11" x14ac:dyDescent="0.25">
      <c r="A127" s="107"/>
      <c r="B127" s="107"/>
      <c r="C127" s="107"/>
      <c r="D127">
        <v>2023</v>
      </c>
      <c r="E127">
        <f t="shared" si="24"/>
        <v>371942.69900000002</v>
      </c>
      <c r="F127">
        <v>371942.69900000002</v>
      </c>
      <c r="G127">
        <v>0</v>
      </c>
      <c r="H127">
        <v>0</v>
      </c>
      <c r="I127">
        <v>0</v>
      </c>
      <c r="J127" s="107"/>
      <c r="K127" s="107"/>
    </row>
    <row r="128" spans="1:11" x14ac:dyDescent="0.25">
      <c r="A128" s="107"/>
      <c r="B128" s="107"/>
      <c r="C128" s="107"/>
      <c r="D128">
        <v>2024</v>
      </c>
      <c r="E128">
        <v>0</v>
      </c>
      <c r="F128">
        <v>0</v>
      </c>
      <c r="G128">
        <v>0</v>
      </c>
      <c r="H128">
        <v>0</v>
      </c>
      <c r="I128">
        <v>0</v>
      </c>
      <c r="J128" s="107"/>
      <c r="K128" s="107"/>
    </row>
    <row r="129" spans="1:11" x14ac:dyDescent="0.25">
      <c r="A129" s="107"/>
      <c r="B129" s="107"/>
      <c r="C129" s="107"/>
      <c r="D129">
        <v>2025</v>
      </c>
      <c r="E129">
        <f t="shared" si="24"/>
        <v>0</v>
      </c>
      <c r="F129">
        <v>0</v>
      </c>
      <c r="G129">
        <v>0</v>
      </c>
      <c r="H129">
        <v>0</v>
      </c>
      <c r="I129">
        <v>0</v>
      </c>
      <c r="J129" s="107"/>
      <c r="K129" s="107"/>
    </row>
    <row r="130" spans="1:11" x14ac:dyDescent="0.25">
      <c r="A130" s="107" t="s">
        <v>1321</v>
      </c>
      <c r="B130" s="107" t="s">
        <v>1322</v>
      </c>
      <c r="C130" s="107" t="s">
        <v>1169</v>
      </c>
      <c r="D130" t="s">
        <v>8</v>
      </c>
      <c r="E130">
        <f>E131+E132+E133+E134+E135</f>
        <v>243275.2</v>
      </c>
      <c r="F130">
        <f>F131+F132+F133+F134+F135</f>
        <v>243275.2</v>
      </c>
      <c r="G130">
        <f>G131+G132+G133+G134+G135</f>
        <v>0</v>
      </c>
      <c r="H130">
        <f>H131+H132+H133+H134+H135</f>
        <v>0</v>
      </c>
      <c r="I130">
        <f>I131+I132+I133+I134+I135</f>
        <v>0</v>
      </c>
      <c r="J130" s="107" t="s">
        <v>1323</v>
      </c>
      <c r="K130" s="107" t="s">
        <v>1286</v>
      </c>
    </row>
    <row r="131" spans="1:11" x14ac:dyDescent="0.25">
      <c r="A131" s="107"/>
      <c r="B131" s="107"/>
      <c r="C131" s="107"/>
      <c r="D131">
        <v>2021</v>
      </c>
      <c r="E131">
        <f t="shared" ref="E131:E135" si="25">F131+G131+H131+I131</f>
        <v>0</v>
      </c>
      <c r="F131">
        <v>0</v>
      </c>
      <c r="G131">
        <v>0</v>
      </c>
      <c r="H131">
        <v>0</v>
      </c>
      <c r="I131">
        <v>0</v>
      </c>
      <c r="J131" s="107"/>
      <c r="K131" s="107"/>
    </row>
    <row r="132" spans="1:11" x14ac:dyDescent="0.25">
      <c r="A132" s="107"/>
      <c r="B132" s="107"/>
      <c r="C132" s="107"/>
      <c r="D132">
        <v>2022</v>
      </c>
      <c r="E132">
        <f t="shared" si="25"/>
        <v>206783.9</v>
      </c>
      <c r="F132">
        <v>206783.9</v>
      </c>
      <c r="G132">
        <v>0</v>
      </c>
      <c r="H132">
        <v>0</v>
      </c>
      <c r="I132">
        <v>0</v>
      </c>
      <c r="J132" s="107"/>
      <c r="K132" s="107"/>
    </row>
    <row r="133" spans="1:11" x14ac:dyDescent="0.25">
      <c r="A133" s="107"/>
      <c r="B133" s="107"/>
      <c r="C133" s="107"/>
      <c r="D133">
        <v>2023</v>
      </c>
      <c r="E133">
        <f t="shared" si="25"/>
        <v>36491.300000000003</v>
      </c>
      <c r="F133">
        <v>36491.300000000003</v>
      </c>
      <c r="G133">
        <v>0</v>
      </c>
      <c r="H133">
        <v>0</v>
      </c>
      <c r="I133">
        <v>0</v>
      </c>
      <c r="J133" s="107"/>
      <c r="K133" s="107"/>
    </row>
    <row r="134" spans="1:11" x14ac:dyDescent="0.25">
      <c r="A134" s="107"/>
      <c r="B134" s="107"/>
      <c r="C134" s="107"/>
      <c r="D134">
        <v>2024</v>
      </c>
      <c r="E134">
        <v>0</v>
      </c>
      <c r="F134">
        <v>0</v>
      </c>
      <c r="G134">
        <v>0</v>
      </c>
      <c r="H134">
        <v>0</v>
      </c>
      <c r="I134">
        <v>0</v>
      </c>
      <c r="J134" s="107"/>
      <c r="K134" s="107"/>
    </row>
    <row r="135" spans="1:11" x14ac:dyDescent="0.25">
      <c r="A135" s="107"/>
      <c r="B135" s="107"/>
      <c r="C135" s="107"/>
      <c r="D135">
        <v>2025</v>
      </c>
      <c r="E135">
        <f t="shared" si="25"/>
        <v>0</v>
      </c>
      <c r="F135">
        <v>0</v>
      </c>
      <c r="G135">
        <v>0</v>
      </c>
      <c r="H135">
        <v>0</v>
      </c>
      <c r="I135">
        <v>0</v>
      </c>
      <c r="J135" s="107"/>
      <c r="K135" s="107"/>
    </row>
    <row r="136" spans="1:11" x14ac:dyDescent="0.25">
      <c r="A136" s="107" t="s">
        <v>1324</v>
      </c>
      <c r="B136" s="107" t="s">
        <v>1325</v>
      </c>
      <c r="C136" s="107">
        <v>2022</v>
      </c>
      <c r="D136" t="s">
        <v>8</v>
      </c>
      <c r="E136">
        <f>E137+E138+E139+E140+E141</f>
        <v>11504.569999999998</v>
      </c>
      <c r="F136">
        <f>F137+F138+F139+F140+F141</f>
        <v>10727.883999999998</v>
      </c>
      <c r="G136">
        <f>G137+G138+G139+G140+G141</f>
        <v>0</v>
      </c>
      <c r="H136">
        <f>H137+H138+H139+H140+H141</f>
        <v>776.68600000000004</v>
      </c>
      <c r="I136">
        <f>I137+I138+I139+I140+I141</f>
        <v>0</v>
      </c>
      <c r="J136" s="107" t="s">
        <v>1326</v>
      </c>
      <c r="K136" s="107" t="s">
        <v>1265</v>
      </c>
    </row>
    <row r="137" spans="1:11" x14ac:dyDescent="0.25">
      <c r="A137" s="107"/>
      <c r="B137" s="107"/>
      <c r="C137" s="107"/>
      <c r="D137">
        <v>2021</v>
      </c>
      <c r="E137">
        <f t="shared" ref="E137:E141" si="26">F137+G137+H137+I137</f>
        <v>0</v>
      </c>
      <c r="F137">
        <v>0</v>
      </c>
      <c r="G137">
        <v>0</v>
      </c>
      <c r="H137">
        <v>0</v>
      </c>
      <c r="I137">
        <v>0</v>
      </c>
      <c r="J137" s="107"/>
      <c r="K137" s="107"/>
    </row>
    <row r="138" spans="1:11" x14ac:dyDescent="0.25">
      <c r="A138" s="107"/>
      <c r="B138" s="107"/>
      <c r="C138" s="107"/>
      <c r="D138">
        <v>2022</v>
      </c>
      <c r="E138">
        <f t="shared" si="26"/>
        <v>11504.569999999998</v>
      </c>
      <c r="F138">
        <f>49009524/1000-38281.64</f>
        <v>10727.883999999998</v>
      </c>
      <c r="G138">
        <v>0</v>
      </c>
      <c r="H138">
        <v>776.68600000000004</v>
      </c>
      <c r="I138">
        <v>0</v>
      </c>
      <c r="J138" s="107"/>
      <c r="K138" s="107"/>
    </row>
    <row r="139" spans="1:11" x14ac:dyDescent="0.25">
      <c r="A139" s="107"/>
      <c r="B139" s="107"/>
      <c r="C139" s="107"/>
      <c r="D139">
        <v>2023</v>
      </c>
      <c r="E139">
        <f t="shared" si="26"/>
        <v>0</v>
      </c>
      <c r="F139">
        <v>0</v>
      </c>
      <c r="G139">
        <v>0</v>
      </c>
      <c r="H139">
        <v>0</v>
      </c>
      <c r="I139">
        <v>0</v>
      </c>
      <c r="J139" s="107"/>
      <c r="K139" s="107"/>
    </row>
    <row r="140" spans="1:11" x14ac:dyDescent="0.25">
      <c r="A140" s="107"/>
      <c r="B140" s="107"/>
      <c r="C140" s="107"/>
      <c r="D140">
        <v>2024</v>
      </c>
      <c r="E140">
        <v>0</v>
      </c>
      <c r="F140">
        <v>0</v>
      </c>
      <c r="G140">
        <v>0</v>
      </c>
      <c r="H140">
        <v>0</v>
      </c>
      <c r="I140">
        <v>0</v>
      </c>
      <c r="J140" s="107"/>
      <c r="K140" s="107"/>
    </row>
    <row r="141" spans="1:11" x14ac:dyDescent="0.25">
      <c r="A141" s="107"/>
      <c r="B141" s="107"/>
      <c r="C141" s="107"/>
      <c r="D141">
        <v>2025</v>
      </c>
      <c r="E141">
        <f t="shared" si="26"/>
        <v>0</v>
      </c>
      <c r="F141">
        <v>0</v>
      </c>
      <c r="G141">
        <v>0</v>
      </c>
      <c r="H141">
        <v>0</v>
      </c>
      <c r="I141">
        <v>0</v>
      </c>
      <c r="J141" s="107"/>
      <c r="K141" s="107"/>
    </row>
    <row r="142" spans="1:11" x14ac:dyDescent="0.25">
      <c r="A142" s="107" t="s">
        <v>1327</v>
      </c>
      <c r="B142" s="107" t="s">
        <v>1328</v>
      </c>
      <c r="C142" s="107">
        <v>2022</v>
      </c>
      <c r="D142" t="s">
        <v>8</v>
      </c>
      <c r="E142">
        <f>E143+E144+E145+E146+E147</f>
        <v>22667.288369999998</v>
      </c>
      <c r="F142">
        <f>F143+F144+F145+F146+F147</f>
        <v>22667.288369999998</v>
      </c>
      <c r="G142">
        <f>G143+G144+G145+G146+G147</f>
        <v>0</v>
      </c>
      <c r="H142">
        <f>H143+H144+H145+H146+H147</f>
        <v>0</v>
      </c>
      <c r="I142">
        <f>I143+I144+I145+I146+I147</f>
        <v>0</v>
      </c>
      <c r="J142" s="107" t="s">
        <v>1329</v>
      </c>
      <c r="K142" s="107" t="s">
        <v>1286</v>
      </c>
    </row>
    <row r="143" spans="1:11" x14ac:dyDescent="0.25">
      <c r="A143" s="107"/>
      <c r="B143" s="107"/>
      <c r="C143" s="107"/>
      <c r="D143">
        <v>2021</v>
      </c>
      <c r="E143">
        <f t="shared" ref="E143:E147" si="27">F143+G143+H143+I143</f>
        <v>0</v>
      </c>
      <c r="F143">
        <v>0</v>
      </c>
      <c r="G143">
        <v>0</v>
      </c>
      <c r="H143">
        <v>0</v>
      </c>
      <c r="I143">
        <v>0</v>
      </c>
      <c r="J143" s="107"/>
      <c r="K143" s="107"/>
    </row>
    <row r="144" spans="1:11" x14ac:dyDescent="0.25">
      <c r="A144" s="107"/>
      <c r="B144" s="107"/>
      <c r="C144" s="107"/>
      <c r="D144">
        <v>2022</v>
      </c>
      <c r="E144">
        <f t="shared" si="27"/>
        <v>22667.288369999998</v>
      </c>
      <c r="F144">
        <f>(16167288.37/1000)+6500</f>
        <v>22667.288369999998</v>
      </c>
      <c r="G144">
        <v>0</v>
      </c>
      <c r="H144">
        <v>0</v>
      </c>
      <c r="I144">
        <v>0</v>
      </c>
      <c r="J144" s="107"/>
      <c r="K144" s="107"/>
    </row>
    <row r="145" spans="1:11" x14ac:dyDescent="0.25">
      <c r="A145" s="107"/>
      <c r="B145" s="107"/>
      <c r="C145" s="107"/>
      <c r="D145">
        <v>2023</v>
      </c>
      <c r="E145">
        <f t="shared" si="27"/>
        <v>0</v>
      </c>
      <c r="F145">
        <v>0</v>
      </c>
      <c r="G145">
        <v>0</v>
      </c>
      <c r="H145">
        <v>0</v>
      </c>
      <c r="I145">
        <v>0</v>
      </c>
      <c r="J145" s="107"/>
      <c r="K145" s="107"/>
    </row>
    <row r="146" spans="1:11" x14ac:dyDescent="0.25">
      <c r="A146" s="107"/>
      <c r="B146" s="107"/>
      <c r="C146" s="107"/>
      <c r="D146">
        <v>2024</v>
      </c>
      <c r="E146">
        <v>0</v>
      </c>
      <c r="F146">
        <v>0</v>
      </c>
      <c r="G146">
        <v>0</v>
      </c>
      <c r="H146">
        <v>0</v>
      </c>
      <c r="I146">
        <v>0</v>
      </c>
      <c r="J146" s="107"/>
      <c r="K146" s="107"/>
    </row>
    <row r="147" spans="1:11" x14ac:dyDescent="0.25">
      <c r="A147" s="107"/>
      <c r="B147" s="107"/>
      <c r="C147" s="107"/>
      <c r="D147">
        <v>2025</v>
      </c>
      <c r="E147">
        <f t="shared" si="27"/>
        <v>0</v>
      </c>
      <c r="F147">
        <v>0</v>
      </c>
      <c r="G147">
        <v>0</v>
      </c>
      <c r="H147">
        <v>0</v>
      </c>
      <c r="I147">
        <v>0</v>
      </c>
      <c r="J147" s="107"/>
      <c r="K147" s="107"/>
    </row>
    <row r="148" spans="1:11" x14ac:dyDescent="0.25">
      <c r="A148" s="107" t="s">
        <v>1330</v>
      </c>
      <c r="B148" s="107" t="s">
        <v>1331</v>
      </c>
      <c r="C148" s="107" t="s">
        <v>1332</v>
      </c>
      <c r="D148" t="s">
        <v>8</v>
      </c>
      <c r="E148">
        <f>E149+E150+E151+E152+E153</f>
        <v>783021.4</v>
      </c>
      <c r="F148">
        <f>F149+F150+F151+F152+F153</f>
        <v>0</v>
      </c>
      <c r="G148">
        <f>G149+G150+G151+G152+G153</f>
        <v>783021.4</v>
      </c>
      <c r="H148">
        <f>H149+H150+H151+H152+H153</f>
        <v>0</v>
      </c>
      <c r="I148">
        <f>I149+I150+I151+I152+I153</f>
        <v>0</v>
      </c>
      <c r="J148" s="107" t="s">
        <v>1333</v>
      </c>
      <c r="K148" s="107" t="s">
        <v>1286</v>
      </c>
    </row>
    <row r="149" spans="1:11" x14ac:dyDescent="0.25">
      <c r="A149" s="107"/>
      <c r="B149" s="107"/>
      <c r="C149" s="107"/>
      <c r="D149">
        <v>2021</v>
      </c>
      <c r="E149">
        <f t="shared" ref="E149:E153" si="28">F149+G149+H149+I149</f>
        <v>0</v>
      </c>
      <c r="F149">
        <v>0</v>
      </c>
      <c r="G149">
        <v>0</v>
      </c>
      <c r="H149">
        <v>0</v>
      </c>
      <c r="I149">
        <v>0</v>
      </c>
      <c r="J149" s="107"/>
      <c r="K149" s="107"/>
    </row>
    <row r="150" spans="1:11" x14ac:dyDescent="0.25">
      <c r="A150" s="107"/>
      <c r="B150" s="107"/>
      <c r="C150" s="107"/>
      <c r="D150">
        <v>2022</v>
      </c>
      <c r="E150">
        <f t="shared" si="28"/>
        <v>783021.4</v>
      </c>
      <c r="F150">
        <v>0</v>
      </c>
      <c r="G150">
        <f>783021400/1000</f>
        <v>783021.4</v>
      </c>
      <c r="H150">
        <v>0</v>
      </c>
      <c r="I150">
        <v>0</v>
      </c>
      <c r="J150" s="107"/>
      <c r="K150" s="107"/>
    </row>
    <row r="151" spans="1:11" x14ac:dyDescent="0.25">
      <c r="A151" s="107"/>
      <c r="B151" s="107"/>
      <c r="C151" s="107"/>
      <c r="D151">
        <v>2023</v>
      </c>
      <c r="E151">
        <f t="shared" si="28"/>
        <v>0</v>
      </c>
      <c r="F151">
        <v>0</v>
      </c>
      <c r="G151">
        <v>0</v>
      </c>
      <c r="H151">
        <v>0</v>
      </c>
      <c r="I151">
        <v>0</v>
      </c>
      <c r="J151" s="107"/>
      <c r="K151" s="107"/>
    </row>
    <row r="152" spans="1:11" x14ac:dyDescent="0.25">
      <c r="A152" s="107"/>
      <c r="B152" s="107"/>
      <c r="C152" s="107"/>
      <c r="D152">
        <v>2024</v>
      </c>
      <c r="E152">
        <v>0</v>
      </c>
      <c r="F152">
        <v>0</v>
      </c>
      <c r="G152">
        <v>0</v>
      </c>
      <c r="H152">
        <v>0</v>
      </c>
      <c r="I152">
        <v>0</v>
      </c>
      <c r="J152" s="107"/>
      <c r="K152" s="107"/>
    </row>
    <row r="153" spans="1:11" x14ac:dyDescent="0.25">
      <c r="A153" s="107"/>
      <c r="B153" s="107"/>
      <c r="C153" s="107"/>
      <c r="D153">
        <v>2025</v>
      </c>
      <c r="E153">
        <f t="shared" si="28"/>
        <v>0</v>
      </c>
      <c r="F153">
        <v>0</v>
      </c>
      <c r="G153">
        <v>0</v>
      </c>
      <c r="H153">
        <v>0</v>
      </c>
      <c r="I153">
        <v>0</v>
      </c>
      <c r="J153" s="107"/>
      <c r="K153" s="107"/>
    </row>
    <row r="154" spans="1:11" x14ac:dyDescent="0.25">
      <c r="A154" s="107" t="s">
        <v>30</v>
      </c>
      <c r="B154" s="107" t="s">
        <v>1334</v>
      </c>
      <c r="C154" s="107" t="s">
        <v>14</v>
      </c>
      <c r="D154" t="s">
        <v>8</v>
      </c>
      <c r="E154">
        <f>E155+E156+E157+E158+E159</f>
        <v>22562.6</v>
      </c>
      <c r="F154">
        <f>F155+F156+F157+F158+F159</f>
        <v>22562.6</v>
      </c>
      <c r="G154">
        <f>G155+G156+G157+G158+G159</f>
        <v>0</v>
      </c>
      <c r="H154">
        <f>H155+H156+H157+H158+H159</f>
        <v>0</v>
      </c>
      <c r="I154">
        <f>I155+I156+I157+I158+I159</f>
        <v>0</v>
      </c>
      <c r="J154" s="107" t="s">
        <v>1335</v>
      </c>
      <c r="K154" s="107" t="s">
        <v>748</v>
      </c>
    </row>
    <row r="155" spans="1:11" x14ac:dyDescent="0.25">
      <c r="A155" s="107"/>
      <c r="B155" s="107"/>
      <c r="C155" s="107"/>
      <c r="D155">
        <v>2021</v>
      </c>
      <c r="E155">
        <f t="shared" ref="E155:E157" si="29">F155+G155+H155+I155</f>
        <v>2562.6</v>
      </c>
      <c r="F155">
        <f t="shared" ref="F155:H158" si="30">F161</f>
        <v>2562.6</v>
      </c>
      <c r="G155">
        <f>G161</f>
        <v>0</v>
      </c>
      <c r="H155">
        <f>H161</f>
        <v>0</v>
      </c>
      <c r="I155">
        <f>I161</f>
        <v>0</v>
      </c>
      <c r="J155" s="107"/>
      <c r="K155" s="107"/>
    </row>
    <row r="156" spans="1:11" x14ac:dyDescent="0.25">
      <c r="A156" s="107"/>
      <c r="B156" s="107"/>
      <c r="C156" s="107"/>
      <c r="D156">
        <v>2022</v>
      </c>
      <c r="E156">
        <f t="shared" si="29"/>
        <v>5000</v>
      </c>
      <c r="F156">
        <f t="shared" si="30"/>
        <v>5000</v>
      </c>
      <c r="G156">
        <f t="shared" si="30"/>
        <v>0</v>
      </c>
      <c r="H156">
        <f t="shared" si="30"/>
        <v>0</v>
      </c>
      <c r="I156">
        <f>I162+I168</f>
        <v>0</v>
      </c>
      <c r="J156" s="107"/>
      <c r="K156" s="107"/>
    </row>
    <row r="157" spans="1:11" x14ac:dyDescent="0.25">
      <c r="A157" s="107"/>
      <c r="B157" s="107"/>
      <c r="C157" s="107"/>
      <c r="D157">
        <v>2023</v>
      </c>
      <c r="E157">
        <f t="shared" si="29"/>
        <v>5000</v>
      </c>
      <c r="F157">
        <f t="shared" si="30"/>
        <v>5000</v>
      </c>
      <c r="G157">
        <f t="shared" si="30"/>
        <v>0</v>
      </c>
      <c r="H157">
        <f t="shared" si="30"/>
        <v>0</v>
      </c>
      <c r="I157">
        <f t="shared" ref="I157:I158" si="31">I163</f>
        <v>0</v>
      </c>
      <c r="J157" s="107"/>
      <c r="K157" s="107"/>
    </row>
    <row r="158" spans="1:11" x14ac:dyDescent="0.25">
      <c r="A158" s="107"/>
      <c r="B158" s="107"/>
      <c r="C158" s="107"/>
      <c r="D158">
        <v>2024</v>
      </c>
      <c r="E158">
        <f>F158</f>
        <v>5000</v>
      </c>
      <c r="F158">
        <f t="shared" si="30"/>
        <v>5000</v>
      </c>
      <c r="G158">
        <v>0</v>
      </c>
      <c r="H158">
        <v>0</v>
      </c>
      <c r="I158">
        <f t="shared" si="31"/>
        <v>0</v>
      </c>
      <c r="J158" s="107"/>
      <c r="K158" s="107"/>
    </row>
    <row r="159" spans="1:11" x14ac:dyDescent="0.25">
      <c r="A159" s="107"/>
      <c r="B159" s="107"/>
      <c r="C159" s="107"/>
      <c r="D159">
        <v>2025</v>
      </c>
      <c r="E159">
        <f>F159+G159+H159+I159</f>
        <v>5000</v>
      </c>
      <c r="F159">
        <f t="shared" ref="F159:H159" si="32">F165+F171</f>
        <v>5000</v>
      </c>
      <c r="G159">
        <f t="shared" si="32"/>
        <v>0</v>
      </c>
      <c r="H159">
        <f t="shared" si="32"/>
        <v>0</v>
      </c>
      <c r="I159">
        <f>I165+I171</f>
        <v>0</v>
      </c>
      <c r="J159" s="107"/>
      <c r="K159" s="107"/>
    </row>
    <row r="160" spans="1:11" x14ac:dyDescent="0.25">
      <c r="A160" s="107" t="s">
        <v>33</v>
      </c>
      <c r="B160" s="107" t="s">
        <v>1336</v>
      </c>
      <c r="C160" s="107" t="s">
        <v>14</v>
      </c>
      <c r="D160" t="s">
        <v>8</v>
      </c>
      <c r="E160">
        <f>E161+E162+E163+E164+E165</f>
        <v>22562.6</v>
      </c>
      <c r="F160">
        <f>SUM(F161:F165)</f>
        <v>22562.6</v>
      </c>
      <c r="G160">
        <v>0</v>
      </c>
      <c r="H160">
        <v>0</v>
      </c>
      <c r="I160">
        <f>SUM(I161:I165)</f>
        <v>0</v>
      </c>
      <c r="J160" s="107" t="s">
        <v>1337</v>
      </c>
      <c r="K160" s="107" t="s">
        <v>748</v>
      </c>
    </row>
    <row r="161" spans="1:11" x14ac:dyDescent="0.25">
      <c r="A161" s="107"/>
      <c r="B161" s="107"/>
      <c r="C161" s="107"/>
      <c r="D161">
        <v>2021</v>
      </c>
      <c r="E161">
        <v>2562.6</v>
      </c>
      <c r="F161">
        <v>2562.6</v>
      </c>
      <c r="G161">
        <v>0</v>
      </c>
      <c r="H161">
        <v>0</v>
      </c>
      <c r="I161">
        <v>0</v>
      </c>
      <c r="J161" s="107"/>
      <c r="K161" s="107"/>
    </row>
    <row r="162" spans="1:11" x14ac:dyDescent="0.25">
      <c r="A162" s="107"/>
      <c r="B162" s="107"/>
      <c r="C162" s="107"/>
      <c r="D162">
        <v>2022</v>
      </c>
      <c r="E162">
        <v>5000</v>
      </c>
      <c r="F162">
        <v>5000</v>
      </c>
      <c r="G162">
        <v>0</v>
      </c>
      <c r="H162">
        <v>0</v>
      </c>
      <c r="I162">
        <v>0</v>
      </c>
      <c r="J162" s="107"/>
      <c r="K162" s="107"/>
    </row>
    <row r="163" spans="1:11" x14ac:dyDescent="0.25">
      <c r="A163" s="107"/>
      <c r="B163" s="107"/>
      <c r="C163" s="107"/>
      <c r="D163">
        <v>2023</v>
      </c>
      <c r="E163">
        <f t="shared" ref="E163:E165" si="33">F163</f>
        <v>5000</v>
      </c>
      <c r="F163">
        <v>5000</v>
      </c>
      <c r="G163">
        <v>0</v>
      </c>
      <c r="H163">
        <v>0</v>
      </c>
      <c r="I163">
        <v>0</v>
      </c>
      <c r="J163" s="107"/>
      <c r="K163" s="107"/>
    </row>
    <row r="164" spans="1:11" x14ac:dyDescent="0.25">
      <c r="A164" s="107"/>
      <c r="B164" s="107"/>
      <c r="C164" s="107"/>
      <c r="D164">
        <v>2024</v>
      </c>
      <c r="E164">
        <f t="shared" si="33"/>
        <v>5000</v>
      </c>
      <c r="F164">
        <v>5000</v>
      </c>
      <c r="G164">
        <v>0</v>
      </c>
      <c r="H164">
        <v>0</v>
      </c>
      <c r="I164">
        <v>0</v>
      </c>
      <c r="J164" s="107"/>
      <c r="K164" s="107"/>
    </row>
    <row r="165" spans="1:11" x14ac:dyDescent="0.25">
      <c r="A165" s="107"/>
      <c r="B165" s="107"/>
      <c r="C165" s="107"/>
      <c r="D165">
        <v>2025</v>
      </c>
      <c r="E165">
        <f t="shared" si="33"/>
        <v>5000</v>
      </c>
      <c r="F165">
        <v>5000</v>
      </c>
      <c r="G165">
        <v>0</v>
      </c>
      <c r="H165">
        <v>0</v>
      </c>
      <c r="I165">
        <v>0</v>
      </c>
      <c r="J165" s="107"/>
      <c r="K165" s="107"/>
    </row>
    <row r="166" spans="1:11" x14ac:dyDescent="0.25">
      <c r="A166" s="107" t="s">
        <v>1338</v>
      </c>
      <c r="B166" s="107" t="s">
        <v>1339</v>
      </c>
      <c r="C166" s="107" t="s">
        <v>41</v>
      </c>
      <c r="D166" t="s">
        <v>8</v>
      </c>
      <c r="E166">
        <f>E167+E168+E169+E170+E171</f>
        <v>449438.03404</v>
      </c>
      <c r="F166">
        <f>F167+F168+F169+F170+F171</f>
        <v>143307.08233999999</v>
      </c>
      <c r="G166">
        <f>G167+G168+G169+G170+G171</f>
        <v>275748</v>
      </c>
      <c r="H166">
        <f>H167+H168+H169+H170+H171</f>
        <v>30382.951699999998</v>
      </c>
      <c r="I166">
        <f>I167+I168+I169+I170+I171</f>
        <v>0</v>
      </c>
      <c r="J166" s="107" t="s">
        <v>1340</v>
      </c>
      <c r="K166" s="107" t="s">
        <v>1341</v>
      </c>
    </row>
    <row r="167" spans="1:11" x14ac:dyDescent="0.25">
      <c r="A167" s="107"/>
      <c r="B167" s="107"/>
      <c r="C167" s="107"/>
      <c r="D167">
        <v>2021</v>
      </c>
      <c r="E167">
        <f t="shared" ref="E167:E171" si="34">F167+G167+H167+I167</f>
        <v>52467.234039999996</v>
      </c>
      <c r="F167">
        <f t="shared" ref="F167:I171" si="35">F173+F179</f>
        <v>2990.6323400000001</v>
      </c>
      <c r="G167">
        <f t="shared" si="35"/>
        <v>49319.199999999997</v>
      </c>
      <c r="H167">
        <f t="shared" si="35"/>
        <v>157.40170000000001</v>
      </c>
      <c r="I167">
        <f t="shared" si="35"/>
        <v>0</v>
      </c>
      <c r="J167" s="107"/>
      <c r="K167" s="107"/>
    </row>
    <row r="168" spans="1:11" x14ac:dyDescent="0.25">
      <c r="A168" s="107"/>
      <c r="B168" s="107"/>
      <c r="C168" s="107"/>
      <c r="D168">
        <v>2022</v>
      </c>
      <c r="E168">
        <f t="shared" si="34"/>
        <v>99349.99</v>
      </c>
      <c r="F168">
        <f t="shared" si="35"/>
        <v>7885.74</v>
      </c>
      <c r="G168">
        <f t="shared" si="35"/>
        <v>86651.5</v>
      </c>
      <c r="H168">
        <f t="shared" si="35"/>
        <v>4812.75</v>
      </c>
      <c r="I168">
        <f t="shared" si="35"/>
        <v>0</v>
      </c>
      <c r="J168" s="107"/>
      <c r="K168" s="107"/>
    </row>
    <row r="169" spans="1:11" x14ac:dyDescent="0.25">
      <c r="A169" s="107"/>
      <c r="B169" s="107"/>
      <c r="C169" s="107"/>
      <c r="D169">
        <v>2023</v>
      </c>
      <c r="E169">
        <f t="shared" si="34"/>
        <v>174955.51</v>
      </c>
      <c r="F169">
        <f t="shared" si="35"/>
        <v>76389.009999999995</v>
      </c>
      <c r="G169">
        <f t="shared" si="35"/>
        <v>83907.8</v>
      </c>
      <c r="H169">
        <f t="shared" si="35"/>
        <v>14658.7</v>
      </c>
      <c r="I169">
        <f t="shared" si="35"/>
        <v>0</v>
      </c>
      <c r="J169" s="107"/>
      <c r="K169" s="107"/>
    </row>
    <row r="170" spans="1:11" x14ac:dyDescent="0.25">
      <c r="A170" s="107"/>
      <c r="B170" s="107"/>
      <c r="C170" s="107"/>
      <c r="D170">
        <v>2024</v>
      </c>
      <c r="E170">
        <f t="shared" si="34"/>
        <v>122665.3</v>
      </c>
      <c r="F170">
        <f t="shared" si="35"/>
        <v>56041.7</v>
      </c>
      <c r="G170">
        <f t="shared" si="35"/>
        <v>55869.5</v>
      </c>
      <c r="H170">
        <f t="shared" si="35"/>
        <v>10754.1</v>
      </c>
      <c r="I170">
        <f t="shared" si="35"/>
        <v>0</v>
      </c>
      <c r="J170" s="107"/>
      <c r="K170" s="107"/>
    </row>
    <row r="171" spans="1:11" x14ac:dyDescent="0.25">
      <c r="A171" s="107"/>
      <c r="B171" s="107"/>
      <c r="C171" s="107"/>
      <c r="D171">
        <v>2025</v>
      </c>
      <c r="E171">
        <f t="shared" si="34"/>
        <v>0</v>
      </c>
      <c r="F171">
        <f t="shared" si="35"/>
        <v>0</v>
      </c>
      <c r="G171">
        <f t="shared" si="35"/>
        <v>0</v>
      </c>
      <c r="H171">
        <f t="shared" si="35"/>
        <v>0</v>
      </c>
      <c r="I171">
        <f t="shared" si="35"/>
        <v>0</v>
      </c>
      <c r="J171" s="107"/>
      <c r="K171" s="107"/>
    </row>
    <row r="172" spans="1:11" x14ac:dyDescent="0.25">
      <c r="A172" s="107" t="s">
        <v>1342</v>
      </c>
      <c r="B172" s="107" t="s">
        <v>1343</v>
      </c>
      <c r="C172" s="107" t="s">
        <v>124</v>
      </c>
      <c r="D172" t="s">
        <v>8</v>
      </c>
      <c r="E172">
        <f>E173+E174+E175+E176+E177</f>
        <v>151817.22404</v>
      </c>
      <c r="F172">
        <f>F173+F174+F175+F176+F177</f>
        <v>10876.37234</v>
      </c>
      <c r="G172">
        <f>G173+G174+G175+G176+G177</f>
        <v>135970.70000000001</v>
      </c>
      <c r="H172">
        <f>H173+H174+H175+H176+H177</f>
        <v>4970.1517000000003</v>
      </c>
      <c r="I172">
        <f>I173+I174+I175+I176+I177</f>
        <v>0</v>
      </c>
      <c r="J172" s="107" t="s">
        <v>1344</v>
      </c>
      <c r="K172" s="107" t="s">
        <v>1341</v>
      </c>
    </row>
    <row r="173" spans="1:11" x14ac:dyDescent="0.25">
      <c r="A173" s="107"/>
      <c r="B173" s="107"/>
      <c r="C173" s="107"/>
      <c r="D173">
        <v>2021</v>
      </c>
      <c r="E173">
        <f t="shared" ref="E173:E177" si="36">F173+G173+H173+I173</f>
        <v>52467.234039999996</v>
      </c>
      <c r="F173">
        <v>2990.6323400000001</v>
      </c>
      <c r="G173">
        <v>49319.199999999997</v>
      </c>
      <c r="H173">
        <v>157.40170000000001</v>
      </c>
      <c r="I173">
        <v>0</v>
      </c>
      <c r="J173" s="107"/>
      <c r="K173" s="107"/>
    </row>
    <row r="174" spans="1:11" x14ac:dyDescent="0.25">
      <c r="A174" s="107"/>
      <c r="B174" s="107"/>
      <c r="C174" s="107"/>
      <c r="D174">
        <v>2022</v>
      </c>
      <c r="E174">
        <f t="shared" si="36"/>
        <v>99349.99</v>
      </c>
      <c r="F174">
        <v>7885.74</v>
      </c>
      <c r="G174">
        <v>86651.5</v>
      </c>
      <c r="H174">
        <v>4812.75</v>
      </c>
      <c r="I174">
        <v>0</v>
      </c>
      <c r="J174" s="107"/>
      <c r="K174" s="107"/>
    </row>
    <row r="175" spans="1:11" x14ac:dyDescent="0.25">
      <c r="A175" s="107"/>
      <c r="B175" s="107"/>
      <c r="C175" s="107"/>
      <c r="D175">
        <v>2023</v>
      </c>
      <c r="E175">
        <f t="shared" si="36"/>
        <v>0</v>
      </c>
      <c r="F175">
        <v>0</v>
      </c>
      <c r="G175">
        <v>0</v>
      </c>
      <c r="H175">
        <v>0</v>
      </c>
      <c r="I175">
        <v>0</v>
      </c>
      <c r="J175" s="107"/>
      <c r="K175" s="107"/>
    </row>
    <row r="176" spans="1:11" x14ac:dyDescent="0.25">
      <c r="A176" s="107"/>
      <c r="B176" s="107"/>
      <c r="C176" s="107"/>
      <c r="D176">
        <v>2024</v>
      </c>
      <c r="E176">
        <f t="shared" si="36"/>
        <v>0</v>
      </c>
      <c r="F176">
        <v>0</v>
      </c>
      <c r="G176">
        <v>0</v>
      </c>
      <c r="H176">
        <v>0</v>
      </c>
      <c r="I176">
        <v>0</v>
      </c>
      <c r="J176" s="107"/>
      <c r="K176" s="107"/>
    </row>
    <row r="177" spans="1:11" x14ac:dyDescent="0.25">
      <c r="A177" s="107"/>
      <c r="B177" s="107"/>
      <c r="C177" s="107"/>
      <c r="D177">
        <v>2025</v>
      </c>
      <c r="E177">
        <f t="shared" si="36"/>
        <v>0</v>
      </c>
      <c r="F177">
        <v>0</v>
      </c>
      <c r="G177">
        <v>0</v>
      </c>
      <c r="H177">
        <v>0</v>
      </c>
      <c r="I177">
        <v>0</v>
      </c>
      <c r="J177" s="107"/>
      <c r="K177" s="107"/>
    </row>
    <row r="178" spans="1:11" x14ac:dyDescent="0.25">
      <c r="A178" s="107" t="s">
        <v>1345</v>
      </c>
      <c r="B178" s="107" t="s">
        <v>1346</v>
      </c>
      <c r="C178" s="107" t="s">
        <v>1216</v>
      </c>
      <c r="D178" t="s">
        <v>8</v>
      </c>
      <c r="E178">
        <f>E179+E180+E181+E182+E183</f>
        <v>297620.81</v>
      </c>
      <c r="F178">
        <f>F179+F180+F181+F182+F183</f>
        <v>132430.71</v>
      </c>
      <c r="G178">
        <f>G179+G180+G181+G182+G183</f>
        <v>139777.29999999999</v>
      </c>
      <c r="H178">
        <f>H179+H180+H181+H182+H183</f>
        <v>25412.800000000003</v>
      </c>
      <c r="I178">
        <f>I179+I180+I181+I182+I183</f>
        <v>0</v>
      </c>
      <c r="J178" s="107" t="s">
        <v>1347</v>
      </c>
      <c r="K178" s="107" t="s">
        <v>1348</v>
      </c>
    </row>
    <row r="179" spans="1:11" x14ac:dyDescent="0.25">
      <c r="A179" s="107"/>
      <c r="B179" s="107"/>
      <c r="C179" s="107"/>
      <c r="D179">
        <v>2021</v>
      </c>
      <c r="E179">
        <f t="shared" ref="E179:E183" si="37">F179+G179+H179+I179</f>
        <v>0</v>
      </c>
      <c r="F179">
        <v>0</v>
      </c>
      <c r="G179">
        <v>0</v>
      </c>
      <c r="H179">
        <v>0</v>
      </c>
      <c r="I179">
        <v>0</v>
      </c>
      <c r="J179" s="107"/>
      <c r="K179" s="107"/>
    </row>
    <row r="180" spans="1:11" x14ac:dyDescent="0.25">
      <c r="A180" s="107"/>
      <c r="B180" s="107"/>
      <c r="C180" s="107"/>
      <c r="D180">
        <v>2022</v>
      </c>
      <c r="E180">
        <f t="shared" si="37"/>
        <v>0</v>
      </c>
      <c r="F180">
        <v>0</v>
      </c>
      <c r="G180">
        <v>0</v>
      </c>
      <c r="H180">
        <v>0</v>
      </c>
      <c r="I180">
        <v>0</v>
      </c>
      <c r="J180" s="107"/>
      <c r="K180" s="107"/>
    </row>
    <row r="181" spans="1:11" x14ac:dyDescent="0.25">
      <c r="A181" s="107"/>
      <c r="B181" s="107"/>
      <c r="C181" s="107"/>
      <c r="D181">
        <v>2023</v>
      </c>
      <c r="E181">
        <f t="shared" si="37"/>
        <v>174955.51</v>
      </c>
      <c r="F181">
        <v>76389.009999999995</v>
      </c>
      <c r="G181">
        <v>83907.8</v>
      </c>
      <c r="H181">
        <v>14658.7</v>
      </c>
      <c r="I181">
        <v>0</v>
      </c>
      <c r="J181" s="107"/>
      <c r="K181" s="107"/>
    </row>
    <row r="182" spans="1:11" x14ac:dyDescent="0.25">
      <c r="A182" s="107"/>
      <c r="B182" s="107"/>
      <c r="C182" s="107"/>
      <c r="D182">
        <v>2024</v>
      </c>
      <c r="E182">
        <f t="shared" si="37"/>
        <v>122665.3</v>
      </c>
      <c r="F182">
        <v>56041.7</v>
      </c>
      <c r="G182">
        <v>55869.5</v>
      </c>
      <c r="H182">
        <v>10754.1</v>
      </c>
      <c r="I182">
        <v>0</v>
      </c>
      <c r="J182" s="107"/>
      <c r="K182" s="107"/>
    </row>
    <row r="183" spans="1:11" x14ac:dyDescent="0.25">
      <c r="A183" s="107"/>
      <c r="B183" s="107"/>
      <c r="C183" s="107"/>
      <c r="D183">
        <v>2025</v>
      </c>
      <c r="E183">
        <f t="shared" si="37"/>
        <v>0</v>
      </c>
      <c r="F183">
        <v>0</v>
      </c>
      <c r="G183">
        <v>0</v>
      </c>
      <c r="H183">
        <v>0</v>
      </c>
      <c r="I183">
        <v>0</v>
      </c>
      <c r="J183" s="107"/>
      <c r="K183" s="107"/>
    </row>
    <row r="184" spans="1:11" x14ac:dyDescent="0.25">
      <c r="A184" s="107" t="s">
        <v>1349</v>
      </c>
      <c r="B184" s="107" t="s">
        <v>1350</v>
      </c>
      <c r="C184" s="107" t="s">
        <v>14</v>
      </c>
      <c r="D184" t="s">
        <v>8</v>
      </c>
      <c r="E184">
        <f>SUM(E185:E189)</f>
        <v>5779059.1730000004</v>
      </c>
      <c r="F184">
        <f>SUM(F185:F189)</f>
        <v>5098639.3480000002</v>
      </c>
      <c r="G184">
        <f>SUM(G185:G189)</f>
        <v>52285.625</v>
      </c>
      <c r="H184">
        <f>SUM(H185:H189)</f>
        <v>628134.19999999995</v>
      </c>
      <c r="I184">
        <f>SUM(I185:I189)</f>
        <v>0</v>
      </c>
      <c r="J184" s="107" t="s">
        <v>1351</v>
      </c>
      <c r="K184" s="107" t="s">
        <v>1352</v>
      </c>
    </row>
    <row r="185" spans="1:11" x14ac:dyDescent="0.25">
      <c r="A185" s="107"/>
      <c r="B185" s="107"/>
      <c r="C185" s="107"/>
      <c r="D185">
        <v>2021</v>
      </c>
      <c r="E185">
        <f t="shared" ref="E185:E189" si="38">SUM(F185:I185)</f>
        <v>812134.6</v>
      </c>
      <c r="F185">
        <f t="shared" ref="F185:I189" si="39">F191+F197+F203+F209+F215+F221</f>
        <v>684153.6</v>
      </c>
      <c r="G185">
        <f t="shared" ref="G185:I185" si="40">G191+G197+G203+G209+G215+G221</f>
        <v>0</v>
      </c>
      <c r="H185">
        <f t="shared" si="40"/>
        <v>127981</v>
      </c>
      <c r="I185">
        <f t="shared" si="40"/>
        <v>0</v>
      </c>
      <c r="J185" s="107"/>
      <c r="K185" s="107"/>
    </row>
    <row r="186" spans="1:11" x14ac:dyDescent="0.25">
      <c r="A186" s="107"/>
      <c r="B186" s="107"/>
      <c r="C186" s="107"/>
      <c r="D186">
        <v>2022</v>
      </c>
      <c r="E186">
        <f t="shared" si="38"/>
        <v>2851421.4920000001</v>
      </c>
      <c r="F186">
        <f t="shared" si="39"/>
        <v>2670981.767</v>
      </c>
      <c r="G186">
        <f t="shared" si="39"/>
        <v>52285.625</v>
      </c>
      <c r="H186">
        <f t="shared" si="39"/>
        <v>128154.1</v>
      </c>
      <c r="I186">
        <f t="shared" si="39"/>
        <v>0</v>
      </c>
      <c r="J186" s="107"/>
      <c r="K186" s="107"/>
    </row>
    <row r="187" spans="1:11" x14ac:dyDescent="0.25">
      <c r="A187" s="107"/>
      <c r="B187" s="107"/>
      <c r="C187" s="107"/>
      <c r="D187">
        <v>2023</v>
      </c>
      <c r="E187">
        <f t="shared" si="38"/>
        <v>735590.821</v>
      </c>
      <c r="F187">
        <f t="shared" si="39"/>
        <v>611591.12100000004</v>
      </c>
      <c r="G187">
        <f t="shared" si="39"/>
        <v>0</v>
      </c>
      <c r="H187">
        <f t="shared" si="39"/>
        <v>123999.7</v>
      </c>
      <c r="I187">
        <f t="shared" si="39"/>
        <v>0</v>
      </c>
      <c r="J187" s="107"/>
      <c r="K187" s="107"/>
    </row>
    <row r="188" spans="1:11" x14ac:dyDescent="0.25">
      <c r="A188" s="107"/>
      <c r="B188" s="107"/>
      <c r="C188" s="107"/>
      <c r="D188">
        <v>2024</v>
      </c>
      <c r="E188">
        <f t="shared" si="38"/>
        <v>648405.39999999991</v>
      </c>
      <c r="F188">
        <f t="shared" si="39"/>
        <v>524405.69999999995</v>
      </c>
      <c r="G188">
        <f t="shared" si="39"/>
        <v>0</v>
      </c>
      <c r="H188">
        <f t="shared" si="39"/>
        <v>123999.7</v>
      </c>
      <c r="I188">
        <f t="shared" si="39"/>
        <v>0</v>
      </c>
      <c r="J188" s="107"/>
      <c r="K188" s="107"/>
    </row>
    <row r="189" spans="1:11" x14ac:dyDescent="0.25">
      <c r="A189" s="107"/>
      <c r="B189" s="107"/>
      <c r="C189" s="107"/>
      <c r="D189">
        <v>2025</v>
      </c>
      <c r="E189">
        <f t="shared" si="38"/>
        <v>731506.85999999987</v>
      </c>
      <c r="F189">
        <f t="shared" si="39"/>
        <v>607507.15999999992</v>
      </c>
      <c r="G189">
        <f t="shared" si="39"/>
        <v>0</v>
      </c>
      <c r="H189">
        <f t="shared" si="39"/>
        <v>123999.7</v>
      </c>
      <c r="I189">
        <f t="shared" si="39"/>
        <v>0</v>
      </c>
      <c r="J189" s="107"/>
      <c r="K189" s="107"/>
    </row>
    <row r="190" spans="1:11" x14ac:dyDescent="0.25">
      <c r="A190" s="107" t="s">
        <v>1353</v>
      </c>
      <c r="B190" s="107" t="s">
        <v>1354</v>
      </c>
      <c r="C190" s="107" t="s">
        <v>14</v>
      </c>
      <c r="D190" t="s">
        <v>8</v>
      </c>
      <c r="E190">
        <f>SUM(E191:E195)</f>
        <v>768502.9</v>
      </c>
      <c r="F190">
        <f>SUM(F191:F195)</f>
        <v>768502.9</v>
      </c>
      <c r="G190">
        <f>SUM(G191:G195)</f>
        <v>0</v>
      </c>
      <c r="H190">
        <f>SUM(H191:H195)</f>
        <v>0</v>
      </c>
      <c r="I190">
        <f>SUM(I191:I195)</f>
        <v>0</v>
      </c>
      <c r="J190" s="107" t="s">
        <v>1355</v>
      </c>
      <c r="K190" s="107" t="s">
        <v>1356</v>
      </c>
    </row>
    <row r="191" spans="1:11" x14ac:dyDescent="0.25">
      <c r="A191" s="107"/>
      <c r="B191" s="107"/>
      <c r="C191" s="107"/>
      <c r="D191">
        <v>2021</v>
      </c>
      <c r="E191">
        <f t="shared" ref="E191:E195" si="41">F191</f>
        <v>109320.1</v>
      </c>
      <c r="F191">
        <v>109320.1</v>
      </c>
      <c r="G191">
        <v>0</v>
      </c>
      <c r="H191">
        <v>0</v>
      </c>
      <c r="I191">
        <v>0</v>
      </c>
      <c r="J191" s="107"/>
      <c r="K191" s="107"/>
    </row>
    <row r="192" spans="1:11" x14ac:dyDescent="0.25">
      <c r="A192" s="107"/>
      <c r="B192" s="107"/>
      <c r="C192" s="107"/>
      <c r="D192">
        <v>2022</v>
      </c>
      <c r="E192">
        <f t="shared" si="41"/>
        <v>239417.40000000002</v>
      </c>
      <c r="F192">
        <f>132830.7+106586.7</f>
        <v>239417.40000000002</v>
      </c>
      <c r="G192">
        <v>0</v>
      </c>
      <c r="H192">
        <v>0</v>
      </c>
      <c r="I192">
        <v>0</v>
      </c>
      <c r="J192" s="107"/>
      <c r="K192" s="107"/>
    </row>
    <row r="193" spans="1:11" x14ac:dyDescent="0.25">
      <c r="A193" s="107"/>
      <c r="B193" s="107"/>
      <c r="C193" s="107"/>
      <c r="D193">
        <v>2023</v>
      </c>
      <c r="E193">
        <f t="shared" si="41"/>
        <v>141600</v>
      </c>
      <c r="F193">
        <v>141600</v>
      </c>
      <c r="G193">
        <v>0</v>
      </c>
      <c r="H193">
        <v>0</v>
      </c>
      <c r="I193">
        <v>0</v>
      </c>
      <c r="J193" s="107"/>
      <c r="K193" s="107"/>
    </row>
    <row r="194" spans="1:11" x14ac:dyDescent="0.25">
      <c r="A194" s="107"/>
      <c r="B194" s="107"/>
      <c r="C194" s="107"/>
      <c r="D194">
        <v>2024</v>
      </c>
      <c r="E194">
        <f t="shared" si="41"/>
        <v>139045.4</v>
      </c>
      <c r="F194">
        <v>139045.4</v>
      </c>
      <c r="G194">
        <v>0</v>
      </c>
      <c r="H194">
        <v>0</v>
      </c>
      <c r="I194">
        <v>0</v>
      </c>
      <c r="J194" s="107"/>
      <c r="K194" s="107"/>
    </row>
    <row r="195" spans="1:11" x14ac:dyDescent="0.25">
      <c r="A195" s="107"/>
      <c r="B195" s="107"/>
      <c r="C195" s="107"/>
      <c r="D195">
        <v>2025</v>
      </c>
      <c r="E195">
        <f t="shared" si="41"/>
        <v>139120</v>
      </c>
      <c r="F195">
        <v>139120</v>
      </c>
      <c r="G195">
        <v>0</v>
      </c>
      <c r="H195">
        <v>0</v>
      </c>
      <c r="I195">
        <v>0</v>
      </c>
      <c r="J195" s="107"/>
      <c r="K195" s="107"/>
    </row>
    <row r="196" spans="1:11" x14ac:dyDescent="0.25">
      <c r="A196" s="107" t="s">
        <v>1357</v>
      </c>
      <c r="B196" s="107" t="s">
        <v>1358</v>
      </c>
      <c r="C196" s="107" t="s">
        <v>14</v>
      </c>
      <c r="D196" t="s">
        <v>8</v>
      </c>
      <c r="E196">
        <f>SUM(E197:E201)</f>
        <v>1117809.8799999999</v>
      </c>
      <c r="F196">
        <f>SUM(F197:F201)</f>
        <v>492075</v>
      </c>
      <c r="G196">
        <f>SUM(G197:G201)</f>
        <v>0</v>
      </c>
      <c r="H196">
        <f>SUM(H197:H201)</f>
        <v>625734.88</v>
      </c>
      <c r="I196">
        <f>SUM(I197:I201)</f>
        <v>0</v>
      </c>
      <c r="J196" s="107" t="s">
        <v>1359</v>
      </c>
      <c r="K196" s="107" t="s">
        <v>1265</v>
      </c>
    </row>
    <row r="197" spans="1:11" x14ac:dyDescent="0.25">
      <c r="A197" s="107"/>
      <c r="B197" s="107"/>
      <c r="C197" s="107"/>
      <c r="D197">
        <v>2021</v>
      </c>
      <c r="E197">
        <f t="shared" ref="E197:E201" si="42">SUM(F197:I197)</f>
        <v>226396</v>
      </c>
      <c r="F197">
        <f>65610+32805</f>
        <v>98415</v>
      </c>
      <c r="G197">
        <v>0</v>
      </c>
      <c r="H197">
        <v>127981</v>
      </c>
      <c r="I197">
        <v>0</v>
      </c>
      <c r="J197" s="107"/>
      <c r="K197" s="107"/>
    </row>
    <row r="198" spans="1:11" x14ac:dyDescent="0.25">
      <c r="A198" s="107"/>
      <c r="B198" s="107"/>
      <c r="C198" s="107"/>
      <c r="D198">
        <v>2022</v>
      </c>
      <c r="E198">
        <f t="shared" si="42"/>
        <v>224169.78</v>
      </c>
      <c r="F198">
        <v>98415</v>
      </c>
      <c r="G198">
        <v>0</v>
      </c>
      <c r="H198">
        <v>125754.78</v>
      </c>
      <c r="I198">
        <v>0</v>
      </c>
      <c r="J198" s="107"/>
      <c r="K198" s="107"/>
    </row>
    <row r="199" spans="1:11" x14ac:dyDescent="0.25">
      <c r="A199" s="107"/>
      <c r="B199" s="107"/>
      <c r="C199" s="107"/>
      <c r="D199">
        <v>2023</v>
      </c>
      <c r="E199">
        <f t="shared" si="42"/>
        <v>222414.7</v>
      </c>
      <c r="F199">
        <v>98415</v>
      </c>
      <c r="G199">
        <v>0</v>
      </c>
      <c r="H199">
        <v>123999.7</v>
      </c>
      <c r="I199">
        <v>0</v>
      </c>
      <c r="J199" s="107"/>
      <c r="K199" s="107"/>
    </row>
    <row r="200" spans="1:11" x14ac:dyDescent="0.25">
      <c r="A200" s="107"/>
      <c r="B200" s="107"/>
      <c r="C200" s="107"/>
      <c r="D200">
        <v>2024</v>
      </c>
      <c r="E200">
        <f t="shared" si="42"/>
        <v>222414.7</v>
      </c>
      <c r="F200">
        <v>98415</v>
      </c>
      <c r="G200">
        <v>0</v>
      </c>
      <c r="H200">
        <v>123999.7</v>
      </c>
      <c r="I200">
        <v>0</v>
      </c>
      <c r="J200" s="107"/>
      <c r="K200" s="107"/>
    </row>
    <row r="201" spans="1:11" x14ac:dyDescent="0.25">
      <c r="A201" s="107"/>
      <c r="B201" s="107"/>
      <c r="C201" s="107"/>
      <c r="D201">
        <v>2025</v>
      </c>
      <c r="E201">
        <f t="shared" si="42"/>
        <v>222414.7</v>
      </c>
      <c r="F201">
        <v>98415</v>
      </c>
      <c r="G201">
        <v>0</v>
      </c>
      <c r="H201">
        <v>123999.7</v>
      </c>
      <c r="I201">
        <v>0</v>
      </c>
      <c r="J201" s="107"/>
      <c r="K201" s="107"/>
    </row>
    <row r="202" spans="1:11" x14ac:dyDescent="0.25">
      <c r="A202" s="107" t="s">
        <v>1360</v>
      </c>
      <c r="B202" s="107" t="s">
        <v>1361</v>
      </c>
      <c r="C202" s="107" t="s">
        <v>14</v>
      </c>
      <c r="D202" t="s">
        <v>8</v>
      </c>
      <c r="E202">
        <f>SUM(E203:E207)</f>
        <v>3470300.6810000003</v>
      </c>
      <c r="F202">
        <f>SUM(F203:F207)</f>
        <v>3470300.6810000003</v>
      </c>
      <c r="G202">
        <v>0</v>
      </c>
      <c r="H202">
        <v>0</v>
      </c>
      <c r="I202">
        <v>0</v>
      </c>
      <c r="J202" s="107" t="s">
        <v>1362</v>
      </c>
      <c r="K202" s="107" t="s">
        <v>1363</v>
      </c>
    </row>
    <row r="203" spans="1:11" x14ac:dyDescent="0.25">
      <c r="A203" s="107"/>
      <c r="B203" s="107"/>
      <c r="C203" s="107"/>
      <c r="D203">
        <v>2021</v>
      </c>
      <c r="E203">
        <f t="shared" ref="E203:E207" si="43">SUM(F203:I203)</f>
        <v>476418.5</v>
      </c>
      <c r="F203">
        <v>476418.5</v>
      </c>
      <c r="G203">
        <v>0</v>
      </c>
      <c r="H203">
        <v>0</v>
      </c>
      <c r="I203">
        <v>0</v>
      </c>
      <c r="J203" s="107"/>
      <c r="K203" s="107"/>
    </row>
    <row r="204" spans="1:11" x14ac:dyDescent="0.25">
      <c r="A204" s="107"/>
      <c r="B204" s="107"/>
      <c r="C204" s="107"/>
      <c r="D204">
        <v>2022</v>
      </c>
      <c r="E204">
        <f t="shared" si="43"/>
        <v>2212504.6</v>
      </c>
      <c r="F204">
        <v>2212504.6</v>
      </c>
      <c r="G204">
        <v>0</v>
      </c>
      <c r="H204">
        <v>0</v>
      </c>
      <c r="I204">
        <v>0</v>
      </c>
      <c r="J204" s="107"/>
      <c r="K204" s="107"/>
    </row>
    <row r="205" spans="1:11" x14ac:dyDescent="0.25">
      <c r="A205" s="107"/>
      <c r="B205" s="107"/>
      <c r="C205" s="107"/>
      <c r="D205">
        <v>2023</v>
      </c>
      <c r="E205">
        <f t="shared" si="43"/>
        <v>273012.02100000001</v>
      </c>
      <c r="F205">
        <v>273012.02100000001</v>
      </c>
      <c r="G205">
        <v>0</v>
      </c>
      <c r="H205">
        <v>0</v>
      </c>
      <c r="I205">
        <v>0</v>
      </c>
      <c r="J205" s="107"/>
      <c r="K205" s="107"/>
    </row>
    <row r="206" spans="1:11" x14ac:dyDescent="0.25">
      <c r="A206" s="107"/>
      <c r="B206" s="107"/>
      <c r="C206" s="107"/>
      <c r="D206">
        <v>2024</v>
      </c>
      <c r="E206">
        <f t="shared" si="43"/>
        <v>211826.9</v>
      </c>
      <c r="F206">
        <v>211826.9</v>
      </c>
      <c r="G206">
        <v>0</v>
      </c>
      <c r="H206">
        <v>0</v>
      </c>
      <c r="I206">
        <v>0</v>
      </c>
      <c r="J206" s="107"/>
      <c r="K206" s="107"/>
    </row>
    <row r="207" spans="1:11" x14ac:dyDescent="0.25">
      <c r="A207" s="107"/>
      <c r="B207" s="107"/>
      <c r="C207" s="107"/>
      <c r="D207">
        <v>2025</v>
      </c>
      <c r="E207">
        <f t="shared" si="43"/>
        <v>296538.65999999997</v>
      </c>
      <c r="F207">
        <v>296538.65999999997</v>
      </c>
      <c r="G207">
        <v>0</v>
      </c>
      <c r="H207">
        <v>0</v>
      </c>
      <c r="I207">
        <v>0</v>
      </c>
      <c r="J207" s="107"/>
      <c r="K207" s="107"/>
    </row>
    <row r="208" spans="1:11" x14ac:dyDescent="0.25">
      <c r="A208" s="107" t="s">
        <v>1364</v>
      </c>
      <c r="B208" s="107" t="s">
        <v>1365</v>
      </c>
      <c r="C208" s="107">
        <v>2022</v>
      </c>
      <c r="D208" t="s">
        <v>8</v>
      </c>
      <c r="E208">
        <f>SUM(E209:E213)</f>
        <v>327801.59999999998</v>
      </c>
      <c r="F208">
        <f>SUM(F209:F213)</f>
        <v>327801.59999999998</v>
      </c>
      <c r="G208">
        <v>0</v>
      </c>
      <c r="H208">
        <v>0</v>
      </c>
      <c r="I208">
        <v>0</v>
      </c>
      <c r="J208" s="107" t="s">
        <v>1366</v>
      </c>
      <c r="K208" s="107" t="s">
        <v>1251</v>
      </c>
    </row>
    <row r="209" spans="1:11" x14ac:dyDescent="0.25">
      <c r="A209" s="107"/>
      <c r="B209" s="107"/>
      <c r="C209" s="107"/>
      <c r="D209">
        <v>2021</v>
      </c>
      <c r="E209">
        <f t="shared" ref="E209:E213" si="44">SUM(F209:I209)</f>
        <v>0</v>
      </c>
      <c r="F209">
        <v>0</v>
      </c>
      <c r="G209">
        <v>0</v>
      </c>
      <c r="H209">
        <v>0</v>
      </c>
      <c r="I209">
        <v>0</v>
      </c>
      <c r="J209" s="107"/>
      <c r="K209" s="107"/>
    </row>
    <row r="210" spans="1:11" x14ac:dyDescent="0.25">
      <c r="A210" s="107"/>
      <c r="B210" s="107"/>
      <c r="C210" s="107"/>
      <c r="D210">
        <v>2022</v>
      </c>
      <c r="E210">
        <f t="shared" si="44"/>
        <v>80685.600000000006</v>
      </c>
      <c r="F210">
        <v>80685.600000000006</v>
      </c>
      <c r="G210">
        <v>0</v>
      </c>
      <c r="H210">
        <v>0</v>
      </c>
      <c r="I210">
        <v>0</v>
      </c>
      <c r="J210" s="107"/>
      <c r="K210" s="107"/>
    </row>
    <row r="211" spans="1:11" x14ac:dyDescent="0.25">
      <c r="A211" s="107"/>
      <c r="B211" s="107"/>
      <c r="C211" s="107"/>
      <c r="D211">
        <v>2023</v>
      </c>
      <c r="E211">
        <f t="shared" si="44"/>
        <v>98564.1</v>
      </c>
      <c r="F211">
        <v>98564.1</v>
      </c>
      <c r="G211">
        <v>0</v>
      </c>
      <c r="H211">
        <v>0</v>
      </c>
      <c r="I211">
        <v>0</v>
      </c>
      <c r="J211" s="107"/>
      <c r="K211" s="107"/>
    </row>
    <row r="212" spans="1:11" x14ac:dyDescent="0.25">
      <c r="A212" s="107"/>
      <c r="B212" s="107"/>
      <c r="C212" s="107"/>
      <c r="D212">
        <v>2024</v>
      </c>
      <c r="E212">
        <f t="shared" si="44"/>
        <v>75118.399999999994</v>
      </c>
      <c r="F212">
        <v>75118.399999999994</v>
      </c>
      <c r="G212">
        <v>0</v>
      </c>
      <c r="H212">
        <v>0</v>
      </c>
      <c r="I212">
        <v>0</v>
      </c>
      <c r="J212" s="107"/>
      <c r="K212" s="107"/>
    </row>
    <row r="213" spans="1:11" x14ac:dyDescent="0.25">
      <c r="A213" s="107"/>
      <c r="B213" s="107"/>
      <c r="C213" s="107"/>
      <c r="D213">
        <v>2025</v>
      </c>
      <c r="E213">
        <f t="shared" si="44"/>
        <v>73433.5</v>
      </c>
      <c r="F213">
        <v>73433.5</v>
      </c>
      <c r="G213">
        <v>0</v>
      </c>
      <c r="H213">
        <v>0</v>
      </c>
      <c r="I213">
        <v>0</v>
      </c>
      <c r="J213" s="107"/>
      <c r="K213" s="107"/>
    </row>
    <row r="214" spans="1:11" x14ac:dyDescent="0.25">
      <c r="A214" s="107" t="s">
        <v>1367</v>
      </c>
      <c r="B214" s="107" t="s">
        <v>1368</v>
      </c>
      <c r="C214" s="107">
        <v>2022</v>
      </c>
      <c r="D214" t="s">
        <v>8</v>
      </c>
      <c r="E214">
        <f>SUM(E215:E219)</f>
        <v>32399.32</v>
      </c>
      <c r="F214">
        <f>SUM(F215:F219)</f>
        <v>30000</v>
      </c>
      <c r="G214">
        <v>0</v>
      </c>
      <c r="H214">
        <f>SUM(H215:H219)</f>
        <v>2399.3200000000002</v>
      </c>
      <c r="I214">
        <v>0</v>
      </c>
      <c r="J214" s="107" t="s">
        <v>1369</v>
      </c>
      <c r="K214" s="107" t="s">
        <v>1265</v>
      </c>
    </row>
    <row r="215" spans="1:11" x14ac:dyDescent="0.25">
      <c r="A215" s="107"/>
      <c r="B215" s="107"/>
      <c r="C215" s="107"/>
      <c r="D215">
        <v>2021</v>
      </c>
      <c r="E215">
        <f t="shared" ref="E215:E219" si="45">SUM(F215:I215)</f>
        <v>0</v>
      </c>
      <c r="F215">
        <v>0</v>
      </c>
      <c r="G215">
        <v>0</v>
      </c>
      <c r="H215">
        <v>0</v>
      </c>
      <c r="I215">
        <v>0</v>
      </c>
      <c r="J215" s="107"/>
      <c r="K215" s="107"/>
    </row>
    <row r="216" spans="1:11" x14ac:dyDescent="0.25">
      <c r="A216" s="107"/>
      <c r="B216" s="107"/>
      <c r="C216" s="107"/>
      <c r="D216">
        <v>2022</v>
      </c>
      <c r="E216">
        <f t="shared" si="45"/>
        <v>32399.32</v>
      </c>
      <c r="F216">
        <v>30000</v>
      </c>
      <c r="G216">
        <v>0</v>
      </c>
      <c r="H216">
        <v>2399.3200000000002</v>
      </c>
      <c r="I216">
        <v>0</v>
      </c>
      <c r="J216" s="107"/>
      <c r="K216" s="107"/>
    </row>
    <row r="217" spans="1:11" x14ac:dyDescent="0.25">
      <c r="A217" s="107"/>
      <c r="B217" s="107"/>
      <c r="C217" s="107"/>
      <c r="D217">
        <v>2023</v>
      </c>
      <c r="E217">
        <f t="shared" si="45"/>
        <v>0</v>
      </c>
      <c r="F217">
        <v>0</v>
      </c>
      <c r="G217">
        <v>0</v>
      </c>
      <c r="H217">
        <v>0</v>
      </c>
      <c r="I217">
        <v>0</v>
      </c>
      <c r="J217" s="107"/>
      <c r="K217" s="107"/>
    </row>
    <row r="218" spans="1:11" x14ac:dyDescent="0.25">
      <c r="A218" s="107"/>
      <c r="B218" s="107"/>
      <c r="C218" s="107"/>
      <c r="D218">
        <v>2024</v>
      </c>
      <c r="E218">
        <f t="shared" si="45"/>
        <v>0</v>
      </c>
      <c r="F218">
        <v>0</v>
      </c>
      <c r="G218">
        <v>0</v>
      </c>
      <c r="H218">
        <v>0</v>
      </c>
      <c r="I218">
        <v>0</v>
      </c>
      <c r="J218" s="107"/>
      <c r="K218" s="107"/>
    </row>
    <row r="219" spans="1:11" x14ac:dyDescent="0.25">
      <c r="A219" s="107"/>
      <c r="B219" s="107"/>
      <c r="C219" s="107"/>
      <c r="D219">
        <v>2025</v>
      </c>
      <c r="E219">
        <f t="shared" si="45"/>
        <v>0</v>
      </c>
      <c r="F219">
        <v>0</v>
      </c>
      <c r="G219">
        <v>0</v>
      </c>
      <c r="H219">
        <v>0</v>
      </c>
      <c r="I219">
        <v>0</v>
      </c>
      <c r="J219" s="107"/>
      <c r="K219" s="107"/>
    </row>
    <row r="220" spans="1:11" x14ac:dyDescent="0.25">
      <c r="A220" s="107" t="s">
        <v>1370</v>
      </c>
      <c r="B220" s="107" t="s">
        <v>1371</v>
      </c>
      <c r="C220" s="107">
        <v>2022</v>
      </c>
      <c r="D220" t="s">
        <v>8</v>
      </c>
      <c r="E220">
        <f>SUM(E221:E225)</f>
        <v>62244.792000000001</v>
      </c>
      <c r="F220">
        <f>SUM(F221:F225)</f>
        <v>9959.1669999999995</v>
      </c>
      <c r="G220">
        <f t="shared" ref="G220:I226" si="46">SUM(G221:G225)</f>
        <v>52285.625</v>
      </c>
      <c r="H220">
        <f t="shared" si="46"/>
        <v>0</v>
      </c>
      <c r="I220">
        <f t="shared" si="46"/>
        <v>0</v>
      </c>
      <c r="J220" s="107" t="s">
        <v>1372</v>
      </c>
      <c r="K220" s="107" t="s">
        <v>1373</v>
      </c>
    </row>
    <row r="221" spans="1:11" x14ac:dyDescent="0.25">
      <c r="A221" s="107"/>
      <c r="B221" s="107"/>
      <c r="C221" s="107"/>
      <c r="D221">
        <v>2021</v>
      </c>
      <c r="E221">
        <f t="shared" ref="E221:E225" si="47">SUM(F221:I221)</f>
        <v>0</v>
      </c>
      <c r="F221">
        <v>0</v>
      </c>
      <c r="G221">
        <v>0</v>
      </c>
      <c r="H221">
        <v>0</v>
      </c>
      <c r="I221">
        <v>0</v>
      </c>
      <c r="J221" s="107"/>
      <c r="K221" s="107"/>
    </row>
    <row r="222" spans="1:11" x14ac:dyDescent="0.25">
      <c r="A222" s="107"/>
      <c r="B222" s="107"/>
      <c r="C222" s="107"/>
      <c r="D222">
        <v>2022</v>
      </c>
      <c r="E222">
        <f t="shared" si="47"/>
        <v>62244.792000000001</v>
      </c>
      <c r="F222">
        <v>9959.1669999999995</v>
      </c>
      <c r="G222">
        <v>52285.625</v>
      </c>
      <c r="H222">
        <v>0</v>
      </c>
      <c r="I222">
        <v>0</v>
      </c>
      <c r="J222" s="107"/>
      <c r="K222" s="107"/>
    </row>
    <row r="223" spans="1:11" x14ac:dyDescent="0.25">
      <c r="A223" s="107"/>
      <c r="B223" s="107"/>
      <c r="C223" s="107"/>
      <c r="D223">
        <v>2023</v>
      </c>
      <c r="E223">
        <f t="shared" si="47"/>
        <v>0</v>
      </c>
      <c r="F223">
        <v>0</v>
      </c>
      <c r="G223">
        <v>0</v>
      </c>
      <c r="H223">
        <v>0</v>
      </c>
      <c r="I223">
        <v>0</v>
      </c>
      <c r="J223" s="107"/>
      <c r="K223" s="107"/>
    </row>
    <row r="224" spans="1:11" x14ac:dyDescent="0.25">
      <c r="A224" s="107"/>
      <c r="B224" s="107"/>
      <c r="C224" s="107"/>
      <c r="D224">
        <v>2024</v>
      </c>
      <c r="E224">
        <f t="shared" si="47"/>
        <v>0</v>
      </c>
      <c r="F224">
        <v>0</v>
      </c>
      <c r="G224">
        <v>0</v>
      </c>
      <c r="H224">
        <v>0</v>
      </c>
      <c r="I224">
        <v>0</v>
      </c>
      <c r="J224" s="107"/>
      <c r="K224" s="107"/>
    </row>
    <row r="225" spans="1:11" x14ac:dyDescent="0.25">
      <c r="A225" s="107"/>
      <c r="B225" s="107"/>
      <c r="C225" s="107"/>
      <c r="D225">
        <v>2025</v>
      </c>
      <c r="E225">
        <f t="shared" si="47"/>
        <v>0</v>
      </c>
      <c r="F225">
        <v>0</v>
      </c>
      <c r="G225">
        <v>0</v>
      </c>
      <c r="H225">
        <v>0</v>
      </c>
      <c r="I225">
        <v>0</v>
      </c>
      <c r="J225" s="107"/>
      <c r="K225" s="107"/>
    </row>
    <row r="226" spans="1:11" x14ac:dyDescent="0.25">
      <c r="A226" s="107" t="s">
        <v>1374</v>
      </c>
      <c r="B226" s="107" t="s">
        <v>1375</v>
      </c>
      <c r="C226" s="107" t="s">
        <v>14</v>
      </c>
      <c r="D226" t="s">
        <v>8</v>
      </c>
      <c r="E226">
        <f>SUM(E227:E231)</f>
        <v>98655.900000000009</v>
      </c>
      <c r="F226">
        <f>SUM(F227:F231)</f>
        <v>26329.5</v>
      </c>
      <c r="G226">
        <f t="shared" si="46"/>
        <v>72326.399999999994</v>
      </c>
      <c r="H226">
        <f>SUM(H227:H231)</f>
        <v>0</v>
      </c>
      <c r="I226">
        <f>SUM(I227:I231)</f>
        <v>0</v>
      </c>
      <c r="J226" s="107" t="s">
        <v>1376</v>
      </c>
      <c r="K226" s="107" t="s">
        <v>1265</v>
      </c>
    </row>
    <row r="227" spans="1:11" x14ac:dyDescent="0.25">
      <c r="A227" s="107"/>
      <c r="B227" s="107"/>
      <c r="C227" s="107"/>
      <c r="D227">
        <v>2021</v>
      </c>
      <c r="E227">
        <f t="shared" ref="E227:E231" si="48">SUM(F227:I227)</f>
        <v>36980.1</v>
      </c>
      <c r="F227">
        <f t="shared" ref="F227:I231" si="49">F233</f>
        <v>26329.5</v>
      </c>
      <c r="G227">
        <f t="shared" si="49"/>
        <v>10650.6</v>
      </c>
      <c r="H227">
        <f t="shared" si="49"/>
        <v>0</v>
      </c>
      <c r="I227">
        <f t="shared" si="49"/>
        <v>0</v>
      </c>
      <c r="J227" s="107"/>
      <c r="K227" s="107"/>
    </row>
    <row r="228" spans="1:11" x14ac:dyDescent="0.25">
      <c r="A228" s="107"/>
      <c r="B228" s="107"/>
      <c r="C228" s="107"/>
      <c r="D228">
        <v>2022</v>
      </c>
      <c r="E228">
        <f t="shared" si="48"/>
        <v>18426.400000000001</v>
      </c>
      <c r="F228">
        <f t="shared" si="49"/>
        <v>0</v>
      </c>
      <c r="G228">
        <f t="shared" si="49"/>
        <v>18426.400000000001</v>
      </c>
      <c r="H228">
        <f t="shared" si="49"/>
        <v>0</v>
      </c>
      <c r="I228">
        <f t="shared" si="49"/>
        <v>0</v>
      </c>
      <c r="J228" s="107"/>
      <c r="K228" s="107"/>
    </row>
    <row r="229" spans="1:11" x14ac:dyDescent="0.25">
      <c r="A229" s="107"/>
      <c r="B229" s="107"/>
      <c r="C229" s="107"/>
      <c r="D229">
        <v>2023</v>
      </c>
      <c r="E229">
        <f t="shared" si="48"/>
        <v>13776.8</v>
      </c>
      <c r="F229">
        <f t="shared" si="49"/>
        <v>0</v>
      </c>
      <c r="G229">
        <f t="shared" si="49"/>
        <v>13776.8</v>
      </c>
      <c r="H229">
        <f t="shared" si="49"/>
        <v>0</v>
      </c>
      <c r="I229">
        <f t="shared" si="49"/>
        <v>0</v>
      </c>
      <c r="J229" s="107"/>
      <c r="K229" s="107"/>
    </row>
    <row r="230" spans="1:11" x14ac:dyDescent="0.25">
      <c r="A230" s="107"/>
      <c r="B230" s="107"/>
      <c r="C230" s="107"/>
      <c r="D230">
        <v>2024</v>
      </c>
      <c r="E230">
        <f t="shared" si="48"/>
        <v>14538.1</v>
      </c>
      <c r="F230">
        <f t="shared" si="49"/>
        <v>0</v>
      </c>
      <c r="G230">
        <f t="shared" si="49"/>
        <v>14538.1</v>
      </c>
      <c r="H230">
        <f t="shared" si="49"/>
        <v>0</v>
      </c>
      <c r="I230">
        <f t="shared" si="49"/>
        <v>0</v>
      </c>
      <c r="J230" s="107"/>
      <c r="K230" s="107"/>
    </row>
    <row r="231" spans="1:11" ht="23.25" customHeight="1" x14ac:dyDescent="0.25">
      <c r="A231" s="107"/>
      <c r="B231" s="107"/>
      <c r="C231" s="107"/>
      <c r="D231">
        <v>2025</v>
      </c>
      <c r="E231">
        <f t="shared" si="48"/>
        <v>14934.5</v>
      </c>
      <c r="F231">
        <f t="shared" si="49"/>
        <v>0</v>
      </c>
      <c r="G231">
        <f t="shared" si="49"/>
        <v>14934.5</v>
      </c>
      <c r="H231">
        <f t="shared" si="49"/>
        <v>0</v>
      </c>
      <c r="I231">
        <f t="shared" si="49"/>
        <v>0</v>
      </c>
      <c r="J231" s="107"/>
      <c r="K231" s="107"/>
    </row>
    <row r="232" spans="1:11" x14ac:dyDescent="0.25">
      <c r="A232" s="107" t="s">
        <v>1377</v>
      </c>
      <c r="B232" s="107" t="s">
        <v>1378</v>
      </c>
      <c r="C232" s="107" t="s">
        <v>14</v>
      </c>
      <c r="D232" t="s">
        <v>8</v>
      </c>
      <c r="E232">
        <f>SUM(E233:E237)</f>
        <v>98655.900000000009</v>
      </c>
      <c r="F232">
        <f>SUM(F233:F237)</f>
        <v>26329.5</v>
      </c>
      <c r="G232">
        <f>SUM(G233:G237)</f>
        <v>72326.399999999994</v>
      </c>
      <c r="H232">
        <f>SUM(H233:H237)</f>
        <v>0</v>
      </c>
      <c r="I232">
        <f>SUM(I233:I237)</f>
        <v>0</v>
      </c>
      <c r="J232" s="107" t="s">
        <v>1379</v>
      </c>
      <c r="K232" s="107" t="s">
        <v>748</v>
      </c>
    </row>
    <row r="233" spans="1:11" x14ac:dyDescent="0.25">
      <c r="A233" s="107"/>
      <c r="B233" s="107"/>
      <c r="C233" s="107"/>
      <c r="D233">
        <v>2021</v>
      </c>
      <c r="E233">
        <f t="shared" ref="E233:E237" si="50">SUM(F233:I233)</f>
        <v>36980.1</v>
      </c>
      <c r="F233">
        <v>26329.5</v>
      </c>
      <c r="G233">
        <f>9582.2+1068.4</f>
        <v>10650.6</v>
      </c>
      <c r="H233">
        <v>0</v>
      </c>
      <c r="I233">
        <v>0</v>
      </c>
      <c r="J233" s="107"/>
      <c r="K233" s="107"/>
    </row>
    <row r="234" spans="1:11" x14ac:dyDescent="0.25">
      <c r="A234" s="107"/>
      <c r="B234" s="107"/>
      <c r="C234" s="107"/>
      <c r="D234">
        <v>2022</v>
      </c>
      <c r="E234">
        <f t="shared" si="50"/>
        <v>18426.400000000001</v>
      </c>
      <c r="F234">
        <f>33262.35-33262.35</f>
        <v>0</v>
      </c>
      <c r="G234">
        <v>18426.400000000001</v>
      </c>
      <c r="H234">
        <v>0</v>
      </c>
      <c r="I234">
        <v>0</v>
      </c>
      <c r="J234" s="107"/>
      <c r="K234" s="107"/>
    </row>
    <row r="235" spans="1:11" x14ac:dyDescent="0.25">
      <c r="A235" s="107"/>
      <c r="B235" s="107"/>
      <c r="C235" s="107"/>
      <c r="D235">
        <v>2023</v>
      </c>
      <c r="E235">
        <f t="shared" si="50"/>
        <v>13776.8</v>
      </c>
      <c r="F235">
        <v>0</v>
      </c>
      <c r="G235">
        <v>13776.8</v>
      </c>
      <c r="H235">
        <v>0</v>
      </c>
      <c r="I235">
        <v>0</v>
      </c>
      <c r="J235" s="107"/>
      <c r="K235" s="107"/>
    </row>
    <row r="236" spans="1:11" x14ac:dyDescent="0.25">
      <c r="A236" s="107"/>
      <c r="B236" s="107"/>
      <c r="C236" s="107"/>
      <c r="D236">
        <v>2024</v>
      </c>
      <c r="E236">
        <f t="shared" si="50"/>
        <v>14538.1</v>
      </c>
      <c r="F236">
        <v>0</v>
      </c>
      <c r="G236">
        <v>14538.1</v>
      </c>
      <c r="H236">
        <v>0</v>
      </c>
      <c r="I236">
        <v>0</v>
      </c>
      <c r="J236" s="107"/>
      <c r="K236" s="107"/>
    </row>
    <row r="237" spans="1:11" x14ac:dyDescent="0.25">
      <c r="A237" s="107"/>
      <c r="B237" s="107"/>
      <c r="C237" s="107"/>
      <c r="D237">
        <v>2025</v>
      </c>
      <c r="E237">
        <f t="shared" si="50"/>
        <v>14934.5</v>
      </c>
      <c r="F237">
        <v>0</v>
      </c>
      <c r="G237">
        <v>14934.5</v>
      </c>
      <c r="H237">
        <v>0</v>
      </c>
      <c r="I237">
        <v>0</v>
      </c>
      <c r="J237" s="107"/>
      <c r="K237" s="107"/>
    </row>
    <row r="238" spans="1:11" x14ac:dyDescent="0.25">
      <c r="A238" s="107" t="s">
        <v>1380</v>
      </c>
      <c r="B238" s="107" t="s">
        <v>1381</v>
      </c>
      <c r="C238" s="107" t="s">
        <v>14</v>
      </c>
      <c r="D238" t="s">
        <v>8</v>
      </c>
      <c r="E238">
        <f>SUM(E239:E243)</f>
        <v>1286020.5239999997</v>
      </c>
      <c r="F238">
        <f>SUM(F239:F243)</f>
        <v>264274.55</v>
      </c>
      <c r="G238">
        <f>SUM(G239:G243)</f>
        <v>71956.2</v>
      </c>
      <c r="H238">
        <f>SUM(H239:H243)</f>
        <v>199789.774</v>
      </c>
      <c r="I238">
        <f>SUM(I239:I243)</f>
        <v>750000</v>
      </c>
      <c r="J238" s="107" t="s">
        <v>1382</v>
      </c>
      <c r="K238" s="107" t="s">
        <v>1383</v>
      </c>
    </row>
    <row r="239" spans="1:11" x14ac:dyDescent="0.25">
      <c r="A239" s="107"/>
      <c r="B239" s="107"/>
      <c r="C239" s="107"/>
      <c r="D239">
        <v>2021</v>
      </c>
      <c r="E239">
        <f t="shared" ref="E239:E243" si="51">SUM(F239:I239)</f>
        <v>233791.8</v>
      </c>
      <c r="F239">
        <f>F245+F251</f>
        <v>38504.5</v>
      </c>
      <c r="G239">
        <f>G245+G251</f>
        <v>14287.3</v>
      </c>
      <c r="H239">
        <f>H245+H251</f>
        <v>31000</v>
      </c>
      <c r="I239">
        <f>I245+I251</f>
        <v>150000</v>
      </c>
      <c r="J239" s="107"/>
      <c r="K239" s="107"/>
    </row>
    <row r="240" spans="1:11" x14ac:dyDescent="0.25">
      <c r="A240" s="107"/>
      <c r="B240" s="107"/>
      <c r="C240" s="107"/>
      <c r="D240">
        <v>2022</v>
      </c>
      <c r="E240">
        <f t="shared" si="51"/>
        <v>273791.02399999998</v>
      </c>
      <c r="F240">
        <f t="shared" ref="F240:I243" si="52">F246+F252+F258</f>
        <v>61791.65</v>
      </c>
      <c r="G240">
        <f t="shared" si="52"/>
        <v>13636.4</v>
      </c>
      <c r="H240">
        <f t="shared" si="52"/>
        <v>48362.974000000002</v>
      </c>
      <c r="I240">
        <f t="shared" si="52"/>
        <v>150000</v>
      </c>
      <c r="J240" s="107"/>
      <c r="K240" s="107"/>
    </row>
    <row r="241" spans="1:11" x14ac:dyDescent="0.25">
      <c r="A241" s="107"/>
      <c r="B241" s="107"/>
      <c r="C241" s="107"/>
      <c r="D241">
        <v>2023</v>
      </c>
      <c r="E241">
        <f t="shared" si="51"/>
        <v>284801.59999999998</v>
      </c>
      <c r="F241">
        <f t="shared" si="52"/>
        <v>68037.399999999994</v>
      </c>
      <c r="G241">
        <f t="shared" si="52"/>
        <v>14763.1</v>
      </c>
      <c r="H241">
        <f t="shared" si="52"/>
        <v>52001.1</v>
      </c>
      <c r="I241">
        <f t="shared" si="52"/>
        <v>150000</v>
      </c>
      <c r="J241" s="107"/>
      <c r="K241" s="107"/>
    </row>
    <row r="242" spans="1:11" x14ac:dyDescent="0.25">
      <c r="A242" s="107"/>
      <c r="B242" s="107"/>
      <c r="C242" s="107"/>
      <c r="D242">
        <v>2024</v>
      </c>
      <c r="E242">
        <f t="shared" si="51"/>
        <v>253275.1</v>
      </c>
      <c r="F242">
        <f t="shared" si="52"/>
        <v>51042.400000000001</v>
      </c>
      <c r="G242">
        <f t="shared" si="52"/>
        <v>14848.4</v>
      </c>
      <c r="H242">
        <f t="shared" si="52"/>
        <v>37384.300000000003</v>
      </c>
      <c r="I242">
        <f t="shared" si="52"/>
        <v>150000</v>
      </c>
      <c r="J242" s="107"/>
      <c r="K242" s="107"/>
    </row>
    <row r="243" spans="1:11" x14ac:dyDescent="0.25">
      <c r="A243" s="107"/>
      <c r="B243" s="107"/>
      <c r="C243" s="107"/>
      <c r="D243">
        <v>2025</v>
      </c>
      <c r="E243">
        <f t="shared" si="51"/>
        <v>240361</v>
      </c>
      <c r="F243">
        <f t="shared" si="52"/>
        <v>44898.6</v>
      </c>
      <c r="G243">
        <f t="shared" si="52"/>
        <v>14421</v>
      </c>
      <c r="H243">
        <f t="shared" si="52"/>
        <v>31041.4</v>
      </c>
      <c r="I243">
        <f t="shared" si="52"/>
        <v>150000</v>
      </c>
      <c r="J243" s="107"/>
      <c r="K243" s="107"/>
    </row>
    <row r="244" spans="1:11" x14ac:dyDescent="0.25">
      <c r="A244" s="107" t="s">
        <v>1384</v>
      </c>
      <c r="B244" s="107" t="s">
        <v>1385</v>
      </c>
      <c r="C244" s="107" t="s">
        <v>14</v>
      </c>
      <c r="D244" t="s">
        <v>8</v>
      </c>
      <c r="E244">
        <f>SUM(E245:E249)</f>
        <v>1147493.774</v>
      </c>
      <c r="F244">
        <f>SUM(F245:F249)</f>
        <v>192500</v>
      </c>
      <c r="G244">
        <f>SUM(G245:G249)</f>
        <v>71956.2</v>
      </c>
      <c r="H244">
        <f>SUM(H245:H249)</f>
        <v>133037.57399999999</v>
      </c>
      <c r="I244">
        <f>SUM(I245:I249)</f>
        <v>750000</v>
      </c>
      <c r="J244" s="107" t="s">
        <v>1386</v>
      </c>
      <c r="K244" s="107" t="s">
        <v>1383</v>
      </c>
    </row>
    <row r="245" spans="1:11" x14ac:dyDescent="0.25">
      <c r="A245" s="107"/>
      <c r="B245" s="107"/>
      <c r="C245" s="107"/>
      <c r="D245">
        <v>2021</v>
      </c>
      <c r="E245">
        <f t="shared" ref="E245:E249" si="53">SUM(F245:I245)</f>
        <v>233787.3</v>
      </c>
      <c r="F245">
        <v>38500</v>
      </c>
      <c r="G245">
        <v>14287.3</v>
      </c>
      <c r="H245">
        <v>31000</v>
      </c>
      <c r="I245">
        <v>150000</v>
      </c>
      <c r="J245" s="107"/>
      <c r="K245" s="107"/>
    </row>
    <row r="246" spans="1:11" x14ac:dyDescent="0.25">
      <c r="A246" s="107"/>
      <c r="B246" s="107"/>
      <c r="C246" s="107"/>
      <c r="D246">
        <v>2022</v>
      </c>
      <c r="E246">
        <f t="shared" si="53"/>
        <v>229878.174</v>
      </c>
      <c r="F246">
        <v>38500</v>
      </c>
      <c r="G246">
        <v>13636.4</v>
      </c>
      <c r="H246">
        <v>27741.774000000001</v>
      </c>
      <c r="I246">
        <v>150000</v>
      </c>
      <c r="J246" s="107"/>
      <c r="K246" s="107"/>
    </row>
    <row r="247" spans="1:11" x14ac:dyDescent="0.25">
      <c r="A247" s="107"/>
      <c r="B247" s="107"/>
      <c r="C247" s="107"/>
      <c r="D247">
        <v>2023</v>
      </c>
      <c r="E247">
        <f t="shared" si="53"/>
        <v>228068.2</v>
      </c>
      <c r="F247">
        <v>38500</v>
      </c>
      <c r="G247">
        <v>14763.1</v>
      </c>
      <c r="H247">
        <v>24805.1</v>
      </c>
      <c r="I247">
        <v>150000</v>
      </c>
      <c r="J247" s="107"/>
      <c r="K247" s="107"/>
    </row>
    <row r="248" spans="1:11" x14ac:dyDescent="0.25">
      <c r="A248" s="107"/>
      <c r="B248" s="107"/>
      <c r="C248" s="107"/>
      <c r="D248">
        <v>2024</v>
      </c>
      <c r="E248">
        <f t="shared" si="53"/>
        <v>228193.3</v>
      </c>
      <c r="F248">
        <v>38500</v>
      </c>
      <c r="G248">
        <v>14848.4</v>
      </c>
      <c r="H248">
        <v>24844.9</v>
      </c>
      <c r="I248">
        <v>150000</v>
      </c>
      <c r="J248" s="107"/>
      <c r="K248" s="107"/>
    </row>
    <row r="249" spans="1:11" x14ac:dyDescent="0.25">
      <c r="A249" s="107"/>
      <c r="B249" s="107"/>
      <c r="C249" s="107"/>
      <c r="D249">
        <v>2025</v>
      </c>
      <c r="E249">
        <f t="shared" si="53"/>
        <v>227566.8</v>
      </c>
      <c r="F249">
        <v>38500</v>
      </c>
      <c r="G249">
        <v>14421</v>
      </c>
      <c r="H249">
        <v>24645.8</v>
      </c>
      <c r="I249">
        <v>150000</v>
      </c>
      <c r="J249" s="107"/>
      <c r="K249" s="107"/>
    </row>
    <row r="250" spans="1:11" x14ac:dyDescent="0.25">
      <c r="A250" s="107" t="s">
        <v>1387</v>
      </c>
      <c r="B250" s="107" t="s">
        <v>1388</v>
      </c>
      <c r="C250" s="107" t="s">
        <v>14</v>
      </c>
      <c r="D250" t="s">
        <v>8</v>
      </c>
      <c r="E250">
        <f>SUM(E251:E255)</f>
        <v>16.5</v>
      </c>
      <c r="F250">
        <f>SUM(F251:F255)</f>
        <v>16.5</v>
      </c>
      <c r="G250">
        <f>SUM(G251:G255)</f>
        <v>0</v>
      </c>
      <c r="H250">
        <f>SUM(H251:H255)</f>
        <v>0</v>
      </c>
      <c r="I250">
        <f>SUM(I251:I255)</f>
        <v>0</v>
      </c>
      <c r="J250" s="107" t="s">
        <v>1389</v>
      </c>
      <c r="K250" s="107" t="s">
        <v>748</v>
      </c>
    </row>
    <row r="251" spans="1:11" x14ac:dyDescent="0.25">
      <c r="A251" s="107"/>
      <c r="B251" s="107"/>
      <c r="C251" s="107"/>
      <c r="D251">
        <v>2021</v>
      </c>
      <c r="E251">
        <f t="shared" ref="E251:E255" si="54">SUM(F251:I251)</f>
        <v>4.5</v>
      </c>
      <c r="F251">
        <v>4.5</v>
      </c>
      <c r="G251">
        <v>0</v>
      </c>
      <c r="H251">
        <v>0</v>
      </c>
      <c r="I251">
        <v>0</v>
      </c>
      <c r="J251" s="107"/>
      <c r="K251" s="107"/>
    </row>
    <row r="252" spans="1:11" x14ac:dyDescent="0.25">
      <c r="A252" s="107"/>
      <c r="B252" s="107"/>
      <c r="C252" s="107"/>
      <c r="D252">
        <v>2022</v>
      </c>
      <c r="E252">
        <f t="shared" si="54"/>
        <v>3</v>
      </c>
      <c r="F252">
        <v>3</v>
      </c>
      <c r="G252">
        <v>0</v>
      </c>
      <c r="H252">
        <v>0</v>
      </c>
      <c r="I252">
        <v>0</v>
      </c>
      <c r="J252" s="107"/>
      <c r="K252" s="107"/>
    </row>
    <row r="253" spans="1:11" x14ac:dyDescent="0.25">
      <c r="A253" s="107"/>
      <c r="B253" s="107"/>
      <c r="C253" s="107"/>
      <c r="D253">
        <v>2023</v>
      </c>
      <c r="E253">
        <f t="shared" si="54"/>
        <v>3</v>
      </c>
      <c r="F253">
        <v>3</v>
      </c>
      <c r="G253">
        <v>0</v>
      </c>
      <c r="H253">
        <v>0</v>
      </c>
      <c r="I253">
        <v>0</v>
      </c>
      <c r="J253" s="107"/>
      <c r="K253" s="107"/>
    </row>
    <row r="254" spans="1:11" x14ac:dyDescent="0.25">
      <c r="A254" s="107"/>
      <c r="B254" s="107"/>
      <c r="C254" s="107"/>
      <c r="D254">
        <v>2024</v>
      </c>
      <c r="E254">
        <f t="shared" si="54"/>
        <v>3</v>
      </c>
      <c r="F254">
        <v>3</v>
      </c>
      <c r="G254">
        <v>0</v>
      </c>
      <c r="H254">
        <v>0</v>
      </c>
      <c r="I254">
        <v>0</v>
      </c>
      <c r="J254" s="107"/>
      <c r="K254" s="107"/>
    </row>
    <row r="255" spans="1:11" x14ac:dyDescent="0.25">
      <c r="A255" s="107"/>
      <c r="B255" s="107"/>
      <c r="C255" s="107"/>
      <c r="D255">
        <v>2025</v>
      </c>
      <c r="E255">
        <f t="shared" si="54"/>
        <v>3</v>
      </c>
      <c r="F255">
        <v>3</v>
      </c>
      <c r="G255">
        <v>0</v>
      </c>
      <c r="H255">
        <v>0</v>
      </c>
      <c r="I255">
        <v>0</v>
      </c>
      <c r="J255" s="107"/>
      <c r="K255" s="107"/>
    </row>
    <row r="256" spans="1:11" x14ac:dyDescent="0.25">
      <c r="A256" s="107" t="s">
        <v>1390</v>
      </c>
      <c r="B256" s="107" t="s">
        <v>1391</v>
      </c>
      <c r="C256" s="107" t="s">
        <v>14</v>
      </c>
      <c r="D256" t="s">
        <v>8</v>
      </c>
      <c r="E256">
        <f>SUM(E257:E261)</f>
        <v>138510.25</v>
      </c>
      <c r="F256">
        <f>SUM(F257:F261)</f>
        <v>71758.05</v>
      </c>
      <c r="G256">
        <f>SUM(G257:G261)</f>
        <v>0</v>
      </c>
      <c r="H256">
        <f>SUM(H257:H261)</f>
        <v>66752.2</v>
      </c>
      <c r="I256">
        <f>SUM(I257:I261)</f>
        <v>0</v>
      </c>
      <c r="J256" s="107" t="s">
        <v>1392</v>
      </c>
      <c r="K256" s="107" t="s">
        <v>1383</v>
      </c>
    </row>
    <row r="257" spans="1:11" x14ac:dyDescent="0.25">
      <c r="A257" s="107"/>
      <c r="B257" s="107"/>
      <c r="C257" s="107"/>
      <c r="D257">
        <v>2021</v>
      </c>
      <c r="E257">
        <f t="shared" ref="E257:E261" si="55">F257+G257+H257+I257</f>
        <v>0</v>
      </c>
      <c r="F257">
        <v>0</v>
      </c>
      <c r="G257">
        <v>0</v>
      </c>
      <c r="H257">
        <v>0</v>
      </c>
      <c r="I257">
        <v>0</v>
      </c>
      <c r="J257" s="107"/>
      <c r="K257" s="107"/>
    </row>
    <row r="258" spans="1:11" x14ac:dyDescent="0.25">
      <c r="A258" s="107"/>
      <c r="B258" s="107"/>
      <c r="C258" s="107"/>
      <c r="D258">
        <v>2022</v>
      </c>
      <c r="E258">
        <f t="shared" si="55"/>
        <v>43909.850000000006</v>
      </c>
      <c r="F258">
        <v>23288.65</v>
      </c>
      <c r="G258">
        <v>0</v>
      </c>
      <c r="H258">
        <v>20621.2</v>
      </c>
      <c r="I258">
        <v>0</v>
      </c>
      <c r="J258" s="107"/>
      <c r="K258" s="107"/>
    </row>
    <row r="259" spans="1:11" x14ac:dyDescent="0.25">
      <c r="A259" s="107"/>
      <c r="B259" s="107"/>
      <c r="C259" s="107"/>
      <c r="D259">
        <v>2023</v>
      </c>
      <c r="E259">
        <f t="shared" si="55"/>
        <v>56730.400000000001</v>
      </c>
      <c r="F259">
        <v>29534.400000000001</v>
      </c>
      <c r="G259">
        <v>0</v>
      </c>
      <c r="H259">
        <v>27196</v>
      </c>
      <c r="I259">
        <v>0</v>
      </c>
      <c r="J259" s="107"/>
      <c r="K259" s="107"/>
    </row>
    <row r="260" spans="1:11" x14ac:dyDescent="0.25">
      <c r="A260" s="107"/>
      <c r="B260" s="107"/>
      <c r="C260" s="107"/>
      <c r="D260">
        <v>2024</v>
      </c>
      <c r="E260">
        <f t="shared" si="55"/>
        <v>25078.799999999999</v>
      </c>
      <c r="F260">
        <v>12539.4</v>
      </c>
      <c r="G260">
        <v>0</v>
      </c>
      <c r="H260">
        <v>12539.4</v>
      </c>
      <c r="I260">
        <v>0</v>
      </c>
      <c r="J260" s="107"/>
      <c r="K260" s="107"/>
    </row>
    <row r="261" spans="1:11" x14ac:dyDescent="0.25">
      <c r="A261" s="107"/>
      <c r="B261" s="107"/>
      <c r="C261" s="107"/>
      <c r="D261">
        <v>2025</v>
      </c>
      <c r="E261">
        <f t="shared" si="55"/>
        <v>12791.2</v>
      </c>
      <c r="F261">
        <v>6395.6</v>
      </c>
      <c r="G261">
        <v>0</v>
      </c>
      <c r="H261">
        <v>6395.6</v>
      </c>
      <c r="I261">
        <v>0</v>
      </c>
      <c r="J261" s="107"/>
      <c r="K261" s="107"/>
    </row>
    <row r="262" spans="1:11" x14ac:dyDescent="0.25">
      <c r="A262" s="107" t="s">
        <v>1393</v>
      </c>
      <c r="B262" s="107" t="s">
        <v>1394</v>
      </c>
      <c r="C262" s="107" t="s">
        <v>14</v>
      </c>
      <c r="D262" t="s">
        <v>8</v>
      </c>
      <c r="E262">
        <f>E263+E264+E265+E266+E267</f>
        <v>399568</v>
      </c>
      <c r="F262">
        <f>SUM(F263:F267)</f>
        <v>399568</v>
      </c>
      <c r="G262">
        <f>SUM(G263:G267)</f>
        <v>0</v>
      </c>
      <c r="H262">
        <f>SUM(H263:H267)</f>
        <v>0</v>
      </c>
      <c r="I262">
        <f>SUM(I263:I267)</f>
        <v>0</v>
      </c>
      <c r="J262" s="107" t="s">
        <v>1395</v>
      </c>
      <c r="K262" s="107" t="s">
        <v>1383</v>
      </c>
    </row>
    <row r="263" spans="1:11" x14ac:dyDescent="0.25">
      <c r="A263" s="107"/>
      <c r="B263" s="107"/>
      <c r="C263" s="107"/>
      <c r="D263">
        <v>2021</v>
      </c>
      <c r="E263">
        <f t="shared" ref="E263:E267" si="56">F263</f>
        <v>48269.8</v>
      </c>
      <c r="F263">
        <f t="shared" ref="F263:F267" si="57">F269</f>
        <v>48269.8</v>
      </c>
      <c r="G263">
        <v>0</v>
      </c>
      <c r="H263">
        <v>0</v>
      </c>
      <c r="I263">
        <v>0</v>
      </c>
      <c r="J263" s="107"/>
      <c r="K263" s="107"/>
    </row>
    <row r="264" spans="1:11" x14ac:dyDescent="0.25">
      <c r="A264" s="107"/>
      <c r="B264" s="107"/>
      <c r="C264" s="107"/>
      <c r="D264">
        <v>2022</v>
      </c>
      <c r="E264">
        <f t="shared" si="56"/>
        <v>74174.399999999994</v>
      </c>
      <c r="F264">
        <f t="shared" si="57"/>
        <v>74174.399999999994</v>
      </c>
      <c r="G264">
        <v>0</v>
      </c>
      <c r="H264">
        <v>0</v>
      </c>
      <c r="I264">
        <v>0</v>
      </c>
      <c r="J264" s="107"/>
      <c r="K264" s="107"/>
    </row>
    <row r="265" spans="1:11" x14ac:dyDescent="0.25">
      <c r="A265" s="107"/>
      <c r="B265" s="107"/>
      <c r="C265" s="107"/>
      <c r="D265">
        <v>2023</v>
      </c>
      <c r="E265">
        <f t="shared" si="56"/>
        <v>92374.6</v>
      </c>
      <c r="F265">
        <f t="shared" si="57"/>
        <v>92374.6</v>
      </c>
      <c r="G265">
        <v>0</v>
      </c>
      <c r="H265">
        <v>0</v>
      </c>
      <c r="I265">
        <v>0</v>
      </c>
      <c r="J265" s="107"/>
      <c r="K265" s="107"/>
    </row>
    <row r="266" spans="1:11" x14ac:dyDescent="0.25">
      <c r="A266" s="107"/>
      <c r="B266" s="107"/>
      <c r="C266" s="107"/>
      <c r="D266">
        <v>2024</v>
      </c>
      <c r="E266">
        <f t="shared" si="56"/>
        <v>92374.6</v>
      </c>
      <c r="F266">
        <f t="shared" si="57"/>
        <v>92374.6</v>
      </c>
      <c r="G266">
        <v>0</v>
      </c>
      <c r="H266">
        <v>0</v>
      </c>
      <c r="I266">
        <v>0</v>
      </c>
      <c r="J266" s="107"/>
      <c r="K266" s="107"/>
    </row>
    <row r="267" spans="1:11" x14ac:dyDescent="0.25">
      <c r="A267" s="107"/>
      <c r="B267" s="107"/>
      <c r="C267" s="107"/>
      <c r="D267">
        <v>2025</v>
      </c>
      <c r="E267">
        <f t="shared" si="56"/>
        <v>92374.6</v>
      </c>
      <c r="F267">
        <f t="shared" si="57"/>
        <v>92374.6</v>
      </c>
      <c r="G267">
        <v>0</v>
      </c>
      <c r="H267">
        <v>0</v>
      </c>
      <c r="I267">
        <v>0</v>
      </c>
      <c r="J267" s="107"/>
      <c r="K267" s="107"/>
    </row>
    <row r="268" spans="1:11" x14ac:dyDescent="0.25">
      <c r="A268" s="107" t="s">
        <v>1396</v>
      </c>
      <c r="B268" s="107" t="s">
        <v>1397</v>
      </c>
      <c r="C268" s="107" t="s">
        <v>14</v>
      </c>
      <c r="D268" t="s">
        <v>8</v>
      </c>
      <c r="E268">
        <f>E269+E270+E271+E272+E273</f>
        <v>399568</v>
      </c>
      <c r="F268">
        <f>SUM(F269:F273)</f>
        <v>399568</v>
      </c>
      <c r="G268">
        <f>SUM(G269:G273)</f>
        <v>0</v>
      </c>
      <c r="H268">
        <f>SUM(H269:H273)</f>
        <v>0</v>
      </c>
      <c r="I268">
        <f>SUM(I269:I273)</f>
        <v>0</v>
      </c>
      <c r="J268" s="107" t="s">
        <v>1398</v>
      </c>
      <c r="K268" s="107" t="s">
        <v>1383</v>
      </c>
    </row>
    <row r="269" spans="1:11" x14ac:dyDescent="0.25">
      <c r="A269" s="107"/>
      <c r="B269" s="107"/>
      <c r="C269" s="107"/>
      <c r="D269">
        <v>2021</v>
      </c>
      <c r="E269">
        <f t="shared" ref="E269:E273" si="58">F269+G269+H269+I269</f>
        <v>48269.8</v>
      </c>
      <c r="F269">
        <v>48269.8</v>
      </c>
      <c r="G269">
        <v>0</v>
      </c>
      <c r="H269">
        <v>0</v>
      </c>
      <c r="I269">
        <v>0</v>
      </c>
      <c r="J269" s="107"/>
      <c r="K269" s="107"/>
    </row>
    <row r="270" spans="1:11" x14ac:dyDescent="0.25">
      <c r="A270" s="107"/>
      <c r="B270" s="107"/>
      <c r="C270" s="107"/>
      <c r="D270">
        <v>2022</v>
      </c>
      <c r="E270">
        <f t="shared" si="58"/>
        <v>74174.399999999994</v>
      </c>
      <c r="F270">
        <v>74174.399999999994</v>
      </c>
      <c r="G270">
        <v>0</v>
      </c>
      <c r="H270">
        <v>0</v>
      </c>
      <c r="I270">
        <v>0</v>
      </c>
      <c r="J270" s="107"/>
      <c r="K270" s="107"/>
    </row>
    <row r="271" spans="1:11" x14ac:dyDescent="0.25">
      <c r="A271" s="107"/>
      <c r="B271" s="107"/>
      <c r="C271" s="107"/>
      <c r="D271">
        <v>2023</v>
      </c>
      <c r="E271">
        <f t="shared" si="58"/>
        <v>92374.6</v>
      </c>
      <c r="F271">
        <v>92374.6</v>
      </c>
      <c r="G271">
        <v>0</v>
      </c>
      <c r="H271">
        <v>0</v>
      </c>
      <c r="I271">
        <v>0</v>
      </c>
      <c r="J271" s="107"/>
      <c r="K271" s="107"/>
    </row>
    <row r="272" spans="1:11" x14ac:dyDescent="0.25">
      <c r="A272" s="107"/>
      <c r="B272" s="107"/>
      <c r="C272" s="107"/>
      <c r="D272">
        <v>2024</v>
      </c>
      <c r="E272">
        <f t="shared" si="58"/>
        <v>92374.6</v>
      </c>
      <c r="F272">
        <v>92374.6</v>
      </c>
      <c r="G272">
        <v>0</v>
      </c>
      <c r="H272">
        <v>0</v>
      </c>
      <c r="I272">
        <v>0</v>
      </c>
      <c r="J272" s="107"/>
      <c r="K272" s="107"/>
    </row>
    <row r="273" spans="1:11" x14ac:dyDescent="0.25">
      <c r="A273" s="107"/>
      <c r="B273" s="107"/>
      <c r="C273" s="107"/>
      <c r="D273">
        <v>2025</v>
      </c>
      <c r="E273">
        <f t="shared" si="58"/>
        <v>92374.6</v>
      </c>
      <c r="F273">
        <v>92374.6</v>
      </c>
      <c r="G273">
        <v>0</v>
      </c>
      <c r="H273">
        <v>0</v>
      </c>
      <c r="I273">
        <v>0</v>
      </c>
      <c r="J273" s="107"/>
      <c r="K273" s="107"/>
    </row>
    <row r="274" spans="1:11" x14ac:dyDescent="0.25">
      <c r="A274" s="107" t="s">
        <v>1399</v>
      </c>
      <c r="B274" s="107" t="s">
        <v>1400</v>
      </c>
      <c r="C274" s="107" t="s">
        <v>14</v>
      </c>
      <c r="D274" t="s">
        <v>8</v>
      </c>
      <c r="E274">
        <f>SUM(E275:E279)</f>
        <v>68023.989999999991</v>
      </c>
      <c r="F274">
        <f>SUM(F275:F279)</f>
        <v>54827.99</v>
      </c>
      <c r="G274">
        <f>SUM(G275:G279)</f>
        <v>0</v>
      </c>
      <c r="H274">
        <f>SUM(H275:H279)</f>
        <v>13196</v>
      </c>
      <c r="I274">
        <f>SUM(I275:I279)</f>
        <v>0</v>
      </c>
      <c r="J274" s="107" t="s">
        <v>1401</v>
      </c>
      <c r="K274" s="107" t="s">
        <v>1383</v>
      </c>
    </row>
    <row r="275" spans="1:11" x14ac:dyDescent="0.25">
      <c r="A275" s="107"/>
      <c r="B275" s="107"/>
      <c r="C275" s="107"/>
      <c r="D275">
        <v>2021</v>
      </c>
      <c r="E275">
        <v>0</v>
      </c>
      <c r="F275">
        <f t="shared" ref="F275:F276" si="59">F281</f>
        <v>0</v>
      </c>
      <c r="G275">
        <v>0</v>
      </c>
      <c r="H275">
        <f t="shared" ref="H275:H276" si="60">H281</f>
        <v>0</v>
      </c>
      <c r="I275">
        <v>0</v>
      </c>
      <c r="J275" s="107"/>
      <c r="K275" s="107"/>
    </row>
    <row r="276" spans="1:11" x14ac:dyDescent="0.25">
      <c r="A276" s="107"/>
      <c r="B276" s="107"/>
      <c r="C276" s="107"/>
      <c r="D276">
        <v>2022</v>
      </c>
      <c r="E276">
        <f t="shared" ref="E276:E277" si="61">SUM(F276:I276)</f>
        <v>68023.989999999991</v>
      </c>
      <c r="F276">
        <f t="shared" si="59"/>
        <v>54827.99</v>
      </c>
      <c r="G276">
        <f>G282</f>
        <v>0</v>
      </c>
      <c r="H276">
        <f t="shared" si="60"/>
        <v>13196</v>
      </c>
      <c r="I276">
        <f>I282</f>
        <v>0</v>
      </c>
      <c r="J276" s="107"/>
      <c r="K276" s="107"/>
    </row>
    <row r="277" spans="1:11" x14ac:dyDescent="0.25">
      <c r="A277" s="107"/>
      <c r="B277" s="107"/>
      <c r="C277" s="107"/>
      <c r="D277">
        <v>2023</v>
      </c>
      <c r="E277">
        <f t="shared" si="61"/>
        <v>0</v>
      </c>
      <c r="F277">
        <v>0</v>
      </c>
      <c r="G277">
        <v>0</v>
      </c>
      <c r="H277">
        <v>0</v>
      </c>
      <c r="I277">
        <v>0</v>
      </c>
      <c r="J277" s="107"/>
      <c r="K277" s="107"/>
    </row>
    <row r="278" spans="1:11" x14ac:dyDescent="0.25">
      <c r="A278" s="107"/>
      <c r="B278" s="107"/>
      <c r="C278" s="107"/>
      <c r="D278">
        <v>2024</v>
      </c>
      <c r="E278">
        <v>0</v>
      </c>
      <c r="F278">
        <v>0</v>
      </c>
      <c r="G278">
        <v>0</v>
      </c>
      <c r="H278">
        <v>0</v>
      </c>
      <c r="I278">
        <v>0</v>
      </c>
      <c r="J278" s="107"/>
      <c r="K278" s="107"/>
    </row>
    <row r="279" spans="1:11" x14ac:dyDescent="0.25">
      <c r="A279" s="107"/>
      <c r="B279" s="107"/>
      <c r="C279" s="107"/>
      <c r="D279">
        <v>2025</v>
      </c>
      <c r="E279">
        <v>0</v>
      </c>
      <c r="F279">
        <v>0</v>
      </c>
      <c r="G279">
        <v>0</v>
      </c>
      <c r="H279">
        <v>0</v>
      </c>
      <c r="I279">
        <v>0</v>
      </c>
      <c r="J279" s="107"/>
      <c r="K279" s="107"/>
    </row>
    <row r="280" spans="1:11" x14ac:dyDescent="0.25">
      <c r="A280" s="107" t="s">
        <v>1402</v>
      </c>
      <c r="B280" s="107" t="s">
        <v>1403</v>
      </c>
      <c r="C280" s="107" t="s">
        <v>14</v>
      </c>
      <c r="D280" t="s">
        <v>8</v>
      </c>
      <c r="E280">
        <f>E281+E282+E283+E284+E285</f>
        <v>68023.989999999991</v>
      </c>
      <c r="F280">
        <f>SUM(F281:F285)</f>
        <v>54827.99</v>
      </c>
      <c r="G280">
        <f>SUM(G281:G285)</f>
        <v>0</v>
      </c>
      <c r="H280">
        <f>SUM(H281:H285)</f>
        <v>13196</v>
      </c>
      <c r="I280">
        <f>SUM(I281:I285)</f>
        <v>0</v>
      </c>
      <c r="J280" s="107" t="s">
        <v>1404</v>
      </c>
      <c r="K280" s="107" t="s">
        <v>1383</v>
      </c>
    </row>
    <row r="281" spans="1:11" x14ac:dyDescent="0.25">
      <c r="A281" s="107"/>
      <c r="B281" s="107"/>
      <c r="C281" s="107"/>
      <c r="D281">
        <v>2021</v>
      </c>
      <c r="E281">
        <v>0</v>
      </c>
      <c r="F281">
        <v>0</v>
      </c>
      <c r="G281">
        <v>0</v>
      </c>
      <c r="H281">
        <v>0</v>
      </c>
      <c r="I281">
        <v>0</v>
      </c>
      <c r="J281" s="107"/>
      <c r="K281" s="107"/>
    </row>
    <row r="282" spans="1:11" x14ac:dyDescent="0.25">
      <c r="A282" s="107"/>
      <c r="B282" s="107"/>
      <c r="C282" s="107"/>
      <c r="D282">
        <v>2022</v>
      </c>
      <c r="E282">
        <f t="shared" ref="E282:E283" si="62">SUM(F282:I282)</f>
        <v>68023.989999999991</v>
      </c>
      <c r="F282">
        <v>54827.99</v>
      </c>
      <c r="G282">
        <v>0</v>
      </c>
      <c r="H282">
        <v>13196</v>
      </c>
      <c r="I282">
        <v>0</v>
      </c>
      <c r="J282" s="107"/>
      <c r="K282" s="107"/>
    </row>
    <row r="283" spans="1:11" x14ac:dyDescent="0.25">
      <c r="A283" s="107"/>
      <c r="B283" s="107"/>
      <c r="C283" s="107"/>
      <c r="D283">
        <v>2023</v>
      </c>
      <c r="E283">
        <f t="shared" si="62"/>
        <v>0</v>
      </c>
      <c r="F283">
        <v>0</v>
      </c>
      <c r="G283">
        <v>0</v>
      </c>
      <c r="H283">
        <v>0</v>
      </c>
      <c r="I283">
        <v>0</v>
      </c>
      <c r="J283" s="107"/>
      <c r="K283" s="107"/>
    </row>
    <row r="284" spans="1:11" x14ac:dyDescent="0.25">
      <c r="A284" s="107"/>
      <c r="B284" s="107"/>
      <c r="C284" s="107"/>
      <c r="D284">
        <v>2024</v>
      </c>
      <c r="E284">
        <v>0</v>
      </c>
      <c r="F284">
        <v>0</v>
      </c>
      <c r="G284">
        <v>0</v>
      </c>
      <c r="H284">
        <v>0</v>
      </c>
      <c r="I284">
        <v>0</v>
      </c>
      <c r="J284" s="107"/>
      <c r="K284" s="107"/>
    </row>
    <row r="285" spans="1:11" x14ac:dyDescent="0.25">
      <c r="A285" s="107"/>
      <c r="B285" s="107"/>
      <c r="C285" s="107"/>
      <c r="D285">
        <v>2025</v>
      </c>
      <c r="E285">
        <v>0</v>
      </c>
      <c r="F285">
        <v>0</v>
      </c>
      <c r="G285">
        <v>0</v>
      </c>
      <c r="H285">
        <v>0</v>
      </c>
      <c r="I285">
        <v>0</v>
      </c>
      <c r="J285" s="107"/>
      <c r="K285" s="107"/>
    </row>
    <row r="286" spans="1:11" x14ac:dyDescent="0.25">
      <c r="A286" s="107" t="s">
        <v>1405</v>
      </c>
      <c r="B286" s="107" t="s">
        <v>1406</v>
      </c>
      <c r="C286" s="107" t="s">
        <v>1332</v>
      </c>
      <c r="D286" t="s">
        <v>8</v>
      </c>
      <c r="E286">
        <f>F286+G286+H286+I286</f>
        <v>1430960.8499999999</v>
      </c>
      <c r="F286">
        <f>SUM(F287:F291)</f>
        <v>1409577.2</v>
      </c>
      <c r="G286">
        <f>SUM(G287:G291)</f>
        <v>0</v>
      </c>
      <c r="H286">
        <f>SUM(H287:H291)</f>
        <v>21383.65</v>
      </c>
      <c r="I286">
        <f>SUM(I287:I291)</f>
        <v>0</v>
      </c>
      <c r="J286" s="107" t="s">
        <v>1407</v>
      </c>
      <c r="K286" s="107" t="s">
        <v>1265</v>
      </c>
    </row>
    <row r="287" spans="1:11" x14ac:dyDescent="0.25">
      <c r="A287" s="107"/>
      <c r="B287" s="107"/>
      <c r="C287" s="107"/>
      <c r="D287">
        <v>2021</v>
      </c>
      <c r="E287">
        <v>0</v>
      </c>
      <c r="F287">
        <f t="shared" ref="F287:I291" si="63">F293+F299</f>
        <v>0</v>
      </c>
      <c r="G287">
        <f t="shared" ref="G287:I287" si="64">G293+G299</f>
        <v>0</v>
      </c>
      <c r="H287">
        <f t="shared" si="64"/>
        <v>0</v>
      </c>
      <c r="I287">
        <f t="shared" si="64"/>
        <v>0</v>
      </c>
      <c r="J287" s="107"/>
      <c r="K287" s="107"/>
    </row>
    <row r="288" spans="1:11" x14ac:dyDescent="0.25">
      <c r="A288" s="107"/>
      <c r="B288" s="107"/>
      <c r="C288" s="107"/>
      <c r="D288">
        <v>2022</v>
      </c>
      <c r="E288">
        <f t="shared" ref="E288:E291" si="65">SUM(F288:I288)</f>
        <v>554427.04999999993</v>
      </c>
      <c r="F288">
        <f t="shared" si="63"/>
        <v>546870.1</v>
      </c>
      <c r="G288">
        <f t="shared" si="63"/>
        <v>0</v>
      </c>
      <c r="H288">
        <f t="shared" si="63"/>
        <v>7556.95</v>
      </c>
      <c r="I288">
        <f t="shared" si="63"/>
        <v>0</v>
      </c>
      <c r="J288" s="107"/>
      <c r="K288" s="107"/>
    </row>
    <row r="289" spans="1:11" x14ac:dyDescent="0.25">
      <c r="A289" s="107"/>
      <c r="B289" s="107"/>
      <c r="C289" s="107"/>
      <c r="D289">
        <v>2023</v>
      </c>
      <c r="E289">
        <f t="shared" si="65"/>
        <v>436993.8</v>
      </c>
      <c r="F289">
        <f t="shared" si="63"/>
        <v>425144.1</v>
      </c>
      <c r="G289">
        <f t="shared" si="63"/>
        <v>0</v>
      </c>
      <c r="H289">
        <f t="shared" si="63"/>
        <v>11849.7</v>
      </c>
      <c r="I289">
        <f t="shared" si="63"/>
        <v>0</v>
      </c>
      <c r="J289" s="107"/>
      <c r="K289" s="107"/>
    </row>
    <row r="290" spans="1:11" x14ac:dyDescent="0.25">
      <c r="A290" s="107"/>
      <c r="B290" s="107"/>
      <c r="C290" s="107"/>
      <c r="D290">
        <v>2024</v>
      </c>
      <c r="E290">
        <f t="shared" si="65"/>
        <v>239540</v>
      </c>
      <c r="F290">
        <f t="shared" si="63"/>
        <v>237563</v>
      </c>
      <c r="G290">
        <f t="shared" si="63"/>
        <v>0</v>
      </c>
      <c r="H290">
        <f t="shared" si="63"/>
        <v>1977</v>
      </c>
      <c r="I290">
        <f t="shared" si="63"/>
        <v>0</v>
      </c>
      <c r="J290" s="107"/>
      <c r="K290" s="107"/>
    </row>
    <row r="291" spans="1:11" x14ac:dyDescent="0.25">
      <c r="A291" s="107"/>
      <c r="B291" s="107"/>
      <c r="C291" s="107"/>
      <c r="D291">
        <v>2025</v>
      </c>
      <c r="E291">
        <f t="shared" si="65"/>
        <v>200000</v>
      </c>
      <c r="F291">
        <f t="shared" si="63"/>
        <v>200000</v>
      </c>
      <c r="G291">
        <f t="shared" si="63"/>
        <v>0</v>
      </c>
      <c r="H291">
        <f t="shared" si="63"/>
        <v>0</v>
      </c>
      <c r="I291">
        <f t="shared" si="63"/>
        <v>0</v>
      </c>
      <c r="J291" s="107"/>
      <c r="K291" s="107"/>
    </row>
    <row r="292" spans="1:11" x14ac:dyDescent="0.25">
      <c r="A292" s="107" t="s">
        <v>1408</v>
      </c>
      <c r="B292" s="107" t="s">
        <v>1409</v>
      </c>
      <c r="C292" s="107" t="s">
        <v>1332</v>
      </c>
      <c r="D292" t="s">
        <v>8</v>
      </c>
      <c r="E292">
        <f>E293+E294+E295+E296+E297</f>
        <v>1003288.05</v>
      </c>
      <c r="F292">
        <f>SUM(F293:F297)</f>
        <v>1003288.05</v>
      </c>
      <c r="G292">
        <f>SUM(G293:G297)</f>
        <v>0</v>
      </c>
      <c r="H292">
        <f>SUM(H293:H297)</f>
        <v>0</v>
      </c>
      <c r="I292">
        <f>SUM(I293:I297)</f>
        <v>0</v>
      </c>
      <c r="J292" s="107" t="s">
        <v>1410</v>
      </c>
      <c r="K292" s="107" t="s">
        <v>748</v>
      </c>
    </row>
    <row r="293" spans="1:11" x14ac:dyDescent="0.25">
      <c r="A293" s="107"/>
      <c r="B293" s="107"/>
      <c r="C293" s="107"/>
      <c r="D293">
        <v>2021</v>
      </c>
      <c r="E293">
        <v>0</v>
      </c>
      <c r="F293">
        <v>0</v>
      </c>
      <c r="G293">
        <v>0</v>
      </c>
      <c r="I293">
        <v>0</v>
      </c>
      <c r="J293" s="107"/>
      <c r="K293" s="107"/>
    </row>
    <row r="294" spans="1:11" x14ac:dyDescent="0.25">
      <c r="A294" s="107"/>
      <c r="B294" s="107"/>
      <c r="C294" s="107"/>
      <c r="D294">
        <v>2022</v>
      </c>
      <c r="E294">
        <f>F294</f>
        <v>403288.05</v>
      </c>
      <c r="F294">
        <f>500000-123000+26288.05</f>
        <v>403288.05</v>
      </c>
      <c r="G294">
        <v>0</v>
      </c>
      <c r="H294">
        <v>0</v>
      </c>
      <c r="I294">
        <v>0</v>
      </c>
      <c r="J294" s="107"/>
      <c r="K294" s="107"/>
    </row>
    <row r="295" spans="1:11" x14ac:dyDescent="0.25">
      <c r="A295" s="107"/>
      <c r="B295" s="107"/>
      <c r="C295" s="107"/>
      <c r="D295">
        <v>2023</v>
      </c>
      <c r="E295">
        <f t="shared" ref="E295:E297" si="66">SUM(F295:I295)</f>
        <v>200000</v>
      </c>
      <c r="F295">
        <v>200000</v>
      </c>
      <c r="G295">
        <v>0</v>
      </c>
      <c r="H295">
        <v>0</v>
      </c>
      <c r="I295">
        <v>0</v>
      </c>
      <c r="J295" s="107"/>
      <c r="K295" s="107"/>
    </row>
    <row r="296" spans="1:11" x14ac:dyDescent="0.25">
      <c r="A296" s="107"/>
      <c r="B296" s="107"/>
      <c r="C296" s="107"/>
      <c r="D296">
        <v>2024</v>
      </c>
      <c r="E296">
        <f t="shared" si="66"/>
        <v>200000</v>
      </c>
      <c r="F296">
        <v>200000</v>
      </c>
      <c r="G296">
        <v>0</v>
      </c>
      <c r="H296">
        <v>0</v>
      </c>
      <c r="I296">
        <v>0</v>
      </c>
      <c r="J296" s="107"/>
      <c r="K296" s="107"/>
    </row>
    <row r="297" spans="1:11" x14ac:dyDescent="0.25">
      <c r="A297" s="107"/>
      <c r="B297" s="107"/>
      <c r="C297" s="107"/>
      <c r="D297">
        <v>2025</v>
      </c>
      <c r="E297">
        <f t="shared" si="66"/>
        <v>200000</v>
      </c>
      <c r="F297">
        <v>200000</v>
      </c>
      <c r="G297">
        <v>0</v>
      </c>
      <c r="H297">
        <v>0</v>
      </c>
      <c r="I297">
        <v>0</v>
      </c>
      <c r="J297" s="107"/>
      <c r="K297" s="107"/>
    </row>
    <row r="298" spans="1:11" x14ac:dyDescent="0.25">
      <c r="A298" s="107" t="s">
        <v>1411</v>
      </c>
      <c r="B298" s="107" t="s">
        <v>1412</v>
      </c>
      <c r="C298" s="107"/>
      <c r="D298" t="s">
        <v>8</v>
      </c>
      <c r="E298">
        <f>SUM(E299:E303)</f>
        <v>427672.80000000005</v>
      </c>
      <c r="F298">
        <f t="shared" ref="F298:I298" si="67">SUM(F299:F303)</f>
        <v>406289.15</v>
      </c>
      <c r="G298">
        <f t="shared" si="67"/>
        <v>0</v>
      </c>
      <c r="H298">
        <f t="shared" si="67"/>
        <v>21383.65</v>
      </c>
      <c r="I298">
        <f t="shared" si="67"/>
        <v>0</v>
      </c>
      <c r="J298" s="107" t="s">
        <v>1413</v>
      </c>
      <c r="K298" s="107" t="s">
        <v>1265</v>
      </c>
    </row>
    <row r="299" spans="1:11" x14ac:dyDescent="0.25">
      <c r="A299" s="107"/>
      <c r="B299" s="107"/>
      <c r="C299" s="107"/>
      <c r="D299">
        <v>2021</v>
      </c>
      <c r="E299">
        <f t="shared" ref="E299:E303" si="68">F299+G299+H299+I299</f>
        <v>0</v>
      </c>
      <c r="F299">
        <v>0</v>
      </c>
      <c r="G299">
        <v>0</v>
      </c>
      <c r="H299">
        <v>0</v>
      </c>
      <c r="I299">
        <v>0</v>
      </c>
      <c r="J299" s="107"/>
      <c r="K299" s="107"/>
    </row>
    <row r="300" spans="1:11" x14ac:dyDescent="0.25">
      <c r="A300" s="107"/>
      <c r="B300" s="107"/>
      <c r="C300" s="107"/>
      <c r="D300">
        <v>2022</v>
      </c>
      <c r="E300">
        <f t="shared" si="68"/>
        <v>151139</v>
      </c>
      <c r="F300">
        <f>143582050/1000</f>
        <v>143582.04999999999</v>
      </c>
      <c r="G300">
        <v>0</v>
      </c>
      <c r="H300">
        <v>7556.95</v>
      </c>
      <c r="I300">
        <v>0</v>
      </c>
      <c r="J300" s="107"/>
      <c r="K300" s="107"/>
    </row>
    <row r="301" spans="1:11" x14ac:dyDescent="0.25">
      <c r="A301" s="107"/>
      <c r="B301" s="107"/>
      <c r="C301" s="107"/>
      <c r="D301">
        <v>2023</v>
      </c>
      <c r="E301">
        <f t="shared" si="68"/>
        <v>236993.80000000002</v>
      </c>
      <c r="F301">
        <v>225144.1</v>
      </c>
      <c r="G301">
        <v>0</v>
      </c>
      <c r="H301">
        <v>11849.7</v>
      </c>
      <c r="I301">
        <v>0</v>
      </c>
      <c r="J301" s="107"/>
      <c r="K301" s="107"/>
    </row>
    <row r="302" spans="1:11" x14ac:dyDescent="0.25">
      <c r="A302" s="107"/>
      <c r="B302" s="107"/>
      <c r="C302" s="107"/>
      <c r="D302">
        <v>2024</v>
      </c>
      <c r="E302">
        <f t="shared" si="68"/>
        <v>39540</v>
      </c>
      <c r="F302">
        <v>37563</v>
      </c>
      <c r="G302">
        <v>0</v>
      </c>
      <c r="H302">
        <v>1977</v>
      </c>
      <c r="I302">
        <v>0</v>
      </c>
      <c r="J302" s="107"/>
      <c r="K302" s="107"/>
    </row>
    <row r="303" spans="1:11" x14ac:dyDescent="0.25">
      <c r="A303" s="107"/>
      <c r="B303" s="107"/>
      <c r="C303" s="107"/>
      <c r="D303">
        <v>2025</v>
      </c>
      <c r="E303">
        <f t="shared" si="68"/>
        <v>0</v>
      </c>
      <c r="F303">
        <v>0</v>
      </c>
      <c r="G303">
        <v>0</v>
      </c>
      <c r="H303">
        <v>0</v>
      </c>
      <c r="I303">
        <v>0</v>
      </c>
      <c r="J303" s="107"/>
      <c r="K303" s="107"/>
    </row>
    <row r="304" spans="1:11" x14ac:dyDescent="0.25">
      <c r="A304" s="107" t="s">
        <v>1414</v>
      </c>
      <c r="B304" s="107" t="s">
        <v>1415</v>
      </c>
      <c r="C304" s="107" t="s">
        <v>1332</v>
      </c>
      <c r="D304" t="s">
        <v>8</v>
      </c>
      <c r="E304">
        <f>SUM(E305:E309)</f>
        <v>0</v>
      </c>
      <c r="F304">
        <f>SUM(F305:F309)</f>
        <v>0</v>
      </c>
      <c r="G304">
        <f>SUM(G305:G309)</f>
        <v>0</v>
      </c>
      <c r="H304">
        <f>SUM(H305:H309)</f>
        <v>0</v>
      </c>
      <c r="I304">
        <f>SUM(I305:I309)</f>
        <v>0</v>
      </c>
      <c r="J304" s="107" t="s">
        <v>1416</v>
      </c>
      <c r="K304" s="107" t="s">
        <v>748</v>
      </c>
    </row>
    <row r="305" spans="1:11" x14ac:dyDescent="0.25">
      <c r="A305" s="107"/>
      <c r="B305" s="107"/>
      <c r="C305" s="107"/>
      <c r="D305">
        <v>2021</v>
      </c>
      <c r="E305">
        <v>0</v>
      </c>
      <c r="F305">
        <v>0</v>
      </c>
      <c r="G305">
        <v>0</v>
      </c>
      <c r="H305">
        <v>0</v>
      </c>
      <c r="I305">
        <v>0</v>
      </c>
      <c r="J305" s="107"/>
      <c r="K305" s="107"/>
    </row>
    <row r="306" spans="1:11" x14ac:dyDescent="0.25">
      <c r="A306" s="107"/>
      <c r="B306" s="107"/>
      <c r="C306" s="107"/>
      <c r="D306">
        <v>2022</v>
      </c>
      <c r="E306">
        <f t="shared" ref="E306:E308" si="69">SUM(F306:I306)</f>
        <v>0</v>
      </c>
      <c r="F306">
        <f t="shared" ref="F306:F308" si="70">F312</f>
        <v>0</v>
      </c>
      <c r="G306">
        <v>0</v>
      </c>
      <c r="H306">
        <v>0</v>
      </c>
      <c r="I306">
        <v>0</v>
      </c>
      <c r="J306" s="107"/>
      <c r="K306" s="107"/>
    </row>
    <row r="307" spans="1:11" x14ac:dyDescent="0.25">
      <c r="A307" s="107"/>
      <c r="B307" s="107"/>
      <c r="C307" s="107"/>
      <c r="D307">
        <v>2023</v>
      </c>
      <c r="E307">
        <f t="shared" si="69"/>
        <v>0</v>
      </c>
      <c r="F307">
        <f t="shared" si="70"/>
        <v>0</v>
      </c>
      <c r="G307">
        <v>0</v>
      </c>
      <c r="H307">
        <v>0</v>
      </c>
      <c r="I307">
        <v>0</v>
      </c>
      <c r="J307" s="107"/>
      <c r="K307" s="107"/>
    </row>
    <row r="308" spans="1:11" x14ac:dyDescent="0.25">
      <c r="A308" s="107"/>
      <c r="B308" s="107"/>
      <c r="C308" s="107"/>
      <c r="D308">
        <v>2024</v>
      </c>
      <c r="E308">
        <f t="shared" si="69"/>
        <v>0</v>
      </c>
      <c r="F308">
        <f t="shared" si="70"/>
        <v>0</v>
      </c>
      <c r="G308">
        <v>0</v>
      </c>
      <c r="H308">
        <v>0</v>
      </c>
      <c r="I308">
        <v>0</v>
      </c>
      <c r="J308" s="107"/>
      <c r="K308" s="107"/>
    </row>
    <row r="309" spans="1:11" x14ac:dyDescent="0.25">
      <c r="A309" s="107"/>
      <c r="B309" s="107"/>
      <c r="C309" s="107"/>
      <c r="D309">
        <v>2025</v>
      </c>
      <c r="E309">
        <v>0</v>
      </c>
      <c r="F309">
        <v>0</v>
      </c>
      <c r="G309">
        <v>0</v>
      </c>
      <c r="H309">
        <v>0</v>
      </c>
      <c r="I309">
        <v>0</v>
      </c>
      <c r="J309" s="107"/>
      <c r="K309" s="107"/>
    </row>
    <row r="310" spans="1:11" x14ac:dyDescent="0.25">
      <c r="A310" s="107" t="s">
        <v>1417</v>
      </c>
      <c r="B310" s="107" t="s">
        <v>1418</v>
      </c>
      <c r="C310" s="107" t="s">
        <v>1113</v>
      </c>
      <c r="D310" t="s">
        <v>8</v>
      </c>
      <c r="E310">
        <f>SUM(E311:E315)</f>
        <v>0</v>
      </c>
      <c r="F310">
        <f>SUM(F311:F315)</f>
        <v>0</v>
      </c>
      <c r="G310">
        <f>SUM(G311:G315)</f>
        <v>0</v>
      </c>
      <c r="H310">
        <f>SUM(H311:H315)</f>
        <v>0</v>
      </c>
      <c r="I310">
        <f>SUM(I311:I315)</f>
        <v>0</v>
      </c>
      <c r="J310" s="107" t="s">
        <v>1419</v>
      </c>
      <c r="K310" s="107" t="s">
        <v>748</v>
      </c>
    </row>
    <row r="311" spans="1:11" x14ac:dyDescent="0.25">
      <c r="A311" s="107"/>
      <c r="B311" s="107"/>
      <c r="C311" s="107"/>
      <c r="D311">
        <v>2021</v>
      </c>
      <c r="E311">
        <f t="shared" ref="E311:E312" si="71">F311</f>
        <v>0</v>
      </c>
      <c r="F311">
        <v>0</v>
      </c>
      <c r="G311">
        <v>0</v>
      </c>
      <c r="I311">
        <v>0</v>
      </c>
      <c r="J311" s="107"/>
      <c r="K311" s="107"/>
    </row>
    <row r="312" spans="1:11" x14ac:dyDescent="0.25">
      <c r="A312" s="107"/>
      <c r="B312" s="107"/>
      <c r="C312" s="107"/>
      <c r="D312">
        <v>2022</v>
      </c>
      <c r="E312">
        <f t="shared" si="71"/>
        <v>0</v>
      </c>
      <c r="F312">
        <f>172603.46-172603.46</f>
        <v>0</v>
      </c>
      <c r="G312">
        <v>0</v>
      </c>
      <c r="H312">
        <v>0</v>
      </c>
      <c r="I312">
        <v>0</v>
      </c>
      <c r="J312" s="107"/>
      <c r="K312" s="107"/>
    </row>
    <row r="313" spans="1:11" x14ac:dyDescent="0.25">
      <c r="A313" s="107"/>
      <c r="B313" s="107"/>
      <c r="C313" s="107"/>
      <c r="D313">
        <v>2023</v>
      </c>
      <c r="E313">
        <f t="shared" ref="E313:E314" si="72">SUM(F313:I313)</f>
        <v>0</v>
      </c>
      <c r="F313">
        <v>0</v>
      </c>
      <c r="G313">
        <v>0</v>
      </c>
      <c r="H313">
        <v>0</v>
      </c>
      <c r="I313">
        <v>0</v>
      </c>
      <c r="J313" s="107"/>
      <c r="K313" s="107"/>
    </row>
    <row r="314" spans="1:11" x14ac:dyDescent="0.25">
      <c r="A314" s="107"/>
      <c r="B314" s="107"/>
      <c r="C314" s="107"/>
      <c r="D314">
        <v>2024</v>
      </c>
      <c r="E314">
        <f t="shared" si="72"/>
        <v>0</v>
      </c>
      <c r="F314">
        <v>0</v>
      </c>
      <c r="G314">
        <v>0</v>
      </c>
      <c r="H314">
        <v>0</v>
      </c>
      <c r="I314">
        <v>0</v>
      </c>
      <c r="J314" s="107"/>
      <c r="K314" s="107"/>
    </row>
    <row r="315" spans="1:11" x14ac:dyDescent="0.25">
      <c r="A315" s="107"/>
      <c r="B315" s="107"/>
      <c r="C315" s="107"/>
      <c r="D315">
        <v>2025</v>
      </c>
      <c r="E315">
        <v>0</v>
      </c>
      <c r="F315">
        <v>0</v>
      </c>
      <c r="G315">
        <v>0</v>
      </c>
      <c r="H315">
        <v>0</v>
      </c>
      <c r="I315">
        <v>0</v>
      </c>
      <c r="J315" s="107"/>
      <c r="K315" s="107"/>
    </row>
    <row r="316" spans="1:11" x14ac:dyDescent="0.25">
      <c r="A316" s="107" t="s">
        <v>1420</v>
      </c>
      <c r="B316" s="107" t="s">
        <v>1421</v>
      </c>
      <c r="C316" s="107">
        <v>2023</v>
      </c>
      <c r="D316" t="s">
        <v>8</v>
      </c>
      <c r="E316">
        <f>SUM(E317:E321)</f>
        <v>0</v>
      </c>
      <c r="F316">
        <f>SUM(F317:F321)</f>
        <v>0</v>
      </c>
      <c r="G316">
        <f t="shared" ref="G316:I316" si="73">SUM(G317:G321)</f>
        <v>0</v>
      </c>
      <c r="H316">
        <f t="shared" si="73"/>
        <v>0</v>
      </c>
      <c r="I316">
        <f t="shared" si="73"/>
        <v>0</v>
      </c>
      <c r="J316" s="107" t="s">
        <v>1422</v>
      </c>
      <c r="K316" s="107" t="s">
        <v>1265</v>
      </c>
    </row>
    <row r="317" spans="1:11" x14ac:dyDescent="0.25">
      <c r="A317" s="107"/>
      <c r="B317" s="107"/>
      <c r="C317" s="107"/>
      <c r="D317">
        <v>2021</v>
      </c>
      <c r="E317">
        <f t="shared" ref="E317:E321" si="74">F317+G317+H317+I317</f>
        <v>0</v>
      </c>
      <c r="F317">
        <f t="shared" ref="F317:I321" si="75">F323</f>
        <v>0</v>
      </c>
      <c r="G317">
        <f t="shared" ref="G317:I317" si="76">G323</f>
        <v>0</v>
      </c>
      <c r="H317">
        <f t="shared" si="76"/>
        <v>0</v>
      </c>
      <c r="I317">
        <f t="shared" si="76"/>
        <v>0</v>
      </c>
      <c r="J317" s="107"/>
      <c r="K317" s="107"/>
    </row>
    <row r="318" spans="1:11" x14ac:dyDescent="0.25">
      <c r="A318" s="107"/>
      <c r="B318" s="107"/>
      <c r="C318" s="107"/>
      <c r="D318">
        <v>2022</v>
      </c>
      <c r="E318">
        <f t="shared" si="74"/>
        <v>0</v>
      </c>
      <c r="F318">
        <f t="shared" si="75"/>
        <v>0</v>
      </c>
      <c r="G318">
        <f t="shared" si="75"/>
        <v>0</v>
      </c>
      <c r="H318">
        <f t="shared" si="75"/>
        <v>0</v>
      </c>
      <c r="I318">
        <f t="shared" si="75"/>
        <v>0</v>
      </c>
      <c r="J318" s="107"/>
      <c r="K318" s="107"/>
    </row>
    <row r="319" spans="1:11" x14ac:dyDescent="0.25">
      <c r="A319" s="107"/>
      <c r="B319" s="107"/>
      <c r="C319" s="107"/>
      <c r="D319">
        <v>2023</v>
      </c>
      <c r="E319">
        <f t="shared" si="74"/>
        <v>0</v>
      </c>
      <c r="F319">
        <f t="shared" si="75"/>
        <v>0</v>
      </c>
      <c r="G319">
        <f t="shared" si="75"/>
        <v>0</v>
      </c>
      <c r="H319">
        <f>H325</f>
        <v>0</v>
      </c>
      <c r="I319">
        <f t="shared" si="75"/>
        <v>0</v>
      </c>
      <c r="J319" s="107"/>
      <c r="K319" s="107"/>
    </row>
    <row r="320" spans="1:11" x14ac:dyDescent="0.25">
      <c r="A320" s="107"/>
      <c r="B320" s="107"/>
      <c r="C320" s="107"/>
      <c r="D320">
        <v>2024</v>
      </c>
      <c r="E320">
        <f t="shared" si="74"/>
        <v>0</v>
      </c>
      <c r="F320">
        <f t="shared" si="75"/>
        <v>0</v>
      </c>
      <c r="G320">
        <f t="shared" si="75"/>
        <v>0</v>
      </c>
      <c r="H320">
        <f t="shared" si="75"/>
        <v>0</v>
      </c>
      <c r="I320">
        <f t="shared" si="75"/>
        <v>0</v>
      </c>
      <c r="J320" s="107"/>
      <c r="K320" s="107"/>
    </row>
    <row r="321" spans="1:11" x14ac:dyDescent="0.25">
      <c r="A321" s="107"/>
      <c r="B321" s="107"/>
      <c r="C321" s="107"/>
      <c r="D321">
        <v>2025</v>
      </c>
      <c r="E321">
        <f t="shared" si="74"/>
        <v>0</v>
      </c>
      <c r="F321">
        <f t="shared" si="75"/>
        <v>0</v>
      </c>
      <c r="G321">
        <f t="shared" si="75"/>
        <v>0</v>
      </c>
      <c r="H321">
        <f t="shared" si="75"/>
        <v>0</v>
      </c>
      <c r="I321">
        <f t="shared" si="75"/>
        <v>0</v>
      </c>
      <c r="J321" s="107"/>
      <c r="K321" s="107"/>
    </row>
    <row r="322" spans="1:11" x14ac:dyDescent="0.25">
      <c r="A322" s="107" t="s">
        <v>1423</v>
      </c>
      <c r="B322" s="107" t="s">
        <v>1424</v>
      </c>
      <c r="C322" s="107">
        <v>2023</v>
      </c>
      <c r="D322" t="s">
        <v>8</v>
      </c>
      <c r="E322">
        <f>SUM(E323:E327)</f>
        <v>0</v>
      </c>
      <c r="F322">
        <f>SUM(F323:F327)</f>
        <v>0</v>
      </c>
      <c r="G322">
        <f>SUM(G323:G327)</f>
        <v>0</v>
      </c>
      <c r="H322">
        <f>SUM(H323:H327)</f>
        <v>0</v>
      </c>
      <c r="I322">
        <f>SUM(I323:I327)</f>
        <v>0</v>
      </c>
      <c r="J322" s="107" t="s">
        <v>1425</v>
      </c>
      <c r="K322" s="107" t="s">
        <v>1265</v>
      </c>
    </row>
    <row r="323" spans="1:11" x14ac:dyDescent="0.25">
      <c r="A323" s="107"/>
      <c r="B323" s="107"/>
      <c r="C323" s="107"/>
      <c r="D323">
        <v>2021</v>
      </c>
      <c r="E323">
        <f t="shared" ref="E323:E324" si="77">F323</f>
        <v>0</v>
      </c>
      <c r="F323">
        <v>0</v>
      </c>
      <c r="G323">
        <v>0</v>
      </c>
      <c r="H323">
        <v>0</v>
      </c>
      <c r="I323">
        <v>0</v>
      </c>
      <c r="J323" s="107"/>
      <c r="K323" s="107"/>
    </row>
    <row r="324" spans="1:11" x14ac:dyDescent="0.25">
      <c r="A324" s="107"/>
      <c r="B324" s="107"/>
      <c r="C324" s="107"/>
      <c r="D324">
        <v>2022</v>
      </c>
      <c r="E324">
        <f t="shared" si="77"/>
        <v>0</v>
      </c>
      <c r="F324">
        <v>0</v>
      </c>
      <c r="G324">
        <v>0</v>
      </c>
      <c r="H324">
        <v>0</v>
      </c>
      <c r="I324">
        <v>0</v>
      </c>
      <c r="J324" s="107"/>
      <c r="K324" s="107"/>
    </row>
    <row r="325" spans="1:11" x14ac:dyDescent="0.25">
      <c r="A325" s="107"/>
      <c r="B325" s="107"/>
      <c r="C325" s="107"/>
      <c r="D325">
        <v>2023</v>
      </c>
      <c r="E325">
        <f t="shared" ref="E325:E326" si="78">SUM(F325:I325)</f>
        <v>0</v>
      </c>
      <c r="F325">
        <v>0</v>
      </c>
      <c r="G325">
        <v>0</v>
      </c>
      <c r="H325">
        <v>0</v>
      </c>
      <c r="I325">
        <v>0</v>
      </c>
      <c r="J325" s="107"/>
      <c r="K325" s="107"/>
    </row>
    <row r="326" spans="1:11" x14ac:dyDescent="0.25">
      <c r="A326" s="107"/>
      <c r="B326" s="107"/>
      <c r="C326" s="107"/>
      <c r="D326">
        <v>2024</v>
      </c>
      <c r="E326">
        <f t="shared" si="78"/>
        <v>0</v>
      </c>
      <c r="F326">
        <v>0</v>
      </c>
      <c r="G326">
        <v>0</v>
      </c>
      <c r="H326">
        <v>0</v>
      </c>
      <c r="I326">
        <v>0</v>
      </c>
      <c r="J326" s="107"/>
      <c r="K326" s="107"/>
    </row>
    <row r="327" spans="1:11" x14ac:dyDescent="0.25">
      <c r="A327" s="107"/>
      <c r="B327" s="107"/>
      <c r="C327" s="107"/>
      <c r="D327">
        <v>2025</v>
      </c>
      <c r="E327">
        <v>0</v>
      </c>
      <c r="F327">
        <v>0</v>
      </c>
      <c r="G327">
        <v>0</v>
      </c>
      <c r="H327">
        <v>0</v>
      </c>
      <c r="I327">
        <v>0</v>
      </c>
      <c r="J327" s="107"/>
      <c r="K327" s="107"/>
    </row>
    <row r="328" spans="1:11" x14ac:dyDescent="0.25">
      <c r="A328" s="107" t="s">
        <v>1426</v>
      </c>
      <c r="B328" s="107" t="s">
        <v>1427</v>
      </c>
      <c r="C328" s="107">
        <v>2022</v>
      </c>
      <c r="D328" t="s">
        <v>8</v>
      </c>
      <c r="E328">
        <f>SUM(E329:E333)</f>
        <v>13301.166000000001</v>
      </c>
      <c r="F328">
        <f>SUM(F329:F333)</f>
        <v>13301.166000000001</v>
      </c>
      <c r="G328">
        <f t="shared" ref="G328:I328" si="79">SUM(G329:G333)</f>
        <v>0</v>
      </c>
      <c r="H328">
        <f t="shared" si="79"/>
        <v>0</v>
      </c>
      <c r="I328">
        <f t="shared" si="79"/>
        <v>0</v>
      </c>
      <c r="J328" s="107" t="s">
        <v>1428</v>
      </c>
      <c r="K328" s="107" t="s">
        <v>1429</v>
      </c>
    </row>
    <row r="329" spans="1:11" x14ac:dyDescent="0.25">
      <c r="A329" s="107"/>
      <c r="B329" s="107"/>
      <c r="C329" s="107"/>
      <c r="D329">
        <v>2021</v>
      </c>
      <c r="E329">
        <f t="shared" ref="E329:E333" si="80">SUM(F329:I329)</f>
        <v>0</v>
      </c>
      <c r="F329">
        <f t="shared" ref="F329:I333" si="81">F341+F335</f>
        <v>0</v>
      </c>
      <c r="G329">
        <f t="shared" ref="G329:I329" si="82">G341+G335</f>
        <v>0</v>
      </c>
      <c r="H329">
        <f t="shared" si="82"/>
        <v>0</v>
      </c>
      <c r="I329">
        <f t="shared" si="82"/>
        <v>0</v>
      </c>
      <c r="J329" s="107"/>
      <c r="K329" s="107"/>
    </row>
    <row r="330" spans="1:11" x14ac:dyDescent="0.25">
      <c r="A330" s="107"/>
      <c r="B330" s="107"/>
      <c r="C330" s="107"/>
      <c r="D330">
        <v>2022</v>
      </c>
      <c r="E330">
        <f t="shared" si="80"/>
        <v>5487.6</v>
      </c>
      <c r="F330">
        <f t="shared" si="81"/>
        <v>5487.6</v>
      </c>
      <c r="G330">
        <f t="shared" si="81"/>
        <v>0</v>
      </c>
      <c r="H330">
        <f t="shared" si="81"/>
        <v>0</v>
      </c>
      <c r="I330">
        <f t="shared" si="81"/>
        <v>0</v>
      </c>
      <c r="J330" s="107"/>
      <c r="K330" s="107"/>
    </row>
    <row r="331" spans="1:11" x14ac:dyDescent="0.25">
      <c r="A331" s="107"/>
      <c r="B331" s="107"/>
      <c r="C331" s="107"/>
      <c r="D331">
        <v>2023</v>
      </c>
      <c r="E331">
        <f t="shared" si="80"/>
        <v>7813.5659999999998</v>
      </c>
      <c r="F331">
        <f t="shared" si="81"/>
        <v>7813.5659999999998</v>
      </c>
      <c r="G331">
        <f t="shared" si="81"/>
        <v>0</v>
      </c>
      <c r="H331">
        <f t="shared" si="81"/>
        <v>0</v>
      </c>
      <c r="I331">
        <f t="shared" si="81"/>
        <v>0</v>
      </c>
      <c r="J331" s="107"/>
      <c r="K331" s="107"/>
    </row>
    <row r="332" spans="1:11" x14ac:dyDescent="0.25">
      <c r="A332" s="107"/>
      <c r="B332" s="107"/>
      <c r="C332" s="107"/>
      <c r="D332">
        <v>2024</v>
      </c>
      <c r="E332">
        <f t="shared" si="80"/>
        <v>0</v>
      </c>
      <c r="F332">
        <f t="shared" si="81"/>
        <v>0</v>
      </c>
      <c r="G332">
        <f t="shared" si="81"/>
        <v>0</v>
      </c>
      <c r="H332">
        <f t="shared" si="81"/>
        <v>0</v>
      </c>
      <c r="I332">
        <f t="shared" si="81"/>
        <v>0</v>
      </c>
      <c r="J332" s="107"/>
      <c r="K332" s="107"/>
    </row>
    <row r="333" spans="1:11" x14ac:dyDescent="0.25">
      <c r="A333" s="107"/>
      <c r="B333" s="107"/>
      <c r="C333" s="107"/>
      <c r="D333">
        <v>2025</v>
      </c>
      <c r="E333">
        <f t="shared" si="80"/>
        <v>0</v>
      </c>
      <c r="F333">
        <f t="shared" si="81"/>
        <v>0</v>
      </c>
      <c r="G333">
        <f t="shared" si="81"/>
        <v>0</v>
      </c>
      <c r="H333">
        <f t="shared" si="81"/>
        <v>0</v>
      </c>
      <c r="I333">
        <f t="shared" si="81"/>
        <v>0</v>
      </c>
      <c r="J333" s="107"/>
      <c r="K333" s="107"/>
    </row>
    <row r="334" spans="1:11" x14ac:dyDescent="0.25">
      <c r="A334" s="107" t="s">
        <v>1430</v>
      </c>
      <c r="B334" s="107" t="s">
        <v>1431</v>
      </c>
      <c r="C334" s="107">
        <v>2022</v>
      </c>
      <c r="D334" t="s">
        <v>8</v>
      </c>
      <c r="E334">
        <f>SUM(E335:E339)</f>
        <v>5487.6</v>
      </c>
      <c r="F334">
        <f>SUM(F335:F339)</f>
        <v>5487.6</v>
      </c>
      <c r="G334">
        <f>SUM(G335:G339)</f>
        <v>0</v>
      </c>
      <c r="H334">
        <f>SUM(H335:H339)</f>
        <v>0</v>
      </c>
      <c r="I334">
        <f>SUM(I335:I339)</f>
        <v>0</v>
      </c>
      <c r="J334" s="107" t="s">
        <v>1432</v>
      </c>
      <c r="K334" s="107" t="s">
        <v>1429</v>
      </c>
    </row>
    <row r="335" spans="1:11" x14ac:dyDescent="0.25">
      <c r="A335" s="107"/>
      <c r="B335" s="107"/>
      <c r="C335" s="107"/>
      <c r="D335">
        <v>2021</v>
      </c>
      <c r="E335">
        <f t="shared" ref="E335:E336" si="83">F335</f>
        <v>0</v>
      </c>
      <c r="F335">
        <v>0</v>
      </c>
      <c r="G335">
        <v>0</v>
      </c>
      <c r="H335">
        <v>0</v>
      </c>
      <c r="I335">
        <v>0</v>
      </c>
      <c r="J335" s="107"/>
      <c r="K335" s="107"/>
    </row>
    <row r="336" spans="1:11" x14ac:dyDescent="0.25">
      <c r="A336" s="107"/>
      <c r="B336" s="107"/>
      <c r="C336" s="107"/>
      <c r="D336">
        <v>2022</v>
      </c>
      <c r="E336">
        <f t="shared" si="83"/>
        <v>5487.6</v>
      </c>
      <c r="F336">
        <v>5487.6</v>
      </c>
      <c r="G336">
        <v>0</v>
      </c>
      <c r="H336">
        <v>0</v>
      </c>
      <c r="I336">
        <v>0</v>
      </c>
      <c r="J336" s="107"/>
      <c r="K336" s="107"/>
    </row>
    <row r="337" spans="1:11" x14ac:dyDescent="0.25">
      <c r="A337" s="107"/>
      <c r="B337" s="107"/>
      <c r="C337" s="107"/>
      <c r="D337">
        <v>2023</v>
      </c>
      <c r="E337">
        <f t="shared" ref="E337:E338" si="84">SUM(F337:I337)</f>
        <v>0</v>
      </c>
      <c r="F337">
        <v>0</v>
      </c>
      <c r="G337">
        <v>0</v>
      </c>
      <c r="H337">
        <v>0</v>
      </c>
      <c r="I337">
        <v>0</v>
      </c>
      <c r="J337" s="107"/>
      <c r="K337" s="107"/>
    </row>
    <row r="338" spans="1:11" x14ac:dyDescent="0.25">
      <c r="A338" s="107"/>
      <c r="B338" s="107"/>
      <c r="C338" s="107"/>
      <c r="D338">
        <v>2024</v>
      </c>
      <c r="E338">
        <f t="shared" si="84"/>
        <v>0</v>
      </c>
      <c r="F338">
        <v>0</v>
      </c>
      <c r="G338">
        <v>0</v>
      </c>
      <c r="H338">
        <v>0</v>
      </c>
      <c r="I338">
        <v>0</v>
      </c>
      <c r="J338" s="107"/>
      <c r="K338" s="107"/>
    </row>
    <row r="339" spans="1:11" ht="24.75" customHeight="1" x14ac:dyDescent="0.25">
      <c r="A339" s="107"/>
      <c r="B339" s="107"/>
      <c r="C339" s="107"/>
      <c r="D339">
        <v>2025</v>
      </c>
      <c r="E339">
        <v>0</v>
      </c>
      <c r="F339">
        <v>0</v>
      </c>
      <c r="G339">
        <v>0</v>
      </c>
      <c r="H339">
        <v>0</v>
      </c>
      <c r="I339">
        <v>0</v>
      </c>
      <c r="J339" s="107"/>
      <c r="K339" s="107"/>
    </row>
    <row r="340" spans="1:11" x14ac:dyDescent="0.25">
      <c r="A340" s="107" t="s">
        <v>1433</v>
      </c>
      <c r="B340" s="107" t="s">
        <v>1434</v>
      </c>
      <c r="C340" s="107">
        <v>2023</v>
      </c>
      <c r="D340" t="s">
        <v>8</v>
      </c>
      <c r="E340">
        <f>SUM(E341:E345)</f>
        <v>7813.5659999999998</v>
      </c>
      <c r="F340">
        <f>SUM(F341:F345)</f>
        <v>7813.5659999999998</v>
      </c>
      <c r="G340">
        <f>SUM(G341:G345)</f>
        <v>0</v>
      </c>
      <c r="H340">
        <f>SUM(H341:H345)</f>
        <v>0</v>
      </c>
      <c r="I340">
        <f>SUM(I341:I345)</f>
        <v>0</v>
      </c>
      <c r="J340" s="107" t="s">
        <v>1435</v>
      </c>
      <c r="K340" s="107" t="s">
        <v>1429</v>
      </c>
    </row>
    <row r="341" spans="1:11" x14ac:dyDescent="0.25">
      <c r="A341" s="107"/>
      <c r="B341" s="107"/>
      <c r="C341" s="107"/>
      <c r="D341">
        <v>2021</v>
      </c>
      <c r="E341">
        <f t="shared" ref="E341:E342" si="85">F341</f>
        <v>0</v>
      </c>
      <c r="F341">
        <v>0</v>
      </c>
      <c r="G341">
        <v>0</v>
      </c>
      <c r="H341">
        <v>0</v>
      </c>
      <c r="I341">
        <v>0</v>
      </c>
      <c r="J341" s="107"/>
      <c r="K341" s="107"/>
    </row>
    <row r="342" spans="1:11" x14ac:dyDescent="0.25">
      <c r="A342" s="107"/>
      <c r="B342" s="107"/>
      <c r="C342" s="107"/>
      <c r="D342">
        <v>2022</v>
      </c>
      <c r="E342">
        <f t="shared" si="85"/>
        <v>0</v>
      </c>
      <c r="F342">
        <v>0</v>
      </c>
      <c r="G342">
        <v>0</v>
      </c>
      <c r="H342">
        <v>0</v>
      </c>
      <c r="I342">
        <v>0</v>
      </c>
      <c r="J342" s="107"/>
      <c r="K342" s="107"/>
    </row>
    <row r="343" spans="1:11" x14ac:dyDescent="0.25">
      <c r="A343" s="107"/>
      <c r="B343" s="107"/>
      <c r="C343" s="107"/>
      <c r="D343">
        <v>2023</v>
      </c>
      <c r="E343">
        <f t="shared" ref="E343:E344" si="86">SUM(F343:I343)</f>
        <v>7813.5659999999998</v>
      </c>
      <c r="F343">
        <v>7813.5659999999998</v>
      </c>
      <c r="G343">
        <v>0</v>
      </c>
      <c r="H343">
        <v>0</v>
      </c>
      <c r="I343">
        <v>0</v>
      </c>
      <c r="J343" s="107"/>
      <c r="K343" s="107"/>
    </row>
    <row r="344" spans="1:11" x14ac:dyDescent="0.25">
      <c r="A344" s="107"/>
      <c r="B344" s="107"/>
      <c r="C344" s="107"/>
      <c r="D344">
        <v>2024</v>
      </c>
      <c r="E344">
        <f t="shared" si="86"/>
        <v>0</v>
      </c>
      <c r="F344">
        <v>0</v>
      </c>
      <c r="G344">
        <v>0</v>
      </c>
      <c r="H344">
        <v>0</v>
      </c>
      <c r="I344">
        <v>0</v>
      </c>
      <c r="J344" s="107"/>
      <c r="K344" s="107"/>
    </row>
    <row r="345" spans="1:11" ht="43.5" customHeight="1" x14ac:dyDescent="0.25">
      <c r="A345" s="107"/>
      <c r="B345" s="107"/>
      <c r="C345" s="107"/>
      <c r="D345">
        <v>2025</v>
      </c>
      <c r="E345">
        <v>0</v>
      </c>
      <c r="F345">
        <v>0</v>
      </c>
      <c r="G345">
        <v>0</v>
      </c>
      <c r="H345">
        <v>0</v>
      </c>
      <c r="I345">
        <v>0</v>
      </c>
      <c r="J345" s="107"/>
      <c r="K345" s="107"/>
    </row>
    <row r="346" spans="1:11" x14ac:dyDescent="0.25">
      <c r="A346" s="107">
        <v>2</v>
      </c>
      <c r="B346" s="107" t="s">
        <v>1436</v>
      </c>
      <c r="C346" s="107" t="s">
        <v>14</v>
      </c>
      <c r="D346" t="s">
        <v>8</v>
      </c>
      <c r="E346">
        <f>SUM(E347:E351)</f>
        <v>11580490.72711158</v>
      </c>
      <c r="F346">
        <f>SUM(F347:F351)</f>
        <v>7132716.0476899995</v>
      </c>
      <c r="G346">
        <f>SUM(G347:G351)</f>
        <v>1247002.2</v>
      </c>
      <c r="H346">
        <f>SUM(H347:H351)</f>
        <v>3186738.5394215793</v>
      </c>
      <c r="I346">
        <f>SUM(I347:I351)</f>
        <v>14033.94</v>
      </c>
      <c r="J346" s="107"/>
      <c r="K346" s="107" t="s">
        <v>1437</v>
      </c>
    </row>
    <row r="347" spans="1:11" x14ac:dyDescent="0.25">
      <c r="A347" s="107"/>
      <c r="B347" s="107"/>
      <c r="C347" s="107"/>
      <c r="D347">
        <v>2021</v>
      </c>
      <c r="E347">
        <f t="shared" ref="E347:E351" si="87">SUM(F347:I347)</f>
        <v>1841268.8810089475</v>
      </c>
      <c r="F347">
        <f t="shared" ref="F347:I351" si="88">F353+F377+F395+F449+F461+F509+F521+F539+F551+F581</f>
        <v>912024.42864000006</v>
      </c>
      <c r="G347">
        <f t="shared" si="88"/>
        <v>695000</v>
      </c>
      <c r="H347">
        <f t="shared" si="88"/>
        <v>234244.45236894739</v>
      </c>
      <c r="I347">
        <f t="shared" si="88"/>
        <v>0</v>
      </c>
      <c r="J347" s="107"/>
      <c r="K347" s="107"/>
    </row>
    <row r="348" spans="1:11" x14ac:dyDescent="0.25">
      <c r="A348" s="107"/>
      <c r="B348" s="107"/>
      <c r="C348" s="107"/>
      <c r="D348">
        <v>2022</v>
      </c>
      <c r="E348">
        <f t="shared" si="87"/>
        <v>2751390.3420899999</v>
      </c>
      <c r="F348">
        <f t="shared" si="88"/>
        <v>2004744.40209</v>
      </c>
      <c r="G348">
        <f t="shared" si="88"/>
        <v>0</v>
      </c>
      <c r="H348">
        <f t="shared" si="88"/>
        <v>732612.00000000012</v>
      </c>
      <c r="I348">
        <f t="shared" si="88"/>
        <v>14033.94</v>
      </c>
      <c r="J348" s="107"/>
      <c r="K348" s="107"/>
    </row>
    <row r="349" spans="1:11" x14ac:dyDescent="0.25">
      <c r="A349" s="107"/>
      <c r="B349" s="107"/>
      <c r="C349" s="107"/>
      <c r="D349">
        <v>2023</v>
      </c>
      <c r="E349">
        <f t="shared" si="87"/>
        <v>2684948.2060426315</v>
      </c>
      <c r="F349">
        <f t="shared" si="88"/>
        <v>1501790.1989899999</v>
      </c>
      <c r="G349">
        <f t="shared" si="88"/>
        <v>343053.7</v>
      </c>
      <c r="H349">
        <f t="shared" si="88"/>
        <v>840104.30705263163</v>
      </c>
      <c r="I349">
        <f t="shared" si="88"/>
        <v>0</v>
      </c>
      <c r="J349" s="107"/>
      <c r="K349" s="107"/>
    </row>
    <row r="350" spans="1:11" x14ac:dyDescent="0.25">
      <c r="A350" s="107"/>
      <c r="B350" s="107"/>
      <c r="C350" s="107"/>
      <c r="D350">
        <v>2024</v>
      </c>
      <c r="E350">
        <f t="shared" si="87"/>
        <v>2361222.23275</v>
      </c>
      <c r="F350">
        <f t="shared" si="88"/>
        <v>1411121.55275</v>
      </c>
      <c r="G350">
        <f t="shared" si="88"/>
        <v>208948.5</v>
      </c>
      <c r="H350">
        <f t="shared" si="88"/>
        <v>741152.18</v>
      </c>
      <c r="I350">
        <f t="shared" si="88"/>
        <v>0</v>
      </c>
      <c r="J350" s="107"/>
      <c r="K350" s="107"/>
    </row>
    <row r="351" spans="1:11" x14ac:dyDescent="0.25">
      <c r="A351" s="107"/>
      <c r="B351" s="107"/>
      <c r="C351" s="107"/>
      <c r="D351">
        <v>2025</v>
      </c>
      <c r="E351">
        <f t="shared" si="87"/>
        <v>1941661.0652199998</v>
      </c>
      <c r="F351">
        <f t="shared" si="88"/>
        <v>1303035.4652199999</v>
      </c>
      <c r="G351">
        <f t="shared" si="88"/>
        <v>0</v>
      </c>
      <c r="H351">
        <f t="shared" si="88"/>
        <v>638625.6</v>
      </c>
      <c r="I351">
        <f t="shared" si="88"/>
        <v>0</v>
      </c>
      <c r="J351" s="107"/>
      <c r="K351" s="107"/>
    </row>
    <row r="352" spans="1:11" x14ac:dyDescent="0.25">
      <c r="A352" s="107" t="s">
        <v>84</v>
      </c>
      <c r="B352" s="107" t="s">
        <v>1438</v>
      </c>
      <c r="C352" s="107" t="s">
        <v>1216</v>
      </c>
      <c r="D352" t="s">
        <v>8</v>
      </c>
      <c r="E352">
        <f>SUM(E353:E357)</f>
        <v>2428124.8640000001</v>
      </c>
      <c r="F352">
        <f>SUM(F353:F357)</f>
        <v>1369716.6639999999</v>
      </c>
      <c r="G352">
        <f>SUM(G353:G357)</f>
        <v>552002.19999999995</v>
      </c>
      <c r="H352">
        <f>SUM(H353:H357)</f>
        <v>506406</v>
      </c>
      <c r="I352">
        <f>SUM(I353:I357)</f>
        <v>0</v>
      </c>
      <c r="J352" s="107" t="s">
        <v>1439</v>
      </c>
      <c r="K352" s="107" t="s">
        <v>1440</v>
      </c>
    </row>
    <row r="353" spans="1:11" ht="16.5" customHeight="1" x14ac:dyDescent="0.25">
      <c r="A353" s="107"/>
      <c r="B353" s="107"/>
      <c r="C353" s="107"/>
      <c r="D353">
        <v>2021</v>
      </c>
      <c r="E353">
        <f t="shared" ref="E353:E357" si="89">SUM(F353:I353)</f>
        <v>0</v>
      </c>
      <c r="F353">
        <f t="shared" ref="F353:I357" si="90">F359+F365</f>
        <v>0</v>
      </c>
      <c r="G353">
        <f t="shared" si="90"/>
        <v>0</v>
      </c>
      <c r="H353">
        <f t="shared" si="90"/>
        <v>0</v>
      </c>
      <c r="I353">
        <f t="shared" si="90"/>
        <v>0</v>
      </c>
      <c r="J353" s="107"/>
      <c r="K353" s="107"/>
    </row>
    <row r="354" spans="1:11" ht="18" customHeight="1" x14ac:dyDescent="0.25">
      <c r="A354" s="107"/>
      <c r="B354" s="107"/>
      <c r="C354" s="107"/>
      <c r="D354">
        <v>2022</v>
      </c>
      <c r="E354">
        <f t="shared" si="89"/>
        <v>0</v>
      </c>
      <c r="F354">
        <f t="shared" si="90"/>
        <v>0</v>
      </c>
      <c r="G354">
        <f t="shared" si="90"/>
        <v>0</v>
      </c>
      <c r="H354">
        <f t="shared" si="90"/>
        <v>0</v>
      </c>
      <c r="I354">
        <f t="shared" si="90"/>
        <v>0</v>
      </c>
      <c r="J354" s="107"/>
      <c r="K354" s="107"/>
    </row>
    <row r="355" spans="1:11" ht="16.5" customHeight="1" x14ac:dyDescent="0.25">
      <c r="A355" s="107"/>
      <c r="B355" s="107"/>
      <c r="C355" s="107"/>
      <c r="D355">
        <v>2023</v>
      </c>
      <c r="E355">
        <f t="shared" si="89"/>
        <v>1025636.226</v>
      </c>
      <c r="F355">
        <f>F361+F367+F373</f>
        <v>488379.52600000001</v>
      </c>
      <c r="G355">
        <f t="shared" ref="G355:G356" si="91">G361+G367+G373</f>
        <v>343053.7</v>
      </c>
      <c r="H355">
        <f t="shared" ref="H355:H356" si="92">H361+H367+H373</f>
        <v>194203</v>
      </c>
      <c r="I355">
        <f t="shared" si="90"/>
        <v>0</v>
      </c>
      <c r="J355" s="107"/>
      <c r="K355" s="107"/>
    </row>
    <row r="356" spans="1:11" ht="23.25" customHeight="1" x14ac:dyDescent="0.25">
      <c r="A356" s="107"/>
      <c r="B356" s="107"/>
      <c r="C356" s="107"/>
      <c r="D356">
        <v>2024</v>
      </c>
      <c r="E356">
        <f t="shared" si="89"/>
        <v>832488.63800000004</v>
      </c>
      <c r="F356">
        <f>F362+F368</f>
        <v>447337.13799999998</v>
      </c>
      <c r="G356">
        <f t="shared" si="91"/>
        <v>208948.5</v>
      </c>
      <c r="H356">
        <f t="shared" si="92"/>
        <v>176203</v>
      </c>
      <c r="I356">
        <f t="shared" si="90"/>
        <v>0</v>
      </c>
      <c r="J356" s="107"/>
      <c r="K356" s="107"/>
    </row>
    <row r="357" spans="1:11" ht="114" customHeight="1" x14ac:dyDescent="0.25">
      <c r="A357" s="107"/>
      <c r="B357" s="107"/>
      <c r="C357" s="107"/>
      <c r="D357">
        <v>2025</v>
      </c>
      <c r="E357">
        <f t="shared" si="89"/>
        <v>570000</v>
      </c>
      <c r="F357">
        <f t="shared" si="90"/>
        <v>434000</v>
      </c>
      <c r="G357">
        <f t="shared" si="90"/>
        <v>0</v>
      </c>
      <c r="H357">
        <f t="shared" si="90"/>
        <v>136000</v>
      </c>
      <c r="I357">
        <f t="shared" si="90"/>
        <v>0</v>
      </c>
      <c r="J357" s="107"/>
      <c r="K357" s="107"/>
    </row>
    <row r="358" spans="1:11" x14ac:dyDescent="0.25">
      <c r="A358" s="107" t="s">
        <v>86</v>
      </c>
      <c r="B358" s="107" t="s">
        <v>1441</v>
      </c>
      <c r="C358" s="107" t="s">
        <v>1216</v>
      </c>
      <c r="D358" t="s">
        <v>8</v>
      </c>
      <c r="E358">
        <f>F358+G358+H358+I358</f>
        <v>1710000</v>
      </c>
      <c r="F358">
        <f>SUM(F359:F363)</f>
        <v>1302000</v>
      </c>
      <c r="G358">
        <f t="shared" ref="G358:I370" si="93">SUM(G359:G363)</f>
        <v>0</v>
      </c>
      <c r="H358">
        <f t="shared" si="93"/>
        <v>408000</v>
      </c>
      <c r="I358">
        <f t="shared" si="93"/>
        <v>0</v>
      </c>
      <c r="J358" s="107" t="s">
        <v>1442</v>
      </c>
      <c r="K358" s="107" t="s">
        <v>1440</v>
      </c>
    </row>
    <row r="359" spans="1:11" x14ac:dyDescent="0.25">
      <c r="A359" s="107"/>
      <c r="B359" s="107"/>
      <c r="C359" s="107"/>
      <c r="D359">
        <v>2021</v>
      </c>
      <c r="E359">
        <v>0</v>
      </c>
      <c r="F359">
        <v>0</v>
      </c>
      <c r="G359">
        <v>0</v>
      </c>
      <c r="H359">
        <v>0</v>
      </c>
      <c r="I359">
        <v>0</v>
      </c>
      <c r="J359" s="107"/>
      <c r="K359" s="107"/>
    </row>
    <row r="360" spans="1:11" x14ac:dyDescent="0.25">
      <c r="A360" s="107"/>
      <c r="B360" s="107"/>
      <c r="C360" s="107"/>
      <c r="D360">
        <v>2022</v>
      </c>
      <c r="E360">
        <v>0</v>
      </c>
      <c r="F360">
        <v>0</v>
      </c>
      <c r="G360">
        <v>0</v>
      </c>
      <c r="H360">
        <v>0</v>
      </c>
      <c r="I360">
        <v>0</v>
      </c>
      <c r="J360" s="107"/>
      <c r="K360" s="107"/>
    </row>
    <row r="361" spans="1:11" x14ac:dyDescent="0.25">
      <c r="A361" s="107"/>
      <c r="B361" s="107"/>
      <c r="C361" s="107"/>
      <c r="D361">
        <v>2023</v>
      </c>
      <c r="E361">
        <f t="shared" ref="E361:E363" si="94">F361+G361+H361+I361</f>
        <v>570000</v>
      </c>
      <c r="F361">
        <v>434000</v>
      </c>
      <c r="G361">
        <v>0</v>
      </c>
      <c r="H361">
        <v>136000</v>
      </c>
      <c r="I361">
        <v>0</v>
      </c>
      <c r="J361" s="107"/>
      <c r="K361" s="107"/>
    </row>
    <row r="362" spans="1:11" x14ac:dyDescent="0.25">
      <c r="A362" s="107"/>
      <c r="B362" s="107"/>
      <c r="C362" s="107"/>
      <c r="D362">
        <v>2024</v>
      </c>
      <c r="E362">
        <f t="shared" si="94"/>
        <v>570000</v>
      </c>
      <c r="F362">
        <v>434000</v>
      </c>
      <c r="G362">
        <v>0</v>
      </c>
      <c r="H362">
        <v>136000</v>
      </c>
      <c r="I362">
        <v>0</v>
      </c>
      <c r="J362" s="107"/>
      <c r="K362" s="107"/>
    </row>
    <row r="363" spans="1:11" ht="39" customHeight="1" x14ac:dyDescent="0.25">
      <c r="A363" s="107"/>
      <c r="B363" s="107"/>
      <c r="C363" s="107"/>
      <c r="D363">
        <v>2025</v>
      </c>
      <c r="E363">
        <f t="shared" si="94"/>
        <v>570000</v>
      </c>
      <c r="F363">
        <v>434000</v>
      </c>
      <c r="G363">
        <v>0</v>
      </c>
      <c r="H363">
        <v>136000</v>
      </c>
      <c r="I363">
        <v>0</v>
      </c>
      <c r="J363" s="107"/>
      <c r="K363" s="107"/>
    </row>
    <row r="364" spans="1:11" x14ac:dyDescent="0.25">
      <c r="A364" s="107" t="s">
        <v>855</v>
      </c>
      <c r="B364" s="107" t="s">
        <v>1443</v>
      </c>
      <c r="C364" s="107" t="s">
        <v>1216</v>
      </c>
      <c r="D364" t="s">
        <v>8</v>
      </c>
      <c r="E364">
        <f>SUM(E365:E369)</f>
        <v>502748.73800000001</v>
      </c>
      <c r="F364">
        <f>SUM(F365:F369)</f>
        <v>25340.538</v>
      </c>
      <c r="G364">
        <f t="shared" si="93"/>
        <v>397002.2</v>
      </c>
      <c r="H364">
        <f>SUM(H365:H369)</f>
        <v>80406</v>
      </c>
      <c r="I364">
        <f>SUM(I365:I369)</f>
        <v>0</v>
      </c>
      <c r="J364" s="107" t="s">
        <v>1444</v>
      </c>
      <c r="K364" s="107" t="s">
        <v>1440</v>
      </c>
    </row>
    <row r="365" spans="1:11" x14ac:dyDescent="0.25">
      <c r="A365" s="107"/>
      <c r="B365" s="107"/>
      <c r="C365" s="107"/>
      <c r="D365">
        <v>2021</v>
      </c>
      <c r="E365">
        <f t="shared" ref="E365:E369" si="95">SUM(F365:I365)</f>
        <v>0</v>
      </c>
      <c r="F365">
        <v>0</v>
      </c>
      <c r="G365">
        <v>0</v>
      </c>
      <c r="H365">
        <v>0</v>
      </c>
      <c r="I365">
        <v>0</v>
      </c>
      <c r="J365" s="107"/>
      <c r="K365" s="107"/>
    </row>
    <row r="366" spans="1:11" x14ac:dyDescent="0.25">
      <c r="A366" s="107"/>
      <c r="B366" s="107"/>
      <c r="C366" s="107"/>
      <c r="D366">
        <v>2022</v>
      </c>
      <c r="E366">
        <f t="shared" si="95"/>
        <v>0</v>
      </c>
      <c r="F366">
        <v>0</v>
      </c>
      <c r="G366">
        <v>0</v>
      </c>
      <c r="H366">
        <v>0</v>
      </c>
      <c r="I366">
        <v>0</v>
      </c>
      <c r="J366" s="107"/>
      <c r="K366" s="107"/>
    </row>
    <row r="367" spans="1:11" x14ac:dyDescent="0.25">
      <c r="A367" s="107"/>
      <c r="B367" s="107"/>
      <c r="C367" s="107"/>
      <c r="D367">
        <v>2023</v>
      </c>
      <c r="E367">
        <f t="shared" si="95"/>
        <v>240260.1</v>
      </c>
      <c r="F367">
        <v>12003.4</v>
      </c>
      <c r="G367">
        <v>188053.7</v>
      </c>
      <c r="H367">
        <v>40203</v>
      </c>
      <c r="I367">
        <v>0</v>
      </c>
      <c r="J367" s="107"/>
      <c r="K367" s="107"/>
    </row>
    <row r="368" spans="1:11" x14ac:dyDescent="0.25">
      <c r="A368" s="107"/>
      <c r="B368" s="107"/>
      <c r="C368" s="107"/>
      <c r="D368">
        <v>2024</v>
      </c>
      <c r="E368">
        <f t="shared" si="95"/>
        <v>262488.63800000004</v>
      </c>
      <c r="F368">
        <v>13337.138000000001</v>
      </c>
      <c r="G368">
        <v>208948.5</v>
      </c>
      <c r="H368">
        <v>40203</v>
      </c>
      <c r="I368">
        <v>0</v>
      </c>
      <c r="J368" s="107"/>
      <c r="K368" s="107"/>
    </row>
    <row r="369" spans="1:11" ht="42.75" customHeight="1" x14ac:dyDescent="0.25">
      <c r="A369" s="107"/>
      <c r="B369" s="107"/>
      <c r="C369" s="107"/>
      <c r="D369">
        <v>2025</v>
      </c>
      <c r="E369">
        <f t="shared" si="95"/>
        <v>0</v>
      </c>
      <c r="F369">
        <v>0</v>
      </c>
      <c r="G369">
        <v>0</v>
      </c>
      <c r="H369">
        <v>0</v>
      </c>
      <c r="I369">
        <v>0</v>
      </c>
      <c r="J369" s="107"/>
      <c r="K369" s="107"/>
    </row>
    <row r="370" spans="1:11" x14ac:dyDescent="0.25">
      <c r="A370" s="107" t="s">
        <v>1445</v>
      </c>
      <c r="B370" s="107" t="s">
        <v>1446</v>
      </c>
      <c r="C370" s="107" t="s">
        <v>1216</v>
      </c>
      <c r="D370" t="s">
        <v>8</v>
      </c>
      <c r="E370">
        <f>SUM(E371:E375)</f>
        <v>215376.12599999999</v>
      </c>
      <c r="F370">
        <f>SUM(F371:F375)</f>
        <v>42376.125999999997</v>
      </c>
      <c r="G370">
        <f t="shared" si="93"/>
        <v>155000</v>
      </c>
      <c r="H370">
        <f>SUM(H371:H375)</f>
        <v>18000</v>
      </c>
      <c r="I370">
        <f>SUM(I371:I375)</f>
        <v>0</v>
      </c>
      <c r="J370" s="107"/>
      <c r="K370" s="107" t="s">
        <v>1440</v>
      </c>
    </row>
    <row r="371" spans="1:11" x14ac:dyDescent="0.25">
      <c r="A371" s="107"/>
      <c r="B371" s="107"/>
      <c r="C371" s="107"/>
      <c r="D371">
        <v>2021</v>
      </c>
      <c r="E371">
        <f t="shared" ref="E371:E375" si="96">SUM(F371:I371)</f>
        <v>0</v>
      </c>
      <c r="F371">
        <v>0</v>
      </c>
      <c r="G371">
        <v>0</v>
      </c>
      <c r="H371">
        <v>0</v>
      </c>
      <c r="I371">
        <v>0</v>
      </c>
      <c r="J371" s="107"/>
      <c r="K371" s="107"/>
    </row>
    <row r="372" spans="1:11" x14ac:dyDescent="0.25">
      <c r="A372" s="107"/>
      <c r="B372" s="107"/>
      <c r="C372" s="107"/>
      <c r="D372">
        <v>2022</v>
      </c>
      <c r="E372">
        <f t="shared" si="96"/>
        <v>0</v>
      </c>
      <c r="F372">
        <v>0</v>
      </c>
      <c r="G372">
        <v>0</v>
      </c>
      <c r="H372">
        <v>0</v>
      </c>
      <c r="I372">
        <v>0</v>
      </c>
      <c r="J372" s="107"/>
      <c r="K372" s="107"/>
    </row>
    <row r="373" spans="1:11" x14ac:dyDescent="0.25">
      <c r="A373" s="107"/>
      <c r="B373" s="107"/>
      <c r="C373" s="107"/>
      <c r="D373">
        <v>2023</v>
      </c>
      <c r="E373">
        <f t="shared" si="96"/>
        <v>215376.12599999999</v>
      </c>
      <c r="F373">
        <v>42376.125999999997</v>
      </c>
      <c r="G373">
        <v>155000</v>
      </c>
      <c r="H373">
        <v>18000</v>
      </c>
      <c r="I373">
        <v>0</v>
      </c>
      <c r="J373" s="107"/>
      <c r="K373" s="107"/>
    </row>
    <row r="374" spans="1:11" x14ac:dyDescent="0.25">
      <c r="A374" s="107"/>
      <c r="B374" s="107"/>
      <c r="C374" s="107"/>
      <c r="D374">
        <v>2024</v>
      </c>
      <c r="E374">
        <f t="shared" si="96"/>
        <v>0</v>
      </c>
      <c r="F374">
        <v>0</v>
      </c>
      <c r="G374">
        <v>0</v>
      </c>
      <c r="H374">
        <v>0</v>
      </c>
      <c r="I374">
        <v>0</v>
      </c>
      <c r="J374" s="107"/>
      <c r="K374" s="107"/>
    </row>
    <row r="375" spans="1:11" ht="44.25" customHeight="1" x14ac:dyDescent="0.25">
      <c r="A375" s="107"/>
      <c r="B375" s="107"/>
      <c r="C375" s="107"/>
      <c r="D375">
        <v>2025</v>
      </c>
      <c r="E375">
        <f t="shared" si="96"/>
        <v>0</v>
      </c>
      <c r="F375">
        <v>0</v>
      </c>
      <c r="G375">
        <v>0</v>
      </c>
      <c r="H375">
        <v>0</v>
      </c>
      <c r="I375">
        <v>0</v>
      </c>
      <c r="J375" s="107"/>
      <c r="K375" s="107"/>
    </row>
    <row r="376" spans="1:11" ht="15" customHeight="1" x14ac:dyDescent="0.25">
      <c r="A376" s="107" t="s">
        <v>56</v>
      </c>
      <c r="B376" s="107" t="s">
        <v>1447</v>
      </c>
      <c r="C376" s="107" t="s">
        <v>1113</v>
      </c>
      <c r="D376" t="s">
        <v>8</v>
      </c>
      <c r="E376">
        <f>E377+E378+E379+E380+E381</f>
        <v>96317.980500000005</v>
      </c>
      <c r="F376">
        <f>F377+F378+F379+F380+F381</f>
        <v>96317.980500000005</v>
      </c>
      <c r="G376">
        <f>G377+G378+G379+G380+G381</f>
        <v>0</v>
      </c>
      <c r="H376">
        <f>H377+H378+H379+H380+H381</f>
        <v>0</v>
      </c>
      <c r="I376">
        <f>I377+I378+I379+I380+I381</f>
        <v>0</v>
      </c>
      <c r="J376" s="107" t="s">
        <v>1448</v>
      </c>
      <c r="K376" s="107" t="s">
        <v>1449</v>
      </c>
    </row>
    <row r="377" spans="1:11" x14ac:dyDescent="0.25">
      <c r="A377" s="107"/>
      <c r="B377" s="107"/>
      <c r="C377" s="107"/>
      <c r="D377">
        <v>2021</v>
      </c>
      <c r="E377">
        <f t="shared" ref="E377:E381" si="97">F377+G377+H377+I377</f>
        <v>0</v>
      </c>
      <c r="F377">
        <f t="shared" ref="F377:I381" si="98">F383</f>
        <v>0</v>
      </c>
      <c r="G377">
        <f t="shared" si="98"/>
        <v>0</v>
      </c>
      <c r="H377">
        <f t="shared" si="98"/>
        <v>0</v>
      </c>
      <c r="I377">
        <f t="shared" si="98"/>
        <v>0</v>
      </c>
      <c r="J377" s="107"/>
      <c r="K377" s="107"/>
    </row>
    <row r="378" spans="1:11" x14ac:dyDescent="0.25">
      <c r="A378" s="107"/>
      <c r="B378" s="107"/>
      <c r="C378" s="107"/>
      <c r="D378">
        <v>2022</v>
      </c>
      <c r="E378">
        <f t="shared" si="97"/>
        <v>96317.980500000005</v>
      </c>
      <c r="F378">
        <f>F384+F390</f>
        <v>96317.980500000005</v>
      </c>
      <c r="G378">
        <f t="shared" si="98"/>
        <v>0</v>
      </c>
      <c r="H378">
        <f t="shared" si="98"/>
        <v>0</v>
      </c>
      <c r="I378">
        <f t="shared" si="98"/>
        <v>0</v>
      </c>
      <c r="J378" s="107"/>
      <c r="K378" s="107"/>
    </row>
    <row r="379" spans="1:11" x14ac:dyDescent="0.25">
      <c r="A379" s="107"/>
      <c r="B379" s="107"/>
      <c r="C379" s="107"/>
      <c r="D379">
        <v>2023</v>
      </c>
      <c r="E379">
        <f t="shared" si="97"/>
        <v>0</v>
      </c>
      <c r="F379">
        <f t="shared" si="98"/>
        <v>0</v>
      </c>
      <c r="G379">
        <f t="shared" si="98"/>
        <v>0</v>
      </c>
      <c r="H379">
        <f t="shared" si="98"/>
        <v>0</v>
      </c>
      <c r="I379">
        <f t="shared" si="98"/>
        <v>0</v>
      </c>
      <c r="J379" s="107"/>
      <c r="K379" s="107"/>
    </row>
    <row r="380" spans="1:11" x14ac:dyDescent="0.25">
      <c r="A380" s="107"/>
      <c r="B380" s="107"/>
      <c r="C380" s="107"/>
      <c r="D380">
        <v>2024</v>
      </c>
      <c r="E380">
        <f t="shared" si="97"/>
        <v>0</v>
      </c>
      <c r="F380">
        <f t="shared" si="98"/>
        <v>0</v>
      </c>
      <c r="G380">
        <f t="shared" si="98"/>
        <v>0</v>
      </c>
      <c r="H380">
        <f t="shared" si="98"/>
        <v>0</v>
      </c>
      <c r="I380">
        <f t="shared" si="98"/>
        <v>0</v>
      </c>
      <c r="J380" s="107"/>
      <c r="K380" s="107"/>
    </row>
    <row r="381" spans="1:11" x14ac:dyDescent="0.25">
      <c r="A381" s="107"/>
      <c r="B381" s="107"/>
      <c r="C381" s="107"/>
      <c r="D381">
        <v>2025</v>
      </c>
      <c r="E381">
        <f t="shared" si="97"/>
        <v>0</v>
      </c>
      <c r="F381">
        <f t="shared" si="98"/>
        <v>0</v>
      </c>
      <c r="G381">
        <f t="shared" si="98"/>
        <v>0</v>
      </c>
      <c r="H381">
        <f t="shared" si="98"/>
        <v>0</v>
      </c>
      <c r="I381">
        <f t="shared" si="98"/>
        <v>0</v>
      </c>
      <c r="J381" s="107"/>
      <c r="K381" s="107"/>
    </row>
    <row r="382" spans="1:11" ht="15" customHeight="1" x14ac:dyDescent="0.25">
      <c r="A382" s="107" t="s">
        <v>60</v>
      </c>
      <c r="B382" s="107" t="s">
        <v>1450</v>
      </c>
      <c r="C382" s="107" t="s">
        <v>1125</v>
      </c>
      <c r="D382" t="s">
        <v>8</v>
      </c>
      <c r="E382">
        <f>E383+E384+E385+E386+E387</f>
        <v>0</v>
      </c>
      <c r="F382">
        <f>F383+F384+F385+F386+F387</f>
        <v>0</v>
      </c>
      <c r="G382">
        <f>G383+G384+G385+G386+G387</f>
        <v>0</v>
      </c>
      <c r="H382">
        <f>H383+H384+H385+H386+H387</f>
        <v>0</v>
      </c>
      <c r="I382">
        <f>I383+I384+I385+I386+I387</f>
        <v>0</v>
      </c>
      <c r="J382" s="107" t="s">
        <v>1451</v>
      </c>
      <c r="K382" s="107" t="s">
        <v>1452</v>
      </c>
    </row>
    <row r="383" spans="1:11" x14ac:dyDescent="0.25">
      <c r="A383" s="107"/>
      <c r="B383" s="107"/>
      <c r="C383" s="107"/>
      <c r="D383">
        <v>2021</v>
      </c>
      <c r="E383">
        <f t="shared" ref="E383:E387" si="99">F383+G383+H383+I383</f>
        <v>0</v>
      </c>
      <c r="F383">
        <v>0</v>
      </c>
      <c r="G383">
        <v>0</v>
      </c>
      <c r="H383">
        <v>0</v>
      </c>
      <c r="I383">
        <v>0</v>
      </c>
      <c r="J383" s="107"/>
      <c r="K383" s="107"/>
    </row>
    <row r="384" spans="1:11" x14ac:dyDescent="0.25">
      <c r="A384" s="107"/>
      <c r="B384" s="107"/>
      <c r="C384" s="107"/>
      <c r="D384">
        <v>2022</v>
      </c>
      <c r="E384">
        <f t="shared" si="99"/>
        <v>0</v>
      </c>
      <c r="F384">
        <v>0</v>
      </c>
      <c r="G384">
        <v>0</v>
      </c>
      <c r="H384">
        <v>0</v>
      </c>
      <c r="I384">
        <v>0</v>
      </c>
      <c r="J384" s="107"/>
      <c r="K384" s="107"/>
    </row>
    <row r="385" spans="1:11" x14ac:dyDescent="0.25">
      <c r="A385" s="107"/>
      <c r="B385" s="107"/>
      <c r="C385" s="107"/>
      <c r="D385">
        <v>2023</v>
      </c>
      <c r="E385">
        <f t="shared" si="99"/>
        <v>0</v>
      </c>
      <c r="F385">
        <v>0</v>
      </c>
      <c r="G385">
        <v>0</v>
      </c>
      <c r="H385">
        <v>0</v>
      </c>
      <c r="I385">
        <v>0</v>
      </c>
      <c r="J385" s="107"/>
      <c r="K385" s="107"/>
    </row>
    <row r="386" spans="1:11" x14ac:dyDescent="0.25">
      <c r="A386" s="107"/>
      <c r="B386" s="107"/>
      <c r="C386" s="107"/>
      <c r="D386">
        <v>2024</v>
      </c>
      <c r="E386">
        <f t="shared" si="99"/>
        <v>0</v>
      </c>
      <c r="F386">
        <v>0</v>
      </c>
      <c r="G386">
        <v>0</v>
      </c>
      <c r="H386">
        <v>0</v>
      </c>
      <c r="I386">
        <v>0</v>
      </c>
      <c r="J386" s="107"/>
      <c r="K386" s="107"/>
    </row>
    <row r="387" spans="1:11" x14ac:dyDescent="0.25">
      <c r="A387" s="107"/>
      <c r="B387" s="107"/>
      <c r="C387" s="107"/>
      <c r="D387">
        <v>2025</v>
      </c>
      <c r="E387">
        <f t="shared" si="99"/>
        <v>0</v>
      </c>
      <c r="F387">
        <v>0</v>
      </c>
      <c r="G387">
        <v>0</v>
      </c>
      <c r="H387">
        <v>0</v>
      </c>
      <c r="I387">
        <v>0</v>
      </c>
      <c r="J387" s="107"/>
      <c r="K387" s="107"/>
    </row>
    <row r="388" spans="1:11" x14ac:dyDescent="0.25">
      <c r="A388" s="107" t="s">
        <v>63</v>
      </c>
      <c r="B388" s="107" t="s">
        <v>1453</v>
      </c>
      <c r="C388" s="107" t="s">
        <v>1113</v>
      </c>
      <c r="D388" t="s">
        <v>8</v>
      </c>
      <c r="E388">
        <f>E389+E390+E391+E392+E393</f>
        <v>96317.980500000005</v>
      </c>
      <c r="F388">
        <f>F389+F390+F391+F392+F393</f>
        <v>96317.980500000005</v>
      </c>
      <c r="G388">
        <f>G389+G390+G391+G392+G393</f>
        <v>0</v>
      </c>
      <c r="H388">
        <f>H389+H390+H391+H392+H393</f>
        <v>0</v>
      </c>
      <c r="I388">
        <f>I389+I390+I391+I392+I393</f>
        <v>0</v>
      </c>
      <c r="J388" s="107" t="s">
        <v>1454</v>
      </c>
      <c r="K388" s="107" t="s">
        <v>1455</v>
      </c>
    </row>
    <row r="389" spans="1:11" x14ac:dyDescent="0.25">
      <c r="A389" s="107"/>
      <c r="B389" s="107"/>
      <c r="C389" s="107"/>
      <c r="D389">
        <v>2021</v>
      </c>
      <c r="E389">
        <f t="shared" ref="E389:E393" si="100">F389+G389+H389+I389</f>
        <v>0</v>
      </c>
      <c r="F389">
        <v>0</v>
      </c>
      <c r="G389">
        <v>0</v>
      </c>
      <c r="H389">
        <v>0</v>
      </c>
      <c r="I389">
        <v>0</v>
      </c>
      <c r="J389" s="107"/>
      <c r="K389" s="107"/>
    </row>
    <row r="390" spans="1:11" x14ac:dyDescent="0.25">
      <c r="A390" s="107"/>
      <c r="B390" s="107"/>
      <c r="C390" s="107"/>
      <c r="D390">
        <v>2022</v>
      </c>
      <c r="E390">
        <f t="shared" si="100"/>
        <v>96317.980500000005</v>
      </c>
      <c r="F390">
        <v>96317.980500000005</v>
      </c>
      <c r="G390">
        <v>0</v>
      </c>
      <c r="H390">
        <v>0</v>
      </c>
      <c r="I390">
        <v>0</v>
      </c>
      <c r="J390" s="107"/>
      <c r="K390" s="107"/>
    </row>
    <row r="391" spans="1:11" x14ac:dyDescent="0.25">
      <c r="A391" s="107"/>
      <c r="B391" s="107"/>
      <c r="C391" s="107"/>
      <c r="D391">
        <v>2023</v>
      </c>
      <c r="E391">
        <f t="shared" si="100"/>
        <v>0</v>
      </c>
      <c r="F391">
        <v>0</v>
      </c>
      <c r="G391">
        <v>0</v>
      </c>
      <c r="H391">
        <v>0</v>
      </c>
      <c r="I391">
        <v>0</v>
      </c>
      <c r="J391" s="107"/>
      <c r="K391" s="107"/>
    </row>
    <row r="392" spans="1:11" x14ac:dyDescent="0.25">
      <c r="A392" s="107"/>
      <c r="B392" s="107"/>
      <c r="C392" s="107"/>
      <c r="D392">
        <v>2024</v>
      </c>
      <c r="E392">
        <f t="shared" si="100"/>
        <v>0</v>
      </c>
      <c r="F392">
        <v>0</v>
      </c>
      <c r="G392">
        <v>0</v>
      </c>
      <c r="H392">
        <v>0</v>
      </c>
      <c r="I392">
        <v>0</v>
      </c>
      <c r="J392" s="107"/>
      <c r="K392" s="107"/>
    </row>
    <row r="393" spans="1:11" x14ac:dyDescent="0.25">
      <c r="A393" s="107"/>
      <c r="B393" s="107"/>
      <c r="C393" s="107"/>
      <c r="D393">
        <v>2025</v>
      </c>
      <c r="E393">
        <f t="shared" si="100"/>
        <v>0</v>
      </c>
      <c r="F393">
        <v>0</v>
      </c>
      <c r="G393">
        <v>0</v>
      </c>
      <c r="H393">
        <v>0</v>
      </c>
      <c r="I393">
        <v>0</v>
      </c>
      <c r="J393" s="107"/>
      <c r="K393" s="107"/>
    </row>
    <row r="394" spans="1:11" x14ac:dyDescent="0.25">
      <c r="A394" s="107" t="s">
        <v>78</v>
      </c>
      <c r="B394" s="107" t="s">
        <v>1456</v>
      </c>
      <c r="C394" s="107" t="s">
        <v>14</v>
      </c>
      <c r="D394" t="s">
        <v>8</v>
      </c>
      <c r="E394">
        <f>SUM(E395:E399)</f>
        <v>1275140.4350000001</v>
      </c>
      <c r="F394">
        <f>SUM(F395:F399)</f>
        <v>1275140.4350000001</v>
      </c>
      <c r="G394">
        <f>SUM(G395:G399)</f>
        <v>0</v>
      </c>
      <c r="H394">
        <f>SUM(H395:H399)</f>
        <v>0</v>
      </c>
      <c r="I394">
        <f>SUM(I395:I399)</f>
        <v>0</v>
      </c>
      <c r="J394" s="107" t="s">
        <v>1457</v>
      </c>
      <c r="K394" s="107" t="s">
        <v>1458</v>
      </c>
    </row>
    <row r="395" spans="1:11" x14ac:dyDescent="0.25">
      <c r="A395" s="107"/>
      <c r="B395" s="107"/>
      <c r="C395" s="107"/>
      <c r="D395">
        <v>2021</v>
      </c>
      <c r="E395">
        <f t="shared" ref="E395:E399" si="101">SUM(F395:I395)</f>
        <v>145108.59999999998</v>
      </c>
      <c r="F395">
        <f t="shared" ref="F395:F396" si="102">F401+F407+F413+F419+F425+F431</f>
        <v>145108.59999999998</v>
      </c>
      <c r="G395">
        <f t="shared" ref="G395:I399" si="103">G401+G407+G413+G419</f>
        <v>0</v>
      </c>
      <c r="H395">
        <f t="shared" si="103"/>
        <v>0</v>
      </c>
      <c r="I395">
        <f t="shared" si="103"/>
        <v>0</v>
      </c>
      <c r="J395" s="107"/>
      <c r="K395" s="107"/>
    </row>
    <row r="396" spans="1:11" x14ac:dyDescent="0.25">
      <c r="A396" s="107"/>
      <c r="B396" s="107"/>
      <c r="C396" s="107"/>
      <c r="D396">
        <v>2022</v>
      </c>
      <c r="E396">
        <f t="shared" si="101"/>
        <v>220302</v>
      </c>
      <c r="F396">
        <f t="shared" si="102"/>
        <v>220302</v>
      </c>
      <c r="G396">
        <f t="shared" si="103"/>
        <v>0</v>
      </c>
      <c r="H396">
        <f t="shared" si="103"/>
        <v>0</v>
      </c>
      <c r="I396">
        <f t="shared" si="103"/>
        <v>0</v>
      </c>
      <c r="J396" s="107"/>
      <c r="K396" s="107"/>
    </row>
    <row r="397" spans="1:11" x14ac:dyDescent="0.25">
      <c r="A397" s="107"/>
      <c r="B397" s="107"/>
      <c r="C397" s="107"/>
      <c r="D397">
        <v>2023</v>
      </c>
      <c r="E397">
        <f t="shared" si="101"/>
        <v>309597.14500000002</v>
      </c>
      <c r="F397">
        <f>F403+F409+F415+F421+F427+F433+F439+F445</f>
        <v>309597.14500000002</v>
      </c>
      <c r="G397">
        <f t="shared" si="103"/>
        <v>0</v>
      </c>
      <c r="H397">
        <f t="shared" si="103"/>
        <v>0</v>
      </c>
      <c r="I397">
        <f t="shared" si="103"/>
        <v>0</v>
      </c>
      <c r="J397" s="107"/>
      <c r="K397" s="107"/>
    </row>
    <row r="398" spans="1:11" x14ac:dyDescent="0.25">
      <c r="A398" s="107"/>
      <c r="B398" s="107"/>
      <c r="C398" s="107"/>
      <c r="D398">
        <v>2024</v>
      </c>
      <c r="E398">
        <f t="shared" si="101"/>
        <v>300014.84500000003</v>
      </c>
      <c r="F398">
        <f t="shared" ref="F398:F399" si="104">F404+F410+F416+F422+F428+F434</f>
        <v>300014.84500000003</v>
      </c>
      <c r="G398">
        <f t="shared" si="103"/>
        <v>0</v>
      </c>
      <c r="H398">
        <f t="shared" si="103"/>
        <v>0</v>
      </c>
      <c r="I398">
        <f t="shared" si="103"/>
        <v>0</v>
      </c>
      <c r="J398" s="107"/>
      <c r="K398" s="107"/>
    </row>
    <row r="399" spans="1:11" x14ac:dyDescent="0.25">
      <c r="A399" s="107"/>
      <c r="B399" s="107"/>
      <c r="C399" s="107"/>
      <c r="D399">
        <v>2025</v>
      </c>
      <c r="E399">
        <f t="shared" si="101"/>
        <v>300117.84500000003</v>
      </c>
      <c r="F399">
        <f t="shared" si="104"/>
        <v>300117.84500000003</v>
      </c>
      <c r="G399">
        <f t="shared" si="103"/>
        <v>0</v>
      </c>
      <c r="H399">
        <f t="shared" si="103"/>
        <v>0</v>
      </c>
      <c r="I399">
        <f t="shared" si="103"/>
        <v>0</v>
      </c>
      <c r="J399" s="107"/>
      <c r="K399" s="107"/>
    </row>
    <row r="400" spans="1:11" x14ac:dyDescent="0.25">
      <c r="A400" s="107" t="s">
        <v>81</v>
      </c>
      <c r="B400" s="107" t="s">
        <v>1459</v>
      </c>
      <c r="C400" s="107" t="s">
        <v>14</v>
      </c>
      <c r="D400" t="s">
        <v>8</v>
      </c>
      <c r="E400">
        <f>SUM(E401:E405)</f>
        <v>466861.9</v>
      </c>
      <c r="F400">
        <f>SUM(F401:F405)</f>
        <v>466861.9</v>
      </c>
      <c r="G400">
        <f>SUM(G401:G405)</f>
        <v>0</v>
      </c>
      <c r="H400">
        <f>SUM(H401:H405)</f>
        <v>0</v>
      </c>
      <c r="I400">
        <f>SUM(I401:I405)</f>
        <v>0</v>
      </c>
      <c r="J400" s="107" t="s">
        <v>1460</v>
      </c>
      <c r="K400" s="107" t="s">
        <v>748</v>
      </c>
    </row>
    <row r="401" spans="1:11" x14ac:dyDescent="0.25">
      <c r="A401" s="107"/>
      <c r="B401" s="107"/>
      <c r="C401" s="107"/>
      <c r="D401">
        <v>2021</v>
      </c>
      <c r="E401">
        <f t="shared" ref="E401:E411" si="105">SUM(F401:I401)</f>
        <v>65927.7</v>
      </c>
      <c r="F401">
        <v>65927.7</v>
      </c>
      <c r="G401">
        <v>0</v>
      </c>
      <c r="H401">
        <v>0</v>
      </c>
      <c r="I401">
        <v>0</v>
      </c>
      <c r="J401" s="107"/>
      <c r="K401" s="107"/>
    </row>
    <row r="402" spans="1:11" x14ac:dyDescent="0.25">
      <c r="A402" s="107"/>
      <c r="B402" s="107"/>
      <c r="C402" s="107"/>
      <c r="D402">
        <v>2022</v>
      </c>
      <c r="E402">
        <f t="shared" si="105"/>
        <v>94501.1</v>
      </c>
      <c r="F402">
        <v>94501.1</v>
      </c>
      <c r="G402">
        <v>0</v>
      </c>
      <c r="H402">
        <v>0</v>
      </c>
      <c r="I402">
        <v>0</v>
      </c>
      <c r="J402" s="107"/>
      <c r="K402" s="107"/>
    </row>
    <row r="403" spans="1:11" x14ac:dyDescent="0.25">
      <c r="A403" s="107"/>
      <c r="B403" s="107"/>
      <c r="C403" s="107"/>
      <c r="D403">
        <v>2023</v>
      </c>
      <c r="E403">
        <f t="shared" si="105"/>
        <v>102231.7</v>
      </c>
      <c r="F403">
        <v>102231.7</v>
      </c>
      <c r="G403">
        <v>0</v>
      </c>
      <c r="H403">
        <v>0</v>
      </c>
      <c r="I403">
        <v>0</v>
      </c>
      <c r="J403" s="107"/>
      <c r="K403" s="107"/>
    </row>
    <row r="404" spans="1:11" x14ac:dyDescent="0.25">
      <c r="A404" s="107"/>
      <c r="B404" s="107"/>
      <c r="C404" s="107"/>
      <c r="D404">
        <v>2024</v>
      </c>
      <c r="E404">
        <f t="shared" si="105"/>
        <v>102100.7</v>
      </c>
      <c r="F404">
        <v>102100.7</v>
      </c>
      <c r="G404">
        <v>0</v>
      </c>
      <c r="H404">
        <v>0</v>
      </c>
      <c r="I404">
        <v>0</v>
      </c>
      <c r="J404" s="107"/>
      <c r="K404" s="107"/>
    </row>
    <row r="405" spans="1:11" x14ac:dyDescent="0.25">
      <c r="A405" s="107"/>
      <c r="B405" s="107"/>
      <c r="C405" s="107"/>
      <c r="D405">
        <v>2025</v>
      </c>
      <c r="E405">
        <f t="shared" si="105"/>
        <v>102100.7</v>
      </c>
      <c r="F405">
        <v>102100.7</v>
      </c>
      <c r="G405">
        <v>0</v>
      </c>
      <c r="H405">
        <v>0</v>
      </c>
      <c r="I405">
        <v>0</v>
      </c>
      <c r="J405" s="107"/>
      <c r="K405" s="107"/>
    </row>
    <row r="406" spans="1:11" x14ac:dyDescent="0.25">
      <c r="A406" s="107" t="s">
        <v>540</v>
      </c>
      <c r="B406" s="107" t="s">
        <v>1461</v>
      </c>
      <c r="C406" s="107">
        <v>2021</v>
      </c>
      <c r="D406" t="s">
        <v>8</v>
      </c>
      <c r="E406">
        <f>SUM(E407:E411)</f>
        <v>5732.9</v>
      </c>
      <c r="F406">
        <f>F407+F408+F409+F410+F411</f>
        <v>5732.9</v>
      </c>
      <c r="G406">
        <f>G407+G408+G409+G410+G411</f>
        <v>0</v>
      </c>
      <c r="H406">
        <f>H407+H408+H409+H410+H411</f>
        <v>0</v>
      </c>
      <c r="I406">
        <f>I407+I408+I409+I410+I411</f>
        <v>0</v>
      </c>
      <c r="J406" s="107" t="s">
        <v>1462</v>
      </c>
      <c r="K406" s="107" t="s">
        <v>1463</v>
      </c>
    </row>
    <row r="407" spans="1:11" x14ac:dyDescent="0.25">
      <c r="A407" s="107"/>
      <c r="B407" s="107"/>
      <c r="C407" s="107"/>
      <c r="D407">
        <v>2021</v>
      </c>
      <c r="E407">
        <f t="shared" si="105"/>
        <v>395.5</v>
      </c>
      <c r="F407">
        <v>395.5</v>
      </c>
      <c r="G407">
        <v>0</v>
      </c>
      <c r="H407">
        <v>0</v>
      </c>
      <c r="I407">
        <v>0</v>
      </c>
      <c r="J407" s="107"/>
      <c r="K407" s="107"/>
    </row>
    <row r="408" spans="1:11" x14ac:dyDescent="0.25">
      <c r="A408" s="107"/>
      <c r="B408" s="107"/>
      <c r="C408" s="107"/>
      <c r="D408">
        <v>2022</v>
      </c>
      <c r="E408">
        <f t="shared" si="105"/>
        <v>1850</v>
      </c>
      <c r="F408">
        <v>1850</v>
      </c>
      <c r="G408">
        <v>0</v>
      </c>
      <c r="H408">
        <v>0</v>
      </c>
      <c r="I408">
        <v>0</v>
      </c>
      <c r="J408" s="107"/>
      <c r="K408" s="107"/>
    </row>
    <row r="409" spans="1:11" x14ac:dyDescent="0.25">
      <c r="A409" s="107"/>
      <c r="B409" s="107"/>
      <c r="C409" s="107"/>
      <c r="D409">
        <v>2023</v>
      </c>
      <c r="E409">
        <f t="shared" si="105"/>
        <v>1269.4000000000001</v>
      </c>
      <c r="F409">
        <v>1269.4000000000001</v>
      </c>
      <c r="G409">
        <v>0</v>
      </c>
      <c r="H409">
        <v>0</v>
      </c>
      <c r="I409">
        <v>0</v>
      </c>
      <c r="J409" s="107"/>
      <c r="K409" s="107"/>
    </row>
    <row r="410" spans="1:11" x14ac:dyDescent="0.25">
      <c r="A410" s="107"/>
      <c r="B410" s="107"/>
      <c r="C410" s="107"/>
      <c r="D410">
        <v>2024</v>
      </c>
      <c r="E410">
        <f t="shared" si="105"/>
        <v>1058</v>
      </c>
      <c r="F410">
        <v>1058</v>
      </c>
      <c r="G410">
        <v>0</v>
      </c>
      <c r="H410">
        <v>0</v>
      </c>
      <c r="I410">
        <v>0</v>
      </c>
      <c r="J410" s="107"/>
      <c r="K410" s="107"/>
    </row>
    <row r="411" spans="1:11" x14ac:dyDescent="0.25">
      <c r="A411" s="107"/>
      <c r="B411" s="107"/>
      <c r="C411" s="107"/>
      <c r="D411">
        <v>2025</v>
      </c>
      <c r="E411">
        <f t="shared" si="105"/>
        <v>1160</v>
      </c>
      <c r="F411">
        <v>1160</v>
      </c>
      <c r="G411">
        <v>0</v>
      </c>
      <c r="H411">
        <v>0</v>
      </c>
      <c r="I411">
        <v>0</v>
      </c>
      <c r="J411" s="107"/>
      <c r="K411" s="107"/>
    </row>
    <row r="412" spans="1:11" x14ac:dyDescent="0.25">
      <c r="A412" s="107" t="s">
        <v>1464</v>
      </c>
      <c r="B412" s="107" t="s">
        <v>176</v>
      </c>
      <c r="C412" s="107" t="s">
        <v>14</v>
      </c>
      <c r="D412" t="s">
        <v>8</v>
      </c>
      <c r="E412">
        <f>SUM(E413:E417)</f>
        <v>617237.30000000005</v>
      </c>
      <c r="F412">
        <f>SUM(F413:F417)</f>
        <v>617237.30000000005</v>
      </c>
      <c r="G412">
        <f>SUM(G413:G417)</f>
        <v>0</v>
      </c>
      <c r="H412">
        <f>SUM(H413:H417)</f>
        <v>0</v>
      </c>
      <c r="I412">
        <f>SUM(I413:I417)</f>
        <v>0</v>
      </c>
      <c r="J412" s="107" t="s">
        <v>1465</v>
      </c>
      <c r="K412" s="107" t="s">
        <v>1466</v>
      </c>
    </row>
    <row r="413" spans="1:11" x14ac:dyDescent="0.25">
      <c r="A413" s="107"/>
      <c r="B413" s="107"/>
      <c r="C413" s="107"/>
      <c r="D413">
        <v>2021</v>
      </c>
      <c r="E413">
        <f t="shared" ref="E413:E417" si="106">SUM(F413:I413)</f>
        <v>78785.399999999994</v>
      </c>
      <c r="F413">
        <v>78785.399999999994</v>
      </c>
      <c r="G413">
        <v>0</v>
      </c>
      <c r="H413">
        <v>0</v>
      </c>
      <c r="I413">
        <v>0</v>
      </c>
      <c r="J413" s="107"/>
      <c r="K413" s="107"/>
    </row>
    <row r="414" spans="1:11" x14ac:dyDescent="0.25">
      <c r="A414" s="107"/>
      <c r="B414" s="107"/>
      <c r="C414" s="107"/>
      <c r="D414">
        <v>2022</v>
      </c>
      <c r="E414">
        <f t="shared" si="106"/>
        <v>123950.9</v>
      </c>
      <c r="F414">
        <v>123950.9</v>
      </c>
      <c r="G414">
        <v>0</v>
      </c>
      <c r="H414">
        <v>0</v>
      </c>
      <c r="I414">
        <v>0</v>
      </c>
      <c r="J414" s="107"/>
      <c r="K414" s="107"/>
    </row>
    <row r="415" spans="1:11" x14ac:dyDescent="0.25">
      <c r="A415" s="107"/>
      <c r="B415" s="107"/>
      <c r="C415" s="107"/>
      <c r="D415">
        <v>2023</v>
      </c>
      <c r="E415">
        <f t="shared" si="106"/>
        <v>139438.6</v>
      </c>
      <c r="F415">
        <v>139438.6</v>
      </c>
      <c r="G415">
        <v>0</v>
      </c>
      <c r="H415">
        <v>0</v>
      </c>
      <c r="I415">
        <v>0</v>
      </c>
      <c r="J415" s="107"/>
      <c r="K415" s="107"/>
    </row>
    <row r="416" spans="1:11" x14ac:dyDescent="0.25">
      <c r="A416" s="107"/>
      <c r="B416" s="107"/>
      <c r="C416" s="107"/>
      <c r="D416">
        <v>2024</v>
      </c>
      <c r="E416">
        <f t="shared" si="106"/>
        <v>137530.70000000001</v>
      </c>
      <c r="F416">
        <v>137530.70000000001</v>
      </c>
      <c r="G416">
        <v>0</v>
      </c>
      <c r="H416">
        <v>0</v>
      </c>
      <c r="I416">
        <v>0</v>
      </c>
      <c r="J416" s="107"/>
      <c r="K416" s="107"/>
    </row>
    <row r="417" spans="1:11" ht="24" customHeight="1" x14ac:dyDescent="0.25">
      <c r="A417" s="107"/>
      <c r="B417" s="107"/>
      <c r="C417" s="107"/>
      <c r="D417">
        <v>2025</v>
      </c>
      <c r="E417">
        <f t="shared" si="106"/>
        <v>137531.70000000001</v>
      </c>
      <c r="F417">
        <v>137531.70000000001</v>
      </c>
      <c r="G417">
        <v>0</v>
      </c>
      <c r="H417">
        <v>0</v>
      </c>
      <c r="I417">
        <v>0</v>
      </c>
      <c r="J417" s="107"/>
      <c r="K417" s="107"/>
    </row>
    <row r="418" spans="1:11" x14ac:dyDescent="0.25">
      <c r="A418" s="107" t="s">
        <v>1467</v>
      </c>
      <c r="B418" s="107" t="s">
        <v>1468</v>
      </c>
      <c r="C418" s="107" t="s">
        <v>1125</v>
      </c>
      <c r="D418" t="s">
        <v>8</v>
      </c>
      <c r="E418">
        <f>SUM(E419:E423)</f>
        <v>178308.33499999999</v>
      </c>
      <c r="F418">
        <f>SUM(F419:F423)</f>
        <v>178308.33499999999</v>
      </c>
      <c r="G418">
        <f>SUM(G419:G423)</f>
        <v>0</v>
      </c>
      <c r="H418">
        <f>SUM(H419:H423)</f>
        <v>0</v>
      </c>
      <c r="I418">
        <f>SUM(I419:I423)</f>
        <v>0</v>
      </c>
      <c r="J418" s="107" t="s">
        <v>1469</v>
      </c>
      <c r="K418" s="107" t="s">
        <v>1470</v>
      </c>
    </row>
    <row r="419" spans="1:11" x14ac:dyDescent="0.25">
      <c r="A419" s="107"/>
      <c r="B419" s="107"/>
      <c r="C419" s="107"/>
      <c r="D419">
        <v>2021</v>
      </c>
      <c r="E419">
        <f t="shared" ref="E419:E421" si="107">SUM(F419:I419)</f>
        <v>0</v>
      </c>
      <c r="F419">
        <v>0</v>
      </c>
      <c r="G419">
        <v>0</v>
      </c>
      <c r="H419">
        <v>0</v>
      </c>
      <c r="I419">
        <v>0</v>
      </c>
      <c r="J419" s="107"/>
      <c r="K419" s="107"/>
    </row>
    <row r="420" spans="1:11" x14ac:dyDescent="0.25">
      <c r="A420" s="107"/>
      <c r="B420" s="107"/>
      <c r="C420" s="107"/>
      <c r="D420">
        <v>2022</v>
      </c>
      <c r="E420">
        <f t="shared" si="107"/>
        <v>0</v>
      </c>
      <c r="F420">
        <v>0</v>
      </c>
      <c r="G420">
        <v>0</v>
      </c>
      <c r="H420">
        <v>0</v>
      </c>
      <c r="I420">
        <v>0</v>
      </c>
      <c r="J420" s="107"/>
      <c r="K420" s="107"/>
    </row>
    <row r="421" spans="1:11" ht="15.75" customHeight="1" x14ac:dyDescent="0.25">
      <c r="A421" s="107"/>
      <c r="B421" s="107"/>
      <c r="C421" s="107"/>
      <c r="D421">
        <v>2023</v>
      </c>
      <c r="E421">
        <f t="shared" si="107"/>
        <v>59657.445</v>
      </c>
      <c r="F421">
        <v>59657.445</v>
      </c>
      <c r="G421">
        <v>0</v>
      </c>
      <c r="H421">
        <v>0</v>
      </c>
      <c r="I421">
        <v>0</v>
      </c>
      <c r="J421" s="107"/>
      <c r="K421" s="107"/>
    </row>
    <row r="422" spans="1:11" ht="20.25" customHeight="1" x14ac:dyDescent="0.25">
      <c r="A422" s="107"/>
      <c r="B422" s="107"/>
      <c r="C422" s="107"/>
      <c r="D422">
        <v>2024</v>
      </c>
      <c r="E422">
        <f>F422</f>
        <v>59325.445</v>
      </c>
      <c r="F422">
        <v>59325.445</v>
      </c>
      <c r="G422">
        <v>0</v>
      </c>
      <c r="H422">
        <v>0</v>
      </c>
      <c r="I422">
        <v>0</v>
      </c>
      <c r="J422" s="107"/>
      <c r="K422" s="107"/>
    </row>
    <row r="423" spans="1:11" ht="20.25" customHeight="1" x14ac:dyDescent="0.25">
      <c r="A423" s="107"/>
      <c r="B423" s="107"/>
      <c r="C423" s="107"/>
      <c r="D423">
        <v>2025</v>
      </c>
      <c r="E423">
        <f>SUM(F423:I423)</f>
        <v>59325.445</v>
      </c>
      <c r="F423">
        <v>59325.445</v>
      </c>
      <c r="G423">
        <v>0</v>
      </c>
      <c r="H423">
        <v>0</v>
      </c>
      <c r="I423">
        <v>0</v>
      </c>
      <c r="J423" s="107"/>
      <c r="K423" s="107"/>
    </row>
    <row r="424" spans="1:11" x14ac:dyDescent="0.25">
      <c r="A424" s="107" t="s">
        <v>1471</v>
      </c>
      <c r="B424" s="107" t="s">
        <v>1472</v>
      </c>
      <c r="C424" s="107" t="s">
        <v>1125</v>
      </c>
      <c r="D424" t="s">
        <v>8</v>
      </c>
      <c r="E424">
        <f>SUM(E425:E429)</f>
        <v>0</v>
      </c>
      <c r="F424">
        <f>SUM(F425:F429)</f>
        <v>0</v>
      </c>
      <c r="G424">
        <f>SUM(G425:G429)</f>
        <v>0</v>
      </c>
      <c r="H424">
        <f>SUM(H425:H429)</f>
        <v>0</v>
      </c>
      <c r="I424">
        <f>SUM(I425:I429)</f>
        <v>0</v>
      </c>
      <c r="J424" s="107" t="s">
        <v>1472</v>
      </c>
      <c r="K424" s="107" t="s">
        <v>1470</v>
      </c>
    </row>
    <row r="425" spans="1:11" x14ac:dyDescent="0.25">
      <c r="A425" s="107"/>
      <c r="B425" s="107"/>
      <c r="C425" s="107"/>
      <c r="D425">
        <v>2021</v>
      </c>
      <c r="E425">
        <f t="shared" ref="E425:E426" si="108">SUM(F425:I425)</f>
        <v>0</v>
      </c>
      <c r="F425">
        <v>0</v>
      </c>
      <c r="G425">
        <v>0</v>
      </c>
      <c r="H425">
        <v>0</v>
      </c>
      <c r="I425">
        <v>0</v>
      </c>
      <c r="J425" s="107"/>
      <c r="K425" s="107"/>
    </row>
    <row r="426" spans="1:11" x14ac:dyDescent="0.25">
      <c r="A426" s="107"/>
      <c r="B426" s="107"/>
      <c r="C426" s="107"/>
      <c r="D426">
        <v>2022</v>
      </c>
      <c r="E426">
        <f t="shared" si="108"/>
        <v>0</v>
      </c>
      <c r="F426">
        <v>0</v>
      </c>
      <c r="G426">
        <v>0</v>
      </c>
      <c r="H426">
        <v>0</v>
      </c>
      <c r="I426">
        <v>0</v>
      </c>
      <c r="J426" s="107"/>
      <c r="K426" s="107"/>
    </row>
    <row r="427" spans="1:11" x14ac:dyDescent="0.25">
      <c r="A427" s="107"/>
      <c r="B427" s="107"/>
      <c r="C427" s="107"/>
      <c r="D427">
        <v>2023</v>
      </c>
      <c r="E427">
        <v>0</v>
      </c>
      <c r="F427">
        <v>0</v>
      </c>
      <c r="G427">
        <v>0</v>
      </c>
      <c r="H427">
        <v>0</v>
      </c>
      <c r="I427">
        <v>0</v>
      </c>
      <c r="J427" s="107"/>
      <c r="K427" s="107"/>
    </row>
    <row r="428" spans="1:11" x14ac:dyDescent="0.25">
      <c r="A428" s="107"/>
      <c r="B428" s="107"/>
      <c r="C428" s="107"/>
      <c r="D428">
        <v>2024</v>
      </c>
      <c r="E428">
        <f>F428</f>
        <v>0</v>
      </c>
      <c r="F428">
        <v>0</v>
      </c>
      <c r="G428">
        <v>0</v>
      </c>
      <c r="H428">
        <v>0</v>
      </c>
      <c r="I428">
        <v>0</v>
      </c>
      <c r="J428" s="107"/>
      <c r="K428" s="107"/>
    </row>
    <row r="429" spans="1:11" x14ac:dyDescent="0.25">
      <c r="A429" s="107"/>
      <c r="B429" s="107"/>
      <c r="C429" s="107"/>
      <c r="D429">
        <v>2025</v>
      </c>
      <c r="E429">
        <f>SUM(F429:I429)</f>
        <v>0</v>
      </c>
      <c r="F429">
        <v>0</v>
      </c>
      <c r="G429">
        <v>0</v>
      </c>
      <c r="H429">
        <v>0</v>
      </c>
      <c r="I429">
        <v>0</v>
      </c>
      <c r="J429" s="107"/>
      <c r="K429" s="107"/>
    </row>
    <row r="430" spans="1:11" x14ac:dyDescent="0.25">
      <c r="A430" s="107" t="s">
        <v>1473</v>
      </c>
      <c r="B430" s="107" t="s">
        <v>1474</v>
      </c>
      <c r="C430" s="107" t="s">
        <v>1125</v>
      </c>
      <c r="D430" t="s">
        <v>8</v>
      </c>
      <c r="E430">
        <f>SUM(E431:E435)</f>
        <v>0</v>
      </c>
      <c r="F430">
        <f>SUM(F431:F435)</f>
        <v>0</v>
      </c>
      <c r="G430">
        <f>SUM(G431:G435)</f>
        <v>0</v>
      </c>
      <c r="H430">
        <f>SUM(H431:H435)</f>
        <v>0</v>
      </c>
      <c r="I430">
        <f>SUM(I431:I435)</f>
        <v>0</v>
      </c>
      <c r="J430" s="107" t="s">
        <v>1474</v>
      </c>
      <c r="K430" s="107" t="s">
        <v>1470</v>
      </c>
    </row>
    <row r="431" spans="1:11" x14ac:dyDescent="0.25">
      <c r="A431" s="107"/>
      <c r="B431" s="107"/>
      <c r="C431" s="107"/>
      <c r="D431">
        <v>2021</v>
      </c>
      <c r="E431">
        <f t="shared" ref="E431:E432" si="109">SUM(F431:I431)</f>
        <v>0</v>
      </c>
      <c r="F431">
        <v>0</v>
      </c>
      <c r="G431">
        <v>0</v>
      </c>
      <c r="H431">
        <v>0</v>
      </c>
      <c r="I431">
        <v>0</v>
      </c>
      <c r="J431" s="107"/>
      <c r="K431" s="107"/>
    </row>
    <row r="432" spans="1:11" x14ac:dyDescent="0.25">
      <c r="A432" s="107"/>
      <c r="B432" s="107"/>
      <c r="C432" s="107"/>
      <c r="D432">
        <v>2022</v>
      </c>
      <c r="E432">
        <f t="shared" si="109"/>
        <v>0</v>
      </c>
      <c r="F432">
        <v>0</v>
      </c>
      <c r="G432">
        <v>0</v>
      </c>
      <c r="H432">
        <v>0</v>
      </c>
      <c r="I432">
        <v>0</v>
      </c>
      <c r="J432" s="107"/>
      <c r="K432" s="107"/>
    </row>
    <row r="433" spans="1:11" x14ac:dyDescent="0.25">
      <c r="A433" s="107"/>
      <c r="B433" s="107"/>
      <c r="C433" s="107"/>
      <c r="D433">
        <v>2023</v>
      </c>
      <c r="E433">
        <v>0</v>
      </c>
      <c r="F433">
        <v>0</v>
      </c>
      <c r="G433">
        <v>0</v>
      </c>
      <c r="H433">
        <v>0</v>
      </c>
      <c r="I433">
        <v>0</v>
      </c>
      <c r="J433" s="107"/>
      <c r="K433" s="107"/>
    </row>
    <row r="434" spans="1:11" x14ac:dyDescent="0.25">
      <c r="A434" s="107"/>
      <c r="B434" s="107"/>
      <c r="C434" s="107"/>
      <c r="D434">
        <v>2024</v>
      </c>
      <c r="E434">
        <f>F434</f>
        <v>0</v>
      </c>
      <c r="F434">
        <v>0</v>
      </c>
      <c r="G434">
        <v>0</v>
      </c>
      <c r="H434">
        <v>0</v>
      </c>
      <c r="I434">
        <v>0</v>
      </c>
      <c r="J434" s="107"/>
      <c r="K434" s="107"/>
    </row>
    <row r="435" spans="1:11" ht="14.25" customHeight="1" x14ac:dyDescent="0.25">
      <c r="A435" s="107"/>
      <c r="B435" s="107"/>
      <c r="C435" s="107"/>
      <c r="D435">
        <v>2025</v>
      </c>
      <c r="E435">
        <f>SUM(F435:I435)</f>
        <v>0</v>
      </c>
      <c r="F435">
        <v>0</v>
      </c>
      <c r="G435">
        <v>0</v>
      </c>
      <c r="H435">
        <v>0</v>
      </c>
      <c r="I435">
        <v>0</v>
      </c>
      <c r="J435" s="107"/>
      <c r="K435" s="107"/>
    </row>
    <row r="436" spans="1:11" x14ac:dyDescent="0.25">
      <c r="A436" s="107" t="s">
        <v>1475</v>
      </c>
      <c r="B436" s="107" t="s">
        <v>1476</v>
      </c>
      <c r="C436" s="107" t="s">
        <v>1125</v>
      </c>
      <c r="D436" t="s">
        <v>8</v>
      </c>
      <c r="E436">
        <f>SUM(E437:E441)</f>
        <v>4000</v>
      </c>
      <c r="F436">
        <f>SUM(F437:F441)</f>
        <v>4000</v>
      </c>
      <c r="G436">
        <f>SUM(G437:G441)</f>
        <v>0</v>
      </c>
      <c r="H436">
        <f>SUM(H437:H441)</f>
        <v>0</v>
      </c>
      <c r="I436">
        <f>SUM(I437:I441)</f>
        <v>0</v>
      </c>
      <c r="J436" s="107" t="s">
        <v>1476</v>
      </c>
      <c r="K436" s="107" t="s">
        <v>1470</v>
      </c>
    </row>
    <row r="437" spans="1:11" x14ac:dyDescent="0.25">
      <c r="A437" s="107"/>
      <c r="B437" s="107"/>
      <c r="C437" s="107"/>
      <c r="D437">
        <v>2021</v>
      </c>
      <c r="E437">
        <f t="shared" ref="E437:E439" si="110">SUM(F437:I437)</f>
        <v>0</v>
      </c>
      <c r="F437">
        <v>0</v>
      </c>
      <c r="G437">
        <v>0</v>
      </c>
      <c r="H437">
        <v>0</v>
      </c>
      <c r="I437">
        <v>0</v>
      </c>
      <c r="J437" s="107"/>
      <c r="K437" s="107"/>
    </row>
    <row r="438" spans="1:11" x14ac:dyDescent="0.25">
      <c r="A438" s="107"/>
      <c r="B438" s="107"/>
      <c r="C438" s="107"/>
      <c r="D438">
        <v>2022</v>
      </c>
      <c r="E438">
        <f t="shared" si="110"/>
        <v>0</v>
      </c>
      <c r="F438">
        <v>0</v>
      </c>
      <c r="G438">
        <v>0</v>
      </c>
      <c r="H438">
        <v>0</v>
      </c>
      <c r="I438">
        <v>0</v>
      </c>
      <c r="J438" s="107"/>
      <c r="K438" s="107"/>
    </row>
    <row r="439" spans="1:11" x14ac:dyDescent="0.25">
      <c r="A439" s="107"/>
      <c r="B439" s="107"/>
      <c r="C439" s="107"/>
      <c r="D439">
        <v>2023</v>
      </c>
      <c r="E439">
        <f t="shared" si="110"/>
        <v>4000</v>
      </c>
      <c r="F439">
        <v>4000</v>
      </c>
      <c r="G439">
        <v>0</v>
      </c>
      <c r="H439">
        <v>0</v>
      </c>
      <c r="I439">
        <v>0</v>
      </c>
      <c r="J439" s="107"/>
      <c r="K439" s="107"/>
    </row>
    <row r="440" spans="1:11" x14ac:dyDescent="0.25">
      <c r="A440" s="107"/>
      <c r="B440" s="107"/>
      <c r="C440" s="107"/>
      <c r="D440">
        <v>2024</v>
      </c>
      <c r="E440">
        <f>F440</f>
        <v>0</v>
      </c>
      <c r="F440">
        <v>0</v>
      </c>
      <c r="G440">
        <v>0</v>
      </c>
      <c r="H440">
        <v>0</v>
      </c>
      <c r="I440">
        <v>0</v>
      </c>
      <c r="J440" s="107"/>
      <c r="K440" s="107"/>
    </row>
    <row r="441" spans="1:11" x14ac:dyDescent="0.25">
      <c r="A441" s="107"/>
      <c r="B441" s="107"/>
      <c r="C441" s="107"/>
      <c r="D441">
        <v>2025</v>
      </c>
      <c r="E441">
        <f>SUM(F441:I441)</f>
        <v>0</v>
      </c>
      <c r="F441">
        <v>0</v>
      </c>
      <c r="G441">
        <v>0</v>
      </c>
      <c r="H441">
        <v>0</v>
      </c>
      <c r="I441">
        <v>0</v>
      </c>
      <c r="J441" s="107"/>
      <c r="K441" s="107"/>
    </row>
    <row r="442" spans="1:11" x14ac:dyDescent="0.25">
      <c r="A442" s="107" t="s">
        <v>1477</v>
      </c>
      <c r="B442" s="107" t="s">
        <v>1478</v>
      </c>
      <c r="C442" s="107" t="s">
        <v>1125</v>
      </c>
      <c r="D442" t="s">
        <v>8</v>
      </c>
      <c r="E442">
        <f>SUM(E443:E447)</f>
        <v>3000</v>
      </c>
      <c r="F442">
        <f>SUM(F443:F447)</f>
        <v>3000</v>
      </c>
      <c r="G442">
        <f>SUM(G443:G447)</f>
        <v>0</v>
      </c>
      <c r="H442">
        <f>SUM(H443:H447)</f>
        <v>0</v>
      </c>
      <c r="I442">
        <f>SUM(I443:I447)</f>
        <v>0</v>
      </c>
      <c r="J442" s="107" t="s">
        <v>1478</v>
      </c>
      <c r="K442" s="107" t="s">
        <v>1470</v>
      </c>
    </row>
    <row r="443" spans="1:11" x14ac:dyDescent="0.25">
      <c r="A443" s="107"/>
      <c r="B443" s="107"/>
      <c r="C443" s="107"/>
      <c r="D443">
        <v>2021</v>
      </c>
      <c r="E443">
        <f t="shared" ref="E443:E445" si="111">SUM(F443:I443)</f>
        <v>0</v>
      </c>
      <c r="F443">
        <v>0</v>
      </c>
      <c r="G443">
        <v>0</v>
      </c>
      <c r="H443">
        <v>0</v>
      </c>
      <c r="I443">
        <v>0</v>
      </c>
      <c r="J443" s="107"/>
      <c r="K443" s="107"/>
    </row>
    <row r="444" spans="1:11" x14ac:dyDescent="0.25">
      <c r="A444" s="107"/>
      <c r="B444" s="107"/>
      <c r="C444" s="107"/>
      <c r="D444">
        <v>2022</v>
      </c>
      <c r="E444">
        <f t="shared" si="111"/>
        <v>0</v>
      </c>
      <c r="F444">
        <v>0</v>
      </c>
      <c r="G444">
        <v>0</v>
      </c>
      <c r="H444">
        <v>0</v>
      </c>
      <c r="I444">
        <v>0</v>
      </c>
      <c r="J444" s="107"/>
      <c r="K444" s="107"/>
    </row>
    <row r="445" spans="1:11" x14ac:dyDescent="0.25">
      <c r="A445" s="107"/>
      <c r="B445" s="107"/>
      <c r="C445" s="107"/>
      <c r="D445">
        <v>2023</v>
      </c>
      <c r="E445">
        <f t="shared" si="111"/>
        <v>3000</v>
      </c>
      <c r="F445">
        <v>3000</v>
      </c>
      <c r="G445">
        <v>0</v>
      </c>
      <c r="H445">
        <v>0</v>
      </c>
      <c r="I445">
        <v>0</v>
      </c>
      <c r="J445" s="107"/>
      <c r="K445" s="107"/>
    </row>
    <row r="446" spans="1:11" x14ac:dyDescent="0.25">
      <c r="A446" s="107"/>
      <c r="B446" s="107"/>
      <c r="C446" s="107"/>
      <c r="D446">
        <v>2024</v>
      </c>
      <c r="E446">
        <f>F446</f>
        <v>0</v>
      </c>
      <c r="F446">
        <v>0</v>
      </c>
      <c r="G446">
        <v>0</v>
      </c>
      <c r="H446">
        <v>0</v>
      </c>
      <c r="I446">
        <v>0</v>
      </c>
      <c r="J446" s="107"/>
      <c r="K446" s="107"/>
    </row>
    <row r="447" spans="1:11" x14ac:dyDescent="0.25">
      <c r="A447" s="107"/>
      <c r="B447" s="107"/>
      <c r="C447" s="107"/>
      <c r="D447">
        <v>2025</v>
      </c>
      <c r="E447">
        <f>SUM(F447:I447)</f>
        <v>0</v>
      </c>
      <c r="F447">
        <v>0</v>
      </c>
      <c r="G447">
        <v>0</v>
      </c>
      <c r="H447">
        <v>0</v>
      </c>
      <c r="I447">
        <v>0</v>
      </c>
      <c r="J447" s="107"/>
      <c r="K447" s="107"/>
    </row>
    <row r="448" spans="1:11" ht="15" customHeight="1" x14ac:dyDescent="0.25">
      <c r="A448" s="107" t="s">
        <v>1479</v>
      </c>
      <c r="B448" s="107" t="s">
        <v>1480</v>
      </c>
      <c r="C448" s="107" t="s">
        <v>14</v>
      </c>
      <c r="D448" t="s">
        <v>8</v>
      </c>
      <c r="E448">
        <f>SUM(E449:E453)</f>
        <v>4182902.7828100007</v>
      </c>
      <c r="F448">
        <f>SUM(F449:F453)</f>
        <v>2091451.4328099999</v>
      </c>
      <c r="G448">
        <f>SUM(G449:G453)</f>
        <v>0</v>
      </c>
      <c r="H448">
        <f>SUM(H449:H453)</f>
        <v>2091451.35</v>
      </c>
      <c r="I448">
        <f>SUM(I449:I453)</f>
        <v>0</v>
      </c>
      <c r="J448" s="107" t="s">
        <v>1481</v>
      </c>
      <c r="K448" s="107" t="s">
        <v>1482</v>
      </c>
    </row>
    <row r="449" spans="1:11" x14ac:dyDescent="0.25">
      <c r="A449" s="107"/>
      <c r="B449" s="107"/>
      <c r="C449" s="107"/>
      <c r="D449">
        <v>2021</v>
      </c>
      <c r="E449">
        <f t="shared" ref="E449:E453" si="112">SUM(F449:I449)</f>
        <v>407824.4</v>
      </c>
      <c r="F449">
        <f t="shared" ref="F449:F453" si="113">F455</f>
        <v>203912.2</v>
      </c>
      <c r="G449">
        <f t="shared" ref="G449:I453" si="114">G455</f>
        <v>0</v>
      </c>
      <c r="H449">
        <f t="shared" si="114"/>
        <v>203912.2</v>
      </c>
      <c r="I449">
        <f t="shared" si="114"/>
        <v>0</v>
      </c>
      <c r="J449" s="107"/>
      <c r="K449" s="107"/>
    </row>
    <row r="450" spans="1:11" x14ac:dyDescent="0.25">
      <c r="A450" s="107"/>
      <c r="B450" s="107"/>
      <c r="C450" s="107"/>
      <c r="D450">
        <v>2022</v>
      </c>
      <c r="E450">
        <f t="shared" si="112"/>
        <v>888360.95</v>
      </c>
      <c r="F450">
        <f t="shared" si="113"/>
        <v>444180.5</v>
      </c>
      <c r="G450">
        <f t="shared" si="114"/>
        <v>0</v>
      </c>
      <c r="H450">
        <f t="shared" si="114"/>
        <v>444180.45</v>
      </c>
      <c r="I450">
        <f t="shared" si="114"/>
        <v>0</v>
      </c>
      <c r="J450" s="107"/>
      <c r="K450" s="107"/>
    </row>
    <row r="451" spans="1:11" x14ac:dyDescent="0.25">
      <c r="A451" s="107"/>
      <c r="B451" s="107"/>
      <c r="C451" s="107"/>
      <c r="D451">
        <v>2023</v>
      </c>
      <c r="E451">
        <f t="shared" si="112"/>
        <v>915463.01884000003</v>
      </c>
      <c r="F451">
        <f t="shared" si="113"/>
        <v>457731.51883999998</v>
      </c>
      <c r="G451">
        <f t="shared" si="114"/>
        <v>0</v>
      </c>
      <c r="H451">
        <f t="shared" si="114"/>
        <v>457731.5</v>
      </c>
      <c r="I451">
        <f t="shared" si="114"/>
        <v>0</v>
      </c>
      <c r="J451" s="107"/>
      <c r="K451" s="107"/>
    </row>
    <row r="452" spans="1:11" x14ac:dyDescent="0.25">
      <c r="A452" s="107"/>
      <c r="B452" s="107"/>
      <c r="C452" s="107"/>
      <c r="D452">
        <v>2024</v>
      </c>
      <c r="E452">
        <f t="shared" si="112"/>
        <v>969854.62675000005</v>
      </c>
      <c r="F452">
        <f t="shared" si="113"/>
        <v>484927.32675000001</v>
      </c>
      <c r="G452">
        <f t="shared" si="114"/>
        <v>0</v>
      </c>
      <c r="H452">
        <f t="shared" si="114"/>
        <v>484927.3</v>
      </c>
      <c r="I452">
        <f t="shared" si="114"/>
        <v>0</v>
      </c>
      <c r="J452" s="107"/>
      <c r="K452" s="107"/>
    </row>
    <row r="453" spans="1:11" ht="33" customHeight="1" x14ac:dyDescent="0.25">
      <c r="A453" s="107"/>
      <c r="B453" s="107"/>
      <c r="C453" s="107"/>
      <c r="D453">
        <v>2025</v>
      </c>
      <c r="E453">
        <f t="shared" si="112"/>
        <v>1001399.7872200001</v>
      </c>
      <c r="F453">
        <f t="shared" si="113"/>
        <v>500699.88721999998</v>
      </c>
      <c r="G453">
        <f t="shared" si="114"/>
        <v>0</v>
      </c>
      <c r="H453">
        <f t="shared" si="114"/>
        <v>500699.9</v>
      </c>
      <c r="I453">
        <f t="shared" si="114"/>
        <v>0</v>
      </c>
      <c r="J453" s="107"/>
      <c r="K453" s="107"/>
    </row>
    <row r="454" spans="1:11" x14ac:dyDescent="0.25">
      <c r="A454" s="107" t="s">
        <v>1483</v>
      </c>
      <c r="B454" s="107" t="s">
        <v>1484</v>
      </c>
      <c r="C454" s="107" t="s">
        <v>14</v>
      </c>
      <c r="D454" t="s">
        <v>8</v>
      </c>
      <c r="E454">
        <f>SUM(E455:E459)</f>
        <v>4182902.7828100007</v>
      </c>
      <c r="F454">
        <f>SUM(F455:F459)</f>
        <v>2091451.4328099999</v>
      </c>
      <c r="G454">
        <f>SUM(G455:G459)</f>
        <v>0</v>
      </c>
      <c r="H454">
        <f>SUM(H455:H459)</f>
        <v>2091451.35</v>
      </c>
      <c r="I454">
        <f>SUM(I455:I459)</f>
        <v>0</v>
      </c>
      <c r="J454" s="107" t="s">
        <v>1485</v>
      </c>
      <c r="K454" s="107" t="s">
        <v>1482</v>
      </c>
    </row>
    <row r="455" spans="1:11" x14ac:dyDescent="0.25">
      <c r="A455" s="107"/>
      <c r="B455" s="107"/>
      <c r="C455" s="107"/>
      <c r="D455">
        <v>2021</v>
      </c>
      <c r="E455">
        <f t="shared" ref="E455:E459" si="115">SUM(F455:I455)</f>
        <v>407824.4</v>
      </c>
      <c r="F455">
        <v>203912.2</v>
      </c>
      <c r="G455">
        <v>0</v>
      </c>
      <c r="H455">
        <v>203912.2</v>
      </c>
      <c r="I455">
        <v>0</v>
      </c>
      <c r="J455" s="107"/>
      <c r="K455" s="107"/>
    </row>
    <row r="456" spans="1:11" ht="38.25" customHeight="1" x14ac:dyDescent="0.25">
      <c r="A456" s="107"/>
      <c r="B456" s="107"/>
      <c r="C456" s="107"/>
      <c r="D456">
        <v>2022</v>
      </c>
      <c r="E456">
        <f t="shared" si="115"/>
        <v>888360.95</v>
      </c>
      <c r="F456">
        <v>444180.5</v>
      </c>
      <c r="G456">
        <v>0</v>
      </c>
      <c r="H456">
        <v>444180.45</v>
      </c>
      <c r="I456">
        <v>0</v>
      </c>
      <c r="J456" s="107"/>
      <c r="K456" s="107"/>
    </row>
    <row r="457" spans="1:11" ht="26.25" customHeight="1" x14ac:dyDescent="0.25">
      <c r="A457" s="107"/>
      <c r="B457" s="107"/>
      <c r="C457" s="107"/>
      <c r="D457">
        <v>2023</v>
      </c>
      <c r="E457">
        <f t="shared" si="115"/>
        <v>915463.01884000003</v>
      </c>
      <c r="F457">
        <v>457731.51883999998</v>
      </c>
      <c r="G457">
        <v>0</v>
      </c>
      <c r="H457">
        <v>457731.5</v>
      </c>
      <c r="I457">
        <v>0</v>
      </c>
      <c r="J457" s="107"/>
      <c r="K457" s="107"/>
    </row>
    <row r="458" spans="1:11" ht="21.75" customHeight="1" x14ac:dyDescent="0.25">
      <c r="A458" s="107"/>
      <c r="B458" s="107"/>
      <c r="C458" s="107"/>
      <c r="D458">
        <v>2024</v>
      </c>
      <c r="E458">
        <f t="shared" si="115"/>
        <v>969854.62675000005</v>
      </c>
      <c r="F458">
        <v>484927.32675000001</v>
      </c>
      <c r="G458">
        <v>0</v>
      </c>
      <c r="H458">
        <v>484927.3</v>
      </c>
      <c r="I458">
        <v>0</v>
      </c>
      <c r="J458" s="107"/>
      <c r="K458" s="107"/>
    </row>
    <row r="459" spans="1:11" ht="39" customHeight="1" x14ac:dyDescent="0.25">
      <c r="A459" s="107"/>
      <c r="B459" s="107"/>
      <c r="C459" s="107"/>
      <c r="D459">
        <v>2025</v>
      </c>
      <c r="E459">
        <f t="shared" si="115"/>
        <v>1001399.7872200001</v>
      </c>
      <c r="F459">
        <v>500699.88721999998</v>
      </c>
      <c r="G459">
        <v>0</v>
      </c>
      <c r="H459">
        <v>500699.9</v>
      </c>
      <c r="I459">
        <v>0</v>
      </c>
      <c r="J459" s="107"/>
      <c r="K459" s="107"/>
    </row>
    <row r="460" spans="1:11" ht="19.5" customHeight="1" x14ac:dyDescent="0.25">
      <c r="A460" s="107" t="s">
        <v>1486</v>
      </c>
      <c r="B460" s="107" t="s">
        <v>1487</v>
      </c>
      <c r="C460" s="107" t="s">
        <v>14</v>
      </c>
      <c r="D460" t="s">
        <v>8</v>
      </c>
      <c r="E460">
        <f>SUM(E461:E465)</f>
        <v>1497875.7057615789</v>
      </c>
      <c r="F460">
        <f>SUM(F461:F465)</f>
        <v>944057.95495999977</v>
      </c>
      <c r="G460">
        <f>SUM(G461:G465)</f>
        <v>0</v>
      </c>
      <c r="H460">
        <f>SUM(H461:H465)</f>
        <v>553817.75080157898</v>
      </c>
      <c r="I460">
        <f>SUM(I461:I465)</f>
        <v>0</v>
      </c>
      <c r="J460" s="107" t="s">
        <v>1488</v>
      </c>
      <c r="K460" s="107" t="s">
        <v>1265</v>
      </c>
    </row>
    <row r="461" spans="1:11" x14ac:dyDescent="0.25">
      <c r="A461" s="107"/>
      <c r="B461" s="107"/>
      <c r="C461" s="107"/>
      <c r="D461">
        <v>2021</v>
      </c>
      <c r="E461">
        <f t="shared" ref="E461:E465" si="116">F461+H461</f>
        <v>277140.77270894736</v>
      </c>
      <c r="F461">
        <f t="shared" ref="F461:G465" si="117">F467+F473+F479+F485+F491+F497+F503</f>
        <v>249610.99896</v>
      </c>
      <c r="G461">
        <f>G467+G473+G479+G485+G491+G497+G503</f>
        <v>0</v>
      </c>
      <c r="H461">
        <f t="shared" ref="H461:H465" si="118">H467+H473+H479+H485+H491+H497+H503</f>
        <v>27529.77374894738</v>
      </c>
      <c r="I461">
        <f t="shared" ref="I461:I465" si="119">I467+I473+I479+I485+I491+I497</f>
        <v>0</v>
      </c>
      <c r="J461" s="107"/>
      <c r="K461" s="107"/>
    </row>
    <row r="462" spans="1:11" x14ac:dyDescent="0.25">
      <c r="A462" s="107"/>
      <c r="B462" s="107"/>
      <c r="C462" s="107"/>
      <c r="D462">
        <v>2022</v>
      </c>
      <c r="E462">
        <f t="shared" si="116"/>
        <v>578307.26</v>
      </c>
      <c r="F462">
        <f t="shared" si="117"/>
        <v>322136.67</v>
      </c>
      <c r="G462">
        <f t="shared" si="117"/>
        <v>0</v>
      </c>
      <c r="H462">
        <f t="shared" si="118"/>
        <v>256170.59</v>
      </c>
      <c r="I462">
        <f t="shared" si="119"/>
        <v>0</v>
      </c>
      <c r="J462" s="107"/>
      <c r="K462" s="107"/>
    </row>
    <row r="463" spans="1:11" x14ac:dyDescent="0.25">
      <c r="A463" s="107"/>
      <c r="B463" s="107"/>
      <c r="C463" s="107"/>
      <c r="D463">
        <v>2023</v>
      </c>
      <c r="E463">
        <f t="shared" si="116"/>
        <v>376679.18305263156</v>
      </c>
      <c r="F463">
        <f t="shared" si="117"/>
        <v>188509.37599999999</v>
      </c>
      <c r="G463">
        <f t="shared" si="117"/>
        <v>0</v>
      </c>
      <c r="H463">
        <f t="shared" si="118"/>
        <v>188169.8070526316</v>
      </c>
      <c r="I463">
        <f t="shared" si="119"/>
        <v>0</v>
      </c>
      <c r="J463" s="107"/>
      <c r="K463" s="107"/>
    </row>
    <row r="464" spans="1:11" x14ac:dyDescent="0.25">
      <c r="A464" s="107"/>
      <c r="B464" s="107"/>
      <c r="C464" s="107"/>
      <c r="D464">
        <v>2024</v>
      </c>
      <c r="E464">
        <f t="shared" si="116"/>
        <v>227234.58999999997</v>
      </c>
      <c r="F464">
        <f t="shared" si="117"/>
        <v>147212.71</v>
      </c>
      <c r="G464">
        <f t="shared" si="117"/>
        <v>0</v>
      </c>
      <c r="H464">
        <f t="shared" si="118"/>
        <v>80021.87999999999</v>
      </c>
      <c r="I464">
        <f t="shared" si="119"/>
        <v>0</v>
      </c>
      <c r="J464" s="107"/>
      <c r="K464" s="107"/>
    </row>
    <row r="465" spans="1:11" ht="41.25" customHeight="1" x14ac:dyDescent="0.25">
      <c r="A465" s="107"/>
      <c r="B465" s="107"/>
      <c r="C465" s="107"/>
      <c r="D465">
        <v>2025</v>
      </c>
      <c r="E465">
        <f t="shared" si="116"/>
        <v>38513.899999999994</v>
      </c>
      <c r="F465">
        <f t="shared" si="117"/>
        <v>36588.199999999997</v>
      </c>
      <c r="G465">
        <f t="shared" si="117"/>
        <v>0</v>
      </c>
      <c r="H465">
        <f t="shared" si="118"/>
        <v>1925.7</v>
      </c>
      <c r="I465">
        <f t="shared" si="119"/>
        <v>0</v>
      </c>
      <c r="J465" s="107"/>
      <c r="K465" s="107"/>
    </row>
    <row r="466" spans="1:11" x14ac:dyDescent="0.25">
      <c r="A466" s="107" t="s">
        <v>1489</v>
      </c>
      <c r="B466" s="107" t="s">
        <v>1490</v>
      </c>
      <c r="C466" s="107" t="s">
        <v>41</v>
      </c>
      <c r="D466" t="s">
        <v>8</v>
      </c>
      <c r="E466">
        <f>E467+E468+E469+E470+E471</f>
        <v>222707.79355789477</v>
      </c>
      <c r="F466">
        <f>F467+F468+F469+F470+F471</f>
        <v>211572.39688000001</v>
      </c>
      <c r="G466">
        <f>G467+G468+G469+G470+G471</f>
        <v>0</v>
      </c>
      <c r="H466">
        <f>H467+H468+H469+H470+H471</f>
        <v>11135.396677894736</v>
      </c>
      <c r="I466">
        <f>I467+I468+I469+I470+I471</f>
        <v>0</v>
      </c>
      <c r="J466" s="107" t="s">
        <v>1491</v>
      </c>
      <c r="K466" s="107" t="s">
        <v>1492</v>
      </c>
    </row>
    <row r="467" spans="1:11" x14ac:dyDescent="0.25">
      <c r="A467" s="107"/>
      <c r="B467" s="107"/>
      <c r="C467" s="107"/>
      <c r="D467">
        <v>2021</v>
      </c>
      <c r="E467">
        <f t="shared" ref="E467:E471" si="120">F467+H467</f>
        <v>24611.333557894737</v>
      </c>
      <c r="F467">
        <v>23380.766879999999</v>
      </c>
      <c r="G467">
        <v>0</v>
      </c>
      <c r="H467">
        <v>1230.5666778947368</v>
      </c>
      <c r="I467">
        <v>0</v>
      </c>
      <c r="J467" s="107"/>
      <c r="K467" s="107"/>
    </row>
    <row r="468" spans="1:11" x14ac:dyDescent="0.25">
      <c r="A468" s="107"/>
      <c r="B468" s="107"/>
      <c r="C468" s="107"/>
      <c r="D468">
        <v>2022</v>
      </c>
      <c r="E468">
        <f t="shared" si="120"/>
        <v>120922.6</v>
      </c>
      <c r="F468">
        <v>114876.47</v>
      </c>
      <c r="G468">
        <v>0</v>
      </c>
      <c r="H468">
        <v>6046.13</v>
      </c>
      <c r="I468">
        <v>0</v>
      </c>
      <c r="J468" s="107"/>
      <c r="K468" s="107"/>
    </row>
    <row r="469" spans="1:11" x14ac:dyDescent="0.25">
      <c r="A469" s="107"/>
      <c r="B469" s="107"/>
      <c r="C469" s="107"/>
      <c r="D469">
        <v>2023</v>
      </c>
      <c r="E469">
        <f t="shared" si="120"/>
        <v>37867.439999999995</v>
      </c>
      <c r="F469">
        <v>35974.06</v>
      </c>
      <c r="G469">
        <v>0</v>
      </c>
      <c r="H469">
        <v>1893.38</v>
      </c>
      <c r="I469">
        <v>0</v>
      </c>
      <c r="J469" s="107"/>
      <c r="K469" s="107"/>
    </row>
    <row r="470" spans="1:11" x14ac:dyDescent="0.25">
      <c r="A470" s="107"/>
      <c r="B470" s="107"/>
      <c r="C470" s="107"/>
      <c r="D470">
        <v>2024</v>
      </c>
      <c r="E470">
        <f t="shared" si="120"/>
        <v>39306.42</v>
      </c>
      <c r="F470">
        <v>37341.1</v>
      </c>
      <c r="G470">
        <v>0</v>
      </c>
      <c r="H470">
        <v>1965.32</v>
      </c>
      <c r="I470">
        <v>0</v>
      </c>
      <c r="J470" s="107"/>
      <c r="K470" s="107"/>
    </row>
    <row r="471" spans="1:11" x14ac:dyDescent="0.25">
      <c r="A471" s="107"/>
      <c r="B471" s="107"/>
      <c r="C471" s="107"/>
      <c r="D471">
        <v>2025</v>
      </c>
      <c r="E471">
        <f t="shared" si="120"/>
        <v>0</v>
      </c>
      <c r="F471">
        <v>0</v>
      </c>
      <c r="G471">
        <v>0</v>
      </c>
      <c r="H471">
        <v>0</v>
      </c>
      <c r="I471">
        <v>0</v>
      </c>
      <c r="J471" s="107"/>
      <c r="K471" s="107"/>
    </row>
    <row r="472" spans="1:11" x14ac:dyDescent="0.25">
      <c r="A472" s="107" t="s">
        <v>1493</v>
      </c>
      <c r="B472" s="107" t="s">
        <v>203</v>
      </c>
      <c r="C472" s="107" t="s">
        <v>41</v>
      </c>
      <c r="D472" t="s">
        <v>8</v>
      </c>
      <c r="E472">
        <f>E473+E474+E475+E476+E477</f>
        <v>160892.6</v>
      </c>
      <c r="F472">
        <f>F473+F474+F475+F476+F477</f>
        <v>152848</v>
      </c>
      <c r="G472">
        <f>G473+G474+G475+G476+G477</f>
        <v>0</v>
      </c>
      <c r="H472">
        <f>H473+H474+H475+H476+H477</f>
        <v>8044.6</v>
      </c>
      <c r="I472">
        <v>0</v>
      </c>
      <c r="J472" s="107" t="s">
        <v>1494</v>
      </c>
      <c r="K472" s="107" t="s">
        <v>1495</v>
      </c>
    </row>
    <row r="473" spans="1:11" x14ac:dyDescent="0.25">
      <c r="A473" s="107"/>
      <c r="B473" s="107"/>
      <c r="C473" s="107"/>
      <c r="D473">
        <v>2021</v>
      </c>
      <c r="E473">
        <f t="shared" ref="E473:E477" si="121">F473+H473</f>
        <v>45601.3</v>
      </c>
      <c r="F473">
        <v>43321.3</v>
      </c>
      <c r="G473">
        <v>0</v>
      </c>
      <c r="H473">
        <v>2280</v>
      </c>
      <c r="I473">
        <v>0</v>
      </c>
      <c r="J473" s="107"/>
      <c r="K473" s="107"/>
    </row>
    <row r="474" spans="1:11" ht="21" customHeight="1" x14ac:dyDescent="0.25">
      <c r="A474" s="107"/>
      <c r="B474" s="107"/>
      <c r="C474" s="107"/>
      <c r="D474">
        <v>2022</v>
      </c>
      <c r="E474">
        <f t="shared" si="121"/>
        <v>36708</v>
      </c>
      <c r="F474">
        <v>34872.6</v>
      </c>
      <c r="G474">
        <v>0</v>
      </c>
      <c r="H474">
        <v>1835.4</v>
      </c>
      <c r="I474">
        <v>0</v>
      </c>
      <c r="J474" s="107"/>
      <c r="K474" s="107"/>
    </row>
    <row r="475" spans="1:11" x14ac:dyDescent="0.25">
      <c r="A475" s="107"/>
      <c r="B475" s="107"/>
      <c r="C475" s="107"/>
      <c r="D475">
        <v>2023</v>
      </c>
      <c r="E475">
        <f t="shared" si="121"/>
        <v>54855.200000000004</v>
      </c>
      <c r="F475">
        <v>52112.4</v>
      </c>
      <c r="G475">
        <v>0</v>
      </c>
      <c r="H475">
        <v>2742.8</v>
      </c>
      <c r="I475">
        <v>0</v>
      </c>
      <c r="J475" s="107"/>
      <c r="K475" s="107"/>
    </row>
    <row r="476" spans="1:11" x14ac:dyDescent="0.25">
      <c r="A476" s="107"/>
      <c r="B476" s="107"/>
      <c r="C476" s="107"/>
      <c r="D476">
        <v>2024</v>
      </c>
      <c r="E476">
        <f t="shared" si="121"/>
        <v>23728.100000000002</v>
      </c>
      <c r="F476">
        <v>22541.7</v>
      </c>
      <c r="G476">
        <v>0</v>
      </c>
      <c r="H476">
        <v>1186.4000000000001</v>
      </c>
      <c r="I476">
        <v>0</v>
      </c>
      <c r="J476" s="107"/>
      <c r="K476" s="107"/>
    </row>
    <row r="477" spans="1:11" x14ac:dyDescent="0.25">
      <c r="A477" s="107"/>
      <c r="B477" s="107"/>
      <c r="C477" s="107"/>
      <c r="D477">
        <v>2025</v>
      </c>
      <c r="E477">
        <f t="shared" si="121"/>
        <v>0</v>
      </c>
      <c r="F477">
        <v>0</v>
      </c>
      <c r="G477">
        <v>0</v>
      </c>
      <c r="H477">
        <v>0</v>
      </c>
      <c r="I477">
        <v>0</v>
      </c>
      <c r="J477" s="107"/>
      <c r="K477" s="107"/>
    </row>
    <row r="478" spans="1:11" x14ac:dyDescent="0.25">
      <c r="A478" s="107" t="s">
        <v>1496</v>
      </c>
      <c r="B478" s="107" t="s">
        <v>282</v>
      </c>
      <c r="C478" s="107" t="s">
        <v>41</v>
      </c>
      <c r="D478" t="s">
        <v>8</v>
      </c>
      <c r="E478">
        <f>E479+E480+E481+E482+E483</f>
        <v>233144.51976</v>
      </c>
      <c r="F478">
        <f>F479+F480+F481+F482+F483</f>
        <v>221487.29577000003</v>
      </c>
      <c r="G478">
        <f>G479+G480+G481+G482+G483</f>
        <v>0</v>
      </c>
      <c r="H478">
        <f>H479+H480+H481+H482+H483</f>
        <v>11657.22399</v>
      </c>
      <c r="I478">
        <f>I479+I480+I481+I482+I483</f>
        <v>0</v>
      </c>
      <c r="J478" s="107" t="s">
        <v>1497</v>
      </c>
      <c r="K478" s="107" t="s">
        <v>1498</v>
      </c>
    </row>
    <row r="479" spans="1:11" x14ac:dyDescent="0.25">
      <c r="A479" s="107"/>
      <c r="B479" s="107"/>
      <c r="C479" s="107"/>
      <c r="D479">
        <v>2021</v>
      </c>
      <c r="E479">
        <f t="shared" ref="E479:E483" si="122">F479+H479</f>
        <v>5851.67976</v>
      </c>
      <c r="F479">
        <v>5559.0957699999999</v>
      </c>
      <c r="G479">
        <v>0</v>
      </c>
      <c r="H479">
        <v>292.58399000000009</v>
      </c>
      <c r="I479">
        <v>0</v>
      </c>
      <c r="J479" s="107"/>
      <c r="K479" s="107"/>
    </row>
    <row r="480" spans="1:11" ht="21" customHeight="1" x14ac:dyDescent="0.25">
      <c r="A480" s="107"/>
      <c r="B480" s="107"/>
      <c r="C480" s="107"/>
      <c r="D480">
        <v>2022</v>
      </c>
      <c r="E480">
        <f t="shared" si="122"/>
        <v>116432.74</v>
      </c>
      <c r="F480">
        <v>110611.1</v>
      </c>
      <c r="G480">
        <v>0</v>
      </c>
      <c r="H480">
        <v>5821.64</v>
      </c>
      <c r="I480">
        <v>0</v>
      </c>
      <c r="J480" s="107"/>
      <c r="K480" s="107"/>
    </row>
    <row r="481" spans="1:11" x14ac:dyDescent="0.25">
      <c r="A481" s="107"/>
      <c r="B481" s="107"/>
      <c r="C481" s="107"/>
      <c r="D481">
        <v>2023</v>
      </c>
      <c r="E481">
        <f t="shared" si="122"/>
        <v>57447.8</v>
      </c>
      <c r="F481">
        <v>54575.4</v>
      </c>
      <c r="G481">
        <v>0</v>
      </c>
      <c r="H481">
        <v>2872.4</v>
      </c>
      <c r="I481">
        <v>0</v>
      </c>
      <c r="J481" s="107"/>
      <c r="K481" s="107"/>
    </row>
    <row r="482" spans="1:11" x14ac:dyDescent="0.25">
      <c r="A482" s="107"/>
      <c r="B482" s="107"/>
      <c r="C482" s="107"/>
      <c r="D482">
        <v>2024</v>
      </c>
      <c r="E482">
        <f t="shared" si="122"/>
        <v>53412.299999999996</v>
      </c>
      <c r="F482">
        <v>50741.7</v>
      </c>
      <c r="G482">
        <v>0</v>
      </c>
      <c r="H482">
        <v>2670.6</v>
      </c>
      <c r="I482">
        <v>0</v>
      </c>
      <c r="J482" s="107"/>
      <c r="K482" s="107"/>
    </row>
    <row r="483" spans="1:11" x14ac:dyDescent="0.25">
      <c r="A483" s="107"/>
      <c r="B483" s="107"/>
      <c r="C483" s="107"/>
      <c r="D483">
        <v>2025</v>
      </c>
      <c r="E483">
        <f t="shared" si="122"/>
        <v>0</v>
      </c>
      <c r="F483">
        <v>0</v>
      </c>
      <c r="G483">
        <v>0</v>
      </c>
      <c r="H483">
        <v>0</v>
      </c>
      <c r="I483">
        <v>0</v>
      </c>
      <c r="J483" s="107"/>
      <c r="K483" s="107"/>
    </row>
    <row r="484" spans="1:11" x14ac:dyDescent="0.25">
      <c r="A484" s="107" t="s">
        <v>1499</v>
      </c>
      <c r="B484" s="107" t="s">
        <v>211</v>
      </c>
      <c r="C484" s="107" t="s">
        <v>124</v>
      </c>
      <c r="D484" t="s">
        <v>8</v>
      </c>
      <c r="E484">
        <f>E485+E486+E487+E488+E489</f>
        <v>67617.848421052637</v>
      </c>
      <c r="F484">
        <f>F485+F486+F487+F488+F489</f>
        <v>64236.911</v>
      </c>
      <c r="G484">
        <f>G485+G486+G487+G488+G489</f>
        <v>0</v>
      </c>
      <c r="H484">
        <f>H485+H486+H487+H488+H489</f>
        <v>3380.9374210526321</v>
      </c>
      <c r="I484">
        <v>0</v>
      </c>
      <c r="J484" s="107" t="s">
        <v>1500</v>
      </c>
      <c r="K484" s="107" t="s">
        <v>1501</v>
      </c>
    </row>
    <row r="485" spans="1:11" x14ac:dyDescent="0.25">
      <c r="A485" s="107"/>
      <c r="B485" s="107"/>
      <c r="C485" s="107"/>
      <c r="D485">
        <v>2021</v>
      </c>
      <c r="E485">
        <f t="shared" ref="E485:E489" si="123">F485+H485</f>
        <v>35314.748421052631</v>
      </c>
      <c r="F485">
        <v>33549.010999999999</v>
      </c>
      <c r="G485">
        <v>0</v>
      </c>
      <c r="H485">
        <v>1765.7374210526323</v>
      </c>
      <c r="I485">
        <v>0</v>
      </c>
      <c r="J485" s="107"/>
      <c r="K485" s="107"/>
    </row>
    <row r="486" spans="1:11" x14ac:dyDescent="0.25">
      <c r="A486" s="107"/>
      <c r="B486" s="107"/>
      <c r="C486" s="107"/>
      <c r="D486">
        <v>2022</v>
      </c>
      <c r="E486">
        <f t="shared" si="123"/>
        <v>32303.100000000002</v>
      </c>
      <c r="F486">
        <v>30687.9</v>
      </c>
      <c r="G486">
        <v>0</v>
      </c>
      <c r="H486">
        <v>1615.2</v>
      </c>
      <c r="I486">
        <v>0</v>
      </c>
      <c r="J486" s="107"/>
      <c r="K486" s="107"/>
    </row>
    <row r="487" spans="1:11" x14ac:dyDescent="0.25">
      <c r="A487" s="107"/>
      <c r="B487" s="107"/>
      <c r="C487" s="107"/>
      <c r="D487">
        <v>2023</v>
      </c>
      <c r="E487">
        <f t="shared" si="123"/>
        <v>0</v>
      </c>
      <c r="F487">
        <v>0</v>
      </c>
      <c r="G487">
        <v>0</v>
      </c>
      <c r="H487">
        <v>0</v>
      </c>
      <c r="I487">
        <v>0</v>
      </c>
      <c r="J487" s="107"/>
      <c r="K487" s="107"/>
    </row>
    <row r="488" spans="1:11" x14ac:dyDescent="0.25">
      <c r="A488" s="107"/>
      <c r="B488" s="107"/>
      <c r="C488" s="107"/>
      <c r="D488">
        <v>2024</v>
      </c>
      <c r="E488">
        <f t="shared" si="123"/>
        <v>0</v>
      </c>
      <c r="F488">
        <v>0</v>
      </c>
      <c r="G488">
        <v>0</v>
      </c>
      <c r="H488">
        <v>0</v>
      </c>
      <c r="I488">
        <v>0</v>
      </c>
      <c r="J488" s="107"/>
      <c r="K488" s="107"/>
    </row>
    <row r="489" spans="1:11" x14ac:dyDescent="0.25">
      <c r="A489" s="107"/>
      <c r="B489" s="107"/>
      <c r="C489" s="107"/>
      <c r="D489">
        <v>2025</v>
      </c>
      <c r="E489">
        <f t="shared" si="123"/>
        <v>0</v>
      </c>
      <c r="F489">
        <v>0</v>
      </c>
      <c r="G489">
        <v>0</v>
      </c>
      <c r="H489">
        <v>0</v>
      </c>
      <c r="I489">
        <v>0</v>
      </c>
      <c r="J489" s="107"/>
      <c r="K489" s="107"/>
    </row>
    <row r="490" spans="1:11" x14ac:dyDescent="0.25">
      <c r="A490" s="107" t="s">
        <v>1502</v>
      </c>
      <c r="B490" s="107" t="s">
        <v>1503</v>
      </c>
      <c r="C490" s="107" t="s">
        <v>14</v>
      </c>
      <c r="D490" t="s">
        <v>8</v>
      </c>
      <c r="E490">
        <f>E491+E492+E493+E494+E495</f>
        <v>211702.72200263158</v>
      </c>
      <c r="F490">
        <f>F491+F492+F493+F494+F495</f>
        <v>201117.62599999999</v>
      </c>
      <c r="G490">
        <f t="shared" ref="G490:G495" si="124">G491+G492+G493+G494+G495</f>
        <v>0</v>
      </c>
      <c r="H490">
        <f>H491+H492+H493+H494+H495</f>
        <v>10585.096002631581</v>
      </c>
      <c r="I490">
        <f>I491+I492+I493+I494+I495</f>
        <v>0</v>
      </c>
      <c r="J490" s="107" t="s">
        <v>1504</v>
      </c>
      <c r="K490" s="107" t="s">
        <v>1505</v>
      </c>
    </row>
    <row r="491" spans="1:11" x14ac:dyDescent="0.25">
      <c r="A491" s="107"/>
      <c r="B491" s="107"/>
      <c r="C491" s="107"/>
      <c r="D491">
        <v>2021</v>
      </c>
      <c r="E491">
        <f t="shared" ref="E491:E495" si="125">F491+H491</f>
        <v>53689.578949999996</v>
      </c>
      <c r="F491">
        <v>51005.1</v>
      </c>
      <c r="G491">
        <f t="shared" si="124"/>
        <v>0</v>
      </c>
      <c r="H491">
        <v>2684.4789500000002</v>
      </c>
      <c r="I491">
        <v>0</v>
      </c>
      <c r="J491" s="107"/>
      <c r="K491" s="107"/>
    </row>
    <row r="492" spans="1:11" x14ac:dyDescent="0.25">
      <c r="A492" s="107"/>
      <c r="B492" s="107"/>
      <c r="C492" s="107"/>
      <c r="D492">
        <v>2022</v>
      </c>
      <c r="E492">
        <f t="shared" si="125"/>
        <v>32724.799999999999</v>
      </c>
      <c r="F492">
        <v>31088.6</v>
      </c>
      <c r="G492">
        <f t="shared" si="124"/>
        <v>0</v>
      </c>
      <c r="H492">
        <v>1636.2</v>
      </c>
      <c r="I492">
        <v>0</v>
      </c>
      <c r="J492" s="107"/>
      <c r="K492" s="107"/>
    </row>
    <row r="493" spans="1:11" x14ac:dyDescent="0.25">
      <c r="A493" s="107"/>
      <c r="B493" s="107"/>
      <c r="C493" s="107"/>
      <c r="D493">
        <v>2023</v>
      </c>
      <c r="E493">
        <f t="shared" si="125"/>
        <v>48260.543052631583</v>
      </c>
      <c r="F493">
        <v>45847.516000000003</v>
      </c>
      <c r="G493">
        <f t="shared" si="124"/>
        <v>0</v>
      </c>
      <c r="H493">
        <v>2413.0270526315799</v>
      </c>
      <c r="I493">
        <v>0</v>
      </c>
      <c r="J493" s="107"/>
      <c r="K493" s="107"/>
    </row>
    <row r="494" spans="1:11" x14ac:dyDescent="0.25">
      <c r="A494" s="107"/>
      <c r="B494" s="107"/>
      <c r="C494" s="107"/>
      <c r="D494">
        <v>2024</v>
      </c>
      <c r="E494">
        <f t="shared" si="125"/>
        <v>38513.9</v>
      </c>
      <c r="F494">
        <v>36588.21</v>
      </c>
      <c r="G494">
        <f t="shared" si="124"/>
        <v>0</v>
      </c>
      <c r="H494">
        <v>1925.69</v>
      </c>
      <c r="I494">
        <v>0</v>
      </c>
      <c r="J494" s="107"/>
      <c r="K494" s="107"/>
    </row>
    <row r="495" spans="1:11" x14ac:dyDescent="0.25">
      <c r="A495" s="107"/>
      <c r="B495" s="107"/>
      <c r="C495" s="107"/>
      <c r="D495">
        <v>2025</v>
      </c>
      <c r="E495">
        <f t="shared" si="125"/>
        <v>38513.899999999994</v>
      </c>
      <c r="F495">
        <v>36588.199999999997</v>
      </c>
      <c r="G495">
        <f t="shared" si="124"/>
        <v>0</v>
      </c>
      <c r="H495">
        <v>1925.7</v>
      </c>
      <c r="I495">
        <v>0</v>
      </c>
      <c r="J495" s="107"/>
      <c r="K495" s="107"/>
    </row>
    <row r="496" spans="1:11" x14ac:dyDescent="0.25">
      <c r="A496" s="107" t="s">
        <v>1506</v>
      </c>
      <c r="B496" s="107" t="s">
        <v>1507</v>
      </c>
      <c r="C496" s="107">
        <v>2021</v>
      </c>
      <c r="D496" t="s">
        <v>8</v>
      </c>
      <c r="E496">
        <f t="shared" ref="E496:E507" si="126">SUM(F496:I496)</f>
        <v>112072.13202</v>
      </c>
      <c r="F496">
        <f>F497</f>
        <v>92795.725309999994</v>
      </c>
      <c r="G496">
        <f>G497</f>
        <v>0</v>
      </c>
      <c r="H496">
        <f>H497</f>
        <v>19276.40671000001</v>
      </c>
      <c r="I496">
        <f>SUM(I497:I501)</f>
        <v>0</v>
      </c>
      <c r="J496" s="107" t="s">
        <v>1508</v>
      </c>
      <c r="K496" s="107" t="s">
        <v>1509</v>
      </c>
    </row>
    <row r="497" spans="1:11" x14ac:dyDescent="0.25">
      <c r="A497" s="107"/>
      <c r="B497" s="107"/>
      <c r="C497" s="107"/>
      <c r="D497">
        <v>2021</v>
      </c>
      <c r="E497">
        <f t="shared" si="126"/>
        <v>112072.13202</v>
      </c>
      <c r="F497">
        <v>92795.725309999994</v>
      </c>
      <c r="G497">
        <v>0</v>
      </c>
      <c r="H497">
        <v>19276.40671000001</v>
      </c>
      <c r="I497">
        <v>0</v>
      </c>
      <c r="J497" s="107"/>
      <c r="K497" s="107"/>
    </row>
    <row r="498" spans="1:11" x14ac:dyDescent="0.25">
      <c r="A498" s="107"/>
      <c r="B498" s="107"/>
      <c r="C498" s="107"/>
      <c r="D498">
        <v>2022</v>
      </c>
      <c r="E498">
        <f t="shared" si="126"/>
        <v>0</v>
      </c>
      <c r="F498">
        <v>0</v>
      </c>
      <c r="G498">
        <v>0</v>
      </c>
      <c r="H498">
        <v>0</v>
      </c>
      <c r="I498">
        <v>0</v>
      </c>
      <c r="J498" s="107"/>
      <c r="K498" s="107"/>
    </row>
    <row r="499" spans="1:11" x14ac:dyDescent="0.25">
      <c r="A499" s="107"/>
      <c r="B499" s="107"/>
      <c r="C499" s="107"/>
      <c r="D499">
        <v>2023</v>
      </c>
      <c r="E499">
        <f t="shared" si="126"/>
        <v>0</v>
      </c>
      <c r="F499">
        <v>0</v>
      </c>
      <c r="G499">
        <v>0</v>
      </c>
      <c r="H499">
        <v>0</v>
      </c>
      <c r="I499">
        <v>0</v>
      </c>
      <c r="J499" s="107"/>
      <c r="K499" s="107"/>
    </row>
    <row r="500" spans="1:11" x14ac:dyDescent="0.25">
      <c r="A500" s="107"/>
      <c r="B500" s="107"/>
      <c r="C500" s="107"/>
      <c r="D500">
        <v>2024</v>
      </c>
      <c r="E500">
        <f t="shared" si="126"/>
        <v>0</v>
      </c>
      <c r="F500">
        <v>0</v>
      </c>
      <c r="G500">
        <v>0</v>
      </c>
      <c r="H500">
        <v>0</v>
      </c>
      <c r="I500">
        <v>0</v>
      </c>
      <c r="J500" s="107"/>
      <c r="K500" s="107"/>
    </row>
    <row r="501" spans="1:11" x14ac:dyDescent="0.25">
      <c r="A501" s="107"/>
      <c r="B501" s="107"/>
      <c r="C501" s="107"/>
      <c r="D501">
        <v>2025</v>
      </c>
      <c r="E501">
        <f t="shared" si="126"/>
        <v>0</v>
      </c>
      <c r="F501">
        <v>0</v>
      </c>
      <c r="G501">
        <v>0</v>
      </c>
      <c r="H501">
        <v>0</v>
      </c>
      <c r="I501">
        <v>0</v>
      </c>
      <c r="J501" s="107"/>
      <c r="K501" s="107"/>
    </row>
    <row r="502" spans="1:11" x14ac:dyDescent="0.25">
      <c r="A502" s="107" t="s">
        <v>1510</v>
      </c>
      <c r="B502" s="107" t="s">
        <v>1511</v>
      </c>
      <c r="C502" s="107" t="s">
        <v>1332</v>
      </c>
      <c r="D502" t="s">
        <v>8</v>
      </c>
      <c r="E502">
        <f t="shared" si="126"/>
        <v>489738.08999999997</v>
      </c>
      <c r="F502">
        <f>SUM(F503:F507)</f>
        <v>0</v>
      </c>
      <c r="G502">
        <f>SUM(G503:G507)</f>
        <v>0</v>
      </c>
      <c r="H502">
        <f>SUM(H503:H507)</f>
        <v>489738.08999999997</v>
      </c>
      <c r="I502">
        <f>SUM(I503:I507)</f>
        <v>0</v>
      </c>
      <c r="J502" s="107" t="s">
        <v>1512</v>
      </c>
      <c r="K502" s="107" t="s">
        <v>1513</v>
      </c>
    </row>
    <row r="503" spans="1:11" x14ac:dyDescent="0.25">
      <c r="A503" s="107"/>
      <c r="B503" s="107"/>
      <c r="C503" s="107"/>
      <c r="D503">
        <v>2021</v>
      </c>
      <c r="E503">
        <f t="shared" si="126"/>
        <v>0</v>
      </c>
      <c r="F503">
        <v>0</v>
      </c>
      <c r="G503">
        <v>0</v>
      </c>
      <c r="H503">
        <v>0</v>
      </c>
      <c r="I503">
        <v>0</v>
      </c>
      <c r="J503" s="107"/>
      <c r="K503" s="107"/>
    </row>
    <row r="504" spans="1:11" x14ac:dyDescent="0.25">
      <c r="A504" s="107"/>
      <c r="B504" s="107"/>
      <c r="C504" s="107"/>
      <c r="D504">
        <v>2022</v>
      </c>
      <c r="E504">
        <f t="shared" si="126"/>
        <v>239216.02</v>
      </c>
      <c r="F504">
        <v>0</v>
      </c>
      <c r="G504">
        <v>0</v>
      </c>
      <c r="H504">
        <v>239216.02</v>
      </c>
      <c r="I504">
        <v>0</v>
      </c>
      <c r="J504" s="107"/>
      <c r="K504" s="107"/>
    </row>
    <row r="505" spans="1:11" x14ac:dyDescent="0.25">
      <c r="A505" s="107"/>
      <c r="B505" s="107"/>
      <c r="C505" s="107"/>
      <c r="D505">
        <v>2023</v>
      </c>
      <c r="E505">
        <f t="shared" si="126"/>
        <v>178248.2</v>
      </c>
      <c r="F505">
        <v>0</v>
      </c>
      <c r="G505">
        <v>0</v>
      </c>
      <c r="H505">
        <v>178248.2</v>
      </c>
      <c r="I505">
        <v>0</v>
      </c>
      <c r="J505" s="107"/>
      <c r="K505" s="107"/>
    </row>
    <row r="506" spans="1:11" x14ac:dyDescent="0.25">
      <c r="A506" s="107"/>
      <c r="B506" s="107"/>
      <c r="C506" s="107"/>
      <c r="D506">
        <v>2024</v>
      </c>
      <c r="E506">
        <f t="shared" si="126"/>
        <v>72273.87</v>
      </c>
      <c r="F506">
        <v>0</v>
      </c>
      <c r="G506">
        <v>0</v>
      </c>
      <c r="H506">
        <v>72273.87</v>
      </c>
      <c r="I506">
        <v>0</v>
      </c>
      <c r="J506" s="107"/>
      <c r="K506" s="107"/>
    </row>
    <row r="507" spans="1:11" x14ac:dyDescent="0.25">
      <c r="A507" s="107"/>
      <c r="B507" s="107"/>
      <c r="C507" s="107"/>
      <c r="D507">
        <v>2025</v>
      </c>
      <c r="E507">
        <f t="shared" si="126"/>
        <v>0</v>
      </c>
      <c r="F507">
        <v>0</v>
      </c>
      <c r="G507">
        <v>0</v>
      </c>
      <c r="H507">
        <v>0</v>
      </c>
      <c r="I507">
        <v>0</v>
      </c>
      <c r="J507" s="107"/>
      <c r="K507" s="107"/>
    </row>
    <row r="508" spans="1:11" x14ac:dyDescent="0.25">
      <c r="A508" s="107" t="s">
        <v>1514</v>
      </c>
      <c r="B508" s="107" t="s">
        <v>1515</v>
      </c>
      <c r="C508" s="107" t="s">
        <v>1125</v>
      </c>
      <c r="D508" t="s">
        <v>8</v>
      </c>
      <c r="E508">
        <f>E509+E510+E511+E512+E513</f>
        <v>120831.69915</v>
      </c>
      <c r="F508">
        <f>F509+F510+F511+F512+F513</f>
        <v>120831.69915</v>
      </c>
      <c r="G508">
        <f>G509+G510+G511+G512+G513</f>
        <v>0</v>
      </c>
      <c r="H508">
        <f>H509+H510+H511+H512+H513</f>
        <v>0</v>
      </c>
      <c r="I508">
        <f>I509+I510+I511+I512+I513</f>
        <v>0</v>
      </c>
      <c r="J508" s="107" t="s">
        <v>1516</v>
      </c>
      <c r="K508" s="107" t="s">
        <v>1517</v>
      </c>
    </row>
    <row r="509" spans="1:11" x14ac:dyDescent="0.25">
      <c r="A509" s="107"/>
      <c r="B509" s="107"/>
      <c r="C509" s="107"/>
      <c r="D509">
        <v>2021</v>
      </c>
      <c r="E509">
        <f t="shared" ref="E509:E513" si="127">F509+G509+H509+I509</f>
        <v>0</v>
      </c>
      <c r="F509">
        <v>0</v>
      </c>
      <c r="G509">
        <v>0</v>
      </c>
      <c r="H509">
        <v>0</v>
      </c>
      <c r="I509">
        <v>0</v>
      </c>
      <c r="J509" s="107"/>
      <c r="K509" s="107"/>
    </row>
    <row r="510" spans="1:11" x14ac:dyDescent="0.25">
      <c r="A510" s="107"/>
      <c r="B510" s="107"/>
      <c r="C510" s="107"/>
      <c r="D510">
        <v>2022</v>
      </c>
      <c r="E510">
        <f t="shared" si="127"/>
        <v>0</v>
      </c>
      <c r="F510">
        <v>0</v>
      </c>
      <c r="G510">
        <v>0</v>
      </c>
      <c r="H510">
        <v>0</v>
      </c>
      <c r="I510">
        <v>0</v>
      </c>
      <c r="J510" s="107"/>
      <c r="K510" s="107"/>
    </row>
    <row r="511" spans="1:11" x14ac:dyDescent="0.25">
      <c r="A511" s="107"/>
      <c r="B511" s="107"/>
      <c r="C511" s="107"/>
      <c r="D511">
        <v>2023</v>
      </c>
      <c r="E511">
        <f t="shared" si="127"/>
        <v>57572.633150000001</v>
      </c>
      <c r="F511">
        <f t="shared" ref="F511:F513" si="128">F517</f>
        <v>57572.633150000001</v>
      </c>
      <c r="G511">
        <v>0</v>
      </c>
      <c r="H511">
        <v>0</v>
      </c>
      <c r="I511">
        <v>0</v>
      </c>
      <c r="J511" s="107"/>
      <c r="K511" s="107"/>
    </row>
    <row r="512" spans="1:11" x14ac:dyDescent="0.25">
      <c r="A512" s="107"/>
      <c r="B512" s="107"/>
      <c r="C512" s="107"/>
      <c r="D512">
        <v>2024</v>
      </c>
      <c r="E512">
        <f t="shared" si="127"/>
        <v>31629.532999999999</v>
      </c>
      <c r="F512">
        <f t="shared" si="128"/>
        <v>31629.532999999999</v>
      </c>
      <c r="G512">
        <v>0</v>
      </c>
      <c r="H512">
        <v>0</v>
      </c>
      <c r="I512">
        <v>0</v>
      </c>
      <c r="J512" s="107"/>
      <c r="K512" s="107"/>
    </row>
    <row r="513" spans="1:11" x14ac:dyDescent="0.25">
      <c r="A513" s="107"/>
      <c r="B513" s="107"/>
      <c r="C513" s="107"/>
      <c r="D513">
        <v>2025</v>
      </c>
      <c r="E513">
        <f t="shared" si="127"/>
        <v>31629.532999999999</v>
      </c>
      <c r="F513">
        <f t="shared" si="128"/>
        <v>31629.532999999999</v>
      </c>
      <c r="G513">
        <v>0</v>
      </c>
      <c r="H513">
        <v>0</v>
      </c>
      <c r="I513">
        <v>0</v>
      </c>
      <c r="J513" s="107"/>
      <c r="K513" s="107"/>
    </row>
    <row r="514" spans="1:11" ht="19.5" customHeight="1" x14ac:dyDescent="0.25">
      <c r="A514" s="107" t="s">
        <v>1518</v>
      </c>
      <c r="B514" s="107" t="s">
        <v>1519</v>
      </c>
      <c r="C514" s="107" t="s">
        <v>1125</v>
      </c>
      <c r="D514" t="s">
        <v>8</v>
      </c>
      <c r="E514">
        <f>E515+E516+E517+E518+E519</f>
        <v>120831.69915</v>
      </c>
      <c r="F514">
        <f>F515+F516+F517+F518+F519</f>
        <v>120831.69915</v>
      </c>
      <c r="G514">
        <f>G515+G516+G517+G518+G519</f>
        <v>0</v>
      </c>
      <c r="H514">
        <f>H515+H516+H517+H518+H519</f>
        <v>0</v>
      </c>
      <c r="I514">
        <f>I515+I516+I517+I518+I519</f>
        <v>0</v>
      </c>
      <c r="J514" s="107" t="s">
        <v>1520</v>
      </c>
      <c r="K514" s="107" t="s">
        <v>1517</v>
      </c>
    </row>
    <row r="515" spans="1:11" x14ac:dyDescent="0.25">
      <c r="A515" s="107"/>
      <c r="B515" s="107"/>
      <c r="C515" s="107"/>
      <c r="D515">
        <v>2021</v>
      </c>
      <c r="E515">
        <f t="shared" ref="E515:E519" si="129">F515+G515+H515+I515</f>
        <v>0</v>
      </c>
      <c r="F515">
        <v>0</v>
      </c>
      <c r="G515">
        <v>0</v>
      </c>
      <c r="H515">
        <v>0</v>
      </c>
      <c r="I515">
        <v>0</v>
      </c>
      <c r="J515" s="107"/>
      <c r="K515" s="107"/>
    </row>
    <row r="516" spans="1:11" x14ac:dyDescent="0.25">
      <c r="A516" s="107"/>
      <c r="B516" s="107"/>
      <c r="C516" s="107"/>
      <c r="D516">
        <v>2022</v>
      </c>
      <c r="E516">
        <f t="shared" si="129"/>
        <v>0</v>
      </c>
      <c r="F516">
        <v>0</v>
      </c>
      <c r="G516">
        <v>0</v>
      </c>
      <c r="H516">
        <v>0</v>
      </c>
      <c r="I516">
        <v>0</v>
      </c>
      <c r="J516" s="107"/>
      <c r="K516" s="107"/>
    </row>
    <row r="517" spans="1:11" x14ac:dyDescent="0.25">
      <c r="A517" s="107"/>
      <c r="B517" s="107"/>
      <c r="C517" s="107"/>
      <c r="D517">
        <v>2023</v>
      </c>
      <c r="E517">
        <f t="shared" si="129"/>
        <v>57572.633150000001</v>
      </c>
      <c r="F517">
        <v>57572.633150000001</v>
      </c>
      <c r="G517">
        <v>0</v>
      </c>
      <c r="H517">
        <v>0</v>
      </c>
      <c r="I517">
        <v>0</v>
      </c>
      <c r="J517" s="107"/>
      <c r="K517" s="107"/>
    </row>
    <row r="518" spans="1:11" x14ac:dyDescent="0.25">
      <c r="A518" s="107"/>
      <c r="B518" s="107"/>
      <c r="C518" s="107"/>
      <c r="D518">
        <v>2024</v>
      </c>
      <c r="E518">
        <f t="shared" si="129"/>
        <v>31629.532999999999</v>
      </c>
      <c r="F518">
        <v>31629.532999999999</v>
      </c>
      <c r="G518">
        <v>0</v>
      </c>
      <c r="H518">
        <v>0</v>
      </c>
      <c r="I518">
        <v>0</v>
      </c>
      <c r="J518" s="107"/>
      <c r="K518" s="107"/>
    </row>
    <row r="519" spans="1:11" x14ac:dyDescent="0.25">
      <c r="A519" s="107"/>
      <c r="B519" s="107"/>
      <c r="C519" s="107"/>
      <c r="D519">
        <v>2025</v>
      </c>
      <c r="E519">
        <f t="shared" si="129"/>
        <v>31629.532999999999</v>
      </c>
      <c r="F519">
        <v>31629.532999999999</v>
      </c>
      <c r="G519">
        <v>0</v>
      </c>
      <c r="H519">
        <v>0</v>
      </c>
      <c r="I519">
        <v>0</v>
      </c>
      <c r="J519" s="107"/>
      <c r="K519" s="107"/>
    </row>
    <row r="520" spans="1:11" x14ac:dyDescent="0.25">
      <c r="A520" s="107" t="s">
        <v>1521</v>
      </c>
      <c r="B520" s="107" t="s">
        <v>1522</v>
      </c>
      <c r="C520" s="107" t="s">
        <v>14</v>
      </c>
      <c r="D520" t="s">
        <v>8</v>
      </c>
      <c r="E520">
        <f>SUM(E521:E525)</f>
        <v>147855.52175000001</v>
      </c>
      <c r="F520">
        <f>SUM(F521:F525)</f>
        <v>116249.02175000001</v>
      </c>
      <c r="G520">
        <f>SUM(G521:G525)</f>
        <v>0</v>
      </c>
      <c r="H520">
        <f>SUM(H521:H525)</f>
        <v>17572.559999999998</v>
      </c>
      <c r="I520">
        <f>SUM(I521:I525)</f>
        <v>14033.94</v>
      </c>
      <c r="J520" s="107" t="s">
        <v>1523</v>
      </c>
      <c r="K520" s="107" t="s">
        <v>1265</v>
      </c>
    </row>
    <row r="521" spans="1:11" x14ac:dyDescent="0.25">
      <c r="A521" s="107"/>
      <c r="B521" s="107"/>
      <c r="C521" s="107"/>
      <c r="D521">
        <v>2021</v>
      </c>
      <c r="E521">
        <f t="shared" ref="E521:E525" si="130">SUM(F521:I521)</f>
        <v>18268.900000000001</v>
      </c>
      <c r="F521">
        <f t="shared" ref="F521:I525" si="131">F527+F533</f>
        <v>16520.400000000001</v>
      </c>
      <c r="G521">
        <f t="shared" ref="G521:I521" si="132">G527+G533</f>
        <v>0</v>
      </c>
      <c r="H521">
        <f t="shared" si="132"/>
        <v>1748.5</v>
      </c>
      <c r="I521">
        <f t="shared" si="132"/>
        <v>0</v>
      </c>
      <c r="J521" s="107"/>
      <c r="K521" s="107"/>
    </row>
    <row r="522" spans="1:11" x14ac:dyDescent="0.25">
      <c r="A522" s="107"/>
      <c r="B522" s="107"/>
      <c r="C522" s="107"/>
      <c r="D522">
        <v>2022</v>
      </c>
      <c r="E522">
        <f t="shared" si="130"/>
        <v>129586.62175000001</v>
      </c>
      <c r="F522">
        <f t="shared" si="131"/>
        <v>99728.621750000006</v>
      </c>
      <c r="G522">
        <f t="shared" si="131"/>
        <v>0</v>
      </c>
      <c r="H522">
        <f t="shared" si="131"/>
        <v>15824.06</v>
      </c>
      <c r="I522">
        <f t="shared" si="131"/>
        <v>14033.94</v>
      </c>
      <c r="J522" s="107"/>
      <c r="K522" s="107"/>
    </row>
    <row r="523" spans="1:11" x14ac:dyDescent="0.25">
      <c r="A523" s="107"/>
      <c r="B523" s="107"/>
      <c r="C523" s="107"/>
      <c r="D523">
        <v>2023</v>
      </c>
      <c r="E523">
        <f t="shared" si="130"/>
        <v>0</v>
      </c>
      <c r="F523">
        <f t="shared" si="131"/>
        <v>0</v>
      </c>
      <c r="G523">
        <f t="shared" si="131"/>
        <v>0</v>
      </c>
      <c r="H523">
        <f t="shared" si="131"/>
        <v>0</v>
      </c>
      <c r="I523">
        <f t="shared" si="131"/>
        <v>0</v>
      </c>
      <c r="J523" s="107"/>
      <c r="K523" s="107"/>
    </row>
    <row r="524" spans="1:11" x14ac:dyDescent="0.25">
      <c r="A524" s="107"/>
      <c r="B524" s="107"/>
      <c r="C524" s="107"/>
      <c r="D524">
        <v>2024</v>
      </c>
      <c r="E524">
        <f t="shared" si="130"/>
        <v>0</v>
      </c>
      <c r="F524">
        <f t="shared" si="131"/>
        <v>0</v>
      </c>
      <c r="G524">
        <f t="shared" si="131"/>
        <v>0</v>
      </c>
      <c r="H524">
        <f t="shared" si="131"/>
        <v>0</v>
      </c>
      <c r="I524">
        <f t="shared" si="131"/>
        <v>0</v>
      </c>
      <c r="J524" s="107"/>
      <c r="K524" s="107"/>
    </row>
    <row r="525" spans="1:11" x14ac:dyDescent="0.25">
      <c r="A525" s="107"/>
      <c r="B525" s="107"/>
      <c r="C525" s="107"/>
      <c r="D525">
        <v>2025</v>
      </c>
      <c r="E525">
        <f t="shared" si="130"/>
        <v>0</v>
      </c>
      <c r="F525">
        <f t="shared" si="131"/>
        <v>0</v>
      </c>
      <c r="G525">
        <f t="shared" si="131"/>
        <v>0</v>
      </c>
      <c r="H525">
        <f t="shared" si="131"/>
        <v>0</v>
      </c>
      <c r="I525">
        <f t="shared" si="131"/>
        <v>0</v>
      </c>
      <c r="J525" s="107"/>
      <c r="K525" s="107"/>
    </row>
    <row r="526" spans="1:11" x14ac:dyDescent="0.25">
      <c r="A526" s="107" t="s">
        <v>1524</v>
      </c>
      <c r="B526" s="107" t="s">
        <v>1525</v>
      </c>
      <c r="C526" s="107" t="s">
        <v>14</v>
      </c>
      <c r="D526" t="s">
        <v>8</v>
      </c>
      <c r="E526">
        <f>SUM(E527:E531)</f>
        <v>18268.900000000001</v>
      </c>
      <c r="F526">
        <f>SUM(F527:F531)</f>
        <v>16520.400000000001</v>
      </c>
      <c r="G526">
        <f>SUM(G527:G531)</f>
        <v>0</v>
      </c>
      <c r="H526">
        <f>SUM(H527:H531)</f>
        <v>1748.5</v>
      </c>
      <c r="I526">
        <f>SUM(I527:I531)</f>
        <v>0</v>
      </c>
      <c r="J526" s="107" t="s">
        <v>1526</v>
      </c>
      <c r="K526" s="107" t="s">
        <v>1265</v>
      </c>
    </row>
    <row r="527" spans="1:11" x14ac:dyDescent="0.25">
      <c r="A527" s="107"/>
      <c r="B527" s="107"/>
      <c r="C527" s="107"/>
      <c r="D527">
        <v>2021</v>
      </c>
      <c r="E527">
        <f t="shared" ref="E527:E531" si="133">SUM(F527:I527)</f>
        <v>18268.900000000001</v>
      </c>
      <c r="F527">
        <v>16520.400000000001</v>
      </c>
      <c r="G527">
        <v>0</v>
      </c>
      <c r="H527">
        <v>1748.5</v>
      </c>
      <c r="I527">
        <v>0</v>
      </c>
      <c r="J527" s="107"/>
      <c r="K527" s="107"/>
    </row>
    <row r="528" spans="1:11" x14ac:dyDescent="0.25">
      <c r="A528" s="107"/>
      <c r="B528" s="107"/>
      <c r="C528" s="107"/>
      <c r="D528">
        <v>2022</v>
      </c>
      <c r="E528">
        <f t="shared" si="133"/>
        <v>0</v>
      </c>
      <c r="F528">
        <v>0</v>
      </c>
      <c r="G528">
        <v>0</v>
      </c>
      <c r="H528">
        <v>0</v>
      </c>
      <c r="I528">
        <v>0</v>
      </c>
      <c r="J528" s="107"/>
      <c r="K528" s="107"/>
    </row>
    <row r="529" spans="1:18" x14ac:dyDescent="0.25">
      <c r="A529" s="107"/>
      <c r="B529" s="107"/>
      <c r="C529" s="107"/>
      <c r="D529">
        <v>2023</v>
      </c>
      <c r="E529">
        <f t="shared" si="133"/>
        <v>0</v>
      </c>
      <c r="F529">
        <v>0</v>
      </c>
      <c r="G529">
        <v>0</v>
      </c>
      <c r="H529">
        <v>0</v>
      </c>
      <c r="I529">
        <v>0</v>
      </c>
      <c r="J529" s="107"/>
      <c r="K529" s="107"/>
    </row>
    <row r="530" spans="1:18" x14ac:dyDescent="0.25">
      <c r="A530" s="107"/>
      <c r="B530" s="107"/>
      <c r="C530" s="107"/>
      <c r="D530">
        <v>2024</v>
      </c>
      <c r="E530">
        <f t="shared" si="133"/>
        <v>0</v>
      </c>
      <c r="F530">
        <v>0</v>
      </c>
      <c r="G530">
        <v>0</v>
      </c>
      <c r="H530">
        <v>0</v>
      </c>
      <c r="I530">
        <v>0</v>
      </c>
      <c r="J530" s="107"/>
      <c r="K530" s="107"/>
    </row>
    <row r="531" spans="1:18" x14ac:dyDescent="0.25">
      <c r="A531" s="107"/>
      <c r="B531" s="107"/>
      <c r="C531" s="107"/>
      <c r="D531">
        <v>2025</v>
      </c>
      <c r="E531">
        <f t="shared" si="133"/>
        <v>0</v>
      </c>
      <c r="F531">
        <v>0</v>
      </c>
      <c r="G531">
        <v>0</v>
      </c>
      <c r="H531">
        <v>0</v>
      </c>
      <c r="I531">
        <v>0</v>
      </c>
      <c r="J531" s="107"/>
      <c r="K531" s="107"/>
      <c r="N531" s="107"/>
      <c r="O531" s="107"/>
      <c r="P531" s="107"/>
      <c r="Q531" s="107"/>
      <c r="R531" s="107"/>
    </row>
    <row r="532" spans="1:18" x14ac:dyDescent="0.25">
      <c r="A532" s="107" t="s">
        <v>1527</v>
      </c>
      <c r="B532" s="107" t="s">
        <v>1528</v>
      </c>
      <c r="C532" s="107"/>
      <c r="D532" t="s">
        <v>8</v>
      </c>
      <c r="E532">
        <f>SUM(E533:E537)</f>
        <v>129586.62175000001</v>
      </c>
      <c r="F532">
        <f>SUM(F533:F537)</f>
        <v>99728.621750000006</v>
      </c>
      <c r="G532">
        <f>SUM(G533:G537)</f>
        <v>0</v>
      </c>
      <c r="H532">
        <f>SUM(H533:H537)</f>
        <v>15824.06</v>
      </c>
      <c r="I532">
        <f>SUM(I533:I537)</f>
        <v>14033.94</v>
      </c>
      <c r="J532" s="107" t="s">
        <v>1529</v>
      </c>
      <c r="K532" s="107" t="s">
        <v>1265</v>
      </c>
    </row>
    <row r="533" spans="1:18" x14ac:dyDescent="0.25">
      <c r="A533" s="107"/>
      <c r="B533" s="107"/>
      <c r="C533" s="107"/>
      <c r="D533">
        <v>2021</v>
      </c>
      <c r="E533">
        <f t="shared" ref="E533:E537" si="134">SUM(F533:I533)</f>
        <v>0</v>
      </c>
      <c r="F533">
        <v>0</v>
      </c>
      <c r="G533">
        <v>0</v>
      </c>
      <c r="H533">
        <v>0</v>
      </c>
      <c r="I533">
        <v>0</v>
      </c>
      <c r="J533" s="107"/>
      <c r="K533" s="107"/>
    </row>
    <row r="534" spans="1:18" x14ac:dyDescent="0.25">
      <c r="A534" s="107"/>
      <c r="B534" s="107"/>
      <c r="C534" s="107"/>
      <c r="D534">
        <v>2022</v>
      </c>
      <c r="E534">
        <f t="shared" si="134"/>
        <v>129586.62175000001</v>
      </c>
      <c r="F534">
        <f>99728621.75/1000</f>
        <v>99728.621750000006</v>
      </c>
      <c r="G534">
        <v>0</v>
      </c>
      <c r="H534">
        <v>15824.06</v>
      </c>
      <c r="I534">
        <v>14033.94</v>
      </c>
      <c r="J534" s="107"/>
      <c r="K534" s="107"/>
    </row>
    <row r="535" spans="1:18" x14ac:dyDescent="0.25">
      <c r="A535" s="107"/>
      <c r="B535" s="107"/>
      <c r="C535" s="107"/>
      <c r="D535">
        <v>2023</v>
      </c>
      <c r="E535">
        <f t="shared" si="134"/>
        <v>0</v>
      </c>
      <c r="F535">
        <v>0</v>
      </c>
      <c r="G535">
        <v>0</v>
      </c>
      <c r="H535">
        <v>0</v>
      </c>
      <c r="I535">
        <v>0</v>
      </c>
      <c r="J535" s="107"/>
      <c r="K535" s="107"/>
    </row>
    <row r="536" spans="1:18" x14ac:dyDescent="0.25">
      <c r="A536" s="107"/>
      <c r="B536" s="107"/>
      <c r="C536" s="107"/>
      <c r="D536">
        <v>2024</v>
      </c>
      <c r="E536">
        <f t="shared" si="134"/>
        <v>0</v>
      </c>
      <c r="F536">
        <v>0</v>
      </c>
      <c r="G536">
        <v>0</v>
      </c>
      <c r="H536">
        <v>0</v>
      </c>
      <c r="I536">
        <v>0</v>
      </c>
      <c r="J536" s="107"/>
      <c r="K536" s="107"/>
    </row>
    <row r="537" spans="1:18" x14ac:dyDescent="0.25">
      <c r="A537" s="107"/>
      <c r="B537" s="107"/>
      <c r="C537" s="107"/>
      <c r="D537">
        <v>2025</v>
      </c>
      <c r="E537">
        <f t="shared" si="134"/>
        <v>0</v>
      </c>
      <c r="F537">
        <v>0</v>
      </c>
      <c r="G537">
        <v>0</v>
      </c>
      <c r="H537">
        <v>0</v>
      </c>
      <c r="I537">
        <v>0</v>
      </c>
      <c r="J537" s="107"/>
      <c r="K537" s="107"/>
    </row>
    <row r="538" spans="1:18" x14ac:dyDescent="0.25">
      <c r="A538" s="107" t="s">
        <v>1530</v>
      </c>
      <c r="B538" s="107" t="s">
        <v>1531</v>
      </c>
      <c r="C538" s="107" t="s">
        <v>14</v>
      </c>
      <c r="D538" t="s">
        <v>8</v>
      </c>
      <c r="E538">
        <f>E539+E540+E541+E542+E543</f>
        <v>1324705.4249999998</v>
      </c>
      <c r="F538">
        <f>F539+F540+F541+F542+F543</f>
        <v>629705.42500000005</v>
      </c>
      <c r="G538">
        <f>G539+G540+G541+G542+G543</f>
        <v>695000</v>
      </c>
      <c r="H538">
        <f>H539+H540+H541+H542+H543</f>
        <v>0</v>
      </c>
      <c r="I538">
        <f>I539+I540+I541+I542+I543</f>
        <v>0</v>
      </c>
      <c r="J538" s="107" t="s">
        <v>1532</v>
      </c>
      <c r="K538" s="107" t="s">
        <v>1533</v>
      </c>
    </row>
    <row r="539" spans="1:18" x14ac:dyDescent="0.25">
      <c r="A539" s="107"/>
      <c r="B539" s="107"/>
      <c r="C539" s="107"/>
      <c r="D539">
        <v>2021</v>
      </c>
      <c r="E539">
        <f t="shared" ref="E539:E541" si="135">SUM(F539:I539)</f>
        <v>978873.15999999992</v>
      </c>
      <c r="F539">
        <f t="shared" ref="F539:F542" si="136">F545</f>
        <v>283873.15999999997</v>
      </c>
      <c r="G539">
        <f>G545</f>
        <v>695000</v>
      </c>
      <c r="H539">
        <f>H544</f>
        <v>0</v>
      </c>
      <c r="I539">
        <f>I544</f>
        <v>0</v>
      </c>
      <c r="J539" s="107"/>
      <c r="K539" s="107"/>
      <c r="N539">
        <v>225914.2</v>
      </c>
      <c r="O539">
        <v>553100.4</v>
      </c>
      <c r="R539" t="s">
        <v>1534</v>
      </c>
    </row>
    <row r="540" spans="1:18" x14ac:dyDescent="0.25">
      <c r="A540" s="107"/>
      <c r="B540" s="107"/>
      <c r="C540" s="107"/>
      <c r="D540">
        <v>2022</v>
      </c>
      <c r="E540">
        <f t="shared" si="135"/>
        <v>345832.26500000001</v>
      </c>
      <c r="F540">
        <f t="shared" si="136"/>
        <v>345832.26500000001</v>
      </c>
      <c r="G540">
        <v>0</v>
      </c>
      <c r="H540">
        <v>0</v>
      </c>
      <c r="I540">
        <v>0</v>
      </c>
      <c r="J540" s="107"/>
      <c r="K540" s="107"/>
      <c r="N540">
        <v>46462.1</v>
      </c>
      <c r="O540">
        <v>113752</v>
      </c>
      <c r="R540" t="s">
        <v>1535</v>
      </c>
    </row>
    <row r="541" spans="1:18" x14ac:dyDescent="0.25">
      <c r="A541" s="107"/>
      <c r="B541" s="107"/>
      <c r="C541" s="107"/>
      <c r="D541">
        <v>2023</v>
      </c>
      <c r="E541">
        <f t="shared" si="135"/>
        <v>0</v>
      </c>
      <c r="F541">
        <f t="shared" si="136"/>
        <v>0</v>
      </c>
      <c r="G541">
        <f>G546</f>
        <v>0</v>
      </c>
      <c r="H541">
        <v>0</v>
      </c>
      <c r="I541">
        <v>0</v>
      </c>
      <c r="J541" s="107"/>
      <c r="K541" s="107"/>
      <c r="N541">
        <v>11496.9</v>
      </c>
      <c r="O541">
        <v>28147.599999999999</v>
      </c>
      <c r="R541" t="s">
        <v>1536</v>
      </c>
    </row>
    <row r="542" spans="1:18" x14ac:dyDescent="0.25">
      <c r="A542" s="107"/>
      <c r="B542" s="107"/>
      <c r="C542" s="107"/>
      <c r="D542">
        <v>2024</v>
      </c>
      <c r="E542">
        <v>0</v>
      </c>
      <c r="F542">
        <f t="shared" si="136"/>
        <v>0</v>
      </c>
      <c r="G542">
        <v>0</v>
      </c>
      <c r="H542">
        <v>0</v>
      </c>
      <c r="I542">
        <v>0</v>
      </c>
      <c r="J542" s="107"/>
      <c r="K542" s="107"/>
    </row>
    <row r="543" spans="1:18" x14ac:dyDescent="0.25">
      <c r="A543" s="107"/>
      <c r="B543" s="107"/>
      <c r="C543" s="107"/>
      <c r="D543">
        <v>2025</v>
      </c>
      <c r="E543">
        <v>0</v>
      </c>
      <c r="F543">
        <v>0</v>
      </c>
      <c r="G543">
        <v>0</v>
      </c>
      <c r="H543">
        <v>0</v>
      </c>
      <c r="I543">
        <v>0</v>
      </c>
      <c r="J543" s="107"/>
      <c r="K543" s="107"/>
    </row>
    <row r="544" spans="1:18" x14ac:dyDescent="0.25">
      <c r="A544" s="107" t="s">
        <v>1537</v>
      </c>
      <c r="B544" s="107" t="s">
        <v>1538</v>
      </c>
      <c r="C544" s="107" t="s">
        <v>14</v>
      </c>
      <c r="D544" t="s">
        <v>8</v>
      </c>
      <c r="E544">
        <f>E545+E546+E547+E548+E549</f>
        <v>1324705.4249999998</v>
      </c>
      <c r="F544">
        <f>F545+F546+F547+F548+F549</f>
        <v>629705.42500000005</v>
      </c>
      <c r="G544">
        <f>G545+G546+G547+G548+G549</f>
        <v>695000</v>
      </c>
      <c r="H544">
        <f>H545+H546+H547+H548+H549</f>
        <v>0</v>
      </c>
      <c r="I544">
        <f>I545+I546+I547+I548+I549</f>
        <v>0</v>
      </c>
      <c r="J544" s="107" t="s">
        <v>1539</v>
      </c>
      <c r="K544" s="107" t="s">
        <v>1533</v>
      </c>
    </row>
    <row r="545" spans="1:11" x14ac:dyDescent="0.25">
      <c r="A545" s="107"/>
      <c r="B545" s="107"/>
      <c r="C545" s="107"/>
      <c r="D545">
        <v>2021</v>
      </c>
      <c r="E545">
        <f t="shared" ref="E545:E547" si="137">F545+G545</f>
        <v>978873.15999999992</v>
      </c>
      <c r="F545">
        <v>283873.15999999997</v>
      </c>
      <c r="G545">
        <v>695000</v>
      </c>
      <c r="H545">
        <v>0</v>
      </c>
      <c r="I545">
        <v>0</v>
      </c>
      <c r="J545" s="107"/>
      <c r="K545" s="107"/>
    </row>
    <row r="546" spans="1:11" x14ac:dyDescent="0.25">
      <c r="A546" s="107"/>
      <c r="B546" s="107"/>
      <c r="C546" s="107"/>
      <c r="D546">
        <v>2022</v>
      </c>
      <c r="E546">
        <f t="shared" si="137"/>
        <v>345832.26500000001</v>
      </c>
      <c r="F546">
        <f>732680.64-358227.63-28620.745</f>
        <v>345832.26500000001</v>
      </c>
      <c r="G546">
        <v>0</v>
      </c>
      <c r="H546">
        <v>0</v>
      </c>
      <c r="I546">
        <v>0</v>
      </c>
      <c r="J546" s="107"/>
      <c r="K546" s="107"/>
    </row>
    <row r="547" spans="1:11" x14ac:dyDescent="0.25">
      <c r="A547" s="107"/>
      <c r="B547" s="107"/>
      <c r="C547" s="107"/>
      <c r="D547">
        <v>2023</v>
      </c>
      <c r="E547">
        <f t="shared" si="137"/>
        <v>0</v>
      </c>
      <c r="F547">
        <v>0</v>
      </c>
      <c r="G547">
        <v>0</v>
      </c>
      <c r="H547">
        <v>0</v>
      </c>
      <c r="I547">
        <v>0</v>
      </c>
      <c r="J547" s="107"/>
      <c r="K547" s="107"/>
    </row>
    <row r="548" spans="1:11" x14ac:dyDescent="0.25">
      <c r="A548" s="107"/>
      <c r="B548" s="107"/>
      <c r="C548" s="107"/>
      <c r="D548">
        <v>2024</v>
      </c>
      <c r="E548">
        <v>0</v>
      </c>
      <c r="F548">
        <v>0</v>
      </c>
      <c r="G548">
        <v>0</v>
      </c>
      <c r="H548">
        <v>0</v>
      </c>
      <c r="I548">
        <v>0</v>
      </c>
      <c r="J548" s="107"/>
      <c r="K548" s="107"/>
    </row>
    <row r="549" spans="1:11" x14ac:dyDescent="0.25">
      <c r="A549" s="107"/>
      <c r="B549" s="107"/>
      <c r="C549" s="107"/>
      <c r="D549">
        <v>2025</v>
      </c>
      <c r="E549">
        <v>0</v>
      </c>
      <c r="F549">
        <v>0</v>
      </c>
      <c r="G549">
        <v>0</v>
      </c>
      <c r="H549">
        <v>0</v>
      </c>
      <c r="I549">
        <v>0</v>
      </c>
      <c r="J549" s="107"/>
      <c r="K549" s="107"/>
    </row>
    <row r="550" spans="1:11" x14ac:dyDescent="0.25">
      <c r="A550" s="107" t="s">
        <v>1540</v>
      </c>
      <c r="B550" s="107" t="s">
        <v>1541</v>
      </c>
      <c r="C550" s="107" t="s">
        <v>14</v>
      </c>
      <c r="D550" t="s">
        <v>8</v>
      </c>
      <c r="E550">
        <f>E551+E552+E553+E554+E555</f>
        <v>50856.113140000001</v>
      </c>
      <c r="F550">
        <f>F551+F552+F553+F554+F555</f>
        <v>49354.834519999997</v>
      </c>
      <c r="G550">
        <f t="shared" ref="G550:I550" si="138">G551+G552+G553+G554+G555</f>
        <v>0</v>
      </c>
      <c r="H550">
        <f t="shared" si="138"/>
        <v>1501.2786199999998</v>
      </c>
      <c r="I550">
        <f t="shared" si="138"/>
        <v>0</v>
      </c>
      <c r="J550" s="107" t="s">
        <v>1542</v>
      </c>
      <c r="K550" s="107" t="s">
        <v>1543</v>
      </c>
    </row>
    <row r="551" spans="1:11" x14ac:dyDescent="0.25">
      <c r="A551" s="107"/>
      <c r="B551" s="107"/>
      <c r="C551" s="107"/>
      <c r="D551">
        <v>2021</v>
      </c>
      <c r="E551">
        <f t="shared" ref="E551:E552" si="139">E557+E563+E569+E575</f>
        <v>14053.0483</v>
      </c>
      <c r="F551">
        <f t="shared" ref="F551:F552" si="140">F557+F563+F569+F575</f>
        <v>12999.069680000001</v>
      </c>
      <c r="G551">
        <f t="shared" ref="E551:I555" si="141">G557+G563+G569+G575</f>
        <v>0</v>
      </c>
      <c r="H551">
        <f t="shared" si="141"/>
        <v>1053.9786199999999</v>
      </c>
      <c r="I551">
        <f t="shared" si="141"/>
        <v>0</v>
      </c>
      <c r="J551" s="107"/>
      <c r="K551" s="107"/>
    </row>
    <row r="552" spans="1:11" x14ac:dyDescent="0.25">
      <c r="A552" s="107"/>
      <c r="B552" s="107"/>
      <c r="C552" s="107"/>
      <c r="D552">
        <v>2022</v>
      </c>
      <c r="E552">
        <f t="shared" si="139"/>
        <v>36803.064839999999</v>
      </c>
      <c r="F552">
        <f t="shared" si="140"/>
        <v>36355.764839999996</v>
      </c>
      <c r="G552">
        <f t="shared" si="141"/>
        <v>0</v>
      </c>
      <c r="H552">
        <f t="shared" si="141"/>
        <v>447.3</v>
      </c>
      <c r="I552">
        <f t="shared" si="141"/>
        <v>0</v>
      </c>
      <c r="J552" s="107"/>
      <c r="K552" s="107"/>
    </row>
    <row r="553" spans="1:11" x14ac:dyDescent="0.25">
      <c r="A553" s="107"/>
      <c r="B553" s="107"/>
      <c r="C553" s="107"/>
      <c r="D553">
        <v>2023</v>
      </c>
      <c r="E553">
        <f t="shared" si="141"/>
        <v>0</v>
      </c>
      <c r="F553">
        <f t="shared" si="141"/>
        <v>0</v>
      </c>
      <c r="G553">
        <f t="shared" si="141"/>
        <v>0</v>
      </c>
      <c r="H553">
        <f t="shared" si="141"/>
        <v>0</v>
      </c>
      <c r="I553">
        <f t="shared" si="141"/>
        <v>0</v>
      </c>
      <c r="J553" s="107"/>
      <c r="K553" s="107"/>
    </row>
    <row r="554" spans="1:11" ht="16.5" customHeight="1" x14ac:dyDescent="0.25">
      <c r="A554" s="107"/>
      <c r="B554" s="107"/>
      <c r="C554" s="107"/>
      <c r="D554">
        <v>2024</v>
      </c>
      <c r="E554">
        <f t="shared" si="141"/>
        <v>0</v>
      </c>
      <c r="F554">
        <f t="shared" si="141"/>
        <v>0</v>
      </c>
      <c r="G554">
        <f t="shared" si="141"/>
        <v>0</v>
      </c>
      <c r="H554">
        <f t="shared" si="141"/>
        <v>0</v>
      </c>
      <c r="I554">
        <f t="shared" si="141"/>
        <v>0</v>
      </c>
      <c r="J554" s="107"/>
      <c r="K554" s="107"/>
    </row>
    <row r="555" spans="1:11" ht="18" customHeight="1" x14ac:dyDescent="0.25">
      <c r="A555" s="107"/>
      <c r="B555" s="107"/>
      <c r="C555" s="107"/>
      <c r="D555">
        <v>2025</v>
      </c>
      <c r="E555">
        <f t="shared" si="141"/>
        <v>0</v>
      </c>
      <c r="F555">
        <f t="shared" si="141"/>
        <v>0</v>
      </c>
      <c r="G555">
        <f t="shared" si="141"/>
        <v>0</v>
      </c>
      <c r="H555">
        <f t="shared" si="141"/>
        <v>0</v>
      </c>
      <c r="I555">
        <f t="shared" si="141"/>
        <v>0</v>
      </c>
      <c r="J555" s="107"/>
      <c r="K555" s="107"/>
    </row>
    <row r="556" spans="1:11" ht="17.25" customHeight="1" x14ac:dyDescent="0.25">
      <c r="A556" s="107" t="s">
        <v>1544</v>
      </c>
      <c r="B556" s="107" t="s">
        <v>1545</v>
      </c>
      <c r="C556" s="107">
        <v>2021</v>
      </c>
      <c r="D556" t="s">
        <v>8</v>
      </c>
      <c r="E556">
        <f>F556+G556+H556</f>
        <v>15653.0483</v>
      </c>
      <c r="F556">
        <f>F557+F558+F559+F560+F561</f>
        <v>14519.069680000001</v>
      </c>
      <c r="G556">
        <f t="shared" ref="G556:I580" si="142">G557+G558+G559+G560+G561</f>
        <v>0</v>
      </c>
      <c r="H556">
        <f t="shared" si="142"/>
        <v>1133.9786199999999</v>
      </c>
      <c r="I556">
        <f t="shared" si="142"/>
        <v>0</v>
      </c>
      <c r="J556" s="107" t="s">
        <v>1546</v>
      </c>
      <c r="K556" s="107" t="s">
        <v>1547</v>
      </c>
    </row>
    <row r="557" spans="1:11" ht="18.75" customHeight="1" x14ac:dyDescent="0.25">
      <c r="A557" s="107"/>
      <c r="B557" s="107"/>
      <c r="C557" s="107"/>
      <c r="D557">
        <v>2021</v>
      </c>
      <c r="E557">
        <f>F557+G557+H557+I557</f>
        <v>14053.0483</v>
      </c>
      <c r="F557">
        <f>4766.43301+8232.63667</f>
        <v>12999.069680000001</v>
      </c>
      <c r="G557">
        <v>0</v>
      </c>
      <c r="H557">
        <f>386.47+667.50862</f>
        <v>1053.9786199999999</v>
      </c>
      <c r="I557">
        <v>0</v>
      </c>
      <c r="J557" s="107"/>
      <c r="K557" s="107"/>
    </row>
    <row r="558" spans="1:11" ht="22.5" customHeight="1" x14ac:dyDescent="0.25">
      <c r="A558" s="107"/>
      <c r="B558" s="107"/>
      <c r="C558" s="107"/>
      <c r="D558">
        <v>2022</v>
      </c>
      <c r="E558">
        <f>F558+H558</f>
        <v>1600</v>
      </c>
      <c r="F558">
        <v>1520</v>
      </c>
      <c r="G558">
        <v>0</v>
      </c>
      <c r="H558">
        <v>80</v>
      </c>
      <c r="I558">
        <v>0</v>
      </c>
      <c r="J558" s="107"/>
      <c r="K558" s="107"/>
    </row>
    <row r="559" spans="1:11" x14ac:dyDescent="0.25">
      <c r="A559" s="107"/>
      <c r="B559" s="107"/>
      <c r="C559" s="107"/>
      <c r="D559">
        <v>2023</v>
      </c>
      <c r="E559">
        <v>0</v>
      </c>
      <c r="F559">
        <v>0</v>
      </c>
      <c r="G559">
        <v>0</v>
      </c>
      <c r="H559">
        <v>0</v>
      </c>
      <c r="I559">
        <v>0</v>
      </c>
      <c r="J559" s="107"/>
      <c r="K559" s="107"/>
    </row>
    <row r="560" spans="1:11" x14ac:dyDescent="0.25">
      <c r="A560" s="107"/>
      <c r="B560" s="107"/>
      <c r="C560" s="107"/>
      <c r="D560">
        <v>2024</v>
      </c>
      <c r="E560">
        <v>0</v>
      </c>
      <c r="F560">
        <v>0</v>
      </c>
      <c r="G560">
        <v>0</v>
      </c>
      <c r="H560">
        <v>0</v>
      </c>
      <c r="I560">
        <v>0</v>
      </c>
      <c r="J560" s="107"/>
      <c r="K560" s="107"/>
    </row>
    <row r="561" spans="1:11" x14ac:dyDescent="0.25">
      <c r="A561" s="107"/>
      <c r="B561" s="107"/>
      <c r="C561" s="107"/>
      <c r="D561">
        <v>2025</v>
      </c>
      <c r="E561">
        <v>0</v>
      </c>
      <c r="F561">
        <v>0</v>
      </c>
      <c r="G561">
        <v>0</v>
      </c>
      <c r="H561">
        <v>0</v>
      </c>
      <c r="I561">
        <v>0</v>
      </c>
      <c r="J561" s="107"/>
      <c r="K561" s="107"/>
    </row>
    <row r="562" spans="1:11" x14ac:dyDescent="0.25">
      <c r="A562" s="107" t="s">
        <v>1548</v>
      </c>
      <c r="B562" s="107" t="s">
        <v>1549</v>
      </c>
      <c r="C562" s="107">
        <v>2022</v>
      </c>
      <c r="D562" t="s">
        <v>8</v>
      </c>
      <c r="E562">
        <f>E563+E564+E565+E566+E567</f>
        <v>7345.74</v>
      </c>
      <c r="F562">
        <f>F563+F564+F565+F566+F567</f>
        <v>6978.44</v>
      </c>
      <c r="G562">
        <f t="shared" si="142"/>
        <v>0</v>
      </c>
      <c r="H562">
        <f>H563+H564+H565+H566+H567</f>
        <v>367.3</v>
      </c>
      <c r="I562">
        <f>I563+I564+I565+I566+I567</f>
        <v>0</v>
      </c>
      <c r="J562" s="107" t="s">
        <v>1550</v>
      </c>
      <c r="K562" s="107" t="s">
        <v>1551</v>
      </c>
    </row>
    <row r="563" spans="1:11" x14ac:dyDescent="0.25">
      <c r="A563" s="107"/>
      <c r="B563" s="107"/>
      <c r="C563" s="107"/>
      <c r="D563">
        <v>2021</v>
      </c>
      <c r="E563">
        <v>0</v>
      </c>
      <c r="F563">
        <v>0</v>
      </c>
      <c r="G563">
        <v>0</v>
      </c>
      <c r="I563">
        <v>0</v>
      </c>
      <c r="J563" s="107"/>
      <c r="K563" s="107"/>
    </row>
    <row r="564" spans="1:11" x14ac:dyDescent="0.25">
      <c r="A564" s="107"/>
      <c r="B564" s="107"/>
      <c r="C564" s="107"/>
      <c r="D564">
        <v>2022</v>
      </c>
      <c r="E564">
        <f>F564+H564</f>
        <v>7345.74</v>
      </c>
      <c r="F564">
        <v>6978.44</v>
      </c>
      <c r="G564">
        <v>0</v>
      </c>
      <c r="H564">
        <v>367.3</v>
      </c>
      <c r="I564">
        <v>0</v>
      </c>
      <c r="J564" s="107"/>
      <c r="K564" s="107"/>
    </row>
    <row r="565" spans="1:11" x14ac:dyDescent="0.25">
      <c r="A565" s="107"/>
      <c r="B565" s="107"/>
      <c r="C565" s="107"/>
      <c r="D565">
        <v>2023</v>
      </c>
      <c r="E565">
        <v>0</v>
      </c>
      <c r="F565">
        <v>0</v>
      </c>
      <c r="G565">
        <v>0</v>
      </c>
      <c r="H565">
        <v>0</v>
      </c>
      <c r="I565">
        <v>0</v>
      </c>
      <c r="J565" s="107"/>
      <c r="K565" s="107"/>
    </row>
    <row r="566" spans="1:11" x14ac:dyDescent="0.25">
      <c r="A566" s="107"/>
      <c r="B566" s="107"/>
      <c r="C566" s="107"/>
      <c r="D566">
        <v>2024</v>
      </c>
      <c r="E566">
        <v>0</v>
      </c>
      <c r="F566">
        <v>0</v>
      </c>
      <c r="G566">
        <v>0</v>
      </c>
      <c r="H566">
        <v>0</v>
      </c>
      <c r="I566">
        <v>0</v>
      </c>
      <c r="J566" s="107"/>
      <c r="K566" s="107"/>
    </row>
    <row r="567" spans="1:11" x14ac:dyDescent="0.25">
      <c r="A567" s="107"/>
      <c r="B567" s="107"/>
      <c r="C567" s="107"/>
      <c r="D567">
        <v>2025</v>
      </c>
      <c r="E567">
        <v>0</v>
      </c>
      <c r="F567">
        <v>0</v>
      </c>
      <c r="G567">
        <v>0</v>
      </c>
      <c r="H567">
        <v>0</v>
      </c>
      <c r="I567">
        <v>0</v>
      </c>
      <c r="J567" s="107"/>
      <c r="K567" s="107"/>
    </row>
    <row r="568" spans="1:11" x14ac:dyDescent="0.25">
      <c r="A568" s="107" t="s">
        <v>1552</v>
      </c>
      <c r="B568" s="107" t="s">
        <v>1553</v>
      </c>
      <c r="C568" s="107">
        <v>2022</v>
      </c>
      <c r="D568" t="s">
        <v>8</v>
      </c>
      <c r="E568">
        <f>E569+E570+E571+E572+E573</f>
        <v>6000</v>
      </c>
      <c r="F568">
        <f>F569+F570+F571+F572+F573</f>
        <v>6000</v>
      </c>
      <c r="G568">
        <f t="shared" si="142"/>
        <v>0</v>
      </c>
      <c r="H568">
        <f>H569+H570+H571+H572+H573</f>
        <v>0</v>
      </c>
      <c r="I568">
        <f>I569+I570+I571+I572+I573</f>
        <v>0</v>
      </c>
      <c r="J568" s="107" t="s">
        <v>1554</v>
      </c>
      <c r="K568" s="107" t="s">
        <v>1555</v>
      </c>
    </row>
    <row r="569" spans="1:11" x14ac:dyDescent="0.25">
      <c r="A569" s="107"/>
      <c r="B569" s="107"/>
      <c r="C569" s="107"/>
      <c r="D569">
        <v>2021</v>
      </c>
      <c r="E569">
        <v>0</v>
      </c>
      <c r="F569">
        <v>0</v>
      </c>
      <c r="G569">
        <v>0</v>
      </c>
      <c r="H569">
        <v>0</v>
      </c>
      <c r="I569">
        <v>0</v>
      </c>
      <c r="J569" s="107"/>
      <c r="K569" s="107"/>
    </row>
    <row r="570" spans="1:11" x14ac:dyDescent="0.25">
      <c r="A570" s="107"/>
      <c r="B570" s="107"/>
      <c r="C570" s="107"/>
      <c r="D570">
        <v>2022</v>
      </c>
      <c r="E570">
        <f>F570+H570</f>
        <v>6000</v>
      </c>
      <c r="F570">
        <v>6000</v>
      </c>
      <c r="G570">
        <v>0</v>
      </c>
      <c r="H570">
        <v>0</v>
      </c>
      <c r="I570">
        <v>0</v>
      </c>
      <c r="J570" s="107"/>
      <c r="K570" s="107"/>
    </row>
    <row r="571" spans="1:11" x14ac:dyDescent="0.25">
      <c r="A571" s="107"/>
      <c r="B571" s="107"/>
      <c r="C571" s="107"/>
      <c r="D571">
        <v>2023</v>
      </c>
      <c r="E571">
        <v>0</v>
      </c>
      <c r="F571">
        <v>0</v>
      </c>
      <c r="G571">
        <v>0</v>
      </c>
      <c r="H571">
        <v>0</v>
      </c>
      <c r="I571">
        <v>0</v>
      </c>
      <c r="J571" s="107"/>
      <c r="K571" s="107"/>
    </row>
    <row r="572" spans="1:11" x14ac:dyDescent="0.25">
      <c r="A572" s="107"/>
      <c r="B572" s="107"/>
      <c r="C572" s="107"/>
      <c r="D572">
        <v>2024</v>
      </c>
      <c r="E572">
        <v>0</v>
      </c>
      <c r="F572">
        <v>0</v>
      </c>
      <c r="G572">
        <v>0</v>
      </c>
      <c r="H572">
        <v>0</v>
      </c>
      <c r="I572">
        <v>0</v>
      </c>
      <c r="J572" s="107"/>
      <c r="K572" s="107"/>
    </row>
    <row r="573" spans="1:11" x14ac:dyDescent="0.25">
      <c r="A573" s="107"/>
      <c r="B573" s="107"/>
      <c r="C573" s="107"/>
      <c r="D573">
        <v>2025</v>
      </c>
      <c r="E573">
        <v>0</v>
      </c>
      <c r="F573">
        <v>0</v>
      </c>
      <c r="G573">
        <v>0</v>
      </c>
      <c r="H573">
        <v>0</v>
      </c>
      <c r="I573">
        <v>0</v>
      </c>
      <c r="J573" s="107"/>
      <c r="K573" s="107"/>
    </row>
    <row r="574" spans="1:11" x14ac:dyDescent="0.25">
      <c r="A574" s="107" t="s">
        <v>1556</v>
      </c>
      <c r="B574" s="107" t="s">
        <v>1557</v>
      </c>
      <c r="C574" s="107">
        <v>2022</v>
      </c>
      <c r="D574" t="s">
        <v>8</v>
      </c>
      <c r="E574">
        <f>E575+E576+E577+E578+E579</f>
        <v>21857.324839999997</v>
      </c>
      <c r="F574">
        <f>F575+F576+F577+F578+F579</f>
        <v>21857.324839999997</v>
      </c>
      <c r="G574">
        <f t="shared" si="142"/>
        <v>0</v>
      </c>
      <c r="H574">
        <f>H575+H576+H577+H578+H579</f>
        <v>0</v>
      </c>
      <c r="I574">
        <f>I575+I576+I577+I578+I579</f>
        <v>0</v>
      </c>
      <c r="J574" s="107" t="s">
        <v>1558</v>
      </c>
      <c r="K574" s="107" t="s">
        <v>1555</v>
      </c>
    </row>
    <row r="575" spans="1:11" x14ac:dyDescent="0.25">
      <c r="A575" s="107"/>
      <c r="B575" s="107"/>
      <c r="C575" s="107"/>
      <c r="D575">
        <v>2021</v>
      </c>
      <c r="E575">
        <v>0</v>
      </c>
      <c r="F575">
        <v>0</v>
      </c>
      <c r="G575">
        <v>0</v>
      </c>
      <c r="H575">
        <v>0</v>
      </c>
      <c r="I575">
        <v>0</v>
      </c>
      <c r="J575" s="107"/>
      <c r="K575" s="107"/>
    </row>
    <row r="576" spans="1:11" x14ac:dyDescent="0.25">
      <c r="A576" s="107"/>
      <c r="B576" s="107"/>
      <c r="C576" s="107"/>
      <c r="D576">
        <v>2022</v>
      </c>
      <c r="E576">
        <f>F576+H576</f>
        <v>21857.324839999997</v>
      </c>
      <c r="F576">
        <f>21582.6+274.72484</f>
        <v>21857.324839999997</v>
      </c>
      <c r="G576">
        <v>0</v>
      </c>
      <c r="H576">
        <v>0</v>
      </c>
      <c r="I576">
        <v>0</v>
      </c>
      <c r="J576" s="107"/>
      <c r="K576" s="107"/>
    </row>
    <row r="577" spans="1:21" x14ac:dyDescent="0.25">
      <c r="A577" s="107"/>
      <c r="B577" s="107"/>
      <c r="C577" s="107"/>
      <c r="D577">
        <v>2023</v>
      </c>
      <c r="E577">
        <v>0</v>
      </c>
      <c r="F577">
        <v>0</v>
      </c>
      <c r="G577">
        <v>0</v>
      </c>
      <c r="H577">
        <v>0</v>
      </c>
      <c r="I577">
        <v>0</v>
      </c>
      <c r="J577" s="107"/>
      <c r="K577" s="107"/>
    </row>
    <row r="578" spans="1:21" x14ac:dyDescent="0.25">
      <c r="A578" s="107"/>
      <c r="B578" s="107"/>
      <c r="C578" s="107"/>
      <c r="D578">
        <v>2024</v>
      </c>
      <c r="E578">
        <v>0</v>
      </c>
      <c r="F578">
        <v>0</v>
      </c>
      <c r="G578">
        <v>0</v>
      </c>
      <c r="H578">
        <v>0</v>
      </c>
      <c r="I578">
        <v>0</v>
      </c>
      <c r="J578" s="107"/>
      <c r="K578" s="107"/>
    </row>
    <row r="579" spans="1:21" x14ac:dyDescent="0.25">
      <c r="A579" s="107"/>
      <c r="B579" s="107"/>
      <c r="C579" s="107"/>
      <c r="D579">
        <v>2025</v>
      </c>
      <c r="E579">
        <v>0</v>
      </c>
      <c r="F579">
        <v>0</v>
      </c>
      <c r="G579">
        <v>0</v>
      </c>
      <c r="H579">
        <v>0</v>
      </c>
      <c r="I579">
        <v>0</v>
      </c>
      <c r="J579" s="107"/>
      <c r="K579" s="107"/>
    </row>
    <row r="580" spans="1:21" x14ac:dyDescent="0.25">
      <c r="A580" s="107" t="s">
        <v>1559</v>
      </c>
      <c r="B580" s="107" t="s">
        <v>1560</v>
      </c>
      <c r="C580" s="107">
        <v>2022</v>
      </c>
      <c r="D580" t="s">
        <v>8</v>
      </c>
      <c r="E580">
        <f>F580+G580+H580+I580</f>
        <v>455880.19999999995</v>
      </c>
      <c r="F580">
        <f>F581+F582+F583+F584+F585</f>
        <v>439890.6</v>
      </c>
      <c r="G580">
        <f t="shared" si="142"/>
        <v>0</v>
      </c>
      <c r="H580">
        <f>H581+H582+H583+H584+H585</f>
        <v>15989.6</v>
      </c>
      <c r="I580">
        <f>I581+I582+I583+I584+I585</f>
        <v>0</v>
      </c>
      <c r="J580" s="107"/>
      <c r="K580" s="107" t="s">
        <v>1561</v>
      </c>
    </row>
    <row r="581" spans="1:21" x14ac:dyDescent="0.25">
      <c r="A581" s="107"/>
      <c r="B581" s="107"/>
      <c r="C581" s="107"/>
      <c r="D581">
        <v>2021</v>
      </c>
      <c r="E581">
        <v>0</v>
      </c>
      <c r="F581">
        <v>0</v>
      </c>
      <c r="G581">
        <v>0</v>
      </c>
      <c r="H581">
        <v>0</v>
      </c>
      <c r="I581">
        <v>0</v>
      </c>
      <c r="J581" s="107"/>
      <c r="K581" s="107"/>
    </row>
    <row r="582" spans="1:21" x14ac:dyDescent="0.25">
      <c r="A582" s="107"/>
      <c r="B582" s="107"/>
      <c r="C582" s="107"/>
      <c r="D582">
        <v>2022</v>
      </c>
      <c r="E582">
        <f>SUM(F582:I582)</f>
        <v>455880.19999999995</v>
      </c>
      <c r="F582">
        <f>F588</f>
        <v>439890.6</v>
      </c>
      <c r="G582">
        <v>0</v>
      </c>
      <c r="H582">
        <f>H588</f>
        <v>15989.6</v>
      </c>
      <c r="I582">
        <v>0</v>
      </c>
      <c r="J582" s="107"/>
      <c r="K582" s="107"/>
    </row>
    <row r="583" spans="1:21" x14ac:dyDescent="0.25">
      <c r="A583" s="107"/>
      <c r="B583" s="107"/>
      <c r="C583" s="107"/>
      <c r="D583">
        <v>2023</v>
      </c>
      <c r="E583">
        <v>0</v>
      </c>
      <c r="F583">
        <v>0</v>
      </c>
      <c r="G583">
        <v>0</v>
      </c>
      <c r="H583">
        <v>0</v>
      </c>
      <c r="I583">
        <v>0</v>
      </c>
      <c r="J583" s="107"/>
      <c r="K583" s="107"/>
    </row>
    <row r="584" spans="1:21" x14ac:dyDescent="0.25">
      <c r="A584" s="107"/>
      <c r="B584" s="107"/>
      <c r="C584" s="107"/>
      <c r="D584">
        <v>2024</v>
      </c>
      <c r="E584">
        <v>0</v>
      </c>
      <c r="F584">
        <v>0</v>
      </c>
      <c r="G584">
        <v>0</v>
      </c>
      <c r="H584">
        <v>0</v>
      </c>
      <c r="I584">
        <v>0</v>
      </c>
      <c r="J584" s="107"/>
      <c r="K584" s="107"/>
    </row>
    <row r="585" spans="1:21" x14ac:dyDescent="0.25">
      <c r="A585" s="107"/>
      <c r="B585" s="107"/>
      <c r="C585" s="107"/>
      <c r="D585">
        <v>2025</v>
      </c>
      <c r="E585">
        <v>0</v>
      </c>
      <c r="F585">
        <v>0</v>
      </c>
      <c r="G585">
        <v>0</v>
      </c>
      <c r="H585">
        <v>0</v>
      </c>
      <c r="I585">
        <v>0</v>
      </c>
      <c r="J585" s="107"/>
      <c r="K585" s="107"/>
    </row>
    <row r="586" spans="1:21" x14ac:dyDescent="0.25">
      <c r="A586" s="107" t="s">
        <v>1562</v>
      </c>
      <c r="B586" s="107" t="s">
        <v>1563</v>
      </c>
      <c r="C586" s="107">
        <v>2022</v>
      </c>
      <c r="D586" t="s">
        <v>8</v>
      </c>
      <c r="E586">
        <f>SUM(E587:E591)</f>
        <v>455880.19999999995</v>
      </c>
      <c r="F586">
        <f>SUM(F587:F591)</f>
        <v>439890.6</v>
      </c>
      <c r="G586">
        <f>SUM(G587:G591)</f>
        <v>0</v>
      </c>
      <c r="H586">
        <f>SUM(H587:H591)</f>
        <v>15989.6</v>
      </c>
      <c r="I586">
        <f>SUM(I587:I591)</f>
        <v>0</v>
      </c>
      <c r="J586" s="107" t="s">
        <v>1564</v>
      </c>
      <c r="K586" s="107" t="s">
        <v>1561</v>
      </c>
    </row>
    <row r="587" spans="1:21" x14ac:dyDescent="0.25">
      <c r="A587" s="107"/>
      <c r="B587" s="107"/>
      <c r="C587" s="107"/>
      <c r="D587">
        <v>2021</v>
      </c>
      <c r="E587">
        <f t="shared" ref="E587:E591" si="143">SUM(F587:I587)</f>
        <v>0</v>
      </c>
      <c r="F587">
        <v>0</v>
      </c>
      <c r="G587">
        <v>0</v>
      </c>
      <c r="H587">
        <v>0</v>
      </c>
      <c r="I587">
        <v>0</v>
      </c>
      <c r="J587" s="107"/>
      <c r="K587" s="107"/>
    </row>
    <row r="588" spans="1:21" x14ac:dyDescent="0.25">
      <c r="A588" s="107"/>
      <c r="B588" s="107"/>
      <c r="C588" s="107"/>
      <c r="D588">
        <v>2022</v>
      </c>
      <c r="E588">
        <f t="shared" si="143"/>
        <v>455880.19999999995</v>
      </c>
      <c r="F588">
        <v>439890.6</v>
      </c>
      <c r="G588">
        <v>0</v>
      </c>
      <c r="H588">
        <v>15989.6</v>
      </c>
      <c r="I588">
        <v>0</v>
      </c>
      <c r="J588" s="107"/>
      <c r="K588" s="107"/>
    </row>
    <row r="589" spans="1:21" x14ac:dyDescent="0.25">
      <c r="A589" s="107"/>
      <c r="B589" s="107"/>
      <c r="C589" s="107"/>
      <c r="D589">
        <v>2023</v>
      </c>
      <c r="E589">
        <f t="shared" si="143"/>
        <v>0</v>
      </c>
      <c r="F589">
        <v>0</v>
      </c>
      <c r="G589">
        <v>0</v>
      </c>
      <c r="H589">
        <v>0</v>
      </c>
      <c r="I589">
        <v>0</v>
      </c>
      <c r="J589" s="107"/>
      <c r="K589" s="107"/>
    </row>
    <row r="590" spans="1:21" x14ac:dyDescent="0.25">
      <c r="A590" s="107"/>
      <c r="B590" s="107"/>
      <c r="C590" s="107"/>
      <c r="D590">
        <v>2024</v>
      </c>
      <c r="E590">
        <f t="shared" si="143"/>
        <v>0</v>
      </c>
      <c r="F590">
        <v>0</v>
      </c>
      <c r="G590">
        <v>0</v>
      </c>
      <c r="H590">
        <v>0</v>
      </c>
      <c r="I590">
        <v>0</v>
      </c>
      <c r="J590" s="107"/>
      <c r="K590" s="107"/>
    </row>
    <row r="591" spans="1:21" x14ac:dyDescent="0.25">
      <c r="A591" s="107"/>
      <c r="B591" s="107"/>
      <c r="C591" s="107"/>
      <c r="D591">
        <v>2025</v>
      </c>
      <c r="E591">
        <f t="shared" si="143"/>
        <v>0</v>
      </c>
      <c r="F591">
        <v>0</v>
      </c>
      <c r="G591">
        <v>0</v>
      </c>
      <c r="H591">
        <v>0</v>
      </c>
      <c r="I591">
        <v>0</v>
      </c>
      <c r="J591" s="107"/>
      <c r="K591" s="107"/>
    </row>
    <row r="592" spans="1:21" x14ac:dyDescent="0.25">
      <c r="A592" s="107">
        <v>3</v>
      </c>
      <c r="B592" s="107" t="s">
        <v>1565</v>
      </c>
      <c r="C592" s="107" t="s">
        <v>14</v>
      </c>
      <c r="D592" t="s">
        <v>8</v>
      </c>
      <c r="E592">
        <f>SUM(E593:E597)</f>
        <v>8311716.0562800001</v>
      </c>
      <c r="F592">
        <f>SUM(F593:F597)</f>
        <v>3800692.38919</v>
      </c>
      <c r="G592">
        <f>SUM(G593:G597)</f>
        <v>4251715.3073300002</v>
      </c>
      <c r="H592">
        <f>SUM(H593:H597)</f>
        <v>259308.35975999996</v>
      </c>
      <c r="I592">
        <v>0</v>
      </c>
      <c r="J592" s="107"/>
      <c r="K592" s="107" t="s">
        <v>1566</v>
      </c>
      <c r="M592">
        <v>6504536.9900000002</v>
      </c>
      <c r="N592">
        <v>2076784.36</v>
      </c>
      <c r="O592">
        <v>4251715.3099999996</v>
      </c>
      <c r="P592">
        <v>176037.32</v>
      </c>
      <c r="Q592" t="s">
        <v>1277</v>
      </c>
      <c r="R592">
        <f t="shared" ref="R592:U603" si="144">M592-E592</f>
        <v>-1807179.0662799999</v>
      </c>
      <c r="S592">
        <f t="shared" ref="S592:U596" si="145">N592-F592</f>
        <v>-1723908.0291899999</v>
      </c>
      <c r="T592">
        <f t="shared" si="145"/>
        <v>2.6699993759393692E-3</v>
      </c>
      <c r="U592">
        <f>P592-H592</f>
        <v>-83271.039759999956</v>
      </c>
    </row>
    <row r="593" spans="1:21" x14ac:dyDescent="0.25">
      <c r="A593" s="107"/>
      <c r="B593" s="107"/>
      <c r="C593" s="107"/>
      <c r="D593">
        <v>2021</v>
      </c>
      <c r="E593">
        <f t="shared" ref="E593:E597" si="146">SUM(F593:I593)</f>
        <v>927501.46775999991</v>
      </c>
      <c r="F593">
        <f t="shared" ref="F593:I597" si="147">F599+F671</f>
        <v>235262.3</v>
      </c>
      <c r="G593">
        <f t="shared" si="147"/>
        <v>671842.1</v>
      </c>
      <c r="H593">
        <f t="shared" si="147"/>
        <v>20397.067759999998</v>
      </c>
      <c r="I593">
        <f t="shared" si="147"/>
        <v>0</v>
      </c>
      <c r="J593" s="107"/>
      <c r="K593" s="107"/>
      <c r="M593">
        <v>927501.47</v>
      </c>
      <c r="N593">
        <v>235262.3</v>
      </c>
      <c r="O593">
        <v>671842.1</v>
      </c>
      <c r="P593">
        <v>20397.07</v>
      </c>
      <c r="Q593" t="s">
        <v>1277</v>
      </c>
      <c r="R593">
        <f t="shared" si="144"/>
        <v>2.2400000598281622E-3</v>
      </c>
      <c r="S593">
        <f t="shared" si="145"/>
        <v>0</v>
      </c>
      <c r="T593">
        <f t="shared" si="145"/>
        <v>0</v>
      </c>
      <c r="U593">
        <f t="shared" si="145"/>
        <v>2.2400000016205013E-3</v>
      </c>
    </row>
    <row r="594" spans="1:21" x14ac:dyDescent="0.25">
      <c r="A594" s="107"/>
      <c r="B594" s="107"/>
      <c r="C594" s="107"/>
      <c r="D594">
        <v>2022</v>
      </c>
      <c r="E594">
        <f t="shared" si="146"/>
        <v>1712734.3321</v>
      </c>
      <c r="F594">
        <f t="shared" si="147"/>
        <v>542084.01650999999</v>
      </c>
      <c r="G594">
        <f t="shared" si="147"/>
        <v>1150922.8755900001</v>
      </c>
      <c r="H594">
        <f t="shared" si="147"/>
        <v>19727.439999999999</v>
      </c>
      <c r="I594">
        <f t="shared" si="147"/>
        <v>0</v>
      </c>
      <c r="J594" s="107"/>
      <c r="K594" s="107"/>
      <c r="M594">
        <v>3064442.9</v>
      </c>
      <c r="N594">
        <v>499301.68</v>
      </c>
      <c r="O594">
        <v>2445224.33</v>
      </c>
      <c r="P594">
        <v>119916.89</v>
      </c>
      <c r="Q594" t="s">
        <v>1277</v>
      </c>
      <c r="R594">
        <f t="shared" si="144"/>
        <v>1351708.5678999999</v>
      </c>
      <c r="S594">
        <f t="shared" si="145"/>
        <v>-42782.336509999994</v>
      </c>
      <c r="T594">
        <f t="shared" si="145"/>
        <v>1294301.45441</v>
      </c>
      <c r="U594">
        <f t="shared" si="145"/>
        <v>100189.45</v>
      </c>
    </row>
    <row r="595" spans="1:21" x14ac:dyDescent="0.25">
      <c r="A595" s="107"/>
      <c r="B595" s="107"/>
      <c r="C595" s="107"/>
      <c r="D595">
        <v>2023</v>
      </c>
      <c r="E595">
        <f t="shared" si="146"/>
        <v>3589874.8597400002</v>
      </c>
      <c r="F595">
        <f t="shared" si="147"/>
        <v>1429072.953</v>
      </c>
      <c r="G595">
        <f t="shared" si="147"/>
        <v>1941618.0547400001</v>
      </c>
      <c r="H595">
        <f t="shared" si="147"/>
        <v>219183.85199999998</v>
      </c>
      <c r="I595">
        <f t="shared" si="147"/>
        <v>0</v>
      </c>
      <c r="J595" s="107"/>
      <c r="K595" s="107"/>
      <c r="M595">
        <v>1700057.62</v>
      </c>
      <c r="N595">
        <v>529685.38</v>
      </c>
      <c r="O595">
        <v>1134648.8799999999</v>
      </c>
      <c r="P595">
        <v>35723.360000000001</v>
      </c>
      <c r="Q595" t="s">
        <v>1277</v>
      </c>
      <c r="R595">
        <f t="shared" si="144"/>
        <v>-1889817.2397400001</v>
      </c>
      <c r="S595">
        <f t="shared" si="145"/>
        <v>-899387.57299999997</v>
      </c>
      <c r="T595">
        <f t="shared" si="145"/>
        <v>-806969.17474000016</v>
      </c>
      <c r="U595">
        <f t="shared" si="145"/>
        <v>-183460.49199999997</v>
      </c>
    </row>
    <row r="596" spans="1:21" x14ac:dyDescent="0.25">
      <c r="A596" s="107"/>
      <c r="B596" s="107"/>
      <c r="C596" s="107"/>
      <c r="D596">
        <v>2024</v>
      </c>
      <c r="E596">
        <f t="shared" si="146"/>
        <v>2081605.39668</v>
      </c>
      <c r="F596">
        <f t="shared" si="147"/>
        <v>1594273.11968</v>
      </c>
      <c r="G596">
        <f t="shared" si="147"/>
        <v>487332.277</v>
      </c>
      <c r="H596">
        <f t="shared" si="147"/>
        <v>0</v>
      </c>
      <c r="I596">
        <f t="shared" si="147"/>
        <v>0</v>
      </c>
      <c r="J596" s="107"/>
      <c r="K596" s="107"/>
      <c r="M596">
        <v>812535</v>
      </c>
      <c r="N596">
        <v>812535</v>
      </c>
      <c r="O596" t="s">
        <v>1277</v>
      </c>
      <c r="P596" t="s">
        <v>1277</v>
      </c>
      <c r="Q596" t="s">
        <v>1277</v>
      </c>
      <c r="R596">
        <f t="shared" si="144"/>
        <v>-1269070.39668</v>
      </c>
      <c r="S596">
        <f t="shared" si="145"/>
        <v>-781738.11968</v>
      </c>
      <c r="T596" t="e">
        <f t="shared" si="145"/>
        <v>#VALUE!</v>
      </c>
      <c r="U596" t="e">
        <f t="shared" si="145"/>
        <v>#VALUE!</v>
      </c>
    </row>
    <row r="597" spans="1:21" x14ac:dyDescent="0.25">
      <c r="A597" s="107"/>
      <c r="B597" s="107"/>
      <c r="C597" s="107"/>
      <c r="D597">
        <v>2025</v>
      </c>
      <c r="E597">
        <f t="shared" si="146"/>
        <v>0</v>
      </c>
      <c r="F597">
        <f t="shared" si="147"/>
        <v>0</v>
      </c>
      <c r="G597">
        <f t="shared" si="147"/>
        <v>0</v>
      </c>
      <c r="H597">
        <f t="shared" si="147"/>
        <v>0</v>
      </c>
      <c r="I597">
        <f t="shared" si="147"/>
        <v>0</v>
      </c>
      <c r="J597" s="107"/>
      <c r="K597" s="107"/>
      <c r="M597" t="s">
        <v>1277</v>
      </c>
      <c r="N597" t="s">
        <v>1277</v>
      </c>
      <c r="O597" t="s">
        <v>1277</v>
      </c>
      <c r="P597" t="s">
        <v>1277</v>
      </c>
      <c r="Q597" t="s">
        <v>1277</v>
      </c>
    </row>
    <row r="598" spans="1:21" x14ac:dyDescent="0.25">
      <c r="A598" s="107" t="s">
        <v>116</v>
      </c>
      <c r="B598" s="107" t="s">
        <v>1567</v>
      </c>
      <c r="C598" s="107" t="s">
        <v>41</v>
      </c>
      <c r="D598" t="s">
        <v>8</v>
      </c>
      <c r="E598">
        <f>SUM(E599:E603)</f>
        <v>7569375.6246199999</v>
      </c>
      <c r="F598">
        <f>SUM(F599:F603)</f>
        <v>3081652.5412900001</v>
      </c>
      <c r="G598">
        <f t="shared" ref="G598:I598" si="148">SUM(G599:G603)</f>
        <v>4251715.3073300002</v>
      </c>
      <c r="H598">
        <f t="shared" si="148"/>
        <v>236007.77600000001</v>
      </c>
      <c r="I598">
        <f t="shared" si="148"/>
        <v>0</v>
      </c>
      <c r="J598" s="107" t="s">
        <v>1568</v>
      </c>
      <c r="K598" s="107" t="s">
        <v>1566</v>
      </c>
      <c r="M598">
        <v>6057773.0800000001</v>
      </c>
      <c r="N598">
        <v>1639917.75</v>
      </c>
      <c r="O598">
        <v>4251715.3099999996</v>
      </c>
      <c r="P598">
        <v>166140.01999999999</v>
      </c>
      <c r="Q598" t="s">
        <v>1277</v>
      </c>
      <c r="R598">
        <f t="shared" si="144"/>
        <v>-1511602.5446199998</v>
      </c>
      <c r="S598">
        <f t="shared" si="144"/>
        <v>-1441734.7912900001</v>
      </c>
      <c r="T598">
        <f t="shared" si="144"/>
        <v>2.6699993759393692E-3</v>
      </c>
      <c r="U598">
        <f t="shared" si="144"/>
        <v>-69867.756000000023</v>
      </c>
    </row>
    <row r="599" spans="1:21" x14ac:dyDescent="0.25">
      <c r="A599" s="107"/>
      <c r="B599" s="107"/>
      <c r="C599" s="107"/>
      <c r="D599">
        <v>2021</v>
      </c>
      <c r="E599">
        <f t="shared" ref="E599:E603" si="149">F599+G599+H599+I599</f>
        <v>764910.1</v>
      </c>
      <c r="F599">
        <f t="shared" ref="F599:I603" si="150">F605+F611+F617+F623+F629+F635+F647+F641+F653+F659+F665</f>
        <v>77584.399999999994</v>
      </c>
      <c r="G599">
        <f t="shared" ref="G599:I599" si="151">G605+G611+G617+G623+G629+G635+G647+G641+G653+G659+G665</f>
        <v>671842.1</v>
      </c>
      <c r="H599">
        <f t="shared" si="151"/>
        <v>15483.6</v>
      </c>
      <c r="I599">
        <f t="shared" si="151"/>
        <v>0</v>
      </c>
      <c r="J599" s="107"/>
      <c r="K599" s="107"/>
      <c r="M599">
        <v>764910.1</v>
      </c>
      <c r="N599">
        <v>77584.399999999994</v>
      </c>
      <c r="O599">
        <v>671842.1</v>
      </c>
      <c r="P599">
        <v>15483.6</v>
      </c>
      <c r="Q599" t="s">
        <v>1277</v>
      </c>
      <c r="R599">
        <f t="shared" si="144"/>
        <v>0</v>
      </c>
      <c r="S599">
        <f t="shared" si="144"/>
        <v>0</v>
      </c>
      <c r="T599">
        <f t="shared" si="144"/>
        <v>0</v>
      </c>
      <c r="U599">
        <f t="shared" si="144"/>
        <v>0</v>
      </c>
    </row>
    <row r="600" spans="1:21" x14ac:dyDescent="0.25">
      <c r="A600" s="107"/>
      <c r="B600" s="107"/>
      <c r="C600" s="107"/>
      <c r="D600">
        <v>2022</v>
      </c>
      <c r="E600">
        <f t="shared" si="149"/>
        <v>1448802.7592</v>
      </c>
      <c r="F600">
        <f t="shared" si="150"/>
        <v>293452.24061000004</v>
      </c>
      <c r="G600">
        <f t="shared" si="150"/>
        <v>1150922.8755900001</v>
      </c>
      <c r="H600">
        <f t="shared" si="150"/>
        <v>4427.643</v>
      </c>
      <c r="I600">
        <f t="shared" si="150"/>
        <v>0</v>
      </c>
      <c r="J600" s="107"/>
      <c r="K600" s="107"/>
      <c r="M600">
        <v>2821177.92</v>
      </c>
      <c r="N600">
        <v>260611.45</v>
      </c>
      <c r="O600">
        <v>2445224.33</v>
      </c>
      <c r="P600">
        <v>115342.14</v>
      </c>
      <c r="Q600" t="s">
        <v>1277</v>
      </c>
      <c r="R600">
        <f t="shared" si="144"/>
        <v>1372375.1608</v>
      </c>
      <c r="S600">
        <f t="shared" si="144"/>
        <v>-32840.790610000025</v>
      </c>
      <c r="T600">
        <f t="shared" si="144"/>
        <v>1294301.45441</v>
      </c>
      <c r="U600">
        <f t="shared" si="144"/>
        <v>110914.497</v>
      </c>
    </row>
    <row r="601" spans="1:21" x14ac:dyDescent="0.25">
      <c r="A601" s="107"/>
      <c r="B601" s="107"/>
      <c r="C601" s="107"/>
      <c r="D601">
        <v>2023</v>
      </c>
      <c r="E601">
        <f t="shared" si="149"/>
        <v>3274057.3687399998</v>
      </c>
      <c r="F601">
        <f t="shared" si="150"/>
        <v>1116342.781</v>
      </c>
      <c r="G601">
        <f t="shared" si="150"/>
        <v>1941618.0547400001</v>
      </c>
      <c r="H601">
        <f t="shared" si="150"/>
        <v>216096.533</v>
      </c>
      <c r="I601">
        <f t="shared" si="150"/>
        <v>0</v>
      </c>
      <c r="J601" s="107"/>
      <c r="K601" s="107"/>
      <c r="M601">
        <v>1659150.06</v>
      </c>
      <c r="N601">
        <v>489186.9</v>
      </c>
      <c r="O601">
        <v>1134648.8799999999</v>
      </c>
      <c r="P601">
        <v>35314.28</v>
      </c>
      <c r="Q601" t="s">
        <v>1277</v>
      </c>
      <c r="R601">
        <f t="shared" si="144"/>
        <v>-1614907.3087399998</v>
      </c>
      <c r="S601">
        <f t="shared" si="144"/>
        <v>-627155.88099999994</v>
      </c>
      <c r="T601">
        <f t="shared" si="144"/>
        <v>-806969.17474000016</v>
      </c>
      <c r="U601">
        <f t="shared" si="144"/>
        <v>-180782.253</v>
      </c>
    </row>
    <row r="602" spans="1:21" x14ac:dyDescent="0.25">
      <c r="A602" s="107"/>
      <c r="B602" s="107"/>
      <c r="C602" s="107"/>
      <c r="D602">
        <v>2024</v>
      </c>
      <c r="E602">
        <f t="shared" si="149"/>
        <v>2081605.39668</v>
      </c>
      <c r="F602">
        <f t="shared" si="150"/>
        <v>1594273.11968</v>
      </c>
      <c r="G602">
        <f t="shared" si="150"/>
        <v>487332.277</v>
      </c>
      <c r="H602">
        <f t="shared" si="150"/>
        <v>0</v>
      </c>
      <c r="I602">
        <f t="shared" si="150"/>
        <v>0</v>
      </c>
      <c r="J602" s="107"/>
      <c r="K602" s="107"/>
      <c r="M602">
        <v>812535</v>
      </c>
      <c r="N602">
        <v>812535</v>
      </c>
      <c r="O602" t="s">
        <v>1277</v>
      </c>
      <c r="P602" t="s">
        <v>1277</v>
      </c>
      <c r="Q602" t="s">
        <v>1277</v>
      </c>
      <c r="R602">
        <f t="shared" si="144"/>
        <v>-1269070.39668</v>
      </c>
      <c r="S602">
        <f t="shared" si="144"/>
        <v>-781738.11968</v>
      </c>
      <c r="T602" t="e">
        <f t="shared" si="144"/>
        <v>#VALUE!</v>
      </c>
      <c r="U602" t="e">
        <f t="shared" si="144"/>
        <v>#VALUE!</v>
      </c>
    </row>
    <row r="603" spans="1:21" x14ac:dyDescent="0.25">
      <c r="A603" s="107"/>
      <c r="B603" s="107"/>
      <c r="C603" s="107"/>
      <c r="D603">
        <v>2025</v>
      </c>
      <c r="E603">
        <f t="shared" si="149"/>
        <v>0</v>
      </c>
      <c r="F603">
        <f t="shared" si="150"/>
        <v>0</v>
      </c>
      <c r="G603">
        <f t="shared" si="150"/>
        <v>0</v>
      </c>
      <c r="H603">
        <f t="shared" si="150"/>
        <v>0</v>
      </c>
      <c r="I603">
        <f t="shared" si="150"/>
        <v>0</v>
      </c>
      <c r="J603" s="107"/>
      <c r="K603" s="107"/>
      <c r="M603" t="s">
        <v>1277</v>
      </c>
      <c r="N603" t="s">
        <v>1277</v>
      </c>
      <c r="O603" t="s">
        <v>1277</v>
      </c>
      <c r="P603" t="s">
        <v>1277</v>
      </c>
      <c r="Q603" t="s">
        <v>1277</v>
      </c>
      <c r="R603" t="e">
        <f t="shared" si="144"/>
        <v>#VALUE!</v>
      </c>
      <c r="S603" t="e">
        <f t="shared" si="144"/>
        <v>#VALUE!</v>
      </c>
      <c r="T603" t="e">
        <f t="shared" si="144"/>
        <v>#VALUE!</v>
      </c>
      <c r="U603" t="e">
        <f t="shared" si="144"/>
        <v>#VALUE!</v>
      </c>
    </row>
    <row r="604" spans="1:21" x14ac:dyDescent="0.25">
      <c r="A604" s="107" t="s">
        <v>119</v>
      </c>
      <c r="B604" s="107" t="s">
        <v>221</v>
      </c>
      <c r="C604" s="107" t="s">
        <v>41</v>
      </c>
      <c r="D604" t="s">
        <v>8</v>
      </c>
      <c r="E604">
        <f t="shared" ref="E604:E609" si="152">SUM(F604:I604)</f>
        <v>2878163.301</v>
      </c>
      <c r="F604">
        <f>SUM(F605:F609)</f>
        <v>363447.44900000002</v>
      </c>
      <c r="G604">
        <f t="shared" ref="G604:I604" si="153">SUM(G605:G609)</f>
        <v>2278708.0759999999</v>
      </c>
      <c r="H604">
        <f t="shared" si="153"/>
        <v>236007.77600000001</v>
      </c>
      <c r="I604">
        <f t="shared" si="153"/>
        <v>0</v>
      </c>
      <c r="J604" s="107" t="s">
        <v>1569</v>
      </c>
      <c r="K604" s="107" t="s">
        <v>1265</v>
      </c>
    </row>
    <row r="605" spans="1:21" x14ac:dyDescent="0.25">
      <c r="A605" s="107"/>
      <c r="B605" s="107"/>
      <c r="C605" s="107"/>
      <c r="D605">
        <v>2021</v>
      </c>
      <c r="E605">
        <f t="shared" si="152"/>
        <v>728044.6</v>
      </c>
      <c r="F605">
        <v>46143.6</v>
      </c>
      <c r="G605">
        <v>666417.4</v>
      </c>
      <c r="H605">
        <v>15483.6</v>
      </c>
      <c r="I605">
        <v>0</v>
      </c>
      <c r="J605" s="107"/>
      <c r="K605" s="107"/>
    </row>
    <row r="606" spans="1:21" x14ac:dyDescent="0.25">
      <c r="A606" s="107"/>
      <c r="B606" s="107"/>
      <c r="C606" s="107"/>
      <c r="D606">
        <v>2022</v>
      </c>
      <c r="E606">
        <f t="shared" si="152"/>
        <v>934401.63358999998</v>
      </c>
      <c r="F606">
        <v>81988.455000000002</v>
      </c>
      <c r="G606">
        <f>1380745.625-(532760089.41/1000)</f>
        <v>847985.53558999998</v>
      </c>
      <c r="H606">
        <v>4427.643</v>
      </c>
      <c r="I606">
        <v>0</v>
      </c>
      <c r="J606" s="107"/>
      <c r="K606" s="107"/>
    </row>
    <row r="607" spans="1:21" x14ac:dyDescent="0.25">
      <c r="A607" s="107"/>
      <c r="B607" s="107"/>
      <c r="C607" s="107"/>
      <c r="D607">
        <v>2023</v>
      </c>
      <c r="E607">
        <f t="shared" si="152"/>
        <v>1215717.0674099999</v>
      </c>
      <c r="F607">
        <v>235315.394</v>
      </c>
      <c r="G607">
        <f>231545.051+(532760089.41/1000)</f>
        <v>764305.14040999999</v>
      </c>
      <c r="H607">
        <v>216096.533</v>
      </c>
      <c r="I607">
        <v>0</v>
      </c>
      <c r="J607" s="107"/>
      <c r="K607" s="107"/>
    </row>
    <row r="608" spans="1:21" x14ac:dyDescent="0.25">
      <c r="A608" s="107"/>
      <c r="B608" s="107"/>
      <c r="C608" s="107"/>
      <c r="D608">
        <v>2024</v>
      </c>
      <c r="E608">
        <f t="shared" si="152"/>
        <v>0</v>
      </c>
      <c r="I608">
        <v>0</v>
      </c>
      <c r="J608" s="107"/>
      <c r="K608" s="107"/>
    </row>
    <row r="609" spans="1:11" x14ac:dyDescent="0.25">
      <c r="A609" s="107"/>
      <c r="B609" s="107"/>
      <c r="C609" s="107"/>
      <c r="D609">
        <v>2025</v>
      </c>
      <c r="E609">
        <f t="shared" si="152"/>
        <v>0</v>
      </c>
      <c r="I609">
        <v>0</v>
      </c>
      <c r="J609" s="107"/>
      <c r="K609" s="107"/>
    </row>
    <row r="610" spans="1:11" x14ac:dyDescent="0.25">
      <c r="A610" s="107" t="s">
        <v>122</v>
      </c>
      <c r="B610" s="107" t="s">
        <v>1570</v>
      </c>
      <c r="C610" s="107">
        <v>2021</v>
      </c>
      <c r="D610" t="s">
        <v>8</v>
      </c>
      <c r="E610">
        <f t="shared" ref="E610:E615" si="154">F610+G610+H610+I610</f>
        <v>6719.2000000000007</v>
      </c>
      <c r="F610">
        <f>F611+F612+F613+F614+F615</f>
        <v>6032.1</v>
      </c>
      <c r="G610">
        <f t="shared" ref="G610:I610" si="155">G611+G612+G613+G614+G615</f>
        <v>687.1</v>
      </c>
      <c r="H610">
        <f t="shared" si="155"/>
        <v>0</v>
      </c>
      <c r="I610">
        <f t="shared" si="155"/>
        <v>0</v>
      </c>
      <c r="J610" s="107" t="s">
        <v>1571</v>
      </c>
      <c r="K610" s="107" t="s">
        <v>1311</v>
      </c>
    </row>
    <row r="611" spans="1:11" x14ac:dyDescent="0.25">
      <c r="A611" s="107"/>
      <c r="B611" s="107"/>
      <c r="C611" s="107"/>
      <c r="D611">
        <v>2021</v>
      </c>
      <c r="E611">
        <f t="shared" si="154"/>
        <v>6719.2000000000007</v>
      </c>
      <c r="F611">
        <v>6032.1</v>
      </c>
      <c r="G611">
        <v>687.1</v>
      </c>
      <c r="J611" s="107"/>
      <c r="K611" s="107"/>
    </row>
    <row r="612" spans="1:11" x14ac:dyDescent="0.25">
      <c r="A612" s="107"/>
      <c r="B612" s="107"/>
      <c r="C612" s="107"/>
      <c r="D612">
        <v>2022</v>
      </c>
      <c r="E612">
        <f t="shared" si="154"/>
        <v>0</v>
      </c>
      <c r="J612" s="107"/>
      <c r="K612" s="107"/>
    </row>
    <row r="613" spans="1:11" x14ac:dyDescent="0.25">
      <c r="A613" s="107"/>
      <c r="B613" s="107"/>
      <c r="C613" s="107"/>
      <c r="D613">
        <v>2023</v>
      </c>
      <c r="E613">
        <f t="shared" si="154"/>
        <v>0</v>
      </c>
      <c r="J613" s="107"/>
      <c r="K613" s="107"/>
    </row>
    <row r="614" spans="1:11" x14ac:dyDescent="0.25">
      <c r="A614" s="107"/>
      <c r="B614" s="107"/>
      <c r="C614" s="107"/>
      <c r="D614">
        <v>2024</v>
      </c>
      <c r="E614">
        <f t="shared" si="154"/>
        <v>0</v>
      </c>
      <c r="J614" s="107"/>
      <c r="K614" s="107"/>
    </row>
    <row r="615" spans="1:11" x14ac:dyDescent="0.25">
      <c r="A615" s="107"/>
      <c r="B615" s="107"/>
      <c r="C615" s="107"/>
      <c r="D615">
        <v>2025</v>
      </c>
      <c r="E615">
        <f t="shared" si="154"/>
        <v>0</v>
      </c>
      <c r="J615" s="107"/>
      <c r="K615" s="107"/>
    </row>
    <row r="616" spans="1:11" x14ac:dyDescent="0.25">
      <c r="A616" s="107" t="s">
        <v>126</v>
      </c>
      <c r="B616" s="107" t="s">
        <v>1572</v>
      </c>
      <c r="C616" s="107" t="s">
        <v>19</v>
      </c>
      <c r="D616" t="s">
        <v>8</v>
      </c>
      <c r="E616">
        <f>E617+E618+E619+E620+E621</f>
        <v>105864.88442</v>
      </c>
      <c r="F616">
        <f t="shared" ref="F616:I616" si="156">F617+F618+F619+F620+F621</f>
        <v>40796.734420000001</v>
      </c>
      <c r="G616">
        <f t="shared" si="156"/>
        <v>65068.15</v>
      </c>
      <c r="H616">
        <f t="shared" si="156"/>
        <v>0</v>
      </c>
      <c r="I616">
        <f t="shared" si="156"/>
        <v>0</v>
      </c>
      <c r="J616" s="107" t="s">
        <v>1573</v>
      </c>
      <c r="K616" s="107" t="s">
        <v>1311</v>
      </c>
    </row>
    <row r="617" spans="1:11" x14ac:dyDescent="0.25">
      <c r="A617" s="107"/>
      <c r="B617" s="107"/>
      <c r="C617" s="107"/>
      <c r="D617">
        <v>2021</v>
      </c>
      <c r="E617">
        <f t="shared" ref="E617:E621" si="157">SUM(F617:I617)</f>
        <v>5568.3</v>
      </c>
      <c r="F617">
        <v>4619.7</v>
      </c>
      <c r="G617">
        <v>948.6</v>
      </c>
      <c r="J617" s="107"/>
      <c r="K617" s="107"/>
    </row>
    <row r="618" spans="1:11" x14ac:dyDescent="0.25">
      <c r="A618" s="107"/>
      <c r="B618" s="107"/>
      <c r="C618" s="107"/>
      <c r="D618">
        <v>2022</v>
      </c>
      <c r="E618">
        <f t="shared" si="157"/>
        <v>66596.986420000001</v>
      </c>
      <c r="F618">
        <f>1606.37+401+(470066.42/1000)</f>
        <v>2477.43642</v>
      </c>
      <c r="G618">
        <v>64119.55</v>
      </c>
      <c r="J618" s="107"/>
      <c r="K618" s="107"/>
    </row>
    <row r="619" spans="1:11" x14ac:dyDescent="0.25">
      <c r="A619" s="107"/>
      <c r="B619" s="107"/>
      <c r="C619" s="107"/>
      <c r="D619">
        <v>2023</v>
      </c>
      <c r="E619">
        <f t="shared" si="157"/>
        <v>33699.597999999998</v>
      </c>
      <c r="F619">
        <v>33699.597999999998</v>
      </c>
      <c r="G619">
        <v>0</v>
      </c>
      <c r="J619" s="107"/>
      <c r="K619" s="107"/>
    </row>
    <row r="620" spans="1:11" x14ac:dyDescent="0.25">
      <c r="A620" s="107"/>
      <c r="B620" s="107"/>
      <c r="C620" s="107"/>
      <c r="D620">
        <v>2024</v>
      </c>
      <c r="E620">
        <f t="shared" si="157"/>
        <v>0</v>
      </c>
      <c r="J620" s="107"/>
      <c r="K620" s="107"/>
    </row>
    <row r="621" spans="1:11" x14ac:dyDescent="0.25">
      <c r="A621" s="107"/>
      <c r="B621" s="107"/>
      <c r="C621" s="107"/>
      <c r="D621">
        <v>2025</v>
      </c>
      <c r="E621">
        <f t="shared" si="157"/>
        <v>0</v>
      </c>
      <c r="J621" s="107"/>
      <c r="K621" s="107"/>
    </row>
    <row r="622" spans="1:11" x14ac:dyDescent="0.25">
      <c r="A622" s="107" t="s">
        <v>128</v>
      </c>
      <c r="B622" s="107" t="s">
        <v>1574</v>
      </c>
      <c r="C622" s="107" t="s">
        <v>1575</v>
      </c>
      <c r="D622" t="s">
        <v>8</v>
      </c>
      <c r="E622">
        <f>SUM(E623:E627)</f>
        <v>37755.832680000029</v>
      </c>
      <c r="F622">
        <f>SUM(F623:F627)</f>
        <v>35383.428350000009</v>
      </c>
      <c r="G622">
        <f t="shared" ref="G622:I622" si="158">SUM(G623:G627)</f>
        <v>2372.4043300000253</v>
      </c>
      <c r="H622">
        <f t="shared" si="158"/>
        <v>0</v>
      </c>
      <c r="I622">
        <f t="shared" si="158"/>
        <v>0</v>
      </c>
      <c r="J622" s="107" t="s">
        <v>1576</v>
      </c>
      <c r="K622" s="107" t="s">
        <v>1311</v>
      </c>
    </row>
    <row r="623" spans="1:11" x14ac:dyDescent="0.25">
      <c r="A623" s="107"/>
      <c r="B623" s="107"/>
      <c r="C623" s="107"/>
      <c r="D623">
        <v>2021</v>
      </c>
      <c r="E623">
        <f t="shared" ref="E623:E627" si="159">SUM(F623:I623)</f>
        <v>18087.7</v>
      </c>
      <c r="F623">
        <v>15715.3</v>
      </c>
      <c r="G623">
        <v>2372.4</v>
      </c>
      <c r="J623" s="107"/>
      <c r="K623" s="107"/>
    </row>
    <row r="624" spans="1:11" x14ac:dyDescent="0.25">
      <c r="A624" s="107"/>
      <c r="B624" s="107"/>
      <c r="C624" s="107"/>
      <c r="D624">
        <v>2022</v>
      </c>
      <c r="E624">
        <f t="shared" si="159"/>
        <v>17693.76367</v>
      </c>
      <c r="F624">
        <f>16743.154+(950609.67/1000)</f>
        <v>17693.76367</v>
      </c>
      <c r="G624">
        <v>0</v>
      </c>
      <c r="J624" s="107"/>
      <c r="K624" s="107"/>
    </row>
    <row r="625" spans="1:13" x14ac:dyDescent="0.25">
      <c r="A625" s="107"/>
      <c r="B625" s="107"/>
      <c r="C625" s="107"/>
      <c r="D625">
        <v>2023</v>
      </c>
      <c r="E625">
        <f t="shared" si="159"/>
        <v>1974.3743300000251</v>
      </c>
      <c r="F625">
        <v>1974.37</v>
      </c>
      <c r="G625">
        <f>881549.16-(881549155.67/1000)</f>
        <v>4.3300000252202153E-3</v>
      </c>
      <c r="J625" s="107"/>
      <c r="K625" s="107"/>
      <c r="M625">
        <f>17994.5-1714.12</f>
        <v>16280.380000000001</v>
      </c>
    </row>
    <row r="626" spans="1:13" x14ac:dyDescent="0.25">
      <c r="A626" s="107"/>
      <c r="B626" s="107"/>
      <c r="C626" s="107"/>
      <c r="D626">
        <v>2024</v>
      </c>
      <c r="E626">
        <f t="shared" si="159"/>
        <v>-5.3199999965727329E-3</v>
      </c>
      <c r="F626">
        <f>812535-(812535005.32/1000)</f>
        <v>-5.3199999965727329E-3</v>
      </c>
      <c r="J626" s="107"/>
      <c r="K626" s="107"/>
    </row>
    <row r="627" spans="1:13" x14ac:dyDescent="0.25">
      <c r="A627" s="107"/>
      <c r="B627" s="107"/>
      <c r="C627" s="107"/>
      <c r="D627">
        <v>2025</v>
      </c>
      <c r="E627">
        <f t="shared" si="159"/>
        <v>0</v>
      </c>
      <c r="J627" s="107"/>
      <c r="K627" s="107"/>
    </row>
    <row r="628" spans="1:13" x14ac:dyDescent="0.25">
      <c r="A628" s="107" t="s">
        <v>1577</v>
      </c>
      <c r="B628" s="107" t="s">
        <v>1578</v>
      </c>
      <c r="C628" s="107" t="s">
        <v>19</v>
      </c>
      <c r="D628" t="s">
        <v>8</v>
      </c>
      <c r="E628">
        <f>SUM(E629:E633)</f>
        <v>157535.11468</v>
      </c>
      <c r="F628">
        <f>SUM(F629:F633)</f>
        <v>34092.954679999995</v>
      </c>
      <c r="G628">
        <f>SUM(G629:G633)</f>
        <v>123442.16</v>
      </c>
      <c r="H628">
        <f>SUM(H629:H633)</f>
        <v>0</v>
      </c>
      <c r="I628">
        <f>SUM(I629:I633)</f>
        <v>0</v>
      </c>
      <c r="J628" s="107" t="s">
        <v>1579</v>
      </c>
      <c r="K628" s="107" t="s">
        <v>1311</v>
      </c>
    </row>
    <row r="629" spans="1:13" x14ac:dyDescent="0.25">
      <c r="A629" s="107"/>
      <c r="B629" s="107"/>
      <c r="C629" s="107"/>
      <c r="D629">
        <v>2021</v>
      </c>
      <c r="E629">
        <f t="shared" ref="E629:E633" si="160">SUM(F629:I629)</f>
        <v>6490.2999999999993</v>
      </c>
      <c r="F629">
        <v>5073.7</v>
      </c>
      <c r="G629">
        <v>1416.6</v>
      </c>
      <c r="J629" s="107"/>
      <c r="K629" s="107"/>
    </row>
    <row r="630" spans="1:13" x14ac:dyDescent="0.25">
      <c r="A630" s="107"/>
      <c r="B630" s="107"/>
      <c r="C630" s="107"/>
      <c r="D630">
        <v>2022</v>
      </c>
      <c r="E630">
        <f t="shared" si="160"/>
        <v>128230.65668</v>
      </c>
      <c r="F630">
        <f>3997.677+(2207419.68/1000)</f>
        <v>6205.0966800000006</v>
      </c>
      <c r="G630">
        <v>122025.56</v>
      </c>
      <c r="J630" s="107"/>
      <c r="K630" s="107"/>
    </row>
    <row r="631" spans="1:13" x14ac:dyDescent="0.25">
      <c r="A631" s="107"/>
      <c r="B631" s="107"/>
      <c r="C631" s="107"/>
      <c r="D631">
        <v>2023</v>
      </c>
      <c r="E631">
        <f t="shared" si="160"/>
        <v>22814.157999999999</v>
      </c>
      <c r="F631">
        <v>22814.157999999999</v>
      </c>
      <c r="G631">
        <v>0</v>
      </c>
      <c r="J631" s="107"/>
      <c r="K631" s="107"/>
    </row>
    <row r="632" spans="1:13" x14ac:dyDescent="0.25">
      <c r="A632" s="107"/>
      <c r="B632" s="107"/>
      <c r="C632" s="107"/>
      <c r="D632">
        <v>2024</v>
      </c>
      <c r="E632">
        <f t="shared" si="160"/>
        <v>0</v>
      </c>
      <c r="J632" s="107"/>
      <c r="K632" s="107"/>
    </row>
    <row r="633" spans="1:13" x14ac:dyDescent="0.25">
      <c r="A633" s="107"/>
      <c r="B633" s="107"/>
      <c r="C633" s="107"/>
      <c r="D633">
        <v>2025</v>
      </c>
      <c r="E633">
        <f t="shared" si="160"/>
        <v>0</v>
      </c>
      <c r="J633" s="107"/>
      <c r="K633" s="107"/>
    </row>
    <row r="634" spans="1:13" x14ac:dyDescent="0.25">
      <c r="A634" s="107" t="s">
        <v>1580</v>
      </c>
      <c r="B634" s="107" t="s">
        <v>1581</v>
      </c>
      <c r="C634" s="107" t="s">
        <v>1332</v>
      </c>
      <c r="D634" t="s">
        <v>8</v>
      </c>
      <c r="E634">
        <f>SUM(E635:E639)</f>
        <v>736319.99799999991</v>
      </c>
      <c r="F634">
        <f>SUM(F635:F639)</f>
        <v>481069.658</v>
      </c>
      <c r="G634">
        <f>SUM(G635:G639)</f>
        <v>255250.34</v>
      </c>
      <c r="H634">
        <f>SUM(H635:H639)</f>
        <v>0</v>
      </c>
      <c r="I634">
        <f>SUM(I635:I639)</f>
        <v>0</v>
      </c>
      <c r="J634" s="107" t="s">
        <v>1582</v>
      </c>
      <c r="K634" s="107" t="s">
        <v>1311</v>
      </c>
    </row>
    <row r="635" spans="1:13" x14ac:dyDescent="0.25">
      <c r="A635" s="107"/>
      <c r="B635" s="107"/>
      <c r="C635" s="107"/>
      <c r="D635">
        <v>2021</v>
      </c>
      <c r="E635">
        <f t="shared" ref="E635:E639" si="161">SUM(F635:I635)</f>
        <v>0</v>
      </c>
      <c r="J635" s="107"/>
      <c r="K635" s="107"/>
    </row>
    <row r="636" spans="1:13" x14ac:dyDescent="0.25">
      <c r="A636" s="107"/>
      <c r="B636" s="107"/>
      <c r="C636" s="107"/>
      <c r="D636">
        <v>2022</v>
      </c>
      <c r="E636">
        <f t="shared" si="161"/>
        <v>37168.47</v>
      </c>
      <c r="F636">
        <v>37168.47</v>
      </c>
      <c r="G636">
        <v>0</v>
      </c>
      <c r="J636" s="107"/>
      <c r="K636" s="107"/>
    </row>
    <row r="637" spans="1:13" x14ac:dyDescent="0.25">
      <c r="A637" s="107"/>
      <c r="B637" s="107"/>
      <c r="C637" s="107"/>
      <c r="D637">
        <v>2023</v>
      </c>
      <c r="E637">
        <f t="shared" si="161"/>
        <v>494460.80099999998</v>
      </c>
      <c r="F637">
        <v>239210.46100000001</v>
      </c>
      <c r="G637">
        <v>255250.34</v>
      </c>
      <c r="J637" s="107"/>
      <c r="K637" s="107"/>
    </row>
    <row r="638" spans="1:13" x14ac:dyDescent="0.25">
      <c r="A638" s="107"/>
      <c r="B638" s="107"/>
      <c r="C638" s="107"/>
      <c r="D638">
        <v>2024</v>
      </c>
      <c r="E638">
        <f t="shared" si="161"/>
        <v>204690.72700000001</v>
      </c>
      <c r="F638">
        <v>204690.72700000001</v>
      </c>
      <c r="J638" s="107"/>
      <c r="K638" s="107"/>
    </row>
    <row r="639" spans="1:13" x14ac:dyDescent="0.25">
      <c r="A639" s="107"/>
      <c r="B639" s="107"/>
      <c r="C639" s="107"/>
      <c r="D639">
        <v>2025</v>
      </c>
      <c r="E639">
        <f t="shared" si="161"/>
        <v>0</v>
      </c>
      <c r="J639" s="107"/>
      <c r="K639" s="107"/>
    </row>
    <row r="640" spans="1:13" x14ac:dyDescent="0.25">
      <c r="A640" s="107" t="s">
        <v>1583</v>
      </c>
      <c r="B640" s="107" t="s">
        <v>1584</v>
      </c>
      <c r="C640" s="107" t="s">
        <v>1332</v>
      </c>
      <c r="D640" t="s">
        <v>8</v>
      </c>
      <c r="E640">
        <f>SUM(E641:E645)</f>
        <v>708119.99699999997</v>
      </c>
      <c r="F640">
        <f>SUM(F641:F645)</f>
        <v>397402.30099999998</v>
      </c>
      <c r="G640">
        <f t="shared" ref="G640:I640" si="162">SUM(G641:G645)</f>
        <v>310717.696</v>
      </c>
      <c r="H640">
        <f t="shared" si="162"/>
        <v>0</v>
      </c>
      <c r="I640">
        <f t="shared" si="162"/>
        <v>0</v>
      </c>
      <c r="J640" s="107" t="s">
        <v>1585</v>
      </c>
      <c r="K640" s="107" t="s">
        <v>1311</v>
      </c>
    </row>
    <row r="641" spans="1:11" x14ac:dyDescent="0.25">
      <c r="A641" s="107"/>
      <c r="B641" s="107"/>
      <c r="C641" s="107"/>
      <c r="D641">
        <v>2021</v>
      </c>
      <c r="E641">
        <f t="shared" ref="E641:E645" si="163">SUM(F641:I641)</f>
        <v>0</v>
      </c>
      <c r="J641" s="107"/>
      <c r="K641" s="107"/>
    </row>
    <row r="642" spans="1:11" x14ac:dyDescent="0.25">
      <c r="A642" s="107"/>
      <c r="B642" s="107"/>
      <c r="C642" s="107"/>
      <c r="D642">
        <v>2022</v>
      </c>
      <c r="E642">
        <f t="shared" si="163"/>
        <v>42200.684999999998</v>
      </c>
      <c r="F642">
        <v>42200.684999999998</v>
      </c>
      <c r="G642">
        <v>0</v>
      </c>
      <c r="J642" s="107"/>
      <c r="K642" s="107"/>
    </row>
    <row r="643" spans="1:11" x14ac:dyDescent="0.25">
      <c r="A643" s="107"/>
      <c r="B643" s="107"/>
      <c r="C643" s="107"/>
      <c r="D643">
        <v>2023</v>
      </c>
      <c r="E643">
        <f t="shared" si="163"/>
        <v>472013.34700000001</v>
      </c>
      <c r="F643">
        <v>161295.65100000001</v>
      </c>
      <c r="G643">
        <f>21554.671+289163.025</f>
        <v>310717.696</v>
      </c>
      <c r="J643" s="107"/>
      <c r="K643" s="107"/>
    </row>
    <row r="644" spans="1:11" x14ac:dyDescent="0.25">
      <c r="A644" s="107"/>
      <c r="B644" s="107"/>
      <c r="C644" s="107"/>
      <c r="D644">
        <v>2024</v>
      </c>
      <c r="E644">
        <f t="shared" si="163"/>
        <v>193905.965</v>
      </c>
      <c r="F644">
        <v>193905.965</v>
      </c>
      <c r="J644" s="107"/>
      <c r="K644" s="107"/>
    </row>
    <row r="645" spans="1:11" x14ac:dyDescent="0.25">
      <c r="A645" s="107"/>
      <c r="B645" s="107"/>
      <c r="C645" s="107"/>
      <c r="D645">
        <v>2025</v>
      </c>
      <c r="E645">
        <f t="shared" si="163"/>
        <v>0</v>
      </c>
      <c r="J645" s="107"/>
      <c r="K645" s="107"/>
    </row>
    <row r="646" spans="1:11" x14ac:dyDescent="0.25">
      <c r="A646" s="107" t="s">
        <v>1586</v>
      </c>
      <c r="B646" s="107" t="s">
        <v>1587</v>
      </c>
      <c r="C646" s="107" t="s">
        <v>1332</v>
      </c>
      <c r="D646" t="s">
        <v>8</v>
      </c>
      <c r="E646">
        <f>SUM(E647:E651)</f>
        <v>430316.98600000003</v>
      </c>
      <c r="F646">
        <f t="shared" ref="F646:I652" si="164">SUM(F647:F651)</f>
        <v>213188.99</v>
      </c>
      <c r="G646">
        <f t="shared" si="164"/>
        <v>217127.99600000001</v>
      </c>
      <c r="H646">
        <f t="shared" si="164"/>
        <v>0</v>
      </c>
      <c r="I646">
        <f t="shared" si="164"/>
        <v>0</v>
      </c>
      <c r="J646" s="107" t="s">
        <v>1588</v>
      </c>
      <c r="K646" s="107" t="s">
        <v>1311</v>
      </c>
    </row>
    <row r="647" spans="1:11" x14ac:dyDescent="0.25">
      <c r="A647" s="107"/>
      <c r="B647" s="107"/>
      <c r="C647" s="107"/>
      <c r="D647">
        <v>2021</v>
      </c>
      <c r="E647">
        <f t="shared" ref="E647:E651" si="165">SUM(F647:I647)</f>
        <v>0</v>
      </c>
      <c r="F647">
        <v>0</v>
      </c>
      <c r="G647">
        <v>0</v>
      </c>
      <c r="H647">
        <v>0</v>
      </c>
      <c r="I647">
        <v>0</v>
      </c>
      <c r="J647" s="107"/>
      <c r="K647" s="107"/>
    </row>
    <row r="648" spans="1:11" x14ac:dyDescent="0.25">
      <c r="A648" s="107"/>
      <c r="B648" s="107"/>
      <c r="C648" s="107"/>
      <c r="D648">
        <v>2022</v>
      </c>
      <c r="E648">
        <f t="shared" si="165"/>
        <v>56866.707000000002</v>
      </c>
      <c r="F648">
        <v>56866.707000000002</v>
      </c>
      <c r="G648">
        <v>0</v>
      </c>
      <c r="J648" s="107"/>
      <c r="K648" s="107"/>
    </row>
    <row r="649" spans="1:11" x14ac:dyDescent="0.25">
      <c r="A649" s="107"/>
      <c r="B649" s="107"/>
      <c r="C649" s="107"/>
      <c r="D649">
        <v>2023</v>
      </c>
      <c r="E649">
        <f t="shared" si="165"/>
        <v>267309.07900000003</v>
      </c>
      <c r="F649">
        <v>50181.082999999999</v>
      </c>
      <c r="G649">
        <v>217127.99600000001</v>
      </c>
      <c r="J649" s="107"/>
      <c r="K649" s="107"/>
    </row>
    <row r="650" spans="1:11" x14ac:dyDescent="0.25">
      <c r="A650" s="107"/>
      <c r="B650" s="107"/>
      <c r="C650" s="107"/>
      <c r="D650">
        <v>2024</v>
      </c>
      <c r="E650">
        <f t="shared" si="165"/>
        <v>106141.2</v>
      </c>
      <c r="F650">
        <v>106141.2</v>
      </c>
      <c r="J650" s="107"/>
      <c r="K650" s="107"/>
    </row>
    <row r="651" spans="1:11" x14ac:dyDescent="0.25">
      <c r="A651" s="107"/>
      <c r="B651" s="107"/>
      <c r="C651" s="107"/>
      <c r="D651">
        <v>2025</v>
      </c>
      <c r="E651">
        <f t="shared" si="165"/>
        <v>0</v>
      </c>
      <c r="J651" s="107"/>
      <c r="K651" s="107"/>
    </row>
    <row r="652" spans="1:11" x14ac:dyDescent="0.25">
      <c r="A652" s="107" t="s">
        <v>1589</v>
      </c>
      <c r="B652" s="107" t="s">
        <v>1590</v>
      </c>
      <c r="C652" s="107"/>
      <c r="D652" t="s">
        <v>8</v>
      </c>
      <c r="E652">
        <f>SUM(E653:E657)</f>
        <v>179582.50474</v>
      </c>
      <c r="F652">
        <f t="shared" si="164"/>
        <v>62790.274740000001</v>
      </c>
      <c r="G652">
        <f t="shared" si="164"/>
        <v>116792.23</v>
      </c>
      <c r="H652">
        <f t="shared" si="164"/>
        <v>0</v>
      </c>
      <c r="I652">
        <f t="shared" si="164"/>
        <v>0</v>
      </c>
      <c r="J652" s="107" t="s">
        <v>1591</v>
      </c>
      <c r="K652" s="107" t="s">
        <v>1311</v>
      </c>
    </row>
    <row r="653" spans="1:11" x14ac:dyDescent="0.25">
      <c r="A653" s="107"/>
      <c r="B653" s="107"/>
      <c r="C653" s="107"/>
      <c r="D653">
        <v>2021</v>
      </c>
      <c r="E653">
        <f t="shared" ref="E653:E657" si="166">SUM(F653:I653)</f>
        <v>0</v>
      </c>
      <c r="I653">
        <v>0</v>
      </c>
      <c r="J653" s="107"/>
      <c r="K653" s="107"/>
    </row>
    <row r="654" spans="1:11" x14ac:dyDescent="0.25">
      <c r="A654" s="107"/>
      <c r="B654" s="107"/>
      <c r="C654" s="107"/>
      <c r="D654">
        <v>2022</v>
      </c>
      <c r="E654">
        <f t="shared" si="166"/>
        <v>156190.07474000001</v>
      </c>
      <c r="F654">
        <f>43541.317-(4143472.26/1000)</f>
        <v>39397.84474</v>
      </c>
      <c r="G654">
        <v>116792.23</v>
      </c>
      <c r="I654">
        <v>0</v>
      </c>
      <c r="J654" s="107"/>
      <c r="K654" s="107"/>
    </row>
    <row r="655" spans="1:11" x14ac:dyDescent="0.25">
      <c r="A655" s="107"/>
      <c r="B655" s="107"/>
      <c r="C655" s="107"/>
      <c r="D655">
        <v>2023</v>
      </c>
      <c r="E655">
        <f t="shared" si="166"/>
        <v>23392.43</v>
      </c>
      <c r="F655">
        <v>23392.43</v>
      </c>
      <c r="G655">
        <v>0</v>
      </c>
      <c r="I655">
        <v>0</v>
      </c>
      <c r="J655" s="107"/>
      <c r="K655" s="107"/>
    </row>
    <row r="656" spans="1:11" x14ac:dyDescent="0.25">
      <c r="A656" s="107"/>
      <c r="B656" s="107"/>
      <c r="C656" s="107"/>
      <c r="D656">
        <v>2024</v>
      </c>
      <c r="E656">
        <f t="shared" si="166"/>
        <v>0</v>
      </c>
      <c r="F656">
        <v>0</v>
      </c>
      <c r="G656">
        <v>0</v>
      </c>
      <c r="I656">
        <v>0</v>
      </c>
      <c r="J656" s="107"/>
      <c r="K656" s="107"/>
    </row>
    <row r="657" spans="1:11" x14ac:dyDescent="0.25">
      <c r="A657" s="107"/>
      <c r="B657" s="107"/>
      <c r="C657" s="107"/>
      <c r="D657">
        <v>2025</v>
      </c>
      <c r="E657">
        <f t="shared" si="166"/>
        <v>0</v>
      </c>
      <c r="F657">
        <v>0</v>
      </c>
      <c r="G657">
        <v>0</v>
      </c>
      <c r="I657">
        <v>0</v>
      </c>
      <c r="J657" s="107"/>
      <c r="K657" s="107"/>
    </row>
    <row r="658" spans="1:11" x14ac:dyDescent="0.25">
      <c r="A658" s="107" t="s">
        <v>1592</v>
      </c>
      <c r="B658" s="107" t="s">
        <v>1593</v>
      </c>
      <c r="C658" s="107" t="s">
        <v>1332</v>
      </c>
      <c r="D658" t="s">
        <v>8</v>
      </c>
      <c r="E658">
        <f>SUM(E659:E663)</f>
        <v>1102003.6751000001</v>
      </c>
      <c r="F658">
        <f t="shared" ref="F658:I658" si="167">SUM(F659:F663)</f>
        <v>686049.66110000003</v>
      </c>
      <c r="G658">
        <f t="shared" si="167"/>
        <v>415954.01399999997</v>
      </c>
      <c r="H658">
        <f t="shared" si="167"/>
        <v>0</v>
      </c>
      <c r="I658">
        <f t="shared" si="167"/>
        <v>0</v>
      </c>
      <c r="J658" s="107" t="s">
        <v>1594</v>
      </c>
      <c r="K658" s="107" t="s">
        <v>1311</v>
      </c>
    </row>
    <row r="659" spans="1:11" x14ac:dyDescent="0.25">
      <c r="A659" s="107"/>
      <c r="B659" s="107"/>
      <c r="C659" s="107"/>
      <c r="D659">
        <v>2021</v>
      </c>
      <c r="E659">
        <f t="shared" ref="E659:E663" si="168">SUM(F659:I659)</f>
        <v>0</v>
      </c>
      <c r="F659">
        <v>0</v>
      </c>
      <c r="G659">
        <v>0</v>
      </c>
      <c r="H659">
        <v>0</v>
      </c>
      <c r="I659">
        <v>0</v>
      </c>
      <c r="J659" s="107"/>
      <c r="K659" s="107"/>
    </row>
    <row r="660" spans="1:11" x14ac:dyDescent="0.25">
      <c r="A660" s="107"/>
      <c r="B660" s="107"/>
      <c r="C660" s="107"/>
      <c r="D660">
        <v>2022</v>
      </c>
      <c r="E660">
        <f t="shared" si="168"/>
        <v>4196.5760999999993</v>
      </c>
      <c r="F660">
        <f>(4196576.1/1000)</f>
        <v>4196.5760999999993</v>
      </c>
      <c r="G660">
        <v>0</v>
      </c>
      <c r="H660">
        <v>0</v>
      </c>
      <c r="I660">
        <v>0</v>
      </c>
      <c r="J660" s="107"/>
      <c r="K660" s="107"/>
    </row>
    <row r="661" spans="1:11" x14ac:dyDescent="0.25">
      <c r="A661" s="107"/>
      <c r="B661" s="107"/>
      <c r="C661" s="107"/>
      <c r="D661">
        <v>2023</v>
      </c>
      <c r="E661">
        <f t="shared" si="168"/>
        <v>405691.788</v>
      </c>
      <c r="F661">
        <v>232662.96</v>
      </c>
      <c r="G661">
        <v>173028.82800000001</v>
      </c>
      <c r="H661">
        <v>0</v>
      </c>
      <c r="I661">
        <v>0</v>
      </c>
      <c r="J661" s="107"/>
      <c r="K661" s="107"/>
    </row>
    <row r="662" spans="1:11" x14ac:dyDescent="0.25">
      <c r="A662" s="107"/>
      <c r="B662" s="107"/>
      <c r="C662" s="107"/>
      <c r="D662">
        <v>2024</v>
      </c>
      <c r="E662">
        <f t="shared" si="168"/>
        <v>692115.31099999999</v>
      </c>
      <c r="F662">
        <v>449190.125</v>
      </c>
      <c r="G662">
        <v>242925.18599999999</v>
      </c>
      <c r="H662">
        <v>0</v>
      </c>
      <c r="I662">
        <v>0</v>
      </c>
      <c r="J662" s="107"/>
      <c r="K662" s="107"/>
    </row>
    <row r="663" spans="1:11" x14ac:dyDescent="0.25">
      <c r="A663" s="107"/>
      <c r="B663" s="107"/>
      <c r="C663" s="107"/>
      <c r="D663">
        <v>2025</v>
      </c>
      <c r="E663">
        <f t="shared" si="168"/>
        <v>0</v>
      </c>
      <c r="F663">
        <v>0</v>
      </c>
      <c r="G663">
        <v>0</v>
      </c>
      <c r="H663">
        <v>0</v>
      </c>
      <c r="I663">
        <v>0</v>
      </c>
      <c r="J663" s="107"/>
      <c r="K663" s="107"/>
    </row>
    <row r="664" spans="1:11" x14ac:dyDescent="0.25">
      <c r="A664" s="107" t="s">
        <v>1595</v>
      </c>
      <c r="B664" s="107" t="s">
        <v>1596</v>
      </c>
      <c r="C664" s="107" t="s">
        <v>1332</v>
      </c>
      <c r="D664" t="s">
        <v>8</v>
      </c>
      <c r="E664">
        <f>SUM(E665:E669)</f>
        <v>1226994.1310000001</v>
      </c>
      <c r="F664">
        <f>SUM(F665:F669)</f>
        <v>761398.99</v>
      </c>
      <c r="G664">
        <f>SUM(G665:G669)</f>
        <v>465595.14099999995</v>
      </c>
      <c r="H664">
        <f t="shared" ref="H664:I670" si="169">SUM(H665:H669)</f>
        <v>0</v>
      </c>
      <c r="I664">
        <f t="shared" si="169"/>
        <v>0</v>
      </c>
      <c r="J664" s="107" t="s">
        <v>1597</v>
      </c>
      <c r="K664" s="107" t="s">
        <v>1311</v>
      </c>
    </row>
    <row r="665" spans="1:11" x14ac:dyDescent="0.25">
      <c r="A665" s="107"/>
      <c r="B665" s="107"/>
      <c r="C665" s="107"/>
      <c r="D665">
        <v>2021</v>
      </c>
      <c r="E665">
        <f t="shared" ref="E665:E669" si="170">SUM(F665:I665)</f>
        <v>0</v>
      </c>
      <c r="F665">
        <v>0</v>
      </c>
      <c r="G665">
        <v>0</v>
      </c>
      <c r="H665">
        <v>0</v>
      </c>
      <c r="I665">
        <v>0</v>
      </c>
      <c r="J665" s="107"/>
      <c r="K665" s="107"/>
    </row>
    <row r="666" spans="1:11" x14ac:dyDescent="0.25">
      <c r="A666" s="107"/>
      <c r="B666" s="107"/>
      <c r="C666" s="107"/>
      <c r="D666">
        <v>2022</v>
      </c>
      <c r="E666">
        <f t="shared" si="170"/>
        <v>5257.2060000000001</v>
      </c>
      <c r="F666">
        <f>(5257206/1000)</f>
        <v>5257.2060000000001</v>
      </c>
      <c r="G666">
        <v>0</v>
      </c>
      <c r="H666">
        <v>0</v>
      </c>
      <c r="I666">
        <v>0</v>
      </c>
      <c r="J666" s="107"/>
      <c r="K666" s="107"/>
    </row>
    <row r="667" spans="1:11" x14ac:dyDescent="0.25">
      <c r="A667" s="107"/>
      <c r="B667" s="107"/>
      <c r="C667" s="107"/>
      <c r="D667">
        <v>2023</v>
      </c>
      <c r="E667">
        <f t="shared" si="170"/>
        <v>336984.72600000002</v>
      </c>
      <c r="F667">
        <v>115796.67600000001</v>
      </c>
      <c r="G667">
        <v>221188.05</v>
      </c>
      <c r="H667">
        <v>0</v>
      </c>
      <c r="I667">
        <v>0</v>
      </c>
      <c r="J667" s="107"/>
      <c r="K667" s="107"/>
    </row>
    <row r="668" spans="1:11" x14ac:dyDescent="0.25">
      <c r="A668" s="107"/>
      <c r="B668" s="107"/>
      <c r="C668" s="107"/>
      <c r="D668">
        <v>2024</v>
      </c>
      <c r="E668">
        <f t="shared" si="170"/>
        <v>884752.19900000002</v>
      </c>
      <c r="F668">
        <v>640345.10800000001</v>
      </c>
      <c r="G668">
        <v>244407.09099999999</v>
      </c>
      <c r="H668">
        <v>0</v>
      </c>
      <c r="I668">
        <v>0</v>
      </c>
      <c r="J668" s="107"/>
      <c r="K668" s="107"/>
    </row>
    <row r="669" spans="1:11" x14ac:dyDescent="0.25">
      <c r="A669" s="107"/>
      <c r="B669" s="107"/>
      <c r="C669" s="107"/>
      <c r="D669">
        <v>2025</v>
      </c>
      <c r="E669">
        <f t="shared" si="170"/>
        <v>0</v>
      </c>
      <c r="F669">
        <v>0</v>
      </c>
      <c r="G669">
        <v>0</v>
      </c>
      <c r="H669">
        <v>0</v>
      </c>
      <c r="I669">
        <v>0</v>
      </c>
      <c r="J669" s="107"/>
      <c r="K669" s="107"/>
    </row>
    <row r="670" spans="1:11" x14ac:dyDescent="0.25">
      <c r="A670" s="107" t="s">
        <v>1210</v>
      </c>
      <c r="B670" s="107" t="s">
        <v>1598</v>
      </c>
      <c r="C670" s="107" t="s">
        <v>19</v>
      </c>
      <c r="D670" t="s">
        <v>8</v>
      </c>
      <c r="E670">
        <f>SUM(E671:E675)</f>
        <v>742340.43166</v>
      </c>
      <c r="F670">
        <f>SUM(F671:F675)</f>
        <v>719039.84789999994</v>
      </c>
      <c r="G670">
        <f>SUM(G671:G675)</f>
        <v>0</v>
      </c>
      <c r="H670">
        <f t="shared" si="169"/>
        <v>23300.583759999998</v>
      </c>
      <c r="I670">
        <f>SUM(I671:I675)</f>
        <v>0</v>
      </c>
      <c r="J670" s="107" t="s">
        <v>1599</v>
      </c>
      <c r="K670" s="107" t="s">
        <v>1265</v>
      </c>
    </row>
    <row r="671" spans="1:11" x14ac:dyDescent="0.25">
      <c r="A671" s="107"/>
      <c r="B671" s="107"/>
      <c r="C671" s="107"/>
      <c r="D671">
        <v>2021</v>
      </c>
      <c r="E671">
        <f t="shared" ref="E671:E675" si="171">F671+G671+H671+I671</f>
        <v>162591.36775999999</v>
      </c>
      <c r="F671">
        <f t="shared" ref="F671:F672" si="172">F677+F683+F689+F695+F701+F707+F713</f>
        <v>157677.9</v>
      </c>
      <c r="G671">
        <f t="shared" ref="F671:I675" si="173">G677+G683+G689+G695+G701+G707+G713</f>
        <v>0</v>
      </c>
      <c r="H671">
        <f t="shared" si="173"/>
        <v>4913.4677599999995</v>
      </c>
      <c r="I671">
        <f>I677+I683+I689+I695+I701+I707+I713</f>
        <v>0</v>
      </c>
      <c r="J671" s="107"/>
      <c r="K671" s="107"/>
    </row>
    <row r="672" spans="1:11" x14ac:dyDescent="0.25">
      <c r="A672" s="107"/>
      <c r="B672" s="107"/>
      <c r="C672" s="107"/>
      <c r="D672">
        <v>2022</v>
      </c>
      <c r="E672">
        <f t="shared" si="171"/>
        <v>263931.57290000003</v>
      </c>
      <c r="F672">
        <f t="shared" si="172"/>
        <v>248631.77590000001</v>
      </c>
      <c r="G672">
        <f t="shared" si="173"/>
        <v>0</v>
      </c>
      <c r="H672">
        <f t="shared" si="173"/>
        <v>15299.796999999999</v>
      </c>
      <c r="I672">
        <f t="shared" si="173"/>
        <v>0</v>
      </c>
      <c r="J672" s="107"/>
      <c r="K672" s="107"/>
    </row>
    <row r="673" spans="1:11" x14ac:dyDescent="0.25">
      <c r="A673" s="107"/>
      <c r="B673" s="107"/>
      <c r="C673" s="107"/>
      <c r="D673">
        <v>2023</v>
      </c>
      <c r="E673">
        <f t="shared" si="171"/>
        <v>315817.49099999998</v>
      </c>
      <c r="F673">
        <f t="shared" si="173"/>
        <v>312730.17199999996</v>
      </c>
      <c r="G673">
        <f t="shared" si="173"/>
        <v>0</v>
      </c>
      <c r="H673">
        <f t="shared" si="173"/>
        <v>3087.319</v>
      </c>
      <c r="I673">
        <f t="shared" si="173"/>
        <v>0</v>
      </c>
      <c r="J673" s="107"/>
      <c r="K673" s="107"/>
    </row>
    <row r="674" spans="1:11" x14ac:dyDescent="0.25">
      <c r="A674" s="107"/>
      <c r="B674" s="107"/>
      <c r="C674" s="107"/>
      <c r="D674">
        <v>2024</v>
      </c>
      <c r="E674">
        <f t="shared" si="171"/>
        <v>0</v>
      </c>
      <c r="F674">
        <f t="shared" si="173"/>
        <v>0</v>
      </c>
      <c r="G674">
        <f t="shared" si="173"/>
        <v>0</v>
      </c>
      <c r="H674">
        <f t="shared" si="173"/>
        <v>0</v>
      </c>
      <c r="I674">
        <f t="shared" si="173"/>
        <v>0</v>
      </c>
      <c r="J674" s="107"/>
      <c r="K674" s="107"/>
    </row>
    <row r="675" spans="1:11" x14ac:dyDescent="0.25">
      <c r="A675" s="107"/>
      <c r="B675" s="107"/>
      <c r="C675" s="107"/>
      <c r="D675">
        <v>2025</v>
      </c>
      <c r="E675">
        <f t="shared" si="171"/>
        <v>0</v>
      </c>
      <c r="F675">
        <f t="shared" si="173"/>
        <v>0</v>
      </c>
      <c r="G675">
        <f t="shared" si="173"/>
        <v>0</v>
      </c>
      <c r="H675">
        <f t="shared" si="173"/>
        <v>0</v>
      </c>
      <c r="I675">
        <f t="shared" si="173"/>
        <v>0</v>
      </c>
      <c r="J675" s="107"/>
      <c r="K675" s="107"/>
    </row>
    <row r="676" spans="1:11" x14ac:dyDescent="0.25">
      <c r="A676" s="107" t="s">
        <v>1017</v>
      </c>
      <c r="B676" s="107" t="s">
        <v>1600</v>
      </c>
      <c r="C676" s="107">
        <v>2021</v>
      </c>
      <c r="D676" t="s">
        <v>8</v>
      </c>
      <c r="E676">
        <f>SUM(E677:E681)</f>
        <v>44248.067759999998</v>
      </c>
      <c r="F676">
        <f>SUM(F677:F681)</f>
        <v>40518.1</v>
      </c>
      <c r="G676">
        <f t="shared" ref="G676:G677" si="174">SUM(G677:G681)</f>
        <v>0</v>
      </c>
      <c r="H676">
        <f>SUM(H677:H681)</f>
        <v>3729.96776</v>
      </c>
      <c r="I676">
        <f>SUM(I677:I681)</f>
        <v>0</v>
      </c>
      <c r="J676" s="107" t="s">
        <v>1601</v>
      </c>
      <c r="K676" s="107" t="s">
        <v>1265</v>
      </c>
    </row>
    <row r="677" spans="1:11" x14ac:dyDescent="0.25">
      <c r="A677" s="107"/>
      <c r="B677" s="107"/>
      <c r="C677" s="107"/>
      <c r="D677">
        <v>2021</v>
      </c>
      <c r="E677">
        <f t="shared" ref="E677:E681" si="175">F677+G677+H677+I677</f>
        <v>44248.067759999998</v>
      </c>
      <c r="F677">
        <v>40518.1</v>
      </c>
      <c r="G677">
        <f t="shared" si="174"/>
        <v>0</v>
      </c>
      <c r="H677">
        <f>(884447.5+2845520.26)/1000</f>
        <v>3729.96776</v>
      </c>
      <c r="J677" s="107"/>
      <c r="K677" s="107"/>
    </row>
    <row r="678" spans="1:11" x14ac:dyDescent="0.25">
      <c r="A678" s="107"/>
      <c r="B678" s="107"/>
      <c r="C678" s="107"/>
      <c r="D678">
        <v>2022</v>
      </c>
      <c r="E678">
        <f t="shared" si="175"/>
        <v>0</v>
      </c>
      <c r="F678">
        <f t="shared" ref="F678:G681" si="176">G678+H678+I678+J678</f>
        <v>0</v>
      </c>
      <c r="G678">
        <f t="shared" si="176"/>
        <v>0</v>
      </c>
      <c r="H678">
        <f t="shared" ref="H678:H681" si="177">I678+J678+K678+M678</f>
        <v>0</v>
      </c>
      <c r="I678">
        <f t="shared" ref="I678:I681" si="178">J678+K678+M678+N678</f>
        <v>0</v>
      </c>
      <c r="J678" s="107"/>
      <c r="K678" s="107"/>
    </row>
    <row r="679" spans="1:11" x14ac:dyDescent="0.25">
      <c r="A679" s="107"/>
      <c r="B679" s="107"/>
      <c r="C679" s="107"/>
      <c r="D679">
        <v>2023</v>
      </c>
      <c r="E679">
        <f t="shared" si="175"/>
        <v>0</v>
      </c>
      <c r="F679">
        <f t="shared" si="176"/>
        <v>0</v>
      </c>
      <c r="G679">
        <f t="shared" si="176"/>
        <v>0</v>
      </c>
      <c r="H679">
        <f t="shared" si="177"/>
        <v>0</v>
      </c>
      <c r="I679">
        <f t="shared" si="178"/>
        <v>0</v>
      </c>
      <c r="J679" s="107"/>
      <c r="K679" s="107"/>
    </row>
    <row r="680" spans="1:11" x14ac:dyDescent="0.25">
      <c r="A680" s="107"/>
      <c r="B680" s="107"/>
      <c r="C680" s="107"/>
      <c r="D680">
        <v>2024</v>
      </c>
      <c r="E680">
        <f t="shared" si="175"/>
        <v>0</v>
      </c>
      <c r="F680">
        <f t="shared" si="176"/>
        <v>0</v>
      </c>
      <c r="G680">
        <f t="shared" si="176"/>
        <v>0</v>
      </c>
      <c r="H680">
        <f t="shared" si="177"/>
        <v>0</v>
      </c>
      <c r="I680">
        <f t="shared" si="178"/>
        <v>0</v>
      </c>
      <c r="J680" s="107"/>
      <c r="K680" s="107"/>
    </row>
    <row r="681" spans="1:11" x14ac:dyDescent="0.25">
      <c r="A681" s="107"/>
      <c r="B681" s="107"/>
      <c r="C681" s="107"/>
      <c r="D681">
        <v>2025</v>
      </c>
      <c r="E681">
        <f t="shared" si="175"/>
        <v>0</v>
      </c>
      <c r="F681">
        <f t="shared" si="176"/>
        <v>0</v>
      </c>
      <c r="G681">
        <f t="shared" si="176"/>
        <v>0</v>
      </c>
      <c r="H681">
        <f t="shared" si="177"/>
        <v>0</v>
      </c>
      <c r="I681">
        <f t="shared" si="178"/>
        <v>0</v>
      </c>
      <c r="J681" s="107"/>
      <c r="K681" s="107"/>
    </row>
    <row r="682" spans="1:11" x14ac:dyDescent="0.25">
      <c r="A682" s="107" t="s">
        <v>1602</v>
      </c>
      <c r="B682" s="107" t="s">
        <v>1603</v>
      </c>
      <c r="C682" s="107">
        <v>2021</v>
      </c>
      <c r="D682" t="s">
        <v>8</v>
      </c>
      <c r="E682">
        <f>SUM(E683:E687)</f>
        <v>51988.531999999999</v>
      </c>
      <c r="F682">
        <f>SUM(F683:F687)</f>
        <v>38170.506000000001</v>
      </c>
      <c r="G682">
        <f>SUM(G683:G687)</f>
        <v>0</v>
      </c>
      <c r="H682">
        <f>SUM(H683:H687)</f>
        <v>13818.026</v>
      </c>
      <c r="I682">
        <f>SUM(I683:I687)</f>
        <v>0</v>
      </c>
      <c r="J682" s="107" t="s">
        <v>1604</v>
      </c>
      <c r="K682" s="107" t="s">
        <v>1265</v>
      </c>
    </row>
    <row r="683" spans="1:11" x14ac:dyDescent="0.25">
      <c r="A683" s="107"/>
      <c r="B683" s="107"/>
      <c r="C683" s="107"/>
      <c r="D683">
        <v>2021</v>
      </c>
      <c r="E683">
        <v>0</v>
      </c>
      <c r="F683">
        <v>0</v>
      </c>
      <c r="G683">
        <v>0</v>
      </c>
      <c r="H683">
        <v>0</v>
      </c>
      <c r="I683">
        <v>0</v>
      </c>
      <c r="J683" s="107"/>
      <c r="K683" s="107"/>
    </row>
    <row r="684" spans="1:11" x14ac:dyDescent="0.25">
      <c r="A684" s="107"/>
      <c r="B684" s="107"/>
      <c r="C684" s="107"/>
      <c r="D684">
        <v>2022</v>
      </c>
      <c r="E684">
        <f t="shared" ref="E684:E687" si="179">F684+G684+H684+I684</f>
        <v>51988.531999999999</v>
      </c>
      <c r="F684">
        <v>38170.506000000001</v>
      </c>
      <c r="G684">
        <v>0</v>
      </c>
      <c r="H684">
        <v>13818.026</v>
      </c>
      <c r="I684">
        <v>0</v>
      </c>
      <c r="J684" s="107"/>
      <c r="K684" s="107"/>
    </row>
    <row r="685" spans="1:11" x14ac:dyDescent="0.25">
      <c r="A685" s="107"/>
      <c r="B685" s="107"/>
      <c r="C685" s="107"/>
      <c r="D685">
        <v>2023</v>
      </c>
      <c r="E685">
        <f t="shared" si="179"/>
        <v>0</v>
      </c>
      <c r="F685">
        <v>0</v>
      </c>
      <c r="G685">
        <v>0</v>
      </c>
      <c r="H685">
        <v>0</v>
      </c>
      <c r="I685">
        <v>0</v>
      </c>
      <c r="J685" s="107"/>
      <c r="K685" s="107"/>
    </row>
    <row r="686" spans="1:11" x14ac:dyDescent="0.25">
      <c r="A686" s="107"/>
      <c r="B686" s="107"/>
      <c r="C686" s="107"/>
      <c r="D686">
        <v>2024</v>
      </c>
      <c r="E686">
        <f t="shared" si="179"/>
        <v>0</v>
      </c>
      <c r="F686">
        <v>0</v>
      </c>
      <c r="G686">
        <v>0</v>
      </c>
      <c r="H686">
        <v>0</v>
      </c>
      <c r="I686">
        <v>0</v>
      </c>
      <c r="J686" s="107"/>
      <c r="K686" s="107"/>
    </row>
    <row r="687" spans="1:11" x14ac:dyDescent="0.25">
      <c r="A687" s="107"/>
      <c r="B687" s="107"/>
      <c r="C687" s="107"/>
      <c r="D687">
        <v>2025</v>
      </c>
      <c r="E687">
        <f t="shared" si="179"/>
        <v>0</v>
      </c>
      <c r="F687">
        <v>0</v>
      </c>
      <c r="G687">
        <v>0</v>
      </c>
      <c r="H687">
        <v>0</v>
      </c>
      <c r="I687">
        <v>0</v>
      </c>
      <c r="J687" s="107"/>
      <c r="K687" s="107"/>
    </row>
    <row r="688" spans="1:11" x14ac:dyDescent="0.25">
      <c r="A688" s="107" t="s">
        <v>1605</v>
      </c>
      <c r="B688" s="107" t="s">
        <v>1606</v>
      </c>
      <c r="C688" s="107">
        <v>2021</v>
      </c>
      <c r="D688" t="s">
        <v>8</v>
      </c>
      <c r="E688">
        <f>SUM(E689:E693)</f>
        <v>98675.5</v>
      </c>
      <c r="F688">
        <f>SUM(F689:F693)</f>
        <v>97688.7</v>
      </c>
      <c r="G688">
        <f>SUM(G689:G693)</f>
        <v>0</v>
      </c>
      <c r="H688">
        <f>SUM(H689:H693)</f>
        <v>986.8</v>
      </c>
      <c r="I688">
        <f>SUM(I689:I693)</f>
        <v>0</v>
      </c>
      <c r="J688" s="107" t="s">
        <v>1607</v>
      </c>
      <c r="K688" s="107" t="s">
        <v>1265</v>
      </c>
    </row>
    <row r="689" spans="1:11" x14ac:dyDescent="0.25">
      <c r="A689" s="107"/>
      <c r="B689" s="107"/>
      <c r="C689" s="107"/>
      <c r="D689">
        <v>2021</v>
      </c>
      <c r="E689">
        <f t="shared" ref="E689:E699" si="180">F689+G689+H689+I689</f>
        <v>98675.5</v>
      </c>
      <c r="F689">
        <v>97688.7</v>
      </c>
      <c r="G689">
        <v>0</v>
      </c>
      <c r="H689">
        <v>986.8</v>
      </c>
      <c r="I689">
        <v>0</v>
      </c>
      <c r="J689" s="107"/>
      <c r="K689" s="107"/>
    </row>
    <row r="690" spans="1:11" x14ac:dyDescent="0.25">
      <c r="A690" s="107"/>
      <c r="B690" s="107"/>
      <c r="C690" s="107"/>
      <c r="D690">
        <v>2022</v>
      </c>
      <c r="E690">
        <f t="shared" si="180"/>
        <v>0</v>
      </c>
      <c r="F690">
        <v>0</v>
      </c>
      <c r="G690">
        <v>0</v>
      </c>
      <c r="H690">
        <v>0</v>
      </c>
      <c r="I690">
        <v>0</v>
      </c>
      <c r="J690" s="107"/>
      <c r="K690" s="107"/>
    </row>
    <row r="691" spans="1:11" x14ac:dyDescent="0.25">
      <c r="A691" s="107"/>
      <c r="B691" s="107"/>
      <c r="C691" s="107"/>
      <c r="D691">
        <v>2023</v>
      </c>
      <c r="E691">
        <f t="shared" si="180"/>
        <v>0</v>
      </c>
      <c r="F691">
        <v>0</v>
      </c>
      <c r="G691">
        <v>0</v>
      </c>
      <c r="H691">
        <v>0</v>
      </c>
      <c r="I691">
        <v>0</v>
      </c>
      <c r="J691" s="107"/>
      <c r="K691" s="107"/>
    </row>
    <row r="692" spans="1:11" x14ac:dyDescent="0.25">
      <c r="A692" s="107"/>
      <c r="B692" s="107"/>
      <c r="C692" s="107"/>
      <c r="D692">
        <v>2024</v>
      </c>
      <c r="E692">
        <f t="shared" si="180"/>
        <v>0</v>
      </c>
      <c r="F692">
        <v>0</v>
      </c>
      <c r="G692">
        <v>0</v>
      </c>
      <c r="H692">
        <v>0</v>
      </c>
      <c r="I692">
        <v>0</v>
      </c>
      <c r="J692" s="107"/>
      <c r="K692" s="107"/>
    </row>
    <row r="693" spans="1:11" x14ac:dyDescent="0.25">
      <c r="A693" s="107"/>
      <c r="B693" s="107"/>
      <c r="C693" s="107"/>
      <c r="D693">
        <v>2025</v>
      </c>
      <c r="E693">
        <f t="shared" si="180"/>
        <v>0</v>
      </c>
      <c r="F693">
        <v>0</v>
      </c>
      <c r="G693">
        <v>0</v>
      </c>
      <c r="H693">
        <v>0</v>
      </c>
      <c r="I693">
        <v>0</v>
      </c>
      <c r="J693" s="107"/>
      <c r="K693" s="107"/>
    </row>
    <row r="694" spans="1:11" x14ac:dyDescent="0.25">
      <c r="A694" s="107" t="s">
        <v>1608</v>
      </c>
      <c r="B694" s="107" t="s">
        <v>1609</v>
      </c>
      <c r="C694" s="107" t="s">
        <v>124</v>
      </c>
      <c r="D694" t="s">
        <v>8</v>
      </c>
      <c r="E694">
        <f t="shared" si="180"/>
        <v>39335.563999999998</v>
      </c>
      <c r="F694">
        <f>SUM(F695:F699)</f>
        <v>38942.186999999998</v>
      </c>
      <c r="G694">
        <f>SUM(G695:G699)</f>
        <v>0</v>
      </c>
      <c r="H694">
        <f>SUM(H695:H699)</f>
        <v>393.37699999999995</v>
      </c>
      <c r="I694">
        <f>SUM(I695:I699)</f>
        <v>0</v>
      </c>
      <c r="J694" s="107" t="s">
        <v>1610</v>
      </c>
      <c r="K694" s="107" t="s">
        <v>1265</v>
      </c>
    </row>
    <row r="695" spans="1:11" x14ac:dyDescent="0.25">
      <c r="A695" s="107"/>
      <c r="B695" s="107"/>
      <c r="C695" s="107"/>
      <c r="D695">
        <v>2021</v>
      </c>
      <c r="E695">
        <f t="shared" si="180"/>
        <v>19667.8</v>
      </c>
      <c r="F695">
        <v>19471.099999999999</v>
      </c>
      <c r="G695">
        <v>0</v>
      </c>
      <c r="H695">
        <v>196.7</v>
      </c>
      <c r="I695">
        <v>0</v>
      </c>
      <c r="J695" s="107"/>
      <c r="K695" s="107"/>
    </row>
    <row r="696" spans="1:11" x14ac:dyDescent="0.25">
      <c r="A696" s="107"/>
      <c r="B696" s="107"/>
      <c r="C696" s="107"/>
      <c r="D696">
        <v>2022</v>
      </c>
      <c r="E696">
        <f t="shared" si="180"/>
        <v>19667.763999999999</v>
      </c>
      <c r="F696">
        <f>82931.121-63460.034</f>
        <v>19471.087</v>
      </c>
      <c r="G696">
        <v>0</v>
      </c>
      <c r="H696">
        <v>196.67699999999999</v>
      </c>
      <c r="I696">
        <v>0</v>
      </c>
      <c r="J696" s="107"/>
      <c r="K696" s="107"/>
    </row>
    <row r="697" spans="1:11" x14ac:dyDescent="0.25">
      <c r="A697" s="107"/>
      <c r="B697" s="107"/>
      <c r="C697" s="107"/>
      <c r="D697">
        <v>2023</v>
      </c>
      <c r="E697">
        <f t="shared" si="180"/>
        <v>0</v>
      </c>
      <c r="F697">
        <v>0</v>
      </c>
      <c r="G697">
        <v>0</v>
      </c>
      <c r="H697">
        <v>0</v>
      </c>
      <c r="I697">
        <v>0</v>
      </c>
      <c r="J697" s="107"/>
      <c r="K697" s="107"/>
    </row>
    <row r="698" spans="1:11" x14ac:dyDescent="0.25">
      <c r="A698" s="107"/>
      <c r="B698" s="107"/>
      <c r="C698" s="107"/>
      <c r="D698">
        <v>2024</v>
      </c>
      <c r="E698">
        <f t="shared" si="180"/>
        <v>0</v>
      </c>
      <c r="F698">
        <v>0</v>
      </c>
      <c r="G698">
        <v>0</v>
      </c>
      <c r="H698">
        <v>0</v>
      </c>
      <c r="I698">
        <v>0</v>
      </c>
      <c r="J698" s="107"/>
      <c r="K698" s="107"/>
    </row>
    <row r="699" spans="1:11" x14ac:dyDescent="0.25">
      <c r="A699" s="107"/>
      <c r="B699" s="107"/>
      <c r="C699" s="107"/>
      <c r="D699">
        <v>2025</v>
      </c>
      <c r="E699">
        <f t="shared" si="180"/>
        <v>0</v>
      </c>
      <c r="F699">
        <v>0</v>
      </c>
      <c r="G699">
        <v>0</v>
      </c>
      <c r="H699">
        <v>0</v>
      </c>
      <c r="I699">
        <v>0</v>
      </c>
      <c r="J699" s="107"/>
      <c r="K699" s="107"/>
    </row>
    <row r="700" spans="1:11" x14ac:dyDescent="0.25">
      <c r="A700" s="107" t="s">
        <v>1611</v>
      </c>
      <c r="B700" s="107" t="s">
        <v>1612</v>
      </c>
      <c r="C700" s="107">
        <v>2022</v>
      </c>
      <c r="D700" t="s">
        <v>8</v>
      </c>
      <c r="E700">
        <f>SUM(E701:E705)</f>
        <v>128505.10889999999</v>
      </c>
      <c r="F700">
        <f>SUM(F701:F705)</f>
        <v>127220.01489999999</v>
      </c>
      <c r="G700">
        <v>0</v>
      </c>
      <c r="H700">
        <f>SUM(H701:H705)</f>
        <v>1285.0939999999998</v>
      </c>
      <c r="I700">
        <f>SUM(I701:I705)</f>
        <v>0</v>
      </c>
      <c r="J700" s="107" t="s">
        <v>1613</v>
      </c>
      <c r="K700" s="107" t="s">
        <v>1265</v>
      </c>
    </row>
    <row r="701" spans="1:11" x14ac:dyDescent="0.25">
      <c r="A701" s="107"/>
      <c r="B701" s="107"/>
      <c r="C701" s="107"/>
      <c r="D701">
        <v>2021</v>
      </c>
      <c r="E701">
        <v>0</v>
      </c>
      <c r="F701">
        <v>0</v>
      </c>
      <c r="G701">
        <v>0</v>
      </c>
      <c r="H701">
        <v>0</v>
      </c>
      <c r="I701">
        <v>0</v>
      </c>
      <c r="J701" s="107"/>
      <c r="K701" s="107"/>
    </row>
    <row r="702" spans="1:11" x14ac:dyDescent="0.25">
      <c r="A702" s="107"/>
      <c r="B702" s="107"/>
      <c r="C702" s="107"/>
      <c r="D702">
        <v>2022</v>
      </c>
      <c r="E702">
        <f t="shared" ref="E702:E705" si="181">F702+G702+H702+I702</f>
        <v>128505.11189999999</v>
      </c>
      <c r="F702">
        <f>136673.77-(9453752.1/1000)</f>
        <v>127220.01789999999</v>
      </c>
      <c r="G702">
        <v>0</v>
      </c>
      <c r="H702">
        <f>(1216332+164211)/1000-95.449</f>
        <v>1285.0939999999998</v>
      </c>
      <c r="I702">
        <v>0</v>
      </c>
      <c r="J702" s="107"/>
      <c r="K702" s="107"/>
    </row>
    <row r="703" spans="1:11" x14ac:dyDescent="0.25">
      <c r="A703" s="107"/>
      <c r="B703" s="107"/>
      <c r="C703" s="107"/>
      <c r="D703">
        <v>2023</v>
      </c>
      <c r="E703">
        <f t="shared" si="181"/>
        <v>-2.9999999969732016E-3</v>
      </c>
      <c r="F703">
        <f>40498.48-(40498483/1000)</f>
        <v>-2.9999999969732016E-3</v>
      </c>
      <c r="G703">
        <v>0</v>
      </c>
      <c r="H703">
        <v>0</v>
      </c>
      <c r="I703">
        <v>0</v>
      </c>
      <c r="J703" s="107"/>
      <c r="K703" s="107"/>
    </row>
    <row r="704" spans="1:11" x14ac:dyDescent="0.25">
      <c r="A704" s="107"/>
      <c r="B704" s="107"/>
      <c r="C704" s="107"/>
      <c r="D704">
        <v>2024</v>
      </c>
      <c r="E704">
        <f t="shared" si="181"/>
        <v>0</v>
      </c>
      <c r="F704">
        <v>0</v>
      </c>
      <c r="G704">
        <v>0</v>
      </c>
      <c r="H704">
        <v>0</v>
      </c>
      <c r="I704">
        <v>0</v>
      </c>
      <c r="J704" s="107"/>
      <c r="K704" s="107"/>
    </row>
    <row r="705" spans="1:11" x14ac:dyDescent="0.25">
      <c r="A705" s="107"/>
      <c r="B705" s="107"/>
      <c r="C705" s="107"/>
      <c r="D705">
        <v>2025</v>
      </c>
      <c r="E705">
        <f t="shared" si="181"/>
        <v>0</v>
      </c>
      <c r="F705">
        <v>0</v>
      </c>
      <c r="G705">
        <v>0</v>
      </c>
      <c r="H705">
        <v>0</v>
      </c>
      <c r="I705">
        <v>0</v>
      </c>
      <c r="J705" s="107"/>
      <c r="K705" s="107"/>
    </row>
    <row r="706" spans="1:11" x14ac:dyDescent="0.25">
      <c r="A706" s="107" t="s">
        <v>1614</v>
      </c>
      <c r="B706" s="107" t="s">
        <v>1615</v>
      </c>
      <c r="C706" s="107" t="s">
        <v>1169</v>
      </c>
      <c r="D706" t="s">
        <v>8</v>
      </c>
      <c r="E706">
        <f>SUM(E707:E711)</f>
        <v>70855.735000000001</v>
      </c>
      <c r="F706">
        <f>SUM(F707:F711)</f>
        <v>70855.735000000001</v>
      </c>
      <c r="G706">
        <v>0</v>
      </c>
      <c r="H706">
        <f>SUM(H707:H711)</f>
        <v>0</v>
      </c>
      <c r="I706">
        <f>SUM(I707:I711)</f>
        <v>0</v>
      </c>
      <c r="J706" s="107" t="s">
        <v>1616</v>
      </c>
      <c r="K706" s="107" t="s">
        <v>1265</v>
      </c>
    </row>
    <row r="707" spans="1:11" x14ac:dyDescent="0.25">
      <c r="A707" s="107"/>
      <c r="B707" s="107"/>
      <c r="C707" s="107"/>
      <c r="D707">
        <v>2021</v>
      </c>
      <c r="E707">
        <v>0</v>
      </c>
      <c r="F707">
        <v>0</v>
      </c>
      <c r="G707">
        <v>0</v>
      </c>
      <c r="H707">
        <v>0</v>
      </c>
      <c r="I707">
        <v>0</v>
      </c>
      <c r="J707" s="107"/>
      <c r="K707" s="107"/>
    </row>
    <row r="708" spans="1:11" x14ac:dyDescent="0.25">
      <c r="A708" s="107"/>
      <c r="B708" s="107"/>
      <c r="C708" s="107"/>
      <c r="D708">
        <v>2022</v>
      </c>
      <c r="E708">
        <f t="shared" ref="E708:E711" si="182">F708+G708+H708+I708</f>
        <v>63770.165000000001</v>
      </c>
      <c r="F708">
        <v>63770.165000000001</v>
      </c>
      <c r="G708">
        <v>0</v>
      </c>
      <c r="H708">
        <v>0</v>
      </c>
      <c r="I708">
        <v>0</v>
      </c>
      <c r="J708" s="107"/>
      <c r="K708" s="107"/>
    </row>
    <row r="709" spans="1:11" x14ac:dyDescent="0.25">
      <c r="A709" s="107"/>
      <c r="B709" s="107"/>
      <c r="C709" s="107"/>
      <c r="D709">
        <v>2023</v>
      </c>
      <c r="E709">
        <f t="shared" si="182"/>
        <v>7085.57</v>
      </c>
      <c r="F709">
        <v>7085.57</v>
      </c>
      <c r="G709">
        <v>0</v>
      </c>
      <c r="H709">
        <v>0</v>
      </c>
      <c r="I709">
        <v>0</v>
      </c>
      <c r="J709" s="107"/>
      <c r="K709" s="107"/>
    </row>
    <row r="710" spans="1:11" x14ac:dyDescent="0.25">
      <c r="A710" s="107"/>
      <c r="B710" s="107"/>
      <c r="C710" s="107"/>
      <c r="D710">
        <v>2024</v>
      </c>
      <c r="E710">
        <f t="shared" si="182"/>
        <v>0</v>
      </c>
      <c r="F710">
        <v>0</v>
      </c>
      <c r="G710">
        <v>0</v>
      </c>
      <c r="H710">
        <v>0</v>
      </c>
      <c r="I710">
        <v>0</v>
      </c>
      <c r="J710" s="107"/>
      <c r="K710" s="107"/>
    </row>
    <row r="711" spans="1:11" x14ac:dyDescent="0.25">
      <c r="A711" s="107"/>
      <c r="B711" s="107"/>
      <c r="C711" s="107"/>
      <c r="D711">
        <v>2025</v>
      </c>
      <c r="E711">
        <f t="shared" si="182"/>
        <v>0</v>
      </c>
      <c r="F711">
        <v>0</v>
      </c>
      <c r="G711">
        <v>0</v>
      </c>
      <c r="H711">
        <v>0</v>
      </c>
      <c r="I711">
        <v>0</v>
      </c>
      <c r="J711" s="107"/>
      <c r="K711" s="107"/>
    </row>
    <row r="712" spans="1:11" ht="21.75" customHeight="1" x14ac:dyDescent="0.25">
      <c r="A712" s="107" t="s">
        <v>1617</v>
      </c>
      <c r="B712" s="107" t="s">
        <v>1618</v>
      </c>
      <c r="C712" s="107">
        <v>2023</v>
      </c>
      <c r="D712" t="s">
        <v>8</v>
      </c>
      <c r="E712">
        <f>SUM(E713:E717)</f>
        <v>308731.924</v>
      </c>
      <c r="F712">
        <f>SUM(F713:F717)</f>
        <v>305644.60499999998</v>
      </c>
      <c r="G712">
        <v>0</v>
      </c>
      <c r="H712">
        <f>SUM(H713:H717)</f>
        <v>3087.319</v>
      </c>
      <c r="I712">
        <f>SUM(I713:I717)</f>
        <v>0</v>
      </c>
      <c r="J712" s="107" t="s">
        <v>1619</v>
      </c>
      <c r="K712" s="107" t="s">
        <v>1265</v>
      </c>
    </row>
    <row r="713" spans="1:11" ht="16.5" customHeight="1" x14ac:dyDescent="0.25">
      <c r="A713" s="107"/>
      <c r="B713" s="107"/>
      <c r="C713" s="107"/>
      <c r="D713">
        <v>2021</v>
      </c>
      <c r="E713">
        <v>0</v>
      </c>
      <c r="F713">
        <v>0</v>
      </c>
      <c r="G713">
        <v>0</v>
      </c>
      <c r="H713">
        <v>0</v>
      </c>
      <c r="I713">
        <v>0</v>
      </c>
      <c r="J713" s="107"/>
      <c r="K713" s="107"/>
    </row>
    <row r="714" spans="1:11" x14ac:dyDescent="0.25">
      <c r="A714" s="107"/>
      <c r="B714" s="107"/>
      <c r="C714" s="107"/>
      <c r="D714">
        <v>2022</v>
      </c>
      <c r="E714">
        <f t="shared" ref="E714:E743" si="183">F714+G714+H714+I714</f>
        <v>0</v>
      </c>
      <c r="F714">
        <v>0</v>
      </c>
      <c r="G714">
        <v>0</v>
      </c>
      <c r="H714">
        <v>0</v>
      </c>
      <c r="I714">
        <v>0</v>
      </c>
      <c r="J714" s="107"/>
      <c r="K714" s="107"/>
    </row>
    <row r="715" spans="1:11" ht="39" customHeight="1" x14ac:dyDescent="0.25">
      <c r="A715" s="107"/>
      <c r="B715" s="107"/>
      <c r="C715" s="107"/>
      <c r="D715">
        <v>2023</v>
      </c>
      <c r="E715">
        <f t="shared" si="183"/>
        <v>308731.924</v>
      </c>
      <c r="F715">
        <f>305644.605</f>
        <v>305644.60499999998</v>
      </c>
      <c r="G715">
        <v>0</v>
      </c>
      <c r="H715">
        <v>3087.319</v>
      </c>
      <c r="I715">
        <v>0</v>
      </c>
      <c r="J715" s="107"/>
      <c r="K715" s="107"/>
    </row>
    <row r="716" spans="1:11" ht="20.25" customHeight="1" x14ac:dyDescent="0.25">
      <c r="A716" s="107"/>
      <c r="B716" s="107"/>
      <c r="C716" s="107"/>
      <c r="D716">
        <v>2024</v>
      </c>
      <c r="E716">
        <f t="shared" si="183"/>
        <v>0</v>
      </c>
      <c r="F716">
        <v>0</v>
      </c>
      <c r="G716">
        <v>0</v>
      </c>
      <c r="H716">
        <v>0</v>
      </c>
      <c r="I716">
        <v>0</v>
      </c>
      <c r="J716" s="107"/>
      <c r="K716" s="107"/>
    </row>
    <row r="717" spans="1:11" ht="57.75" customHeight="1" x14ac:dyDescent="0.25">
      <c r="A717" s="107"/>
      <c r="B717" s="107"/>
      <c r="C717" s="107"/>
      <c r="D717">
        <v>2025</v>
      </c>
      <c r="E717">
        <f t="shared" si="183"/>
        <v>0</v>
      </c>
      <c r="F717">
        <v>0</v>
      </c>
      <c r="G717">
        <v>0</v>
      </c>
      <c r="H717">
        <v>0</v>
      </c>
      <c r="I717">
        <v>0</v>
      </c>
      <c r="J717" s="107"/>
      <c r="K717" s="107"/>
    </row>
    <row r="718" spans="1:11" x14ac:dyDescent="0.25">
      <c r="A718" s="107">
        <v>4</v>
      </c>
      <c r="B718" s="107" t="s">
        <v>1242</v>
      </c>
      <c r="C718" s="107" t="s">
        <v>14</v>
      </c>
      <c r="D718" t="s">
        <v>8</v>
      </c>
      <c r="E718">
        <f t="shared" si="183"/>
        <v>42360504.029319994</v>
      </c>
      <c r="F718">
        <f>F719+F720+F721+F722+F723</f>
        <v>42147572.77832</v>
      </c>
      <c r="G718">
        <f>G719+G720+G721+G722+G723</f>
        <v>93391.400999999998</v>
      </c>
      <c r="H718">
        <f>H719+H720+H721+H722+H723</f>
        <v>86984.8</v>
      </c>
      <c r="I718">
        <f>I719+I720+I721+I722+I723</f>
        <v>32555.05</v>
      </c>
      <c r="J718" s="107"/>
      <c r="K718" s="107" t="s">
        <v>1252</v>
      </c>
    </row>
    <row r="719" spans="1:11" x14ac:dyDescent="0.25">
      <c r="A719" s="107"/>
      <c r="B719" s="107"/>
      <c r="C719" s="107"/>
      <c r="D719">
        <v>2021</v>
      </c>
      <c r="E719">
        <f t="shared" si="183"/>
        <v>9939158.6680100001</v>
      </c>
      <c r="F719">
        <f t="shared" ref="F719:I723" si="184">F725+F803+F875+F911</f>
        <v>9918962.9080099985</v>
      </c>
      <c r="G719">
        <f t="shared" si="184"/>
        <v>0</v>
      </c>
      <c r="H719">
        <f t="shared" si="184"/>
        <v>9502.3000000000011</v>
      </c>
      <c r="I719">
        <f t="shared" si="184"/>
        <v>10693.46</v>
      </c>
      <c r="J719" s="107"/>
      <c r="K719" s="107"/>
    </row>
    <row r="720" spans="1:11" x14ac:dyDescent="0.25">
      <c r="A720" s="107"/>
      <c r="B720" s="107"/>
      <c r="C720" s="107"/>
      <c r="D720">
        <v>2022</v>
      </c>
      <c r="E720">
        <f t="shared" si="183"/>
        <v>13830830.340499999</v>
      </c>
      <c r="F720">
        <f t="shared" si="184"/>
        <v>13667943.349499999</v>
      </c>
      <c r="G720">
        <f t="shared" si="184"/>
        <v>93391.400999999998</v>
      </c>
      <c r="H720">
        <f t="shared" si="184"/>
        <v>47634</v>
      </c>
      <c r="I720">
        <f t="shared" si="184"/>
        <v>21861.59</v>
      </c>
      <c r="J720" s="107"/>
      <c r="K720" s="107"/>
    </row>
    <row r="721" spans="1:11" x14ac:dyDescent="0.25">
      <c r="A721" s="107"/>
      <c r="B721" s="107"/>
      <c r="C721" s="107"/>
      <c r="D721">
        <v>2023</v>
      </c>
      <c r="E721">
        <f t="shared" si="183"/>
        <v>7277119.192379999</v>
      </c>
      <c r="F721">
        <f t="shared" si="184"/>
        <v>7267169.692379999</v>
      </c>
      <c r="G721">
        <f t="shared" si="184"/>
        <v>0</v>
      </c>
      <c r="H721">
        <f t="shared" si="184"/>
        <v>9949.5</v>
      </c>
      <c r="I721">
        <f t="shared" si="184"/>
        <v>0</v>
      </c>
      <c r="J721" s="107"/>
      <c r="K721" s="107"/>
    </row>
    <row r="722" spans="1:11" x14ac:dyDescent="0.25">
      <c r="A722" s="107"/>
      <c r="B722" s="107"/>
      <c r="C722" s="107"/>
      <c r="D722">
        <v>2024</v>
      </c>
      <c r="E722">
        <f t="shared" si="183"/>
        <v>5718548.6519999988</v>
      </c>
      <c r="F722">
        <f t="shared" si="184"/>
        <v>5708599.1519999988</v>
      </c>
      <c r="G722">
        <f t="shared" si="184"/>
        <v>0</v>
      </c>
      <c r="H722">
        <f t="shared" si="184"/>
        <v>9949.5</v>
      </c>
      <c r="I722">
        <f t="shared" si="184"/>
        <v>0</v>
      </c>
      <c r="J722" s="107"/>
      <c r="K722" s="107"/>
    </row>
    <row r="723" spans="1:11" ht="17.25" customHeight="1" x14ac:dyDescent="0.25">
      <c r="A723" s="107"/>
      <c r="B723" s="107"/>
      <c r="C723" s="107"/>
      <c r="D723">
        <v>2025</v>
      </c>
      <c r="E723">
        <f t="shared" si="183"/>
        <v>5594847.17643</v>
      </c>
      <c r="F723">
        <f t="shared" si="184"/>
        <v>5584897.67643</v>
      </c>
      <c r="G723">
        <f t="shared" si="184"/>
        <v>0</v>
      </c>
      <c r="H723">
        <f t="shared" si="184"/>
        <v>9949.5</v>
      </c>
      <c r="I723">
        <f t="shared" si="184"/>
        <v>0</v>
      </c>
      <c r="J723" s="107"/>
      <c r="K723" s="107"/>
    </row>
    <row r="724" spans="1:11" x14ac:dyDescent="0.25">
      <c r="A724" s="107" t="s">
        <v>133</v>
      </c>
      <c r="B724" s="107" t="s">
        <v>1620</v>
      </c>
      <c r="C724" s="107" t="s">
        <v>14</v>
      </c>
      <c r="D724" t="s">
        <v>8</v>
      </c>
      <c r="E724">
        <f t="shared" si="183"/>
        <v>2442055.6603399999</v>
      </c>
      <c r="F724">
        <f>F725+F726+F727+F728+F729</f>
        <v>2300207.5093399999</v>
      </c>
      <c r="G724">
        <f>G725+G726+G727+G728+G729</f>
        <v>93391.400999999998</v>
      </c>
      <c r="H724">
        <f>H725+H726+H727+H728+H729</f>
        <v>15901.7</v>
      </c>
      <c r="I724">
        <f>I725+I726+I727+I728+I729</f>
        <v>32555.05</v>
      </c>
      <c r="J724" s="107" t="s">
        <v>1621</v>
      </c>
      <c r="K724" s="107" t="s">
        <v>1622</v>
      </c>
    </row>
    <row r="725" spans="1:11" x14ac:dyDescent="0.25">
      <c r="A725" s="107"/>
      <c r="B725" s="107"/>
      <c r="C725" s="107"/>
      <c r="D725">
        <v>2021</v>
      </c>
      <c r="E725">
        <f t="shared" si="183"/>
        <v>12191.46</v>
      </c>
      <c r="F725">
        <f t="shared" ref="F725:F726" si="185">F731+F737+F743+F749+F755+F767+F779+F785+F791+F761+F773</f>
        <v>1498</v>
      </c>
      <c r="G725">
        <f t="shared" ref="F725:I729" si="186">G731+G737+G743+G749+G755+G767+G779+G785+G791+G761+G773</f>
        <v>0</v>
      </c>
      <c r="H725">
        <f>H731+H737+H743+H749+H755+H767+H779+H785+H791+H761+H773</f>
        <v>0</v>
      </c>
      <c r="I725">
        <f>I731+I737+I743+I749+I755+I767+I779+I785+I791+I761+I773</f>
        <v>10693.46</v>
      </c>
      <c r="J725" s="107"/>
      <c r="K725" s="107"/>
    </row>
    <row r="726" spans="1:11" x14ac:dyDescent="0.25">
      <c r="A726" s="107"/>
      <c r="B726" s="107"/>
      <c r="C726" s="107"/>
      <c r="D726">
        <v>2022</v>
      </c>
      <c r="E726">
        <f t="shared" si="183"/>
        <v>1556287.7905000001</v>
      </c>
      <c r="F726">
        <f t="shared" si="185"/>
        <v>1425133.0995</v>
      </c>
      <c r="G726">
        <f t="shared" si="186"/>
        <v>93391.400999999998</v>
      </c>
      <c r="H726">
        <f t="shared" si="186"/>
        <v>15901.7</v>
      </c>
      <c r="I726">
        <f t="shared" si="186"/>
        <v>21861.59</v>
      </c>
      <c r="J726" s="107"/>
      <c r="K726" s="107"/>
    </row>
    <row r="727" spans="1:11" x14ac:dyDescent="0.25">
      <c r="A727" s="107"/>
      <c r="B727" s="107"/>
      <c r="C727" s="107"/>
      <c r="D727">
        <v>2023</v>
      </c>
      <c r="E727">
        <f t="shared" si="183"/>
        <v>607325.01738000009</v>
      </c>
      <c r="F727">
        <f>F733+F739+F745+F751+F757+F769+F781+F787+F793+F763+F775+F799</f>
        <v>607325.01738000009</v>
      </c>
      <c r="G727">
        <f t="shared" si="186"/>
        <v>0</v>
      </c>
      <c r="H727">
        <f t="shared" si="186"/>
        <v>0</v>
      </c>
      <c r="I727">
        <f t="shared" si="186"/>
        <v>0</v>
      </c>
      <c r="J727" s="107"/>
      <c r="K727" s="107"/>
    </row>
    <row r="728" spans="1:11" x14ac:dyDescent="0.25">
      <c r="A728" s="107"/>
      <c r="B728" s="107"/>
      <c r="C728" s="107"/>
      <c r="D728">
        <v>2024</v>
      </c>
      <c r="E728">
        <f t="shared" si="183"/>
        <v>233417.91602999999</v>
      </c>
      <c r="F728">
        <f t="shared" si="186"/>
        <v>233417.91602999999</v>
      </c>
      <c r="G728">
        <f t="shared" si="186"/>
        <v>0</v>
      </c>
      <c r="H728">
        <f t="shared" si="186"/>
        <v>0</v>
      </c>
      <c r="I728">
        <f t="shared" si="186"/>
        <v>0</v>
      </c>
      <c r="J728" s="107"/>
      <c r="K728" s="107"/>
    </row>
    <row r="729" spans="1:11" x14ac:dyDescent="0.25">
      <c r="A729" s="107"/>
      <c r="B729" s="107"/>
      <c r="C729" s="107"/>
      <c r="D729">
        <v>2025</v>
      </c>
      <c r="E729">
        <f t="shared" si="183"/>
        <v>32833.476430000002</v>
      </c>
      <c r="F729">
        <f t="shared" si="186"/>
        <v>32833.476430000002</v>
      </c>
      <c r="G729">
        <f t="shared" si="186"/>
        <v>0</v>
      </c>
      <c r="H729">
        <f t="shared" si="186"/>
        <v>0</v>
      </c>
      <c r="I729">
        <f t="shared" si="186"/>
        <v>0</v>
      </c>
      <c r="J729" s="107"/>
      <c r="K729" s="107"/>
    </row>
    <row r="730" spans="1:11" x14ac:dyDescent="0.25">
      <c r="A730" s="107" t="s">
        <v>135</v>
      </c>
      <c r="B730" s="107" t="s">
        <v>1623</v>
      </c>
      <c r="C730" s="107" t="s">
        <v>14</v>
      </c>
      <c r="D730" t="s">
        <v>8</v>
      </c>
      <c r="E730">
        <f t="shared" si="183"/>
        <v>2998</v>
      </c>
      <c r="F730">
        <f>F731+F732+F733+F734+F735</f>
        <v>2998</v>
      </c>
      <c r="G730">
        <f>G731+G732+G733+G734+G735</f>
        <v>0</v>
      </c>
      <c r="H730">
        <f>H731+H732+H733+H734+H735</f>
        <v>0</v>
      </c>
      <c r="I730">
        <f>I731+I732+I733+I734+I735</f>
        <v>0</v>
      </c>
      <c r="J730" s="107" t="s">
        <v>1624</v>
      </c>
      <c r="K730" s="107" t="s">
        <v>1251</v>
      </c>
    </row>
    <row r="731" spans="1:11" x14ac:dyDescent="0.25">
      <c r="A731" s="107"/>
      <c r="B731" s="107"/>
      <c r="C731" s="107"/>
      <c r="D731">
        <v>2021</v>
      </c>
      <c r="E731">
        <f t="shared" si="183"/>
        <v>1498</v>
      </c>
      <c r="F731">
        <v>1498</v>
      </c>
      <c r="G731">
        <v>0</v>
      </c>
      <c r="H731">
        <v>0</v>
      </c>
      <c r="I731">
        <v>0</v>
      </c>
      <c r="J731" s="107"/>
      <c r="K731" s="107"/>
    </row>
    <row r="732" spans="1:11" x14ac:dyDescent="0.25">
      <c r="A732" s="107"/>
      <c r="B732" s="107"/>
      <c r="C732" s="107"/>
      <c r="D732">
        <v>2022</v>
      </c>
      <c r="E732">
        <f t="shared" si="183"/>
        <v>1500</v>
      </c>
      <c r="F732">
        <v>1500</v>
      </c>
      <c r="G732">
        <v>0</v>
      </c>
      <c r="H732">
        <v>0</v>
      </c>
      <c r="I732">
        <v>0</v>
      </c>
      <c r="J732" s="107"/>
      <c r="K732" s="107"/>
    </row>
    <row r="733" spans="1:11" x14ac:dyDescent="0.25">
      <c r="A733" s="107"/>
      <c r="B733" s="107"/>
      <c r="C733" s="107"/>
      <c r="D733">
        <v>2023</v>
      </c>
      <c r="E733">
        <f t="shared" si="183"/>
        <v>0</v>
      </c>
      <c r="F733">
        <v>0</v>
      </c>
      <c r="G733">
        <v>0</v>
      </c>
      <c r="H733">
        <v>0</v>
      </c>
      <c r="I733">
        <v>0</v>
      </c>
      <c r="J733" s="107"/>
      <c r="K733" s="107"/>
    </row>
    <row r="734" spans="1:11" x14ac:dyDescent="0.25">
      <c r="A734" s="107"/>
      <c r="B734" s="107"/>
      <c r="C734" s="107"/>
      <c r="D734">
        <v>2024</v>
      </c>
      <c r="E734">
        <f t="shared" si="183"/>
        <v>0</v>
      </c>
      <c r="F734">
        <v>0</v>
      </c>
      <c r="G734">
        <v>0</v>
      </c>
      <c r="H734">
        <v>0</v>
      </c>
      <c r="I734">
        <v>0</v>
      </c>
      <c r="J734" s="107"/>
      <c r="K734" s="107"/>
    </row>
    <row r="735" spans="1:11" x14ac:dyDescent="0.25">
      <c r="A735" s="107"/>
      <c r="B735" s="107"/>
      <c r="C735" s="107"/>
      <c r="D735">
        <v>2025</v>
      </c>
      <c r="E735">
        <f t="shared" si="183"/>
        <v>0</v>
      </c>
      <c r="F735">
        <v>0</v>
      </c>
      <c r="G735">
        <v>0</v>
      </c>
      <c r="H735">
        <v>0</v>
      </c>
      <c r="I735">
        <v>0</v>
      </c>
      <c r="J735" s="107"/>
      <c r="K735" s="107"/>
    </row>
    <row r="736" spans="1:11" x14ac:dyDescent="0.25">
      <c r="A736" s="107" t="s">
        <v>1625</v>
      </c>
      <c r="B736" s="107" t="s">
        <v>1626</v>
      </c>
      <c r="C736" s="107">
        <v>2022</v>
      </c>
      <c r="D736" t="s">
        <v>8</v>
      </c>
      <c r="E736">
        <f t="shared" si="183"/>
        <v>2814.2195000000002</v>
      </c>
      <c r="F736">
        <f>F737+F738+F739+F740+F741</f>
        <v>2814.2195000000002</v>
      </c>
      <c r="G736">
        <f>G737+G738+G739+G740+G741</f>
        <v>0</v>
      </c>
      <c r="H736">
        <f>H737+H738+H739+H740+H741</f>
        <v>0</v>
      </c>
      <c r="I736">
        <f>I737+I738+I739+I740+I741</f>
        <v>0</v>
      </c>
      <c r="J736" s="107" t="s">
        <v>1627</v>
      </c>
      <c r="K736" s="107" t="s">
        <v>1251</v>
      </c>
    </row>
    <row r="737" spans="1:11" x14ac:dyDescent="0.25">
      <c r="A737" s="107"/>
      <c r="B737" s="107"/>
      <c r="C737" s="107"/>
      <c r="D737">
        <v>2021</v>
      </c>
      <c r="E737">
        <f t="shared" si="183"/>
        <v>0</v>
      </c>
      <c r="F737">
        <v>0</v>
      </c>
      <c r="G737">
        <v>0</v>
      </c>
      <c r="H737">
        <v>0</v>
      </c>
      <c r="I737">
        <v>0</v>
      </c>
      <c r="J737" s="107"/>
      <c r="K737" s="107"/>
    </row>
    <row r="738" spans="1:11" x14ac:dyDescent="0.25">
      <c r="A738" s="107"/>
      <c r="B738" s="107"/>
      <c r="C738" s="107"/>
      <c r="D738">
        <v>2022</v>
      </c>
      <c r="E738">
        <f t="shared" si="183"/>
        <v>2814.2195000000002</v>
      </c>
      <c r="F738">
        <v>2814.2195000000002</v>
      </c>
      <c r="G738">
        <v>0</v>
      </c>
      <c r="H738">
        <v>0</v>
      </c>
      <c r="I738">
        <v>0</v>
      </c>
      <c r="J738" s="107"/>
      <c r="K738" s="107"/>
    </row>
    <row r="739" spans="1:11" x14ac:dyDescent="0.25">
      <c r="A739" s="107"/>
      <c r="B739" s="107"/>
      <c r="C739" s="107"/>
      <c r="D739">
        <v>2023</v>
      </c>
      <c r="E739">
        <f t="shared" si="183"/>
        <v>0</v>
      </c>
      <c r="F739">
        <v>0</v>
      </c>
      <c r="G739">
        <v>0</v>
      </c>
      <c r="H739">
        <v>0</v>
      </c>
      <c r="I739">
        <v>0</v>
      </c>
      <c r="J739" s="107"/>
      <c r="K739" s="107"/>
    </row>
    <row r="740" spans="1:11" x14ac:dyDescent="0.25">
      <c r="A740" s="107"/>
      <c r="B740" s="107"/>
      <c r="C740" s="107"/>
      <c r="D740">
        <v>2024</v>
      </c>
      <c r="E740">
        <f t="shared" si="183"/>
        <v>0</v>
      </c>
      <c r="F740">
        <v>0</v>
      </c>
      <c r="G740">
        <v>0</v>
      </c>
      <c r="H740">
        <v>0</v>
      </c>
      <c r="I740">
        <v>0</v>
      </c>
      <c r="J740" s="107"/>
      <c r="K740" s="107"/>
    </row>
    <row r="741" spans="1:11" x14ac:dyDescent="0.25">
      <c r="A741" s="107"/>
      <c r="B741" s="107"/>
      <c r="C741" s="107"/>
      <c r="D741">
        <v>2025</v>
      </c>
      <c r="E741">
        <f t="shared" si="183"/>
        <v>0</v>
      </c>
      <c r="F741">
        <v>0</v>
      </c>
      <c r="G741">
        <v>0</v>
      </c>
      <c r="H741">
        <v>0</v>
      </c>
      <c r="I741">
        <v>0</v>
      </c>
      <c r="J741" s="107"/>
      <c r="K741" s="107"/>
    </row>
    <row r="742" spans="1:11" x14ac:dyDescent="0.25">
      <c r="A742" s="107" t="s">
        <v>1628</v>
      </c>
      <c r="B742" s="107" t="s">
        <v>1629</v>
      </c>
      <c r="C742" s="107" t="s">
        <v>1169</v>
      </c>
      <c r="D742" t="s">
        <v>8</v>
      </c>
      <c r="E742">
        <f t="shared" si="183"/>
        <v>43024.46</v>
      </c>
      <c r="F742">
        <f>F743+F744+F745+F746+F747</f>
        <v>42331</v>
      </c>
      <c r="G742">
        <f>G743+G744+G745+G746+G747</f>
        <v>0</v>
      </c>
      <c r="H742">
        <f>H743+H744+H745+H746+H747</f>
        <v>0</v>
      </c>
      <c r="I742">
        <f>I743+I744+I745+I746+I747</f>
        <v>693.46</v>
      </c>
      <c r="J742" s="107" t="s">
        <v>1630</v>
      </c>
      <c r="K742" s="107" t="s">
        <v>1631</v>
      </c>
    </row>
    <row r="743" spans="1:11" x14ac:dyDescent="0.25">
      <c r="A743" s="107"/>
      <c r="B743" s="107"/>
      <c r="C743" s="107"/>
      <c r="D743">
        <v>2021</v>
      </c>
      <c r="E743">
        <f t="shared" si="183"/>
        <v>693.46</v>
      </c>
      <c r="F743">
        <v>0</v>
      </c>
      <c r="G743">
        <v>0</v>
      </c>
      <c r="H743">
        <v>0</v>
      </c>
      <c r="I743">
        <v>693.46</v>
      </c>
      <c r="J743" s="107"/>
      <c r="K743" s="107"/>
    </row>
    <row r="744" spans="1:11" x14ac:dyDescent="0.25">
      <c r="A744" s="107"/>
      <c r="B744" s="107"/>
      <c r="C744" s="107"/>
      <c r="D744">
        <v>2022</v>
      </c>
      <c r="E744">
        <f>F744</f>
        <v>42331</v>
      </c>
      <c r="F744">
        <v>42331</v>
      </c>
      <c r="G744">
        <v>0</v>
      </c>
      <c r="H744">
        <v>0</v>
      </c>
      <c r="I744">
        <v>0</v>
      </c>
      <c r="J744" s="107"/>
      <c r="K744" s="107"/>
    </row>
    <row r="745" spans="1:11" x14ac:dyDescent="0.25">
      <c r="A745" s="107"/>
      <c r="B745" s="107"/>
      <c r="C745" s="107"/>
      <c r="D745">
        <v>2023</v>
      </c>
      <c r="E745">
        <v>0</v>
      </c>
      <c r="F745">
        <v>0</v>
      </c>
      <c r="G745">
        <v>0</v>
      </c>
      <c r="H745">
        <v>0</v>
      </c>
      <c r="I745">
        <v>0</v>
      </c>
      <c r="J745" s="107"/>
      <c r="K745" s="107"/>
    </row>
    <row r="746" spans="1:11" x14ac:dyDescent="0.25">
      <c r="A746" s="107"/>
      <c r="B746" s="107"/>
      <c r="C746" s="107"/>
      <c r="D746">
        <v>2024</v>
      </c>
      <c r="E746">
        <v>0</v>
      </c>
      <c r="F746">
        <v>0</v>
      </c>
      <c r="G746">
        <v>0</v>
      </c>
      <c r="H746">
        <v>0</v>
      </c>
      <c r="I746">
        <v>0</v>
      </c>
      <c r="J746" s="107"/>
      <c r="K746" s="107"/>
    </row>
    <row r="747" spans="1:11" x14ac:dyDescent="0.25">
      <c r="A747" s="107"/>
      <c r="B747" s="107"/>
      <c r="C747" s="107"/>
      <c r="D747">
        <v>2025</v>
      </c>
      <c r="E747">
        <f t="shared" ref="E747:E754" si="187">F747+G747+H747+I747</f>
        <v>0</v>
      </c>
      <c r="F747">
        <v>0</v>
      </c>
      <c r="G747">
        <v>0</v>
      </c>
      <c r="H747">
        <v>0</v>
      </c>
      <c r="I747">
        <v>0</v>
      </c>
      <c r="J747" s="107"/>
      <c r="K747" s="107"/>
    </row>
    <row r="748" spans="1:11" x14ac:dyDescent="0.25">
      <c r="A748" s="107" t="s">
        <v>1632</v>
      </c>
      <c r="B748" s="107" t="s">
        <v>1633</v>
      </c>
      <c r="C748" s="107" t="s">
        <v>1169</v>
      </c>
      <c r="D748" t="s">
        <v>8</v>
      </c>
      <c r="E748">
        <f t="shared" si="187"/>
        <v>81967.399999999994</v>
      </c>
      <c r="F748">
        <f>F749+F750+F751+F752+F753</f>
        <v>66065.7</v>
      </c>
      <c r="G748">
        <f>G749+G750+G751+G752+G753</f>
        <v>0</v>
      </c>
      <c r="H748">
        <f>H749+H750+H751+H752+H753</f>
        <v>15901.7</v>
      </c>
      <c r="I748">
        <f>I749+I750+I751+I752+I753</f>
        <v>0</v>
      </c>
      <c r="J748" s="107" t="s">
        <v>1630</v>
      </c>
      <c r="K748" s="107" t="s">
        <v>1634</v>
      </c>
    </row>
    <row r="749" spans="1:11" x14ac:dyDescent="0.25">
      <c r="A749" s="107"/>
      <c r="B749" s="107"/>
      <c r="C749" s="107"/>
      <c r="D749">
        <v>2021</v>
      </c>
      <c r="E749">
        <f t="shared" si="187"/>
        <v>0</v>
      </c>
      <c r="F749">
        <v>0</v>
      </c>
      <c r="G749">
        <v>0</v>
      </c>
      <c r="H749">
        <v>0</v>
      </c>
      <c r="I749">
        <v>0</v>
      </c>
      <c r="J749" s="107"/>
      <c r="K749" s="107"/>
    </row>
    <row r="750" spans="1:11" x14ac:dyDescent="0.25">
      <c r="A750" s="107"/>
      <c r="B750" s="107"/>
      <c r="C750" s="107"/>
      <c r="D750">
        <v>2022</v>
      </c>
      <c r="E750">
        <f t="shared" si="187"/>
        <v>81967.399999999994</v>
      </c>
      <c r="F750">
        <v>66065.7</v>
      </c>
      <c r="G750">
        <v>0</v>
      </c>
      <c r="H750">
        <v>15901.7</v>
      </c>
      <c r="I750">
        <v>0</v>
      </c>
      <c r="J750" s="107"/>
      <c r="K750" s="107"/>
    </row>
    <row r="751" spans="1:11" x14ac:dyDescent="0.25">
      <c r="A751" s="107"/>
      <c r="B751" s="107"/>
      <c r="C751" s="107"/>
      <c r="D751">
        <v>2023</v>
      </c>
      <c r="E751">
        <f t="shared" si="187"/>
        <v>0</v>
      </c>
      <c r="F751">
        <v>0</v>
      </c>
      <c r="G751">
        <v>0</v>
      </c>
      <c r="H751">
        <v>0</v>
      </c>
      <c r="I751">
        <v>0</v>
      </c>
      <c r="J751" s="107"/>
      <c r="K751" s="107"/>
    </row>
    <row r="752" spans="1:11" x14ac:dyDescent="0.25">
      <c r="A752" s="107"/>
      <c r="B752" s="107"/>
      <c r="C752" s="107"/>
      <c r="D752">
        <v>2024</v>
      </c>
      <c r="E752">
        <f t="shared" si="187"/>
        <v>0</v>
      </c>
      <c r="F752">
        <v>0</v>
      </c>
      <c r="G752">
        <v>0</v>
      </c>
      <c r="H752">
        <v>0</v>
      </c>
      <c r="I752">
        <v>0</v>
      </c>
      <c r="J752" s="107"/>
      <c r="K752" s="107"/>
    </row>
    <row r="753" spans="1:11" ht="57.75" customHeight="1" x14ac:dyDescent="0.25">
      <c r="A753" s="107"/>
      <c r="B753" s="107"/>
      <c r="C753" s="107"/>
      <c r="D753">
        <v>2025</v>
      </c>
      <c r="E753">
        <f t="shared" si="187"/>
        <v>0</v>
      </c>
      <c r="F753">
        <v>0</v>
      </c>
      <c r="G753">
        <v>0</v>
      </c>
      <c r="H753">
        <v>0</v>
      </c>
      <c r="I753">
        <v>0</v>
      </c>
      <c r="J753" s="107"/>
      <c r="K753" s="107"/>
    </row>
    <row r="754" spans="1:11" x14ac:dyDescent="0.25">
      <c r="A754" s="107" t="s">
        <v>1635</v>
      </c>
      <c r="B754" s="107" t="s">
        <v>1636</v>
      </c>
      <c r="C754" s="107" t="s">
        <v>1169</v>
      </c>
      <c r="D754" t="s">
        <v>8</v>
      </c>
      <c r="E754">
        <f t="shared" si="187"/>
        <v>536341.07999999996</v>
      </c>
      <c r="F754">
        <f>F755+F756+F757+F758+F759</f>
        <v>526341.07999999996</v>
      </c>
      <c r="G754">
        <f>G755+G756+G757+G758+G759</f>
        <v>0</v>
      </c>
      <c r="H754">
        <f>H755+H756+H757+H758+H759</f>
        <v>0</v>
      </c>
      <c r="I754">
        <f>I755+I756+I757+I758+I759</f>
        <v>10000</v>
      </c>
      <c r="J754" s="107" t="s">
        <v>1637</v>
      </c>
      <c r="K754" s="107" t="s">
        <v>1638</v>
      </c>
    </row>
    <row r="755" spans="1:11" x14ac:dyDescent="0.25">
      <c r="A755" s="107"/>
      <c r="B755" s="107"/>
      <c r="C755" s="107"/>
      <c r="D755">
        <v>2021</v>
      </c>
      <c r="E755">
        <v>10000</v>
      </c>
      <c r="F755">
        <v>0</v>
      </c>
      <c r="G755">
        <v>0</v>
      </c>
      <c r="H755">
        <v>0</v>
      </c>
      <c r="I755">
        <v>10000</v>
      </c>
      <c r="J755" s="107"/>
      <c r="K755" s="107"/>
    </row>
    <row r="756" spans="1:11" x14ac:dyDescent="0.25">
      <c r="A756" s="107"/>
      <c r="B756" s="107"/>
      <c r="C756" s="107"/>
      <c r="D756">
        <v>2022</v>
      </c>
      <c r="E756">
        <f>F756</f>
        <v>526341.07999999996</v>
      </c>
      <c r="F756">
        <v>526341.07999999996</v>
      </c>
      <c r="G756">
        <v>0</v>
      </c>
      <c r="H756">
        <v>0</v>
      </c>
      <c r="I756">
        <v>0</v>
      </c>
      <c r="J756" s="107"/>
      <c r="K756" s="107"/>
    </row>
    <row r="757" spans="1:11" x14ac:dyDescent="0.25">
      <c r="A757" s="107"/>
      <c r="B757" s="107"/>
      <c r="C757" s="107"/>
      <c r="D757">
        <v>2023</v>
      </c>
      <c r="E757">
        <v>0</v>
      </c>
      <c r="F757">
        <v>0</v>
      </c>
      <c r="G757">
        <v>0</v>
      </c>
      <c r="H757">
        <v>0</v>
      </c>
      <c r="I757">
        <v>0</v>
      </c>
      <c r="J757" s="107"/>
      <c r="K757" s="107"/>
    </row>
    <row r="758" spans="1:11" x14ac:dyDescent="0.25">
      <c r="A758" s="107"/>
      <c r="B758" s="107"/>
      <c r="C758" s="107"/>
      <c r="D758">
        <v>2024</v>
      </c>
      <c r="E758">
        <v>0</v>
      </c>
      <c r="F758">
        <v>0</v>
      </c>
      <c r="G758">
        <v>0</v>
      </c>
      <c r="H758">
        <v>0</v>
      </c>
      <c r="I758">
        <v>0</v>
      </c>
      <c r="J758" s="107"/>
      <c r="K758" s="107"/>
    </row>
    <row r="759" spans="1:11" x14ac:dyDescent="0.25">
      <c r="A759" s="107"/>
      <c r="B759" s="107"/>
      <c r="C759" s="107"/>
      <c r="D759">
        <v>2025</v>
      </c>
      <c r="E759">
        <f t="shared" ref="E759:E760" si="188">F759+G759+H759+I759</f>
        <v>0</v>
      </c>
      <c r="F759">
        <v>0</v>
      </c>
      <c r="G759">
        <v>0</v>
      </c>
      <c r="H759">
        <v>0</v>
      </c>
      <c r="I759">
        <v>0</v>
      </c>
      <c r="J759" s="107"/>
      <c r="K759" s="107"/>
    </row>
    <row r="760" spans="1:11" x14ac:dyDescent="0.25">
      <c r="A760" s="107" t="s">
        <v>1639</v>
      </c>
      <c r="B760" s="107" t="s">
        <v>1640</v>
      </c>
      <c r="C760" s="107" t="s">
        <v>1169</v>
      </c>
      <c r="D760" t="s">
        <v>8</v>
      </c>
      <c r="E760">
        <f t="shared" si="188"/>
        <v>438304.06</v>
      </c>
      <c r="F760">
        <f>F761+F762+F763+F764+F765</f>
        <v>426442.47</v>
      </c>
      <c r="G760">
        <f>G761+G762+G763+G764+G765</f>
        <v>0</v>
      </c>
      <c r="H760">
        <f>H761+H762+H763+H764+H765</f>
        <v>0</v>
      </c>
      <c r="I760">
        <f>I761+I762+I763+I764+I765</f>
        <v>11861.59</v>
      </c>
      <c r="J760" s="107" t="s">
        <v>1637</v>
      </c>
      <c r="K760" s="107" t="s">
        <v>1311</v>
      </c>
    </row>
    <row r="761" spans="1:11" x14ac:dyDescent="0.25">
      <c r="A761" s="107"/>
      <c r="B761" s="107"/>
      <c r="C761" s="107"/>
      <c r="D761">
        <v>2021</v>
      </c>
      <c r="E761">
        <v>0</v>
      </c>
      <c r="F761">
        <v>0</v>
      </c>
      <c r="G761">
        <v>0</v>
      </c>
      <c r="H761">
        <v>0</v>
      </c>
      <c r="I761">
        <v>0</v>
      </c>
      <c r="J761" s="107"/>
      <c r="K761" s="107"/>
    </row>
    <row r="762" spans="1:11" x14ac:dyDescent="0.25">
      <c r="A762" s="107"/>
      <c r="B762" s="107"/>
      <c r="C762" s="107"/>
      <c r="D762">
        <v>2022</v>
      </c>
      <c r="E762">
        <f t="shared" ref="E762:E763" si="189">F762+I762</f>
        <v>417201.59</v>
      </c>
      <c r="F762">
        <v>405340</v>
      </c>
      <c r="G762">
        <v>0</v>
      </c>
      <c r="H762">
        <v>0</v>
      </c>
      <c r="I762">
        <v>11861.59</v>
      </c>
      <c r="J762" s="107"/>
      <c r="K762" s="107"/>
    </row>
    <row r="763" spans="1:11" x14ac:dyDescent="0.25">
      <c r="A763" s="107"/>
      <c r="B763" s="107"/>
      <c r="C763" s="107"/>
      <c r="D763">
        <v>2023</v>
      </c>
      <c r="E763">
        <f t="shared" si="189"/>
        <v>21102.47</v>
      </c>
      <c r="F763">
        <v>21102.47</v>
      </c>
      <c r="G763">
        <v>0</v>
      </c>
      <c r="H763">
        <v>0</v>
      </c>
      <c r="I763">
        <v>0</v>
      </c>
      <c r="J763" s="107"/>
      <c r="K763" s="107"/>
    </row>
    <row r="764" spans="1:11" x14ac:dyDescent="0.25">
      <c r="A764" s="107"/>
      <c r="B764" s="107"/>
      <c r="C764" s="107"/>
      <c r="D764">
        <v>2024</v>
      </c>
      <c r="E764">
        <v>0</v>
      </c>
      <c r="F764">
        <v>0</v>
      </c>
      <c r="G764">
        <v>0</v>
      </c>
      <c r="H764">
        <v>0</v>
      </c>
      <c r="I764">
        <v>0</v>
      </c>
      <c r="J764" s="107"/>
      <c r="K764" s="107"/>
    </row>
    <row r="765" spans="1:11" x14ac:dyDescent="0.25">
      <c r="A765" s="107"/>
      <c r="B765" s="107"/>
      <c r="C765" s="107"/>
      <c r="D765">
        <v>2025</v>
      </c>
      <c r="E765">
        <f t="shared" ref="E765:E766" si="190">F765+G765+H765+I765</f>
        <v>0</v>
      </c>
      <c r="F765">
        <v>0</v>
      </c>
      <c r="G765">
        <v>0</v>
      </c>
      <c r="H765">
        <v>0</v>
      </c>
      <c r="I765">
        <v>0</v>
      </c>
      <c r="J765" s="107"/>
      <c r="K765" s="107"/>
    </row>
    <row r="766" spans="1:11" x14ac:dyDescent="0.25">
      <c r="A766" s="107" t="s">
        <v>1641</v>
      </c>
      <c r="B766" s="107" t="s">
        <v>1642</v>
      </c>
      <c r="C766" s="107" t="s">
        <v>1169</v>
      </c>
      <c r="D766" t="s">
        <v>8</v>
      </c>
      <c r="E766">
        <f t="shared" si="190"/>
        <v>333897.53000000003</v>
      </c>
      <c r="F766">
        <f>F767+F768+F769+F770+F771</f>
        <v>323897.53000000003</v>
      </c>
      <c r="G766">
        <f>G767+G768+G769+G770+G771</f>
        <v>0</v>
      </c>
      <c r="H766">
        <f>H767+H768+H769+H770+H771</f>
        <v>0</v>
      </c>
      <c r="I766">
        <f>I767+I768+I769+I770+I771</f>
        <v>10000</v>
      </c>
      <c r="J766" s="107" t="s">
        <v>1637</v>
      </c>
      <c r="K766" s="107" t="s">
        <v>1311</v>
      </c>
    </row>
    <row r="767" spans="1:11" x14ac:dyDescent="0.25">
      <c r="A767" s="107"/>
      <c r="B767" s="107"/>
      <c r="C767" s="107"/>
      <c r="D767">
        <v>2021</v>
      </c>
      <c r="E767">
        <v>0</v>
      </c>
      <c r="F767">
        <v>0</v>
      </c>
      <c r="G767">
        <v>0</v>
      </c>
      <c r="H767">
        <v>0</v>
      </c>
      <c r="I767">
        <v>0</v>
      </c>
      <c r="J767" s="107"/>
      <c r="K767" s="107"/>
    </row>
    <row r="768" spans="1:11" x14ac:dyDescent="0.25">
      <c r="A768" s="107"/>
      <c r="B768" s="107"/>
      <c r="C768" s="107"/>
      <c r="D768">
        <v>2022</v>
      </c>
      <c r="E768">
        <f t="shared" ref="E768:E769" si="191">F768+I768</f>
        <v>10000</v>
      </c>
      <c r="F768">
        <v>0</v>
      </c>
      <c r="G768">
        <v>0</v>
      </c>
      <c r="H768">
        <v>0</v>
      </c>
      <c r="I768">
        <v>10000</v>
      </c>
      <c r="J768" s="107"/>
      <c r="K768" s="107"/>
    </row>
    <row r="769" spans="1:11" x14ac:dyDescent="0.25">
      <c r="A769" s="107"/>
      <c r="B769" s="107"/>
      <c r="C769" s="107"/>
      <c r="D769">
        <v>2023</v>
      </c>
      <c r="E769">
        <f t="shared" si="191"/>
        <v>323897.53000000003</v>
      </c>
      <c r="F769">
        <v>323897.53000000003</v>
      </c>
      <c r="G769">
        <v>0</v>
      </c>
      <c r="H769">
        <v>0</v>
      </c>
      <c r="I769">
        <v>0</v>
      </c>
      <c r="J769" s="107"/>
      <c r="K769" s="107"/>
    </row>
    <row r="770" spans="1:11" x14ac:dyDescent="0.25">
      <c r="A770" s="107"/>
      <c r="B770" s="107"/>
      <c r="C770" s="107"/>
      <c r="D770">
        <v>2024</v>
      </c>
      <c r="E770">
        <v>0</v>
      </c>
      <c r="F770">
        <v>0</v>
      </c>
      <c r="G770">
        <v>0</v>
      </c>
      <c r="H770">
        <v>0</v>
      </c>
      <c r="I770">
        <v>0</v>
      </c>
      <c r="J770" s="107"/>
      <c r="K770" s="107"/>
    </row>
    <row r="771" spans="1:11" x14ac:dyDescent="0.25">
      <c r="A771" s="107"/>
      <c r="B771" s="107"/>
      <c r="C771" s="107"/>
      <c r="D771">
        <v>2025</v>
      </c>
      <c r="E771">
        <f t="shared" ref="E771:E801" si="192">F771+G771+H771+I771</f>
        <v>0</v>
      </c>
      <c r="F771">
        <v>0</v>
      </c>
      <c r="G771">
        <v>0</v>
      </c>
      <c r="H771">
        <v>0</v>
      </c>
      <c r="I771">
        <v>0</v>
      </c>
      <c r="J771" s="107"/>
      <c r="K771" s="107"/>
    </row>
    <row r="772" spans="1:11" x14ac:dyDescent="0.25">
      <c r="A772" s="107" t="s">
        <v>1643</v>
      </c>
      <c r="B772" s="107" t="s">
        <v>1644</v>
      </c>
      <c r="C772" s="107" t="s">
        <v>14</v>
      </c>
      <c r="D772" t="s">
        <v>8</v>
      </c>
      <c r="E772">
        <f t="shared" si="192"/>
        <v>51414.9</v>
      </c>
      <c r="F772">
        <f>F773+F774+F775+F776+F777</f>
        <v>0</v>
      </c>
      <c r="G772">
        <f>G773+G774+G775+G776+G777</f>
        <v>51414.9</v>
      </c>
      <c r="H772">
        <f>H773+H774+H775+H776+H777</f>
        <v>0</v>
      </c>
      <c r="I772">
        <f>I773+I774+I775+I776+I777</f>
        <v>0</v>
      </c>
      <c r="J772" s="107" t="s">
        <v>1645</v>
      </c>
      <c r="K772" s="107" t="s">
        <v>1646</v>
      </c>
    </row>
    <row r="773" spans="1:11" x14ac:dyDescent="0.25">
      <c r="A773" s="107"/>
      <c r="B773" s="107"/>
      <c r="C773" s="107"/>
      <c r="D773">
        <v>2021</v>
      </c>
      <c r="E773">
        <f t="shared" si="192"/>
        <v>0</v>
      </c>
      <c r="F773">
        <v>0</v>
      </c>
      <c r="G773">
        <v>0</v>
      </c>
      <c r="H773">
        <v>0</v>
      </c>
      <c r="I773">
        <v>0</v>
      </c>
      <c r="J773" s="107"/>
      <c r="K773" s="107"/>
    </row>
    <row r="774" spans="1:11" x14ac:dyDescent="0.25">
      <c r="A774" s="107"/>
      <c r="B774" s="107"/>
      <c r="C774" s="107"/>
      <c r="D774">
        <v>2022</v>
      </c>
      <c r="E774">
        <f t="shared" si="192"/>
        <v>51414.9</v>
      </c>
      <c r="F774">
        <v>0</v>
      </c>
      <c r="G774">
        <v>51414.9</v>
      </c>
      <c r="H774">
        <v>0</v>
      </c>
      <c r="I774">
        <v>0</v>
      </c>
      <c r="J774" s="107"/>
      <c r="K774" s="107"/>
    </row>
    <row r="775" spans="1:11" x14ac:dyDescent="0.25">
      <c r="A775" s="107"/>
      <c r="B775" s="107"/>
      <c r="C775" s="107"/>
      <c r="D775">
        <v>2023</v>
      </c>
      <c r="E775">
        <f t="shared" si="192"/>
        <v>0</v>
      </c>
      <c r="H775">
        <v>0</v>
      </c>
      <c r="I775">
        <v>0</v>
      </c>
      <c r="J775" s="107"/>
      <c r="K775" s="107"/>
    </row>
    <row r="776" spans="1:11" x14ac:dyDescent="0.25">
      <c r="A776" s="107"/>
      <c r="B776" s="107"/>
      <c r="C776" s="107"/>
      <c r="D776">
        <v>2024</v>
      </c>
      <c r="E776">
        <f t="shared" si="192"/>
        <v>0</v>
      </c>
      <c r="F776">
        <v>0</v>
      </c>
      <c r="G776">
        <v>0</v>
      </c>
      <c r="H776">
        <v>0</v>
      </c>
      <c r="I776">
        <v>0</v>
      </c>
      <c r="J776" s="107"/>
      <c r="K776" s="107"/>
    </row>
    <row r="777" spans="1:11" x14ac:dyDescent="0.25">
      <c r="A777" s="107"/>
      <c r="B777" s="107"/>
      <c r="C777" s="107"/>
      <c r="D777">
        <v>2025</v>
      </c>
      <c r="E777">
        <f t="shared" si="192"/>
        <v>0</v>
      </c>
      <c r="F777">
        <v>0</v>
      </c>
      <c r="G777">
        <v>0</v>
      </c>
      <c r="H777">
        <v>0</v>
      </c>
      <c r="I777">
        <v>0</v>
      </c>
      <c r="J777" s="107"/>
      <c r="K777" s="107"/>
    </row>
    <row r="778" spans="1:11" x14ac:dyDescent="0.25">
      <c r="A778" s="107" t="s">
        <v>1647</v>
      </c>
      <c r="B778" s="107" t="s">
        <v>1648</v>
      </c>
      <c r="C778" s="107" t="s">
        <v>14</v>
      </c>
      <c r="D778" t="s">
        <v>8</v>
      </c>
      <c r="E778">
        <f t="shared" si="192"/>
        <v>41976.500999999997</v>
      </c>
      <c r="F778">
        <f>F779+F780+F781+F782+F783</f>
        <v>0</v>
      </c>
      <c r="G778">
        <f>G779+G780+G781+G782+G783</f>
        <v>41976.500999999997</v>
      </c>
      <c r="H778">
        <f>H779+H780+H781+H782+H783</f>
        <v>0</v>
      </c>
      <c r="I778">
        <f>I779+I780+I781+I782+I783</f>
        <v>0</v>
      </c>
      <c r="J778" s="107" t="s">
        <v>1645</v>
      </c>
      <c r="K778" s="107" t="s">
        <v>1646</v>
      </c>
    </row>
    <row r="779" spans="1:11" x14ac:dyDescent="0.25">
      <c r="A779" s="107"/>
      <c r="B779" s="107"/>
      <c r="C779" s="107"/>
      <c r="D779">
        <v>2021</v>
      </c>
      <c r="E779">
        <f t="shared" si="192"/>
        <v>0</v>
      </c>
      <c r="F779">
        <v>0</v>
      </c>
      <c r="G779">
        <v>0</v>
      </c>
      <c r="H779">
        <v>0</v>
      </c>
      <c r="I779">
        <v>0</v>
      </c>
      <c r="J779" s="107"/>
      <c r="K779" s="107"/>
    </row>
    <row r="780" spans="1:11" x14ac:dyDescent="0.25">
      <c r="A780" s="107"/>
      <c r="B780" s="107"/>
      <c r="C780" s="107"/>
      <c r="D780">
        <v>2022</v>
      </c>
      <c r="E780">
        <f t="shared" si="192"/>
        <v>41976.500999999997</v>
      </c>
      <c r="F780">
        <v>0</v>
      </c>
      <c r="G780">
        <v>41976.500999999997</v>
      </c>
      <c r="H780">
        <v>0</v>
      </c>
      <c r="I780">
        <v>0</v>
      </c>
      <c r="J780" s="107"/>
      <c r="K780" s="107"/>
    </row>
    <row r="781" spans="1:11" x14ac:dyDescent="0.25">
      <c r="A781" s="107"/>
      <c r="B781" s="107"/>
      <c r="C781" s="107"/>
      <c r="D781">
        <v>2023</v>
      </c>
      <c r="E781">
        <f t="shared" si="192"/>
        <v>0</v>
      </c>
      <c r="H781">
        <v>0</v>
      </c>
      <c r="I781">
        <v>0</v>
      </c>
      <c r="J781" s="107"/>
      <c r="K781" s="107"/>
    </row>
    <row r="782" spans="1:11" x14ac:dyDescent="0.25">
      <c r="A782" s="107"/>
      <c r="B782" s="107"/>
      <c r="C782" s="107"/>
      <c r="D782">
        <v>2024</v>
      </c>
      <c r="E782">
        <f t="shared" si="192"/>
        <v>0</v>
      </c>
      <c r="F782">
        <v>0</v>
      </c>
      <c r="G782">
        <v>0</v>
      </c>
      <c r="H782">
        <v>0</v>
      </c>
      <c r="I782">
        <v>0</v>
      </c>
      <c r="J782" s="107"/>
      <c r="K782" s="107"/>
    </row>
    <row r="783" spans="1:11" x14ac:dyDescent="0.25">
      <c r="A783" s="107"/>
      <c r="B783" s="107"/>
      <c r="C783" s="107"/>
      <c r="D783">
        <v>2025</v>
      </c>
      <c r="E783">
        <f t="shared" si="192"/>
        <v>0</v>
      </c>
      <c r="F783">
        <v>0</v>
      </c>
      <c r="G783">
        <v>0</v>
      </c>
      <c r="H783">
        <v>0</v>
      </c>
      <c r="I783">
        <v>0</v>
      </c>
      <c r="J783" s="107"/>
      <c r="K783" s="107"/>
    </row>
    <row r="784" spans="1:11" x14ac:dyDescent="0.25">
      <c r="A784" s="107" t="s">
        <v>1649</v>
      </c>
      <c r="B784" s="107" t="s">
        <v>1650</v>
      </c>
      <c r="C784" s="107" t="s">
        <v>14</v>
      </c>
      <c r="D784" t="s">
        <v>8</v>
      </c>
      <c r="E784">
        <f t="shared" si="192"/>
        <v>0</v>
      </c>
      <c r="F784">
        <f>F785+F786+F787+F788+F789</f>
        <v>0</v>
      </c>
      <c r="G784">
        <f>G785+G786+G787+G788+G789</f>
        <v>0</v>
      </c>
      <c r="H784">
        <f>H785+H786+H787+H788+H789</f>
        <v>0</v>
      </c>
      <c r="I784">
        <f>I785+I786+I787+I788+I789</f>
        <v>0</v>
      </c>
      <c r="J784" s="107" t="s">
        <v>1651</v>
      </c>
      <c r="K784" s="107" t="s">
        <v>1652</v>
      </c>
    </row>
    <row r="785" spans="1:11" x14ac:dyDescent="0.25">
      <c r="A785" s="107"/>
      <c r="B785" s="107"/>
      <c r="C785" s="107"/>
      <c r="D785">
        <v>2021</v>
      </c>
      <c r="E785">
        <f t="shared" si="192"/>
        <v>0</v>
      </c>
      <c r="F785">
        <v>0</v>
      </c>
      <c r="G785">
        <v>0</v>
      </c>
      <c r="H785">
        <v>0</v>
      </c>
      <c r="I785">
        <v>0</v>
      </c>
      <c r="J785" s="107"/>
      <c r="K785" s="107"/>
    </row>
    <row r="786" spans="1:11" x14ac:dyDescent="0.25">
      <c r="A786" s="107"/>
      <c r="B786" s="107"/>
      <c r="C786" s="107"/>
      <c r="D786">
        <v>2022</v>
      </c>
      <c r="E786">
        <f t="shared" si="192"/>
        <v>0</v>
      </c>
      <c r="F786">
        <v>0</v>
      </c>
      <c r="G786">
        <v>0</v>
      </c>
      <c r="H786">
        <f>F786</f>
        <v>0</v>
      </c>
      <c r="I786">
        <v>0</v>
      </c>
      <c r="J786" s="107"/>
      <c r="K786" s="107"/>
    </row>
    <row r="787" spans="1:11" x14ac:dyDescent="0.25">
      <c r="A787" s="107"/>
      <c r="B787" s="107"/>
      <c r="C787" s="107"/>
      <c r="D787">
        <v>2023</v>
      </c>
      <c r="E787">
        <f t="shared" si="192"/>
        <v>0</v>
      </c>
      <c r="F787">
        <v>0</v>
      </c>
      <c r="G787">
        <v>0</v>
      </c>
      <c r="H787">
        <v>0</v>
      </c>
      <c r="I787">
        <v>0</v>
      </c>
      <c r="J787" s="107"/>
      <c r="K787" s="107"/>
    </row>
    <row r="788" spans="1:11" x14ac:dyDescent="0.25">
      <c r="A788" s="107"/>
      <c r="B788" s="107"/>
      <c r="C788" s="107"/>
      <c r="D788">
        <v>2024</v>
      </c>
      <c r="E788">
        <f t="shared" si="192"/>
        <v>0</v>
      </c>
      <c r="F788">
        <v>0</v>
      </c>
      <c r="G788">
        <v>0</v>
      </c>
      <c r="H788">
        <v>0</v>
      </c>
      <c r="I788">
        <v>0</v>
      </c>
      <c r="J788" s="107"/>
      <c r="K788" s="107"/>
    </row>
    <row r="789" spans="1:11" x14ac:dyDescent="0.25">
      <c r="A789" s="107"/>
      <c r="B789" s="107"/>
      <c r="C789" s="107"/>
      <c r="D789">
        <v>2025</v>
      </c>
      <c r="E789">
        <f t="shared" si="192"/>
        <v>0</v>
      </c>
      <c r="F789">
        <v>0</v>
      </c>
      <c r="G789">
        <v>0</v>
      </c>
      <c r="H789">
        <v>0</v>
      </c>
      <c r="I789">
        <v>0</v>
      </c>
      <c r="J789" s="107"/>
      <c r="K789" s="107"/>
    </row>
    <row r="790" spans="1:11" x14ac:dyDescent="0.25">
      <c r="A790" s="107" t="s">
        <v>1653</v>
      </c>
      <c r="B790" s="107" t="s">
        <v>1654</v>
      </c>
      <c r="C790" s="107" t="s">
        <v>14</v>
      </c>
      <c r="D790" t="s">
        <v>8</v>
      </c>
      <c r="E790">
        <f t="shared" si="192"/>
        <v>854843.29245999991</v>
      </c>
      <c r="F790">
        <f>F791+F792+F793+F794+F795</f>
        <v>854843.29245999991</v>
      </c>
      <c r="G790">
        <f>G791+G792+G793+G794+G795</f>
        <v>0</v>
      </c>
      <c r="H790">
        <f>H791+H792+H793+H794+H795</f>
        <v>0</v>
      </c>
      <c r="I790">
        <f>I791+I792+I793+I794+I795</f>
        <v>0</v>
      </c>
      <c r="J790" s="107" t="s">
        <v>1651</v>
      </c>
      <c r="K790" s="107" t="s">
        <v>1655</v>
      </c>
    </row>
    <row r="791" spans="1:11" x14ac:dyDescent="0.25">
      <c r="A791" s="107"/>
      <c r="B791" s="107"/>
      <c r="C791" s="107"/>
      <c r="D791">
        <v>2021</v>
      </c>
      <c r="E791">
        <f t="shared" si="192"/>
        <v>0</v>
      </c>
      <c r="F791">
        <v>0</v>
      </c>
      <c r="G791">
        <v>0</v>
      </c>
      <c r="H791">
        <v>0</v>
      </c>
      <c r="I791">
        <v>0</v>
      </c>
      <c r="J791" s="107"/>
      <c r="K791" s="107"/>
    </row>
    <row r="792" spans="1:11" x14ac:dyDescent="0.25">
      <c r="A792" s="107"/>
      <c r="B792" s="107"/>
      <c r="C792" s="107"/>
      <c r="D792">
        <v>2022</v>
      </c>
      <c r="E792">
        <f t="shared" si="192"/>
        <v>380741.1</v>
      </c>
      <c r="F792">
        <v>380741.1</v>
      </c>
      <c r="G792">
        <v>0</v>
      </c>
      <c r="H792">
        <v>0</v>
      </c>
      <c r="I792">
        <v>0</v>
      </c>
      <c r="J792" s="107"/>
      <c r="K792" s="107"/>
    </row>
    <row r="793" spans="1:11" x14ac:dyDescent="0.25">
      <c r="A793" s="107"/>
      <c r="B793" s="107"/>
      <c r="C793" s="107"/>
      <c r="D793">
        <v>2023</v>
      </c>
      <c r="E793">
        <f t="shared" si="192"/>
        <v>207850.8</v>
      </c>
      <c r="F793">
        <v>207850.8</v>
      </c>
      <c r="G793">
        <v>0</v>
      </c>
      <c r="H793">
        <v>0</v>
      </c>
      <c r="I793">
        <v>0</v>
      </c>
      <c r="J793" s="107"/>
      <c r="K793" s="107"/>
    </row>
    <row r="794" spans="1:11" ht="20.25" customHeight="1" x14ac:dyDescent="0.25">
      <c r="A794" s="107"/>
      <c r="B794" s="107"/>
      <c r="C794" s="107"/>
      <c r="D794">
        <v>2024</v>
      </c>
      <c r="E794">
        <f t="shared" si="192"/>
        <v>233417.91602999999</v>
      </c>
      <c r="F794">
        <v>233417.91602999999</v>
      </c>
      <c r="G794">
        <v>0</v>
      </c>
      <c r="H794">
        <v>0</v>
      </c>
      <c r="I794">
        <v>0</v>
      </c>
      <c r="J794" s="107"/>
      <c r="K794" s="107"/>
    </row>
    <row r="795" spans="1:11" ht="21.75" customHeight="1" x14ac:dyDescent="0.25">
      <c r="A795" s="107"/>
      <c r="B795" s="107"/>
      <c r="C795" s="107"/>
      <c r="D795">
        <v>2025</v>
      </c>
      <c r="E795">
        <f t="shared" si="192"/>
        <v>32833.476430000002</v>
      </c>
      <c r="F795">
        <v>32833.476430000002</v>
      </c>
      <c r="G795">
        <v>0</v>
      </c>
      <c r="H795">
        <v>0</v>
      </c>
      <c r="I795">
        <v>0</v>
      </c>
      <c r="J795" s="107"/>
      <c r="K795" s="107"/>
    </row>
    <row r="796" spans="1:11" x14ac:dyDescent="0.25">
      <c r="A796" s="107" t="s">
        <v>1656</v>
      </c>
      <c r="B796" s="107" t="s">
        <v>1657</v>
      </c>
      <c r="C796" s="107">
        <v>2023</v>
      </c>
      <c r="D796" t="s">
        <v>8</v>
      </c>
      <c r="E796">
        <f t="shared" si="192"/>
        <v>54474.217380000002</v>
      </c>
      <c r="F796">
        <f>F797+F798+F799+F800+F801</f>
        <v>54474.217380000002</v>
      </c>
      <c r="G796">
        <f>G797+G798+G799+G800+G801</f>
        <v>0</v>
      </c>
      <c r="H796">
        <f>H797+H798+H799+H800+H801</f>
        <v>0</v>
      </c>
      <c r="I796">
        <f>I797+I798+I799+I800+I801</f>
        <v>0</v>
      </c>
      <c r="J796" s="107" t="s">
        <v>1645</v>
      </c>
      <c r="K796" s="107" t="s">
        <v>1658</v>
      </c>
    </row>
    <row r="797" spans="1:11" x14ac:dyDescent="0.25">
      <c r="A797" s="107"/>
      <c r="B797" s="107"/>
      <c r="C797" s="107"/>
      <c r="D797">
        <v>2021</v>
      </c>
      <c r="E797">
        <f t="shared" si="192"/>
        <v>0</v>
      </c>
      <c r="F797">
        <v>0</v>
      </c>
      <c r="G797">
        <v>0</v>
      </c>
      <c r="H797">
        <v>0</v>
      </c>
      <c r="I797">
        <v>0</v>
      </c>
      <c r="J797" s="107"/>
      <c r="K797" s="107"/>
    </row>
    <row r="798" spans="1:11" x14ac:dyDescent="0.25">
      <c r="A798" s="107"/>
      <c r="B798" s="107"/>
      <c r="C798" s="107"/>
      <c r="D798">
        <v>2022</v>
      </c>
      <c r="E798">
        <f t="shared" si="192"/>
        <v>0</v>
      </c>
      <c r="F798">
        <v>0</v>
      </c>
      <c r="G798">
        <v>0</v>
      </c>
      <c r="H798">
        <v>0</v>
      </c>
      <c r="I798">
        <v>0</v>
      </c>
      <c r="J798" s="107"/>
      <c r="K798" s="107"/>
    </row>
    <row r="799" spans="1:11" x14ac:dyDescent="0.25">
      <c r="A799" s="107"/>
      <c r="B799" s="107"/>
      <c r="C799" s="107"/>
      <c r="D799">
        <v>2023</v>
      </c>
      <c r="E799">
        <f t="shared" si="192"/>
        <v>54474.217380000002</v>
      </c>
      <c r="F799">
        <v>54474.217380000002</v>
      </c>
      <c r="G799">
        <v>0</v>
      </c>
      <c r="H799">
        <v>0</v>
      </c>
      <c r="I799">
        <v>0</v>
      </c>
      <c r="J799" s="107"/>
      <c r="K799" s="107"/>
    </row>
    <row r="800" spans="1:11" x14ac:dyDescent="0.25">
      <c r="A800" s="107"/>
      <c r="B800" s="107"/>
      <c r="C800" s="107"/>
      <c r="D800">
        <v>2024</v>
      </c>
      <c r="E800">
        <f t="shared" si="192"/>
        <v>0</v>
      </c>
      <c r="F800">
        <v>0</v>
      </c>
      <c r="G800">
        <v>0</v>
      </c>
      <c r="H800">
        <v>0</v>
      </c>
      <c r="I800">
        <v>0</v>
      </c>
      <c r="J800" s="107"/>
      <c r="K800" s="107"/>
    </row>
    <row r="801" spans="1:31" x14ac:dyDescent="0.25">
      <c r="A801" s="107"/>
      <c r="B801" s="107"/>
      <c r="C801" s="107"/>
      <c r="D801">
        <v>2025</v>
      </c>
      <c r="E801">
        <f t="shared" si="192"/>
        <v>0</v>
      </c>
      <c r="F801">
        <v>0</v>
      </c>
      <c r="G801">
        <v>0</v>
      </c>
      <c r="H801">
        <v>0</v>
      </c>
      <c r="I801">
        <v>0</v>
      </c>
      <c r="J801" s="107"/>
      <c r="K801" s="107"/>
    </row>
    <row r="802" spans="1:31" x14ac:dyDescent="0.25">
      <c r="A802" s="107" t="s">
        <v>1243</v>
      </c>
      <c r="B802" s="107" t="s">
        <v>1244</v>
      </c>
      <c r="C802" s="107" t="s">
        <v>14</v>
      </c>
      <c r="D802" t="s">
        <v>8</v>
      </c>
      <c r="E802">
        <f t="shared" ref="E802:E841" si="193">F802+G802+H802+I802</f>
        <v>38288806.841969997</v>
      </c>
      <c r="F802">
        <f>F803+F804+F805+F806+F807</f>
        <v>38288806.841969997</v>
      </c>
      <c r="G802">
        <f>G803+G804+G805+G806+G807</f>
        <v>0</v>
      </c>
      <c r="H802">
        <f>H803+H804+H805+H806+H807</f>
        <v>0</v>
      </c>
      <c r="I802">
        <f>I803+I804+I805+I806+I807</f>
        <v>0</v>
      </c>
      <c r="J802" s="107" t="s">
        <v>1659</v>
      </c>
      <c r="K802" s="107" t="s">
        <v>1660</v>
      </c>
    </row>
    <row r="803" spans="1:31" x14ac:dyDescent="0.25">
      <c r="A803" s="107"/>
      <c r="B803" s="107"/>
      <c r="C803" s="107"/>
      <c r="D803">
        <v>2021</v>
      </c>
      <c r="E803">
        <f t="shared" si="193"/>
        <v>9604557.6809999999</v>
      </c>
      <c r="F803">
        <f>F809+F815+F821+F827+F833+F839+F845+F851+F857+F863</f>
        <v>9604557.6809999999</v>
      </c>
      <c r="G803">
        <f t="shared" ref="G803:I807" si="194">G809+G815+G821+G827+G833+G839+G845+G851+G857+G863</f>
        <v>0</v>
      </c>
      <c r="H803">
        <f t="shared" si="194"/>
        <v>0</v>
      </c>
      <c r="I803">
        <f t="shared" si="194"/>
        <v>0</v>
      </c>
      <c r="J803" s="107"/>
      <c r="K803" s="107"/>
    </row>
    <row r="804" spans="1:31" x14ac:dyDescent="0.25">
      <c r="A804" s="107"/>
      <c r="B804" s="107"/>
      <c r="C804" s="107"/>
      <c r="D804">
        <v>2022</v>
      </c>
      <c r="E804">
        <f t="shared" si="193"/>
        <v>11779606.149999999</v>
      </c>
      <c r="F804">
        <f>F810+F816+F822+F828+F834+F840+F846+F852+F858+F864+F870</f>
        <v>11779606.149999999</v>
      </c>
      <c r="G804">
        <f t="shared" si="194"/>
        <v>0</v>
      </c>
      <c r="H804">
        <f t="shared" si="194"/>
        <v>0</v>
      </c>
      <c r="I804">
        <f t="shared" si="194"/>
        <v>0</v>
      </c>
      <c r="J804" s="107"/>
      <c r="K804" s="107"/>
    </row>
    <row r="805" spans="1:31" x14ac:dyDescent="0.25">
      <c r="A805" s="107"/>
      <c r="B805" s="107"/>
      <c r="C805" s="107"/>
      <c r="D805">
        <v>2023</v>
      </c>
      <c r="E805">
        <f t="shared" si="193"/>
        <v>6398914.9749999987</v>
      </c>
      <c r="F805">
        <f t="shared" ref="F805:F807" si="195">F811+F817+F823+F829+F835+F841+F847+F853+F859+F865</f>
        <v>6398914.9749999987</v>
      </c>
      <c r="G805">
        <f t="shared" si="194"/>
        <v>0</v>
      </c>
      <c r="H805">
        <f t="shared" si="194"/>
        <v>0</v>
      </c>
      <c r="I805">
        <f t="shared" si="194"/>
        <v>0</v>
      </c>
      <c r="J805" s="107"/>
      <c r="K805" s="107"/>
    </row>
    <row r="806" spans="1:31" x14ac:dyDescent="0.25">
      <c r="A806" s="107"/>
      <c r="B806" s="107"/>
      <c r="C806" s="107"/>
      <c r="D806">
        <v>2024</v>
      </c>
      <c r="E806">
        <f t="shared" si="193"/>
        <v>5214422.5359699987</v>
      </c>
      <c r="F806">
        <f t="shared" si="195"/>
        <v>5214422.5359699987</v>
      </c>
      <c r="G806">
        <f t="shared" si="194"/>
        <v>0</v>
      </c>
      <c r="H806">
        <f t="shared" si="194"/>
        <v>0</v>
      </c>
      <c r="I806">
        <f t="shared" si="194"/>
        <v>0</v>
      </c>
      <c r="J806" s="107"/>
      <c r="K806" s="107"/>
    </row>
    <row r="807" spans="1:31" x14ac:dyDescent="0.25">
      <c r="A807" s="107"/>
      <c r="B807" s="107"/>
      <c r="C807" s="107"/>
      <c r="D807">
        <v>2025</v>
      </c>
      <c r="E807">
        <f t="shared" si="193"/>
        <v>5291305.5</v>
      </c>
      <c r="F807">
        <f t="shared" si="195"/>
        <v>5291305.5</v>
      </c>
      <c r="G807">
        <f t="shared" si="194"/>
        <v>0</v>
      </c>
      <c r="H807">
        <f t="shared" si="194"/>
        <v>0</v>
      </c>
      <c r="I807">
        <f t="shared" si="194"/>
        <v>0</v>
      </c>
      <c r="J807" s="107"/>
      <c r="K807" s="107"/>
    </row>
    <row r="808" spans="1:31" x14ac:dyDescent="0.25">
      <c r="A808" s="107" t="s">
        <v>1245</v>
      </c>
      <c r="B808" s="107" t="s">
        <v>1661</v>
      </c>
      <c r="C808" s="107" t="s">
        <v>14</v>
      </c>
      <c r="D808" t="s">
        <v>8</v>
      </c>
      <c r="E808">
        <f t="shared" si="193"/>
        <v>28622437.520969998</v>
      </c>
      <c r="F808">
        <f>F809+F810+F811+F812+F813</f>
        <v>28622437.520969998</v>
      </c>
      <c r="G808">
        <f>G809+G810+G811+G812+G813</f>
        <v>0</v>
      </c>
      <c r="H808">
        <f>H809+H810+H811+H812+H813</f>
        <v>0</v>
      </c>
      <c r="I808">
        <f>I809+I810+I811+I812+I813</f>
        <v>0</v>
      </c>
      <c r="J808" s="107" t="s">
        <v>1662</v>
      </c>
      <c r="K808" s="107" t="s">
        <v>1251</v>
      </c>
      <c r="AA808">
        <f>41006297.7-20500-11677.9-69441.065-6343.0235-107086.09053</f>
        <v>40791249.620970003</v>
      </c>
      <c r="AB808">
        <f>40648698.1-20500-11677.9-69441.065-6343.0235-107086.09053</f>
        <v>40433650.020970002</v>
      </c>
      <c r="AC808">
        <v>0</v>
      </c>
      <c r="AD808">
        <v>356906.1</v>
      </c>
      <c r="AE808">
        <v>693.5</v>
      </c>
    </row>
    <row r="809" spans="1:31" x14ac:dyDescent="0.25">
      <c r="A809" s="107"/>
      <c r="B809" s="107"/>
      <c r="C809" s="107"/>
      <c r="D809">
        <v>2021</v>
      </c>
      <c r="E809">
        <f t="shared" si="193"/>
        <v>5129301.4000000004</v>
      </c>
      <c r="F809">
        <v>5129301.4000000004</v>
      </c>
      <c r="G809">
        <v>0</v>
      </c>
      <c r="H809">
        <v>0</v>
      </c>
      <c r="I809">
        <v>0</v>
      </c>
      <c r="J809" s="107"/>
      <c r="K809" s="107"/>
      <c r="AA809">
        <v>9134411.3000000007</v>
      </c>
      <c r="AB809">
        <v>9039021.5999999996</v>
      </c>
      <c r="AC809">
        <v>0</v>
      </c>
      <c r="AD809">
        <v>94696.2</v>
      </c>
      <c r="AE809">
        <v>693.5</v>
      </c>
    </row>
    <row r="810" spans="1:31" x14ac:dyDescent="0.25">
      <c r="A810" s="107"/>
      <c r="B810" s="107"/>
      <c r="C810" s="107"/>
      <c r="D810">
        <v>2022</v>
      </c>
      <c r="E810">
        <f t="shared" si="193"/>
        <v>9617212</v>
      </c>
      <c r="F810">
        <v>9617212</v>
      </c>
      <c r="G810">
        <v>0</v>
      </c>
      <c r="H810">
        <v>0</v>
      </c>
      <c r="I810">
        <v>0</v>
      </c>
      <c r="J810" s="107"/>
      <c r="K810" s="107"/>
      <c r="AA810">
        <v>13704091.5</v>
      </c>
      <c r="AB810">
        <v>13471730.1</v>
      </c>
      <c r="AC810">
        <v>0</v>
      </c>
      <c r="AD810">
        <v>232361.4</v>
      </c>
      <c r="AE810">
        <v>0</v>
      </c>
    </row>
    <row r="811" spans="1:31" x14ac:dyDescent="0.25">
      <c r="A811" s="107"/>
      <c r="B811" s="107"/>
      <c r="C811" s="107"/>
      <c r="D811">
        <v>2023</v>
      </c>
      <c r="E811">
        <f t="shared" si="193"/>
        <v>5052235.334999999</v>
      </c>
      <c r="F811">
        <f>5188854.3-20500-11677.9-69441.065-30000-250-4750</f>
        <v>5052235.334999999</v>
      </c>
      <c r="G811">
        <v>0</v>
      </c>
      <c r="H811">
        <v>0</v>
      </c>
      <c r="I811">
        <v>0</v>
      </c>
      <c r="J811" s="107"/>
      <c r="K811" s="107"/>
      <c r="AA811">
        <f>6592418-20500-11677.9-69441.065</f>
        <v>6490799.0349999992</v>
      </c>
      <c r="AB811">
        <f>6582468.5-20500-11677.9-69441.065</f>
        <v>6480849.5349999992</v>
      </c>
      <c r="AC811">
        <v>0</v>
      </c>
      <c r="AD811">
        <v>9949.5</v>
      </c>
      <c r="AE811">
        <v>0</v>
      </c>
    </row>
    <row r="812" spans="1:31" x14ac:dyDescent="0.25">
      <c r="A812" s="107"/>
      <c r="B812" s="107"/>
      <c r="C812" s="107"/>
      <c r="D812">
        <v>2024</v>
      </c>
      <c r="E812">
        <f t="shared" si="193"/>
        <v>4368722.4859699998</v>
      </c>
      <c r="F812">
        <f>4482151.6-6343.0235-107086.09053</f>
        <v>4368722.4859699998</v>
      </c>
      <c r="G812">
        <v>0</v>
      </c>
      <c r="H812">
        <v>0</v>
      </c>
      <c r="I812">
        <v>0</v>
      </c>
      <c r="J812" s="107"/>
      <c r="K812" s="107"/>
      <c r="AA812">
        <f>5907096.2-6343.0235-107086.09053</f>
        <v>5793667.0859700004</v>
      </c>
      <c r="AB812">
        <f>5897146.7-6343.0235-107086.09053</f>
        <v>5783717.5859700004</v>
      </c>
      <c r="AC812">
        <v>0</v>
      </c>
      <c r="AD812">
        <v>9949.5</v>
      </c>
      <c r="AE812">
        <v>0</v>
      </c>
    </row>
    <row r="813" spans="1:31" x14ac:dyDescent="0.25">
      <c r="A813" s="107"/>
      <c r="B813" s="107"/>
      <c r="C813" s="107"/>
      <c r="D813">
        <v>2025</v>
      </c>
      <c r="E813">
        <f t="shared" si="193"/>
        <v>4454966.3</v>
      </c>
      <c r="F813">
        <v>4454966.3</v>
      </c>
      <c r="G813">
        <v>0</v>
      </c>
      <c r="H813">
        <v>0</v>
      </c>
      <c r="I813">
        <v>0</v>
      </c>
      <c r="J813" s="107"/>
      <c r="K813" s="107"/>
      <c r="AA813">
        <v>5668280.7000000002</v>
      </c>
      <c r="AB813">
        <v>5658331.2000000002</v>
      </c>
      <c r="AC813">
        <v>0</v>
      </c>
      <c r="AD813">
        <v>9949.5</v>
      </c>
      <c r="AE813">
        <v>0</v>
      </c>
    </row>
    <row r="814" spans="1:31" x14ac:dyDescent="0.25">
      <c r="A814" s="107" t="s">
        <v>1663</v>
      </c>
      <c r="B814" s="107" t="s">
        <v>1664</v>
      </c>
      <c r="C814" s="107" t="s">
        <v>14</v>
      </c>
      <c r="D814" t="s">
        <v>8</v>
      </c>
      <c r="E814">
        <f t="shared" si="193"/>
        <v>1966341.7999999998</v>
      </c>
      <c r="F814">
        <f>F815+F816+F817+F818+F819</f>
        <v>1966341.7999999998</v>
      </c>
      <c r="G814">
        <f>G815+G816+G817+G818+G819</f>
        <v>0</v>
      </c>
      <c r="H814">
        <f>H815+H816+H817+H818+H819</f>
        <v>0</v>
      </c>
      <c r="I814">
        <f>I815+I816+I817+I818+I819</f>
        <v>0</v>
      </c>
      <c r="J814" s="107" t="s">
        <v>1665</v>
      </c>
      <c r="K814" s="107" t="s">
        <v>1666</v>
      </c>
    </row>
    <row r="815" spans="1:31" x14ac:dyDescent="0.25">
      <c r="A815" s="107"/>
      <c r="B815" s="107"/>
      <c r="C815" s="107"/>
      <c r="D815">
        <v>2021</v>
      </c>
      <c r="E815">
        <f t="shared" si="193"/>
        <v>374322.3</v>
      </c>
      <c r="F815">
        <v>374322.3</v>
      </c>
      <c r="G815">
        <v>0</v>
      </c>
      <c r="H815">
        <v>0</v>
      </c>
      <c r="I815">
        <v>0</v>
      </c>
      <c r="J815" s="107"/>
      <c r="K815" s="107"/>
    </row>
    <row r="816" spans="1:31" x14ac:dyDescent="0.25">
      <c r="A816" s="107"/>
      <c r="B816" s="107"/>
      <c r="C816" s="107"/>
      <c r="D816">
        <v>2022</v>
      </c>
      <c r="E816">
        <f t="shared" si="193"/>
        <v>393429.9</v>
      </c>
      <c r="F816">
        <v>393429.9</v>
      </c>
      <c r="G816">
        <v>0</v>
      </c>
      <c r="H816">
        <v>0</v>
      </c>
      <c r="I816">
        <v>0</v>
      </c>
      <c r="J816" s="107"/>
      <c r="K816" s="107"/>
    </row>
    <row r="817" spans="1:11" x14ac:dyDescent="0.25">
      <c r="A817" s="107"/>
      <c r="B817" s="107"/>
      <c r="C817" s="107"/>
      <c r="D817">
        <v>2023</v>
      </c>
      <c r="E817">
        <f t="shared" si="193"/>
        <v>399529.85</v>
      </c>
      <c r="F817">
        <v>399529.85</v>
      </c>
      <c r="G817">
        <v>0</v>
      </c>
      <c r="H817">
        <v>0</v>
      </c>
      <c r="I817">
        <v>0</v>
      </c>
      <c r="J817" s="107"/>
      <c r="K817" s="107"/>
    </row>
    <row r="818" spans="1:11" x14ac:dyDescent="0.25">
      <c r="A818" s="107"/>
      <c r="B818" s="107"/>
      <c r="C818" s="107"/>
      <c r="D818">
        <v>2024</v>
      </c>
      <c r="E818">
        <f t="shared" si="193"/>
        <v>399529.85</v>
      </c>
      <c r="F818">
        <v>399529.85</v>
      </c>
      <c r="G818">
        <v>0</v>
      </c>
      <c r="H818">
        <v>0</v>
      </c>
      <c r="I818">
        <v>0</v>
      </c>
      <c r="J818" s="107"/>
      <c r="K818" s="107"/>
    </row>
    <row r="819" spans="1:11" x14ac:dyDescent="0.25">
      <c r="A819" s="107"/>
      <c r="B819" s="107"/>
      <c r="C819" s="107"/>
      <c r="D819">
        <v>2025</v>
      </c>
      <c r="E819">
        <f t="shared" si="193"/>
        <v>399529.9</v>
      </c>
      <c r="F819">
        <v>399529.9</v>
      </c>
      <c r="G819">
        <v>0</v>
      </c>
      <c r="H819">
        <v>0</v>
      </c>
      <c r="I819">
        <v>0</v>
      </c>
      <c r="J819" s="107"/>
      <c r="K819" s="107"/>
    </row>
    <row r="820" spans="1:11" x14ac:dyDescent="0.25">
      <c r="A820" s="107" t="s">
        <v>1667</v>
      </c>
      <c r="B820" s="107" t="s">
        <v>1668</v>
      </c>
      <c r="C820" s="107" t="s">
        <v>14</v>
      </c>
      <c r="D820" t="s">
        <v>8</v>
      </c>
      <c r="E820">
        <f t="shared" si="193"/>
        <v>1824056.31</v>
      </c>
      <c r="F820">
        <f>F821+F822+F823+F824+F825</f>
        <v>1824056.31</v>
      </c>
      <c r="G820">
        <f>G821+G822+G823+G824+G825</f>
        <v>0</v>
      </c>
      <c r="H820">
        <f>H821+H822+H823+H824+H825</f>
        <v>0</v>
      </c>
      <c r="I820">
        <f>I821+I822+I823+I824+I825</f>
        <v>0</v>
      </c>
      <c r="J820" s="107" t="s">
        <v>1669</v>
      </c>
      <c r="K820" s="107" t="s">
        <v>1666</v>
      </c>
    </row>
    <row r="821" spans="1:11" x14ac:dyDescent="0.25">
      <c r="A821" s="107"/>
      <c r="B821" s="107"/>
      <c r="C821" s="107"/>
      <c r="D821">
        <v>2021</v>
      </c>
      <c r="E821">
        <f t="shared" si="193"/>
        <v>234667.7</v>
      </c>
      <c r="F821">
        <v>234667.7</v>
      </c>
      <c r="G821">
        <v>0</v>
      </c>
      <c r="H821">
        <v>0</v>
      </c>
      <c r="I821">
        <v>0</v>
      </c>
      <c r="J821" s="107"/>
      <c r="K821" s="107"/>
    </row>
    <row r="822" spans="1:11" x14ac:dyDescent="0.25">
      <c r="A822" s="107"/>
      <c r="B822" s="107"/>
      <c r="C822" s="107"/>
      <c r="D822">
        <v>2022</v>
      </c>
      <c r="E822">
        <f t="shared" si="193"/>
        <v>406582.11</v>
      </c>
      <c r="F822">
        <v>406582.11</v>
      </c>
      <c r="G822">
        <v>0</v>
      </c>
      <c r="H822">
        <v>0</v>
      </c>
      <c r="I822">
        <v>0</v>
      </c>
      <c r="J822" s="107"/>
      <c r="K822" s="107"/>
    </row>
    <row r="823" spans="1:11" x14ac:dyDescent="0.25">
      <c r="A823" s="107"/>
      <c r="B823" s="107"/>
      <c r="C823" s="107"/>
      <c r="D823">
        <v>2023</v>
      </c>
      <c r="E823">
        <f t="shared" si="193"/>
        <v>363265.8</v>
      </c>
      <c r="F823">
        <v>363265.8</v>
      </c>
      <c r="G823">
        <v>0</v>
      </c>
      <c r="H823">
        <v>0</v>
      </c>
      <c r="I823">
        <v>0</v>
      </c>
      <c r="J823" s="107"/>
      <c r="K823" s="107"/>
    </row>
    <row r="824" spans="1:11" x14ac:dyDescent="0.25">
      <c r="A824" s="107"/>
      <c r="B824" s="107"/>
      <c r="C824" s="107"/>
      <c r="D824">
        <v>2024</v>
      </c>
      <c r="E824">
        <f t="shared" si="193"/>
        <v>415099.1</v>
      </c>
      <c r="F824">
        <v>415099.1</v>
      </c>
      <c r="G824">
        <v>0</v>
      </c>
      <c r="H824">
        <v>0</v>
      </c>
      <c r="I824">
        <v>0</v>
      </c>
      <c r="J824" s="107"/>
      <c r="K824" s="107"/>
    </row>
    <row r="825" spans="1:11" x14ac:dyDescent="0.25">
      <c r="A825" s="107"/>
      <c r="B825" s="107"/>
      <c r="C825" s="107"/>
      <c r="D825">
        <v>2025</v>
      </c>
      <c r="E825">
        <f t="shared" si="193"/>
        <v>404441.59999999998</v>
      </c>
      <c r="F825">
        <v>404441.59999999998</v>
      </c>
      <c r="G825">
        <v>0</v>
      </c>
      <c r="H825">
        <v>0</v>
      </c>
      <c r="I825">
        <v>0</v>
      </c>
      <c r="J825" s="107"/>
      <c r="K825" s="107"/>
    </row>
    <row r="826" spans="1:11" x14ac:dyDescent="0.25">
      <c r="A826" s="107" t="s">
        <v>1670</v>
      </c>
      <c r="B826" s="107" t="s">
        <v>1671</v>
      </c>
      <c r="C826" s="107" t="s">
        <v>14</v>
      </c>
      <c r="D826" t="s">
        <v>8</v>
      </c>
      <c r="E826">
        <f t="shared" si="193"/>
        <v>147529.04</v>
      </c>
      <c r="F826">
        <f>F827+F828+F829+F830+F831</f>
        <v>147529.04</v>
      </c>
      <c r="G826">
        <f>G827+G828+G829+G830+G831</f>
        <v>0</v>
      </c>
      <c r="H826">
        <f>H827+H828+H829+H830+H831</f>
        <v>0</v>
      </c>
      <c r="I826">
        <f>I827+I828+I829+I830+I831</f>
        <v>0</v>
      </c>
      <c r="J826" s="107" t="s">
        <v>1672</v>
      </c>
      <c r="K826" s="107" t="s">
        <v>1666</v>
      </c>
    </row>
    <row r="827" spans="1:11" x14ac:dyDescent="0.25">
      <c r="A827" s="107"/>
      <c r="B827" s="107"/>
      <c r="C827" s="107"/>
      <c r="D827">
        <v>2021</v>
      </c>
      <c r="E827">
        <f t="shared" si="193"/>
        <v>25810.799999999999</v>
      </c>
      <c r="F827">
        <v>25810.799999999999</v>
      </c>
      <c r="G827">
        <v>0</v>
      </c>
      <c r="H827">
        <v>0</v>
      </c>
      <c r="I827">
        <v>0</v>
      </c>
      <c r="J827" s="107"/>
      <c r="K827" s="107"/>
    </row>
    <row r="828" spans="1:11" x14ac:dyDescent="0.25">
      <c r="A828" s="107"/>
      <c r="B828" s="107"/>
      <c r="C828" s="107"/>
      <c r="D828">
        <v>2022</v>
      </c>
      <c r="E828">
        <f t="shared" si="193"/>
        <v>28489.040000000001</v>
      </c>
      <c r="F828">
        <v>28489.040000000001</v>
      </c>
      <c r="G828">
        <v>0</v>
      </c>
      <c r="H828">
        <v>0</v>
      </c>
      <c r="I828">
        <v>0</v>
      </c>
      <c r="J828" s="107"/>
      <c r="K828" s="107"/>
    </row>
    <row r="829" spans="1:11" x14ac:dyDescent="0.25">
      <c r="A829" s="107"/>
      <c r="B829" s="107"/>
      <c r="C829" s="107"/>
      <c r="D829">
        <v>2023</v>
      </c>
      <c r="E829">
        <f t="shared" si="193"/>
        <v>29790.400000000001</v>
      </c>
      <c r="F829">
        <v>29790.400000000001</v>
      </c>
      <c r="G829">
        <v>0</v>
      </c>
      <c r="H829">
        <v>0</v>
      </c>
      <c r="I829">
        <v>0</v>
      </c>
      <c r="J829" s="107"/>
      <c r="K829" s="107"/>
    </row>
    <row r="830" spans="1:11" x14ac:dyDescent="0.25">
      <c r="A830" s="107"/>
      <c r="B830" s="107"/>
      <c r="C830" s="107"/>
      <c r="D830">
        <v>2024</v>
      </c>
      <c r="E830">
        <f t="shared" si="193"/>
        <v>31071.1</v>
      </c>
      <c r="F830">
        <v>31071.1</v>
      </c>
      <c r="G830">
        <v>0</v>
      </c>
      <c r="H830">
        <v>0</v>
      </c>
      <c r="I830">
        <v>0</v>
      </c>
      <c r="J830" s="107"/>
      <c r="K830" s="107"/>
    </row>
    <row r="831" spans="1:11" x14ac:dyDescent="0.25">
      <c r="A831" s="107"/>
      <c r="B831" s="107"/>
      <c r="C831" s="107"/>
      <c r="D831">
        <v>2025</v>
      </c>
      <c r="E831">
        <f t="shared" si="193"/>
        <v>32367.7</v>
      </c>
      <c r="F831">
        <v>32367.7</v>
      </c>
      <c r="G831">
        <v>0</v>
      </c>
      <c r="H831">
        <v>0</v>
      </c>
      <c r="I831">
        <v>0</v>
      </c>
      <c r="J831" s="107"/>
      <c r="K831" s="107"/>
    </row>
    <row r="832" spans="1:11" x14ac:dyDescent="0.25">
      <c r="A832" s="107" t="s">
        <v>1673</v>
      </c>
      <c r="B832" s="107" t="s">
        <v>1674</v>
      </c>
      <c r="C832" s="107" t="s">
        <v>14</v>
      </c>
      <c r="D832" t="s">
        <v>8</v>
      </c>
      <c r="E832">
        <f t="shared" si="193"/>
        <v>965135.2</v>
      </c>
      <c r="F832">
        <f>F833+F834+F835+F836+F837</f>
        <v>965135.2</v>
      </c>
      <c r="G832">
        <f>G833+G834+G835+G836+G837</f>
        <v>0</v>
      </c>
      <c r="H832">
        <f>H833+H834+H835+H836+H837</f>
        <v>0</v>
      </c>
      <c r="I832">
        <f>I833+I834+I835+I836+I837</f>
        <v>0</v>
      </c>
      <c r="J832" s="107" t="s">
        <v>1675</v>
      </c>
      <c r="K832" s="107" t="s">
        <v>1676</v>
      </c>
    </row>
    <row r="833" spans="1:11" x14ac:dyDescent="0.25">
      <c r="A833" s="107"/>
      <c r="B833" s="107"/>
      <c r="C833" s="107"/>
      <c r="D833">
        <v>2021</v>
      </c>
      <c r="E833">
        <f t="shared" si="193"/>
        <v>965135.2</v>
      </c>
      <c r="F833">
        <v>965135.2</v>
      </c>
      <c r="G833">
        <v>0</v>
      </c>
      <c r="H833">
        <v>0</v>
      </c>
      <c r="I833">
        <v>0</v>
      </c>
      <c r="J833" s="107"/>
      <c r="K833" s="107"/>
    </row>
    <row r="834" spans="1:11" x14ac:dyDescent="0.25">
      <c r="A834" s="107"/>
      <c r="B834" s="107"/>
      <c r="C834" s="107"/>
      <c r="D834">
        <v>2022</v>
      </c>
      <c r="E834">
        <f t="shared" si="193"/>
        <v>0</v>
      </c>
      <c r="F834">
        <v>0</v>
      </c>
      <c r="G834">
        <v>0</v>
      </c>
      <c r="H834">
        <v>0</v>
      </c>
      <c r="I834">
        <v>0</v>
      </c>
      <c r="J834" s="107"/>
      <c r="K834" s="107"/>
    </row>
    <row r="835" spans="1:11" x14ac:dyDescent="0.25">
      <c r="A835" s="107"/>
      <c r="B835" s="107"/>
      <c r="C835" s="107"/>
      <c r="D835">
        <v>2023</v>
      </c>
      <c r="E835">
        <f t="shared" si="193"/>
        <v>0</v>
      </c>
      <c r="F835">
        <v>0</v>
      </c>
      <c r="G835">
        <v>0</v>
      </c>
      <c r="H835">
        <v>0</v>
      </c>
      <c r="I835">
        <v>0</v>
      </c>
      <c r="J835" s="107"/>
      <c r="K835" s="107"/>
    </row>
    <row r="836" spans="1:11" x14ac:dyDescent="0.25">
      <c r="A836" s="107"/>
      <c r="B836" s="107"/>
      <c r="C836" s="107"/>
      <c r="D836">
        <v>2024</v>
      </c>
      <c r="E836">
        <f t="shared" si="193"/>
        <v>0</v>
      </c>
      <c r="F836">
        <v>0</v>
      </c>
      <c r="G836">
        <v>0</v>
      </c>
      <c r="H836">
        <v>0</v>
      </c>
      <c r="I836">
        <v>0</v>
      </c>
      <c r="J836" s="107"/>
      <c r="K836" s="107"/>
    </row>
    <row r="837" spans="1:11" ht="27" customHeight="1" x14ac:dyDescent="0.25">
      <c r="A837" s="107"/>
      <c r="B837" s="107"/>
      <c r="C837" s="107"/>
      <c r="D837">
        <v>2025</v>
      </c>
      <c r="E837">
        <f t="shared" si="193"/>
        <v>0</v>
      </c>
      <c r="F837">
        <v>0</v>
      </c>
      <c r="G837">
        <v>0</v>
      </c>
      <c r="H837">
        <v>0</v>
      </c>
      <c r="I837">
        <v>0</v>
      </c>
      <c r="J837" s="107"/>
      <c r="K837" s="107"/>
    </row>
    <row r="838" spans="1:11" x14ac:dyDescent="0.25">
      <c r="A838" s="107" t="s">
        <v>1677</v>
      </c>
      <c r="B838" s="107" t="s">
        <v>1678</v>
      </c>
      <c r="C838" s="107" t="s">
        <v>14</v>
      </c>
      <c r="D838" t="s">
        <v>8</v>
      </c>
      <c r="E838">
        <f t="shared" si="193"/>
        <v>4483113.3899999997</v>
      </c>
      <c r="F838">
        <f>F839+F840+F841+F842+F843</f>
        <v>4483113.3899999997</v>
      </c>
      <c r="G838">
        <f>G839+G840+G841+G842+G843</f>
        <v>0</v>
      </c>
      <c r="H838">
        <f>H839+H840+H841+H842+H843</f>
        <v>0</v>
      </c>
      <c r="I838">
        <f>I839+I840+I841+I842+I843</f>
        <v>0</v>
      </c>
      <c r="J838" s="107" t="s">
        <v>1679</v>
      </c>
      <c r="K838" s="107" t="s">
        <v>1680</v>
      </c>
    </row>
    <row r="839" spans="1:11" x14ac:dyDescent="0.25">
      <c r="A839" s="107"/>
      <c r="B839" s="107"/>
      <c r="C839" s="107"/>
      <c r="D839">
        <v>2021</v>
      </c>
      <c r="E839">
        <f t="shared" si="193"/>
        <v>2821576.6</v>
      </c>
      <c r="F839">
        <v>2821576.6</v>
      </c>
      <c r="G839">
        <v>0</v>
      </c>
      <c r="H839">
        <v>0</v>
      </c>
      <c r="I839">
        <v>0</v>
      </c>
      <c r="J839" s="107"/>
      <c r="K839" s="107"/>
    </row>
    <row r="840" spans="1:11" x14ac:dyDescent="0.25">
      <c r="A840" s="107"/>
      <c r="B840" s="107"/>
      <c r="C840" s="107"/>
      <c r="D840">
        <v>2022</v>
      </c>
      <c r="E840">
        <f t="shared" si="193"/>
        <v>1107443.2</v>
      </c>
      <c r="F840">
        <v>1107443.2</v>
      </c>
      <c r="G840">
        <v>0</v>
      </c>
      <c r="H840">
        <v>0</v>
      </c>
      <c r="I840">
        <v>0</v>
      </c>
      <c r="J840" s="107"/>
      <c r="K840" s="107"/>
    </row>
    <row r="841" spans="1:11" x14ac:dyDescent="0.25">
      <c r="A841" s="107"/>
      <c r="B841" s="107"/>
      <c r="C841" s="107"/>
      <c r="D841">
        <v>2023</v>
      </c>
      <c r="E841">
        <f t="shared" si="193"/>
        <v>554093.59000000008</v>
      </c>
      <c r="F841">
        <f>33683.5+520410.09</f>
        <v>554093.59000000008</v>
      </c>
      <c r="G841">
        <v>0</v>
      </c>
      <c r="H841">
        <v>0</v>
      </c>
      <c r="I841">
        <v>0</v>
      </c>
      <c r="J841" s="107"/>
      <c r="K841" s="107"/>
    </row>
    <row r="842" spans="1:11" x14ac:dyDescent="0.25">
      <c r="A842" s="107"/>
      <c r="B842" s="107"/>
      <c r="C842" s="107"/>
      <c r="D842">
        <v>2024</v>
      </c>
      <c r="E842">
        <f t="shared" ref="E842:E905" si="196">F842+G842+H842+I842</f>
        <v>0</v>
      </c>
      <c r="F842">
        <v>0</v>
      </c>
      <c r="G842">
        <v>0</v>
      </c>
      <c r="H842">
        <v>0</v>
      </c>
      <c r="I842">
        <v>0</v>
      </c>
      <c r="J842" s="107"/>
      <c r="K842" s="107"/>
    </row>
    <row r="843" spans="1:11" x14ac:dyDescent="0.25">
      <c r="A843" s="107"/>
      <c r="B843" s="107"/>
      <c r="C843" s="107"/>
      <c r="D843">
        <v>2025</v>
      </c>
      <c r="E843">
        <f t="shared" si="196"/>
        <v>0</v>
      </c>
      <c r="F843">
        <v>0</v>
      </c>
      <c r="G843">
        <v>0</v>
      </c>
      <c r="H843">
        <v>0</v>
      </c>
      <c r="I843">
        <v>0</v>
      </c>
      <c r="J843" s="107"/>
      <c r="K843" s="107"/>
    </row>
    <row r="844" spans="1:11" x14ac:dyDescent="0.25">
      <c r="A844" s="107" t="s">
        <v>1681</v>
      </c>
      <c r="B844" s="107" t="s">
        <v>1682</v>
      </c>
      <c r="C844" s="107" t="s">
        <v>828</v>
      </c>
      <c r="D844" t="s">
        <v>8</v>
      </c>
      <c r="E844">
        <f t="shared" si="196"/>
        <v>36437.321000000004</v>
      </c>
      <c r="F844">
        <v>36437.321000000004</v>
      </c>
      <c r="G844">
        <v>0</v>
      </c>
      <c r="H844">
        <v>0</v>
      </c>
      <c r="I844">
        <v>0</v>
      </c>
      <c r="J844" s="107" t="s">
        <v>1683</v>
      </c>
      <c r="K844" s="107" t="s">
        <v>1666</v>
      </c>
    </row>
    <row r="845" spans="1:11" x14ac:dyDescent="0.25">
      <c r="A845" s="107"/>
      <c r="B845" s="107"/>
      <c r="C845" s="107"/>
      <c r="D845">
        <v>2021</v>
      </c>
      <c r="E845">
        <f t="shared" si="196"/>
        <v>36437.321000000004</v>
      </c>
      <c r="F845">
        <v>36437.321000000004</v>
      </c>
      <c r="G845">
        <v>0</v>
      </c>
      <c r="H845">
        <v>0</v>
      </c>
      <c r="I845">
        <v>0</v>
      </c>
      <c r="J845" s="107"/>
      <c r="K845" s="107"/>
    </row>
    <row r="846" spans="1:11" x14ac:dyDescent="0.25">
      <c r="A846" s="107"/>
      <c r="B846" s="107"/>
      <c r="C846" s="107"/>
      <c r="D846">
        <v>2022</v>
      </c>
      <c r="E846">
        <f t="shared" si="196"/>
        <v>0</v>
      </c>
      <c r="F846">
        <v>0</v>
      </c>
      <c r="G846">
        <v>0</v>
      </c>
      <c r="H846">
        <v>0</v>
      </c>
      <c r="I846">
        <v>0</v>
      </c>
      <c r="J846" s="107"/>
      <c r="K846" s="107"/>
    </row>
    <row r="847" spans="1:11" x14ac:dyDescent="0.25">
      <c r="A847" s="107"/>
      <c r="B847" s="107"/>
      <c r="C847" s="107"/>
      <c r="D847">
        <v>2023</v>
      </c>
      <c r="E847">
        <f t="shared" si="196"/>
        <v>0</v>
      </c>
      <c r="F847">
        <v>0</v>
      </c>
      <c r="G847">
        <v>0</v>
      </c>
      <c r="H847">
        <v>0</v>
      </c>
      <c r="I847">
        <v>0</v>
      </c>
      <c r="J847" s="107"/>
      <c r="K847" s="107"/>
    </row>
    <row r="848" spans="1:11" x14ac:dyDescent="0.25">
      <c r="A848" s="107"/>
      <c r="B848" s="107"/>
      <c r="C848" s="107"/>
      <c r="D848">
        <v>2024</v>
      </c>
      <c r="E848">
        <f t="shared" si="196"/>
        <v>0</v>
      </c>
      <c r="F848">
        <v>0</v>
      </c>
      <c r="G848">
        <v>0</v>
      </c>
      <c r="H848">
        <v>0</v>
      </c>
      <c r="I848">
        <v>0</v>
      </c>
      <c r="J848" s="107"/>
      <c r="K848" s="107"/>
    </row>
    <row r="849" spans="1:11" x14ac:dyDescent="0.25">
      <c r="A849" s="107"/>
      <c r="B849" s="107"/>
      <c r="C849" s="107"/>
      <c r="D849">
        <v>2025</v>
      </c>
      <c r="E849">
        <f t="shared" si="196"/>
        <v>0</v>
      </c>
      <c r="F849">
        <v>0</v>
      </c>
      <c r="G849">
        <v>0</v>
      </c>
      <c r="H849">
        <v>0</v>
      </c>
      <c r="I849">
        <v>0</v>
      </c>
      <c r="J849" s="107"/>
      <c r="K849" s="107"/>
    </row>
    <row r="850" spans="1:11" x14ac:dyDescent="0.25">
      <c r="A850" s="107" t="s">
        <v>1684</v>
      </c>
      <c r="B850" s="107" t="s">
        <v>1685</v>
      </c>
      <c r="C850" s="107" t="s">
        <v>828</v>
      </c>
      <c r="D850" t="s">
        <v>8</v>
      </c>
      <c r="E850">
        <f t="shared" si="196"/>
        <v>17306.36</v>
      </c>
      <c r="F850">
        <f>F851+F852+F853+F854+F855</f>
        <v>17306.36</v>
      </c>
      <c r="G850">
        <f>G851+G852+G853+G854+G855</f>
        <v>0</v>
      </c>
      <c r="H850">
        <f>H851+H852+H853+H854+H855</f>
        <v>0</v>
      </c>
      <c r="I850">
        <f>I851+I852+I853+I854+I855</f>
        <v>0</v>
      </c>
      <c r="J850" s="107" t="s">
        <v>1686</v>
      </c>
      <c r="K850" s="107" t="s">
        <v>1666</v>
      </c>
    </row>
    <row r="851" spans="1:11" x14ac:dyDescent="0.25">
      <c r="A851" s="107"/>
      <c r="B851" s="107"/>
      <c r="C851" s="107"/>
      <c r="D851">
        <v>2021</v>
      </c>
      <c r="E851">
        <f t="shared" si="196"/>
        <v>17306.36</v>
      </c>
      <c r="F851">
        <v>17306.36</v>
      </c>
      <c r="G851">
        <v>0</v>
      </c>
      <c r="H851">
        <v>0</v>
      </c>
      <c r="I851">
        <v>0</v>
      </c>
      <c r="J851" s="107"/>
      <c r="K851" s="107"/>
    </row>
    <row r="852" spans="1:11" x14ac:dyDescent="0.25">
      <c r="A852" s="107"/>
      <c r="B852" s="107"/>
      <c r="C852" s="107"/>
      <c r="D852">
        <v>2022</v>
      </c>
      <c r="E852">
        <f t="shared" si="196"/>
        <v>0</v>
      </c>
      <c r="F852">
        <v>0</v>
      </c>
      <c r="G852">
        <v>0</v>
      </c>
      <c r="H852">
        <v>0</v>
      </c>
      <c r="I852">
        <v>0</v>
      </c>
      <c r="J852" s="107"/>
      <c r="K852" s="107"/>
    </row>
    <row r="853" spans="1:11" x14ac:dyDescent="0.25">
      <c r="A853" s="107"/>
      <c r="B853" s="107"/>
      <c r="C853" s="107"/>
      <c r="D853">
        <v>2023</v>
      </c>
      <c r="E853">
        <f t="shared" si="196"/>
        <v>0</v>
      </c>
      <c r="F853">
        <v>0</v>
      </c>
      <c r="G853">
        <v>0</v>
      </c>
      <c r="H853">
        <v>0</v>
      </c>
      <c r="I853">
        <v>0</v>
      </c>
      <c r="J853" s="107"/>
      <c r="K853" s="107"/>
    </row>
    <row r="854" spans="1:11" x14ac:dyDescent="0.25">
      <c r="A854" s="107"/>
      <c r="B854" s="107"/>
      <c r="C854" s="107"/>
      <c r="D854">
        <v>2024</v>
      </c>
      <c r="E854">
        <f t="shared" si="196"/>
        <v>0</v>
      </c>
      <c r="F854">
        <v>0</v>
      </c>
      <c r="G854">
        <v>0</v>
      </c>
      <c r="H854">
        <v>0</v>
      </c>
      <c r="I854">
        <v>0</v>
      </c>
      <c r="J854" s="107"/>
      <c r="K854" s="107"/>
    </row>
    <row r="855" spans="1:11" x14ac:dyDescent="0.25">
      <c r="A855" s="107"/>
      <c r="B855" s="107"/>
      <c r="C855" s="107"/>
      <c r="D855">
        <v>2025</v>
      </c>
      <c r="E855">
        <f t="shared" si="196"/>
        <v>0</v>
      </c>
      <c r="F855">
        <v>0</v>
      </c>
      <c r="G855">
        <v>0</v>
      </c>
      <c r="H855">
        <v>0</v>
      </c>
      <c r="I855">
        <v>0</v>
      </c>
      <c r="J855" s="107"/>
      <c r="K855" s="107"/>
    </row>
    <row r="856" spans="1:11" x14ac:dyDescent="0.25">
      <c r="A856" s="107" t="s">
        <v>1687</v>
      </c>
      <c r="B856" s="107" t="s">
        <v>1688</v>
      </c>
      <c r="C856" s="107" t="s">
        <v>1113</v>
      </c>
      <c r="D856" t="s">
        <v>8</v>
      </c>
      <c r="E856">
        <f t="shared" si="196"/>
        <v>0</v>
      </c>
      <c r="F856">
        <f>F857+F858+F859+F860+F861</f>
        <v>0</v>
      </c>
      <c r="G856">
        <f>G857+G858+G859+G860+G861</f>
        <v>0</v>
      </c>
      <c r="H856">
        <f>H857+H858+H859+H860+H861</f>
        <v>0</v>
      </c>
      <c r="I856">
        <f>I857+I858+I859+I860+I861</f>
        <v>0</v>
      </c>
      <c r="J856" s="107" t="s">
        <v>1689</v>
      </c>
      <c r="K856" s="107" t="s">
        <v>1666</v>
      </c>
    </row>
    <row r="857" spans="1:11" x14ac:dyDescent="0.25">
      <c r="A857" s="107"/>
      <c r="B857" s="107"/>
      <c r="C857" s="107"/>
      <c r="D857">
        <v>2021</v>
      </c>
      <c r="E857">
        <f t="shared" si="196"/>
        <v>0</v>
      </c>
      <c r="F857">
        <v>0</v>
      </c>
      <c r="G857">
        <v>0</v>
      </c>
      <c r="H857">
        <v>0</v>
      </c>
      <c r="I857">
        <v>0</v>
      </c>
      <c r="J857" s="107"/>
      <c r="K857" s="107"/>
    </row>
    <row r="858" spans="1:11" x14ac:dyDescent="0.25">
      <c r="A858" s="107"/>
      <c r="B858" s="107"/>
      <c r="C858" s="107"/>
      <c r="D858">
        <v>2022</v>
      </c>
      <c r="E858">
        <f t="shared" si="196"/>
        <v>0</v>
      </c>
      <c r="F858">
        <v>0</v>
      </c>
      <c r="G858">
        <v>0</v>
      </c>
      <c r="H858">
        <v>0</v>
      </c>
      <c r="I858">
        <v>0</v>
      </c>
      <c r="J858" s="107"/>
      <c r="K858" s="107"/>
    </row>
    <row r="859" spans="1:11" x14ac:dyDescent="0.25">
      <c r="A859" s="107"/>
      <c r="B859" s="107"/>
      <c r="C859" s="107"/>
      <c r="D859">
        <v>2023</v>
      </c>
      <c r="E859">
        <f t="shared" si="196"/>
        <v>0</v>
      </c>
      <c r="F859">
        <v>0</v>
      </c>
      <c r="G859">
        <v>0</v>
      </c>
      <c r="H859">
        <v>0</v>
      </c>
      <c r="I859">
        <v>0</v>
      </c>
      <c r="J859" s="107"/>
      <c r="K859" s="107"/>
    </row>
    <row r="860" spans="1:11" x14ac:dyDescent="0.25">
      <c r="A860" s="107"/>
      <c r="B860" s="107"/>
      <c r="C860" s="107"/>
      <c r="D860">
        <v>2024</v>
      </c>
      <c r="E860">
        <f t="shared" si="196"/>
        <v>0</v>
      </c>
      <c r="F860">
        <v>0</v>
      </c>
      <c r="G860">
        <v>0</v>
      </c>
      <c r="H860">
        <v>0</v>
      </c>
      <c r="I860">
        <v>0</v>
      </c>
      <c r="J860" s="107"/>
      <c r="K860" s="107"/>
    </row>
    <row r="861" spans="1:11" ht="30" customHeight="1" x14ac:dyDescent="0.25">
      <c r="A861" s="107"/>
      <c r="B861" s="107"/>
      <c r="C861" s="107"/>
      <c r="D861">
        <v>2025</v>
      </c>
      <c r="E861">
        <f t="shared" si="196"/>
        <v>0</v>
      </c>
      <c r="F861">
        <v>0</v>
      </c>
      <c r="G861">
        <v>0</v>
      </c>
      <c r="H861">
        <v>0</v>
      </c>
      <c r="I861">
        <v>0</v>
      </c>
      <c r="J861" s="107"/>
      <c r="K861" s="107"/>
    </row>
    <row r="862" spans="1:11" x14ac:dyDescent="0.25">
      <c r="A862" s="107" t="s">
        <v>1690</v>
      </c>
      <c r="B862" s="107" t="s">
        <v>1691</v>
      </c>
      <c r="C862" s="107" t="s">
        <v>1113</v>
      </c>
      <c r="D862" t="s">
        <v>8</v>
      </c>
      <c r="E862">
        <f t="shared" si="196"/>
        <v>116333.5</v>
      </c>
      <c r="F862">
        <f>F863+F864+F865+F866+F867</f>
        <v>116333.5</v>
      </c>
      <c r="G862">
        <f>G863+G864+G865+G866+G867</f>
        <v>0</v>
      </c>
      <c r="H862">
        <f>H863+H864+H865+H866+H867</f>
        <v>0</v>
      </c>
      <c r="I862">
        <f>I863+I864+I865+I866+I867</f>
        <v>0</v>
      </c>
      <c r="J862" s="107" t="s">
        <v>1692</v>
      </c>
      <c r="K862" s="107" t="s">
        <v>1666</v>
      </c>
    </row>
    <row r="863" spans="1:11" x14ac:dyDescent="0.25">
      <c r="A863" s="107"/>
      <c r="B863" s="107"/>
      <c r="C863" s="107"/>
      <c r="D863">
        <v>2021</v>
      </c>
      <c r="E863">
        <f t="shared" si="196"/>
        <v>0</v>
      </c>
      <c r="F863">
        <v>0</v>
      </c>
      <c r="G863">
        <v>0</v>
      </c>
      <c r="H863">
        <v>0</v>
      </c>
      <c r="I863">
        <v>0</v>
      </c>
      <c r="J863" s="107"/>
      <c r="K863" s="107"/>
    </row>
    <row r="864" spans="1:11" x14ac:dyDescent="0.25">
      <c r="A864" s="107"/>
      <c r="B864" s="107"/>
      <c r="C864" s="107"/>
      <c r="D864">
        <v>2022</v>
      </c>
      <c r="E864">
        <f t="shared" si="196"/>
        <v>116333.5</v>
      </c>
      <c r="F864">
        <v>116333.5</v>
      </c>
      <c r="G864">
        <v>0</v>
      </c>
      <c r="H864">
        <v>0</v>
      </c>
      <c r="I864">
        <v>0</v>
      </c>
      <c r="J864" s="107"/>
      <c r="K864" s="107"/>
    </row>
    <row r="865" spans="1:11" x14ac:dyDescent="0.25">
      <c r="A865" s="107"/>
      <c r="B865" s="107"/>
      <c r="C865" s="107"/>
      <c r="D865">
        <v>2023</v>
      </c>
      <c r="E865">
        <f t="shared" si="196"/>
        <v>0</v>
      </c>
      <c r="F865">
        <v>0</v>
      </c>
      <c r="G865">
        <v>0</v>
      </c>
      <c r="H865">
        <v>0</v>
      </c>
      <c r="I865">
        <v>0</v>
      </c>
      <c r="J865" s="107"/>
      <c r="K865" s="107"/>
    </row>
    <row r="866" spans="1:11" x14ac:dyDescent="0.25">
      <c r="A866" s="107"/>
      <c r="B866" s="107"/>
      <c r="C866" s="107"/>
      <c r="D866">
        <v>2024</v>
      </c>
      <c r="E866">
        <f t="shared" si="196"/>
        <v>0</v>
      </c>
      <c r="F866">
        <v>0</v>
      </c>
      <c r="G866">
        <v>0</v>
      </c>
      <c r="H866">
        <v>0</v>
      </c>
      <c r="I866">
        <v>0</v>
      </c>
      <c r="J866" s="107"/>
      <c r="K866" s="107"/>
    </row>
    <row r="867" spans="1:11" x14ac:dyDescent="0.25">
      <c r="A867" s="107"/>
      <c r="B867" s="107"/>
      <c r="C867" s="107"/>
      <c r="D867">
        <v>2025</v>
      </c>
      <c r="E867">
        <f t="shared" si="196"/>
        <v>0</v>
      </c>
      <c r="F867">
        <v>0</v>
      </c>
      <c r="G867">
        <v>0</v>
      </c>
      <c r="H867">
        <v>0</v>
      </c>
      <c r="I867">
        <v>0</v>
      </c>
      <c r="J867" s="107"/>
      <c r="K867" s="107"/>
    </row>
    <row r="868" spans="1:11" x14ac:dyDescent="0.25">
      <c r="A868" s="107" t="s">
        <v>1693</v>
      </c>
      <c r="B868" s="107" t="s">
        <v>1694</v>
      </c>
      <c r="C868" s="107" t="s">
        <v>1113</v>
      </c>
      <c r="D868" t="s">
        <v>8</v>
      </c>
      <c r="E868">
        <f t="shared" si="196"/>
        <v>110116.4</v>
      </c>
      <c r="F868">
        <f>F869+F870+F871+F872+F873</f>
        <v>110116.4</v>
      </c>
      <c r="G868">
        <f>G869+G870+G871+G872+G873</f>
        <v>0</v>
      </c>
      <c r="H868">
        <f>H869+H870+H871+H872+H873</f>
        <v>0</v>
      </c>
      <c r="I868">
        <f>I869+I870+I871+I872+I873</f>
        <v>0</v>
      </c>
      <c r="J868" s="107" t="s">
        <v>1692</v>
      </c>
      <c r="K868" s="107" t="s">
        <v>1666</v>
      </c>
    </row>
    <row r="869" spans="1:11" x14ac:dyDescent="0.25">
      <c r="A869" s="107"/>
      <c r="B869" s="107"/>
      <c r="C869" s="107"/>
      <c r="D869">
        <v>2021</v>
      </c>
      <c r="E869">
        <f t="shared" si="196"/>
        <v>0</v>
      </c>
      <c r="F869">
        <v>0</v>
      </c>
      <c r="G869">
        <v>0</v>
      </c>
      <c r="H869">
        <v>0</v>
      </c>
      <c r="I869">
        <v>0</v>
      </c>
      <c r="J869" s="107"/>
      <c r="K869" s="107"/>
    </row>
    <row r="870" spans="1:11" x14ac:dyDescent="0.25">
      <c r="A870" s="107"/>
      <c r="B870" s="107"/>
      <c r="C870" s="107"/>
      <c r="D870">
        <v>2022</v>
      </c>
      <c r="E870">
        <f t="shared" si="196"/>
        <v>110116.4</v>
      </c>
      <c r="F870">
        <v>110116.4</v>
      </c>
      <c r="G870">
        <v>0</v>
      </c>
      <c r="H870">
        <v>0</v>
      </c>
      <c r="I870">
        <v>0</v>
      </c>
      <c r="J870" s="107"/>
      <c r="K870" s="107"/>
    </row>
    <row r="871" spans="1:11" x14ac:dyDescent="0.25">
      <c r="A871" s="107"/>
      <c r="B871" s="107"/>
      <c r="C871" s="107"/>
      <c r="D871">
        <v>2023</v>
      </c>
      <c r="E871">
        <f t="shared" si="196"/>
        <v>0</v>
      </c>
      <c r="F871">
        <v>0</v>
      </c>
      <c r="G871">
        <v>0</v>
      </c>
      <c r="H871">
        <v>0</v>
      </c>
      <c r="I871">
        <v>0</v>
      </c>
      <c r="J871" s="107"/>
      <c r="K871" s="107"/>
    </row>
    <row r="872" spans="1:11" x14ac:dyDescent="0.25">
      <c r="A872" s="107"/>
      <c r="B872" s="107"/>
      <c r="C872" s="107"/>
      <c r="D872">
        <v>2024</v>
      </c>
      <c r="E872">
        <f t="shared" si="196"/>
        <v>0</v>
      </c>
      <c r="F872">
        <v>0</v>
      </c>
      <c r="G872">
        <v>0</v>
      </c>
      <c r="H872">
        <v>0</v>
      </c>
      <c r="I872">
        <v>0</v>
      </c>
      <c r="J872" s="107"/>
      <c r="K872" s="107"/>
    </row>
    <row r="873" spans="1:11" ht="34.5" customHeight="1" x14ac:dyDescent="0.25">
      <c r="A873" s="107"/>
      <c r="B873" s="107"/>
      <c r="C873" s="107"/>
      <c r="D873">
        <v>2025</v>
      </c>
      <c r="E873">
        <f t="shared" si="196"/>
        <v>0</v>
      </c>
      <c r="F873">
        <v>0</v>
      </c>
      <c r="G873">
        <v>0</v>
      </c>
      <c r="H873">
        <v>0</v>
      </c>
      <c r="I873">
        <v>0</v>
      </c>
      <c r="J873" s="107"/>
      <c r="K873" s="107"/>
    </row>
    <row r="874" spans="1:11" x14ac:dyDescent="0.25">
      <c r="A874" s="107" t="s">
        <v>1695</v>
      </c>
      <c r="B874" s="107" t="s">
        <v>1696</v>
      </c>
      <c r="C874" s="107" t="s">
        <v>14</v>
      </c>
      <c r="D874" t="s">
        <v>8</v>
      </c>
      <c r="E874">
        <f t="shared" si="196"/>
        <v>1122236.72701</v>
      </c>
      <c r="F874">
        <f>F875+F876+F877+F878+F879</f>
        <v>1051153.6270099999</v>
      </c>
      <c r="G874">
        <f>G875+G876+G877+G878+G879</f>
        <v>0</v>
      </c>
      <c r="H874">
        <f>H875+H876+H877+H878+H879</f>
        <v>71083.100000000006</v>
      </c>
      <c r="I874">
        <f>I875+I876+I877+I878+I879</f>
        <v>0</v>
      </c>
      <c r="J874" s="107" t="s">
        <v>1697</v>
      </c>
      <c r="K874" s="107" t="s">
        <v>1698</v>
      </c>
    </row>
    <row r="875" spans="1:11" x14ac:dyDescent="0.25">
      <c r="A875" s="107"/>
      <c r="B875" s="107"/>
      <c r="C875" s="107"/>
      <c r="D875">
        <v>2021</v>
      </c>
      <c r="E875">
        <f t="shared" si="196"/>
        <v>237584.32701000001</v>
      </c>
      <c r="F875">
        <f t="shared" ref="F875:F879" si="197">F881+F887+F893+F899+F905</f>
        <v>228082.02701000002</v>
      </c>
      <c r="G875">
        <f t="shared" ref="G875:I878" si="198">G881+G887+G893+G899+G905</f>
        <v>0</v>
      </c>
      <c r="H875">
        <f t="shared" si="198"/>
        <v>9502.3000000000011</v>
      </c>
      <c r="I875">
        <f t="shared" si="198"/>
        <v>0</v>
      </c>
      <c r="J875" s="107"/>
      <c r="K875" s="107"/>
    </row>
    <row r="876" spans="1:11" x14ac:dyDescent="0.25">
      <c r="A876" s="107"/>
      <c r="B876" s="107"/>
      <c r="C876" s="107"/>
      <c r="D876">
        <v>2022</v>
      </c>
      <c r="E876">
        <f t="shared" si="196"/>
        <v>392219.2</v>
      </c>
      <c r="F876">
        <f t="shared" si="197"/>
        <v>360486.9</v>
      </c>
      <c r="G876">
        <f t="shared" si="198"/>
        <v>0</v>
      </c>
      <c r="H876">
        <f t="shared" si="198"/>
        <v>31732.3</v>
      </c>
      <c r="I876">
        <f t="shared" si="198"/>
        <v>0</v>
      </c>
      <c r="J876" s="107"/>
      <c r="K876" s="107"/>
    </row>
    <row r="877" spans="1:11" x14ac:dyDescent="0.25">
      <c r="A877" s="107"/>
      <c r="B877" s="107"/>
      <c r="C877" s="107"/>
      <c r="D877">
        <v>2023</v>
      </c>
      <c r="E877">
        <f t="shared" si="196"/>
        <v>164144.4</v>
      </c>
      <c r="F877">
        <f t="shared" si="197"/>
        <v>154194.9</v>
      </c>
      <c r="G877">
        <f t="shared" si="198"/>
        <v>0</v>
      </c>
      <c r="H877">
        <f t="shared" si="198"/>
        <v>9949.5</v>
      </c>
      <c r="I877">
        <f t="shared" si="198"/>
        <v>0</v>
      </c>
      <c r="J877" s="107"/>
      <c r="K877" s="107"/>
    </row>
    <row r="878" spans="1:11" x14ac:dyDescent="0.25">
      <c r="A878" s="107"/>
      <c r="B878" s="107"/>
      <c r="C878" s="107"/>
      <c r="D878">
        <v>2024</v>
      </c>
      <c r="E878">
        <f t="shared" si="196"/>
        <v>164144.4</v>
      </c>
      <c r="F878">
        <f t="shared" si="197"/>
        <v>154194.9</v>
      </c>
      <c r="G878">
        <f t="shared" si="198"/>
        <v>0</v>
      </c>
      <c r="H878">
        <f t="shared" si="198"/>
        <v>9949.5</v>
      </c>
      <c r="I878">
        <f t="shared" si="198"/>
        <v>0</v>
      </c>
      <c r="J878" s="107"/>
      <c r="K878" s="107"/>
    </row>
    <row r="879" spans="1:11" x14ac:dyDescent="0.25">
      <c r="A879" s="107"/>
      <c r="B879" s="107"/>
      <c r="C879" s="107"/>
      <c r="D879">
        <v>2025</v>
      </c>
      <c r="E879">
        <f t="shared" si="196"/>
        <v>164144.4</v>
      </c>
      <c r="F879">
        <f t="shared" si="197"/>
        <v>154194.9</v>
      </c>
      <c r="G879">
        <f t="shared" ref="G879:I879" si="199">G885+G891+G897+G903</f>
        <v>0</v>
      </c>
      <c r="H879">
        <f t="shared" si="199"/>
        <v>9949.5</v>
      </c>
      <c r="I879">
        <f t="shared" si="199"/>
        <v>0</v>
      </c>
      <c r="J879" s="107"/>
      <c r="K879" s="107"/>
    </row>
    <row r="880" spans="1:11" x14ac:dyDescent="0.25">
      <c r="A880" s="107" t="s">
        <v>1699</v>
      </c>
      <c r="B880" s="107" t="s">
        <v>1700</v>
      </c>
      <c r="C880" s="107" t="s">
        <v>14</v>
      </c>
      <c r="D880" t="s">
        <v>8</v>
      </c>
      <c r="E880">
        <f t="shared" si="196"/>
        <v>704642.8</v>
      </c>
      <c r="F880">
        <f>F881+F882+F883+F884+F885</f>
        <v>649615.70000000007</v>
      </c>
      <c r="G880">
        <f>G881+G882+G883+G884+G885</f>
        <v>0</v>
      </c>
      <c r="H880">
        <f>H881+H882+H883+H884+H885</f>
        <v>55027.1</v>
      </c>
      <c r="I880">
        <f>I881+I882+I883+I884+I885</f>
        <v>0</v>
      </c>
      <c r="J880" s="107" t="s">
        <v>1701</v>
      </c>
      <c r="K880" s="107" t="s">
        <v>1561</v>
      </c>
    </row>
    <row r="881" spans="1:11" x14ac:dyDescent="0.25">
      <c r="A881" s="107"/>
      <c r="B881" s="107"/>
      <c r="C881" s="107"/>
      <c r="D881">
        <v>2021</v>
      </c>
      <c r="E881">
        <f t="shared" si="196"/>
        <v>98989.7</v>
      </c>
      <c r="F881">
        <v>92295.4</v>
      </c>
      <c r="G881">
        <v>0</v>
      </c>
      <c r="H881">
        <v>6694.3</v>
      </c>
      <c r="I881">
        <v>0</v>
      </c>
      <c r="J881" s="107"/>
      <c r="K881" s="107"/>
    </row>
    <row r="882" spans="1:11" x14ac:dyDescent="0.25">
      <c r="A882" s="107"/>
      <c r="B882" s="107"/>
      <c r="C882" s="107"/>
      <c r="D882">
        <v>2022</v>
      </c>
      <c r="E882">
        <f t="shared" si="196"/>
        <v>311938.7</v>
      </c>
      <c r="F882">
        <v>283518.40000000002</v>
      </c>
      <c r="G882">
        <v>0</v>
      </c>
      <c r="H882">
        <v>28420.3</v>
      </c>
      <c r="I882">
        <v>0</v>
      </c>
      <c r="J882" s="107"/>
      <c r="K882" s="107"/>
    </row>
    <row r="883" spans="1:11" x14ac:dyDescent="0.25">
      <c r="A883" s="107"/>
      <c r="B883" s="107"/>
      <c r="C883" s="107"/>
      <c r="D883">
        <v>2023</v>
      </c>
      <c r="E883">
        <f t="shared" si="196"/>
        <v>97904.8</v>
      </c>
      <c r="F883">
        <v>91267.3</v>
      </c>
      <c r="G883">
        <v>0</v>
      </c>
      <c r="H883">
        <v>6637.5</v>
      </c>
      <c r="I883">
        <v>0</v>
      </c>
      <c r="J883" s="107"/>
      <c r="K883" s="107"/>
    </row>
    <row r="884" spans="1:11" x14ac:dyDescent="0.25">
      <c r="A884" s="107"/>
      <c r="B884" s="107"/>
      <c r="C884" s="107"/>
      <c r="D884">
        <v>2024</v>
      </c>
      <c r="E884">
        <f t="shared" si="196"/>
        <v>97904.8</v>
      </c>
      <c r="F884">
        <v>91267.3</v>
      </c>
      <c r="G884">
        <v>0</v>
      </c>
      <c r="H884">
        <v>6637.5</v>
      </c>
      <c r="I884">
        <v>0</v>
      </c>
      <c r="J884" s="107"/>
      <c r="K884" s="107"/>
    </row>
    <row r="885" spans="1:11" x14ac:dyDescent="0.25">
      <c r="A885" s="107"/>
      <c r="B885" s="107"/>
      <c r="C885" s="107"/>
      <c r="D885">
        <v>2025</v>
      </c>
      <c r="E885">
        <f t="shared" si="196"/>
        <v>97904.8</v>
      </c>
      <c r="F885">
        <v>91267.3</v>
      </c>
      <c r="G885">
        <v>0</v>
      </c>
      <c r="H885">
        <v>6637.5</v>
      </c>
      <c r="I885">
        <v>0</v>
      </c>
      <c r="J885" s="107"/>
      <c r="K885" s="107"/>
    </row>
    <row r="886" spans="1:11" x14ac:dyDescent="0.25">
      <c r="A886" s="107" t="s">
        <v>1702</v>
      </c>
      <c r="B886" s="107" t="s">
        <v>1703</v>
      </c>
      <c r="C886" s="107" t="s">
        <v>14</v>
      </c>
      <c r="D886" t="s">
        <v>8</v>
      </c>
      <c r="E886">
        <f t="shared" si="196"/>
        <v>319407.89999999997</v>
      </c>
      <c r="F886">
        <f>F887+F888+F889+F890+F891</f>
        <v>303582.09999999998</v>
      </c>
      <c r="G886">
        <f>G887+G888+G889+G890+G891</f>
        <v>0</v>
      </c>
      <c r="H886">
        <f>H887+H888+H889+H890+H891</f>
        <v>15825.8</v>
      </c>
      <c r="I886">
        <f>I887+I888+I889+I890+I891</f>
        <v>0</v>
      </c>
      <c r="J886" s="107" t="s">
        <v>1703</v>
      </c>
      <c r="K886" s="107" t="s">
        <v>1561</v>
      </c>
    </row>
    <row r="887" spans="1:11" x14ac:dyDescent="0.25">
      <c r="A887" s="107"/>
      <c r="B887" s="107"/>
      <c r="C887" s="107"/>
      <c r="D887">
        <v>2021</v>
      </c>
      <c r="E887">
        <f t="shared" si="196"/>
        <v>51557.600000000006</v>
      </c>
      <c r="F887">
        <v>48979.8</v>
      </c>
      <c r="G887">
        <v>0</v>
      </c>
      <c r="H887">
        <v>2577.8000000000002</v>
      </c>
      <c r="I887">
        <v>0</v>
      </c>
      <c r="J887" s="107"/>
      <c r="K887" s="107"/>
    </row>
    <row r="888" spans="1:11" x14ac:dyDescent="0.25">
      <c r="A888" s="107"/>
      <c r="B888" s="107"/>
      <c r="C888" s="107"/>
      <c r="D888">
        <v>2022</v>
      </c>
      <c r="E888">
        <f t="shared" si="196"/>
        <v>69131.5</v>
      </c>
      <c r="F888">
        <v>65819.5</v>
      </c>
      <c r="G888">
        <v>0</v>
      </c>
      <c r="H888">
        <v>3312</v>
      </c>
      <c r="I888">
        <v>0</v>
      </c>
      <c r="J888" s="107"/>
      <c r="K888" s="107"/>
    </row>
    <row r="889" spans="1:11" x14ac:dyDescent="0.25">
      <c r="A889" s="107"/>
      <c r="B889" s="107"/>
      <c r="C889" s="107"/>
      <c r="D889">
        <v>2023</v>
      </c>
      <c r="E889">
        <f t="shared" si="196"/>
        <v>66239.600000000006</v>
      </c>
      <c r="F889">
        <v>62927.6</v>
      </c>
      <c r="G889">
        <v>0</v>
      </c>
      <c r="H889">
        <v>3312</v>
      </c>
      <c r="I889">
        <v>0</v>
      </c>
      <c r="J889" s="107"/>
      <c r="K889" s="107"/>
    </row>
    <row r="890" spans="1:11" x14ac:dyDescent="0.25">
      <c r="A890" s="107"/>
      <c r="B890" s="107"/>
      <c r="C890" s="107"/>
      <c r="D890">
        <v>2024</v>
      </c>
      <c r="E890">
        <f t="shared" si="196"/>
        <v>66239.600000000006</v>
      </c>
      <c r="F890">
        <v>62927.6</v>
      </c>
      <c r="G890">
        <v>0</v>
      </c>
      <c r="H890">
        <v>3312</v>
      </c>
      <c r="I890">
        <v>0</v>
      </c>
      <c r="J890" s="107"/>
      <c r="K890" s="107"/>
    </row>
    <row r="891" spans="1:11" x14ac:dyDescent="0.25">
      <c r="A891" s="107"/>
      <c r="B891" s="107"/>
      <c r="C891" s="107"/>
      <c r="D891">
        <v>2025</v>
      </c>
      <c r="E891">
        <f t="shared" si="196"/>
        <v>66239.600000000006</v>
      </c>
      <c r="F891">
        <v>62927.6</v>
      </c>
      <c r="G891">
        <v>0</v>
      </c>
      <c r="H891">
        <v>3312</v>
      </c>
      <c r="I891">
        <v>0</v>
      </c>
      <c r="J891" s="107"/>
      <c r="K891" s="107"/>
    </row>
    <row r="892" spans="1:11" x14ac:dyDescent="0.25">
      <c r="A892" s="107" t="s">
        <v>1704</v>
      </c>
      <c r="B892" s="107" t="s">
        <v>1705</v>
      </c>
      <c r="C892" s="107" t="s">
        <v>14</v>
      </c>
      <c r="D892" t="s">
        <v>8</v>
      </c>
      <c r="E892">
        <f t="shared" si="196"/>
        <v>82432.827010000008</v>
      </c>
      <c r="F892">
        <f>F893+F894+F895+F896+F897</f>
        <v>82432.827010000008</v>
      </c>
      <c r="G892">
        <f>G893+G894+G895+G896+G897</f>
        <v>0</v>
      </c>
      <c r="H892">
        <f>H893+H894+H895+H896+H897</f>
        <v>0</v>
      </c>
      <c r="I892">
        <f>I893+I894+I895+I896+I897</f>
        <v>0</v>
      </c>
      <c r="J892" s="107" t="s">
        <v>1706</v>
      </c>
      <c r="K892" s="107" t="s">
        <v>1561</v>
      </c>
    </row>
    <row r="893" spans="1:11" x14ac:dyDescent="0.25">
      <c r="A893" s="107"/>
      <c r="B893" s="107"/>
      <c r="C893" s="107"/>
      <c r="D893">
        <v>2021</v>
      </c>
      <c r="E893">
        <f t="shared" si="196"/>
        <v>82432.827010000008</v>
      </c>
      <c r="F893">
        <f>82432827.01/1000</f>
        <v>82432.827010000008</v>
      </c>
      <c r="G893">
        <v>0</v>
      </c>
      <c r="H893">
        <v>0</v>
      </c>
      <c r="I893">
        <v>0</v>
      </c>
      <c r="J893" s="107"/>
      <c r="K893" s="107"/>
    </row>
    <row r="894" spans="1:11" x14ac:dyDescent="0.25">
      <c r="A894" s="107"/>
      <c r="B894" s="107"/>
      <c r="C894" s="107"/>
      <c r="D894">
        <v>2022</v>
      </c>
      <c r="E894">
        <f t="shared" si="196"/>
        <v>0</v>
      </c>
      <c r="F894">
        <v>0</v>
      </c>
      <c r="G894">
        <v>0</v>
      </c>
      <c r="H894">
        <v>0</v>
      </c>
      <c r="I894">
        <v>0</v>
      </c>
      <c r="J894" s="107"/>
      <c r="K894" s="107"/>
    </row>
    <row r="895" spans="1:11" x14ac:dyDescent="0.25">
      <c r="A895" s="107"/>
      <c r="B895" s="107"/>
      <c r="C895" s="107"/>
      <c r="D895">
        <v>2023</v>
      </c>
      <c r="E895">
        <f t="shared" si="196"/>
        <v>0</v>
      </c>
      <c r="F895">
        <v>0</v>
      </c>
      <c r="G895">
        <v>0</v>
      </c>
      <c r="H895">
        <v>0</v>
      </c>
      <c r="I895">
        <v>0</v>
      </c>
      <c r="J895" s="107"/>
      <c r="K895" s="107"/>
    </row>
    <row r="896" spans="1:11" x14ac:dyDescent="0.25">
      <c r="A896" s="107"/>
      <c r="B896" s="107"/>
      <c r="C896" s="107"/>
      <c r="D896">
        <v>2024</v>
      </c>
      <c r="E896">
        <f t="shared" si="196"/>
        <v>0</v>
      </c>
      <c r="F896">
        <v>0</v>
      </c>
      <c r="G896">
        <v>0</v>
      </c>
      <c r="H896">
        <v>0</v>
      </c>
      <c r="I896">
        <v>0</v>
      </c>
      <c r="J896" s="107"/>
      <c r="K896" s="107"/>
    </row>
    <row r="897" spans="1:11" x14ac:dyDescent="0.25">
      <c r="A897" s="107"/>
      <c r="B897" s="107"/>
      <c r="C897" s="107"/>
      <c r="D897">
        <v>2025</v>
      </c>
      <c r="E897">
        <f t="shared" si="196"/>
        <v>0</v>
      </c>
      <c r="F897">
        <v>0</v>
      </c>
      <c r="G897">
        <v>0</v>
      </c>
      <c r="H897">
        <v>0</v>
      </c>
      <c r="I897">
        <v>0</v>
      </c>
      <c r="J897" s="107"/>
      <c r="K897" s="107"/>
    </row>
    <row r="898" spans="1:11" x14ac:dyDescent="0.25">
      <c r="A898" s="107" t="s">
        <v>1707</v>
      </c>
      <c r="B898" s="107" t="s">
        <v>1708</v>
      </c>
      <c r="C898" s="107" t="s">
        <v>14</v>
      </c>
      <c r="D898" t="s">
        <v>8</v>
      </c>
      <c r="E898">
        <f t="shared" si="196"/>
        <v>4604.2</v>
      </c>
      <c r="F898">
        <f>F899+F900+F901+F902+F903</f>
        <v>4374</v>
      </c>
      <c r="G898">
        <f>G899+G900+G901+G902+G903</f>
        <v>0</v>
      </c>
      <c r="H898">
        <f>H899+H900+H901+H902+H903</f>
        <v>230.2</v>
      </c>
      <c r="I898">
        <f>I899+I900+I901+I902+I903</f>
        <v>0</v>
      </c>
      <c r="J898" s="107" t="s">
        <v>1709</v>
      </c>
      <c r="K898" s="107" t="s">
        <v>1561</v>
      </c>
    </row>
    <row r="899" spans="1:11" x14ac:dyDescent="0.25">
      <c r="A899" s="107"/>
      <c r="B899" s="107"/>
      <c r="C899" s="107"/>
      <c r="D899">
        <v>2021</v>
      </c>
      <c r="E899">
        <f t="shared" si="196"/>
        <v>4604.2</v>
      </c>
      <c r="F899">
        <v>4374</v>
      </c>
      <c r="G899">
        <v>0</v>
      </c>
      <c r="H899">
        <v>230.2</v>
      </c>
      <c r="I899">
        <v>0</v>
      </c>
      <c r="J899" s="107"/>
      <c r="K899" s="107"/>
    </row>
    <row r="900" spans="1:11" x14ac:dyDescent="0.25">
      <c r="A900" s="107"/>
      <c r="B900" s="107"/>
      <c r="C900" s="107"/>
      <c r="D900">
        <v>2022</v>
      </c>
      <c r="E900">
        <f t="shared" si="196"/>
        <v>0</v>
      </c>
      <c r="F900">
        <v>0</v>
      </c>
      <c r="G900">
        <v>0</v>
      </c>
      <c r="H900">
        <v>0</v>
      </c>
      <c r="I900">
        <v>0</v>
      </c>
      <c r="J900" s="107"/>
      <c r="K900" s="107"/>
    </row>
    <row r="901" spans="1:11" x14ac:dyDescent="0.25">
      <c r="A901" s="107"/>
      <c r="B901" s="107"/>
      <c r="C901" s="107"/>
      <c r="D901">
        <v>2023</v>
      </c>
      <c r="E901">
        <f t="shared" si="196"/>
        <v>0</v>
      </c>
      <c r="F901">
        <v>0</v>
      </c>
      <c r="G901">
        <v>0</v>
      </c>
      <c r="H901">
        <v>0</v>
      </c>
      <c r="I901">
        <v>0</v>
      </c>
      <c r="J901" s="107"/>
      <c r="K901" s="107"/>
    </row>
    <row r="902" spans="1:11" x14ac:dyDescent="0.25">
      <c r="A902" s="107"/>
      <c r="B902" s="107"/>
      <c r="C902" s="107"/>
      <c r="D902">
        <v>2024</v>
      </c>
      <c r="E902">
        <f t="shared" si="196"/>
        <v>0</v>
      </c>
      <c r="F902">
        <v>0</v>
      </c>
      <c r="G902">
        <v>0</v>
      </c>
      <c r="H902">
        <v>0</v>
      </c>
      <c r="I902">
        <v>0</v>
      </c>
      <c r="J902" s="107"/>
      <c r="K902" s="107"/>
    </row>
    <row r="903" spans="1:11" x14ac:dyDescent="0.25">
      <c r="A903" s="107"/>
      <c r="B903" s="107"/>
      <c r="C903" s="107"/>
      <c r="D903">
        <v>2025</v>
      </c>
      <c r="E903">
        <f t="shared" si="196"/>
        <v>0</v>
      </c>
      <c r="F903">
        <v>0</v>
      </c>
      <c r="G903">
        <v>0</v>
      </c>
      <c r="H903">
        <v>0</v>
      </c>
      <c r="I903">
        <v>0</v>
      </c>
      <c r="J903" s="107"/>
      <c r="K903" s="107"/>
    </row>
    <row r="904" spans="1:11" x14ac:dyDescent="0.25">
      <c r="A904" s="107" t="s">
        <v>1710</v>
      </c>
      <c r="B904" s="107" t="s">
        <v>1711</v>
      </c>
      <c r="C904" s="107" t="s">
        <v>1113</v>
      </c>
      <c r="D904" t="s">
        <v>8</v>
      </c>
      <c r="E904">
        <f t="shared" si="196"/>
        <v>11149</v>
      </c>
      <c r="F904">
        <f>F905+F906+F907+F908+F909</f>
        <v>11149</v>
      </c>
      <c r="G904">
        <f>G905+G906+G907+G908+G909</f>
        <v>0</v>
      </c>
      <c r="H904">
        <f>H905+H906+H907+H908+H909</f>
        <v>0</v>
      </c>
      <c r="I904">
        <f>I905+I906+I907+I908+I909</f>
        <v>0</v>
      </c>
      <c r="J904" s="107" t="s">
        <v>1712</v>
      </c>
      <c r="K904" s="107" t="s">
        <v>1561</v>
      </c>
    </row>
    <row r="905" spans="1:11" x14ac:dyDescent="0.25">
      <c r="A905" s="107"/>
      <c r="B905" s="107"/>
      <c r="C905" s="107"/>
      <c r="D905">
        <v>2021</v>
      </c>
      <c r="E905">
        <f t="shared" si="196"/>
        <v>0</v>
      </c>
      <c r="F905">
        <v>0</v>
      </c>
      <c r="G905">
        <v>0</v>
      </c>
      <c r="H905">
        <v>0</v>
      </c>
      <c r="I905">
        <v>0</v>
      </c>
      <c r="J905" s="107"/>
      <c r="K905" s="107"/>
    </row>
    <row r="906" spans="1:11" x14ac:dyDescent="0.25">
      <c r="A906" s="107"/>
      <c r="B906" s="107"/>
      <c r="C906" s="107"/>
      <c r="D906">
        <v>2022</v>
      </c>
      <c r="E906">
        <f t="shared" ref="E906:E928" si="200">F906+G906+H906+I906</f>
        <v>11149</v>
      </c>
      <c r="F906">
        <v>11149</v>
      </c>
      <c r="G906">
        <v>0</v>
      </c>
      <c r="H906">
        <v>0</v>
      </c>
      <c r="I906">
        <v>0</v>
      </c>
      <c r="J906" s="107"/>
      <c r="K906" s="107"/>
    </row>
    <row r="907" spans="1:11" x14ac:dyDescent="0.25">
      <c r="A907" s="107"/>
      <c r="B907" s="107"/>
      <c r="C907" s="107"/>
      <c r="D907">
        <v>2023</v>
      </c>
      <c r="E907">
        <f t="shared" si="200"/>
        <v>0</v>
      </c>
      <c r="F907">
        <v>0</v>
      </c>
      <c r="G907">
        <v>0</v>
      </c>
      <c r="H907">
        <v>0</v>
      </c>
      <c r="I907">
        <v>0</v>
      </c>
      <c r="J907" s="107"/>
      <c r="K907" s="107"/>
    </row>
    <row r="908" spans="1:11" x14ac:dyDescent="0.25">
      <c r="A908" s="107"/>
      <c r="B908" s="107"/>
      <c r="C908" s="107"/>
      <c r="D908">
        <v>2024</v>
      </c>
      <c r="E908">
        <f t="shared" si="200"/>
        <v>0</v>
      </c>
      <c r="F908">
        <v>0</v>
      </c>
      <c r="G908">
        <v>0</v>
      </c>
      <c r="H908">
        <v>0</v>
      </c>
      <c r="I908">
        <v>0</v>
      </c>
      <c r="J908" s="107"/>
      <c r="K908" s="107"/>
    </row>
    <row r="909" spans="1:11" x14ac:dyDescent="0.25">
      <c r="A909" s="107"/>
      <c r="B909" s="107"/>
      <c r="C909" s="107"/>
      <c r="D909">
        <v>2025</v>
      </c>
      <c r="E909">
        <f t="shared" si="200"/>
        <v>0</v>
      </c>
      <c r="F909">
        <v>0</v>
      </c>
      <c r="G909">
        <v>0</v>
      </c>
      <c r="H909">
        <v>0</v>
      </c>
      <c r="I909">
        <v>0</v>
      </c>
      <c r="J909" s="107"/>
      <c r="K909" s="107"/>
    </row>
    <row r="910" spans="1:11" x14ac:dyDescent="0.25">
      <c r="A910" s="107" t="s">
        <v>1713</v>
      </c>
      <c r="B910" s="107" t="s">
        <v>1714</v>
      </c>
      <c r="C910" s="107" t="s">
        <v>14</v>
      </c>
      <c r="D910" t="s">
        <v>8</v>
      </c>
      <c r="E910">
        <f t="shared" si="200"/>
        <v>507404.79999999999</v>
      </c>
      <c r="F910">
        <f>F911+F912+F913+F914+F915</f>
        <v>507404.79999999999</v>
      </c>
      <c r="G910">
        <f>G911+G912+G913+G914+G915</f>
        <v>0</v>
      </c>
      <c r="H910">
        <f>H911+H912+H913+H914+H915</f>
        <v>0</v>
      </c>
      <c r="I910">
        <f>I911+I912+I913+I914+I915</f>
        <v>0</v>
      </c>
      <c r="J910" s="107" t="s">
        <v>1715</v>
      </c>
      <c r="K910" s="107" t="s">
        <v>1716</v>
      </c>
    </row>
    <row r="911" spans="1:11" x14ac:dyDescent="0.25">
      <c r="A911" s="107"/>
      <c r="B911" s="107"/>
      <c r="C911" s="107"/>
      <c r="D911">
        <v>2021</v>
      </c>
      <c r="E911">
        <f t="shared" si="200"/>
        <v>84825.2</v>
      </c>
      <c r="F911">
        <f t="shared" ref="F911:I915" si="201">F917+F923</f>
        <v>84825.2</v>
      </c>
      <c r="G911">
        <f t="shared" si="201"/>
        <v>0</v>
      </c>
      <c r="H911">
        <f t="shared" si="201"/>
        <v>0</v>
      </c>
      <c r="I911">
        <f t="shared" si="201"/>
        <v>0</v>
      </c>
      <c r="J911" s="107"/>
      <c r="K911" s="107"/>
    </row>
    <row r="912" spans="1:11" x14ac:dyDescent="0.25">
      <c r="A912" s="107"/>
      <c r="B912" s="107"/>
      <c r="C912" s="107"/>
      <c r="D912">
        <v>2022</v>
      </c>
      <c r="E912">
        <f t="shared" si="200"/>
        <v>102717.20000000001</v>
      </c>
      <c r="F912">
        <f t="shared" si="201"/>
        <v>102717.20000000001</v>
      </c>
      <c r="G912">
        <f t="shared" si="201"/>
        <v>0</v>
      </c>
      <c r="H912">
        <f t="shared" si="201"/>
        <v>0</v>
      </c>
      <c r="I912">
        <f t="shared" si="201"/>
        <v>0</v>
      </c>
      <c r="J912" s="107"/>
      <c r="K912" s="107"/>
    </row>
    <row r="913" spans="1:11" x14ac:dyDescent="0.25">
      <c r="A913" s="107"/>
      <c r="B913" s="107"/>
      <c r="C913" s="107"/>
      <c r="D913">
        <v>2023</v>
      </c>
      <c r="E913">
        <f t="shared" si="200"/>
        <v>106734.79999999999</v>
      </c>
      <c r="F913">
        <f t="shared" si="201"/>
        <v>106734.79999999999</v>
      </c>
      <c r="G913">
        <f t="shared" si="201"/>
        <v>0</v>
      </c>
      <c r="H913">
        <f t="shared" si="201"/>
        <v>0</v>
      </c>
      <c r="I913">
        <f t="shared" si="201"/>
        <v>0</v>
      </c>
      <c r="J913" s="107"/>
      <c r="K913" s="107"/>
    </row>
    <row r="914" spans="1:11" x14ac:dyDescent="0.25">
      <c r="A914" s="107"/>
      <c r="B914" s="107"/>
      <c r="C914" s="107"/>
      <c r="D914">
        <v>2024</v>
      </c>
      <c r="E914">
        <f t="shared" si="200"/>
        <v>106563.79999999999</v>
      </c>
      <c r="F914">
        <f t="shared" si="201"/>
        <v>106563.79999999999</v>
      </c>
      <c r="G914">
        <f t="shared" si="201"/>
        <v>0</v>
      </c>
      <c r="H914">
        <f t="shared" si="201"/>
        <v>0</v>
      </c>
      <c r="I914">
        <f t="shared" si="201"/>
        <v>0</v>
      </c>
      <c r="J914" s="107"/>
      <c r="K914" s="107"/>
    </row>
    <row r="915" spans="1:11" x14ac:dyDescent="0.25">
      <c r="A915" s="107"/>
      <c r="B915" s="107"/>
      <c r="C915" s="107"/>
      <c r="D915">
        <v>2025</v>
      </c>
      <c r="E915">
        <f t="shared" si="200"/>
        <v>106563.79999999999</v>
      </c>
      <c r="F915">
        <f t="shared" si="201"/>
        <v>106563.79999999999</v>
      </c>
      <c r="G915">
        <f t="shared" si="201"/>
        <v>0</v>
      </c>
      <c r="H915">
        <f t="shared" si="201"/>
        <v>0</v>
      </c>
      <c r="I915">
        <f t="shared" si="201"/>
        <v>0</v>
      </c>
      <c r="J915" s="107"/>
      <c r="K915" s="107"/>
    </row>
    <row r="916" spans="1:11" x14ac:dyDescent="0.25">
      <c r="A916" s="107" t="s">
        <v>1717</v>
      </c>
      <c r="B916" s="107" t="s">
        <v>1718</v>
      </c>
      <c r="C916" s="107" t="s">
        <v>14</v>
      </c>
      <c r="D916" t="s">
        <v>8</v>
      </c>
      <c r="E916">
        <f t="shared" si="200"/>
        <v>385509.7</v>
      </c>
      <c r="F916">
        <f>F917+F918+F919+F920+F921</f>
        <v>385509.7</v>
      </c>
      <c r="G916">
        <f>G917+G918+G919+G920+G921</f>
        <v>0</v>
      </c>
      <c r="H916">
        <f>H917+H918+H919+H920+H921</f>
        <v>0</v>
      </c>
      <c r="I916">
        <f>I917+I918+I919+I920+I921</f>
        <v>0</v>
      </c>
      <c r="J916" s="107" t="s">
        <v>1719</v>
      </c>
      <c r="K916" s="107" t="s">
        <v>1720</v>
      </c>
    </row>
    <row r="917" spans="1:11" x14ac:dyDescent="0.25">
      <c r="A917" s="107"/>
      <c r="B917" s="107"/>
      <c r="C917" s="107"/>
      <c r="D917">
        <v>2021</v>
      </c>
      <c r="E917">
        <f t="shared" si="200"/>
        <v>61909.7</v>
      </c>
      <c r="F917">
        <v>61909.7</v>
      </c>
      <c r="G917">
        <v>0</v>
      </c>
      <c r="H917">
        <v>0</v>
      </c>
      <c r="I917">
        <v>0</v>
      </c>
      <c r="J917" s="107"/>
      <c r="K917" s="107"/>
    </row>
    <row r="918" spans="1:11" x14ac:dyDescent="0.25">
      <c r="A918" s="107"/>
      <c r="B918" s="107"/>
      <c r="C918" s="107"/>
      <c r="D918">
        <v>2022</v>
      </c>
      <c r="E918">
        <f t="shared" si="200"/>
        <v>78809.900000000009</v>
      </c>
      <c r="F918">
        <f>77372.1+1437.8</f>
        <v>78809.900000000009</v>
      </c>
      <c r="G918">
        <v>0</v>
      </c>
      <c r="H918">
        <v>0</v>
      </c>
      <c r="I918">
        <v>0</v>
      </c>
      <c r="J918" s="107"/>
      <c r="K918" s="107"/>
    </row>
    <row r="919" spans="1:11" x14ac:dyDescent="0.25">
      <c r="A919" s="107"/>
      <c r="B919" s="107"/>
      <c r="C919" s="107"/>
      <c r="D919">
        <v>2023</v>
      </c>
      <c r="E919">
        <f t="shared" si="200"/>
        <v>81696.7</v>
      </c>
      <c r="F919">
        <v>81696.7</v>
      </c>
      <c r="G919">
        <v>0</v>
      </c>
      <c r="H919">
        <v>0</v>
      </c>
      <c r="I919">
        <v>0</v>
      </c>
      <c r="J919" s="107"/>
      <c r="K919" s="107"/>
    </row>
    <row r="920" spans="1:11" x14ac:dyDescent="0.25">
      <c r="A920" s="107"/>
      <c r="B920" s="107"/>
      <c r="C920" s="107"/>
      <c r="D920">
        <v>2024</v>
      </c>
      <c r="E920">
        <f t="shared" si="200"/>
        <v>81546.7</v>
      </c>
      <c r="F920">
        <v>81546.7</v>
      </c>
      <c r="G920">
        <v>0</v>
      </c>
      <c r="H920">
        <v>0</v>
      </c>
      <c r="I920">
        <v>0</v>
      </c>
      <c r="J920" s="107"/>
      <c r="K920" s="107"/>
    </row>
    <row r="921" spans="1:11" x14ac:dyDescent="0.25">
      <c r="A921" s="107"/>
      <c r="B921" s="107"/>
      <c r="C921" s="107"/>
      <c r="D921">
        <v>2025</v>
      </c>
      <c r="E921">
        <f t="shared" si="200"/>
        <v>81546.7</v>
      </c>
      <c r="F921">
        <v>81546.7</v>
      </c>
      <c r="G921">
        <v>0</v>
      </c>
      <c r="H921">
        <v>0</v>
      </c>
      <c r="I921">
        <v>0</v>
      </c>
      <c r="J921" s="107"/>
      <c r="K921" s="107"/>
    </row>
    <row r="922" spans="1:11" x14ac:dyDescent="0.25">
      <c r="A922" s="107" t="s">
        <v>1721</v>
      </c>
      <c r="B922" s="107" t="s">
        <v>1722</v>
      </c>
      <c r="C922" s="107" t="s">
        <v>14</v>
      </c>
      <c r="D922" t="s">
        <v>8</v>
      </c>
      <c r="E922">
        <f t="shared" si="200"/>
        <v>121895.1</v>
      </c>
      <c r="F922">
        <f>F923+F924+F925+F926+F927</f>
        <v>121895.1</v>
      </c>
      <c r="G922">
        <f>G923+G924+G925+G926+G927</f>
        <v>0</v>
      </c>
      <c r="H922">
        <f>H923+H924+H925+H926+H927</f>
        <v>0</v>
      </c>
      <c r="I922">
        <f>I923+I924+I925+I926+I927</f>
        <v>0</v>
      </c>
      <c r="J922" s="107" t="s">
        <v>1723</v>
      </c>
      <c r="K922" s="107" t="s">
        <v>1724</v>
      </c>
    </row>
    <row r="923" spans="1:11" x14ac:dyDescent="0.25">
      <c r="A923" s="107"/>
      <c r="B923" s="107"/>
      <c r="C923" s="107"/>
      <c r="D923">
        <v>2021</v>
      </c>
      <c r="E923">
        <f t="shared" si="200"/>
        <v>22915.5</v>
      </c>
      <c r="F923">
        <v>22915.5</v>
      </c>
      <c r="G923">
        <v>0</v>
      </c>
      <c r="H923">
        <v>0</v>
      </c>
      <c r="I923">
        <v>0</v>
      </c>
      <c r="J923" s="107"/>
      <c r="K923" s="107"/>
    </row>
    <row r="924" spans="1:11" x14ac:dyDescent="0.25">
      <c r="A924" s="107"/>
      <c r="B924" s="107"/>
      <c r="C924" s="107"/>
      <c r="D924">
        <v>2022</v>
      </c>
      <c r="E924">
        <f t="shared" si="200"/>
        <v>23907.3</v>
      </c>
      <c r="F924">
        <v>23907.3</v>
      </c>
      <c r="G924">
        <v>0</v>
      </c>
      <c r="H924">
        <v>0</v>
      </c>
      <c r="I924">
        <v>0</v>
      </c>
      <c r="J924" s="107"/>
      <c r="K924" s="107"/>
    </row>
    <row r="925" spans="1:11" x14ac:dyDescent="0.25">
      <c r="A925" s="107"/>
      <c r="B925" s="107"/>
      <c r="C925" s="107"/>
      <c r="D925">
        <v>2023</v>
      </c>
      <c r="E925">
        <f t="shared" si="200"/>
        <v>25038.1</v>
      </c>
      <c r="F925">
        <v>25038.1</v>
      </c>
      <c r="G925">
        <v>0</v>
      </c>
      <c r="H925">
        <v>0</v>
      </c>
      <c r="I925">
        <v>0</v>
      </c>
      <c r="J925" s="107"/>
      <c r="K925" s="107"/>
    </row>
    <row r="926" spans="1:11" x14ac:dyDescent="0.25">
      <c r="A926" s="107"/>
      <c r="B926" s="107"/>
      <c r="C926" s="107"/>
      <c r="D926">
        <v>2024</v>
      </c>
      <c r="E926">
        <f t="shared" si="200"/>
        <v>25017.1</v>
      </c>
      <c r="F926">
        <v>25017.1</v>
      </c>
      <c r="G926">
        <v>0</v>
      </c>
      <c r="H926">
        <v>0</v>
      </c>
      <c r="I926">
        <v>0</v>
      </c>
      <c r="J926" s="107"/>
      <c r="K926" s="107"/>
    </row>
    <row r="927" spans="1:11" x14ac:dyDescent="0.25">
      <c r="A927" s="107"/>
      <c r="B927" s="107"/>
      <c r="C927" s="107"/>
      <c r="D927">
        <v>2025</v>
      </c>
      <c r="E927">
        <f t="shared" si="200"/>
        <v>25017.1</v>
      </c>
      <c r="F927">
        <v>25017.1</v>
      </c>
      <c r="G927">
        <v>0</v>
      </c>
      <c r="H927">
        <v>0</v>
      </c>
      <c r="I927">
        <v>0</v>
      </c>
      <c r="J927" s="107"/>
      <c r="K927" s="107"/>
    </row>
    <row r="928" spans="1:11" x14ac:dyDescent="0.25">
      <c r="A928" s="107">
        <v>5</v>
      </c>
      <c r="B928" s="107" t="s">
        <v>1725</v>
      </c>
      <c r="C928" s="107" t="s">
        <v>14</v>
      </c>
      <c r="D928" t="s">
        <v>8</v>
      </c>
      <c r="E928">
        <f t="shared" si="200"/>
        <v>593498.06000000006</v>
      </c>
      <c r="F928">
        <f>F929+F930+F931+F932+F933</f>
        <v>593498.06000000006</v>
      </c>
      <c r="G928">
        <f>G929+G930+G931+G932+G933</f>
        <v>0</v>
      </c>
      <c r="H928">
        <f>H929+H930+H931+H932+H933</f>
        <v>0</v>
      </c>
      <c r="I928">
        <f>I929+I930+I931+I932+I933</f>
        <v>0</v>
      </c>
      <c r="J928" s="107"/>
      <c r="K928" s="107" t="s">
        <v>1726</v>
      </c>
    </row>
    <row r="929" spans="1:11" x14ac:dyDescent="0.25">
      <c r="A929" s="107"/>
      <c r="B929" s="107"/>
      <c r="C929" s="107"/>
      <c r="D929">
        <v>2021</v>
      </c>
      <c r="E929">
        <f t="shared" ref="E929:E933" si="202">F929</f>
        <v>77757.899999999994</v>
      </c>
      <c r="F929">
        <f t="shared" ref="F929:F933" si="203">F935</f>
        <v>77757.899999999994</v>
      </c>
      <c r="G929">
        <v>0</v>
      </c>
      <c r="H929">
        <f t="shared" ref="H929:H933" si="204">H934+H965+H983</f>
        <v>0</v>
      </c>
      <c r="I929">
        <f t="shared" ref="I929:I933" si="205">I934+I965+I983</f>
        <v>0</v>
      </c>
      <c r="J929" s="107"/>
      <c r="K929" s="107"/>
    </row>
    <row r="930" spans="1:11" x14ac:dyDescent="0.25">
      <c r="A930" s="107"/>
      <c r="B930" s="107"/>
      <c r="C930" s="107"/>
      <c r="D930">
        <v>2022</v>
      </c>
      <c r="E930">
        <f t="shared" si="202"/>
        <v>130365.15</v>
      </c>
      <c r="F930">
        <f t="shared" si="203"/>
        <v>130365.15</v>
      </c>
      <c r="G930">
        <v>0</v>
      </c>
      <c r="H930">
        <f t="shared" si="204"/>
        <v>0</v>
      </c>
      <c r="I930">
        <f t="shared" si="205"/>
        <v>0</v>
      </c>
      <c r="J930" s="107"/>
      <c r="K930" s="107"/>
    </row>
    <row r="931" spans="1:11" x14ac:dyDescent="0.25">
      <c r="A931" s="107"/>
      <c r="B931" s="107"/>
      <c r="C931" s="107"/>
      <c r="D931">
        <v>2023</v>
      </c>
      <c r="E931">
        <f t="shared" si="202"/>
        <v>128975.77</v>
      </c>
      <c r="F931">
        <f t="shared" si="203"/>
        <v>128975.77</v>
      </c>
      <c r="G931">
        <f t="shared" ref="G931:G933" si="206">G936+G967+G985</f>
        <v>0</v>
      </c>
      <c r="H931">
        <v>0</v>
      </c>
      <c r="I931">
        <f t="shared" si="205"/>
        <v>0</v>
      </c>
      <c r="J931" s="107"/>
      <c r="K931" s="107"/>
    </row>
    <row r="932" spans="1:11" x14ac:dyDescent="0.25">
      <c r="A932" s="107"/>
      <c r="B932" s="107"/>
      <c r="C932" s="107"/>
      <c r="D932">
        <v>2024</v>
      </c>
      <c r="E932">
        <f t="shared" si="202"/>
        <v>128199.62</v>
      </c>
      <c r="F932">
        <f t="shared" si="203"/>
        <v>128199.62</v>
      </c>
      <c r="G932">
        <f t="shared" si="206"/>
        <v>0</v>
      </c>
      <c r="H932">
        <f t="shared" si="204"/>
        <v>0</v>
      </c>
      <c r="I932">
        <f t="shared" si="205"/>
        <v>0</v>
      </c>
      <c r="J932" s="107"/>
      <c r="K932" s="107"/>
    </row>
    <row r="933" spans="1:11" x14ac:dyDescent="0.25">
      <c r="A933" s="107"/>
      <c r="B933" s="107"/>
      <c r="C933" s="107"/>
      <c r="D933">
        <v>2025</v>
      </c>
      <c r="E933">
        <f t="shared" si="202"/>
        <v>128199.62</v>
      </c>
      <c r="F933">
        <f t="shared" si="203"/>
        <v>128199.62</v>
      </c>
      <c r="G933">
        <f t="shared" si="206"/>
        <v>0</v>
      </c>
      <c r="H933">
        <f t="shared" si="204"/>
        <v>0</v>
      </c>
      <c r="I933">
        <f t="shared" si="205"/>
        <v>0</v>
      </c>
      <c r="J933" s="107"/>
      <c r="K933" s="107"/>
    </row>
    <row r="934" spans="1:11" x14ac:dyDescent="0.25">
      <c r="A934" s="107" t="s">
        <v>1727</v>
      </c>
      <c r="B934" s="107" t="s">
        <v>1728</v>
      </c>
      <c r="C934" s="107" t="s">
        <v>14</v>
      </c>
      <c r="D934" t="s">
        <v>8</v>
      </c>
      <c r="E934">
        <f>SUM(E935:E939)</f>
        <v>593498.06000000006</v>
      </c>
      <c r="F934">
        <f>SUM(F935:F939)</f>
        <v>593498.06000000006</v>
      </c>
      <c r="G934">
        <v>0</v>
      </c>
      <c r="H934">
        <v>0</v>
      </c>
      <c r="I934">
        <v>0</v>
      </c>
      <c r="J934" s="107" t="s">
        <v>1729</v>
      </c>
      <c r="K934" s="107" t="s">
        <v>1726</v>
      </c>
    </row>
    <row r="935" spans="1:11" x14ac:dyDescent="0.25">
      <c r="A935" s="107"/>
      <c r="B935" s="107"/>
      <c r="C935" s="107"/>
      <c r="D935">
        <v>2021</v>
      </c>
      <c r="E935">
        <f t="shared" ref="E935:E939" si="207">F935</f>
        <v>77757.899999999994</v>
      </c>
      <c r="F935">
        <f t="shared" ref="F935:F939" si="208">F941</f>
        <v>77757.899999999994</v>
      </c>
      <c r="G935">
        <v>0</v>
      </c>
      <c r="H935">
        <v>0</v>
      </c>
      <c r="I935">
        <v>0</v>
      </c>
      <c r="J935" s="107"/>
      <c r="K935" s="107"/>
    </row>
    <row r="936" spans="1:11" x14ac:dyDescent="0.25">
      <c r="A936" s="107"/>
      <c r="B936" s="107"/>
      <c r="C936" s="107"/>
      <c r="D936">
        <v>2022</v>
      </c>
      <c r="E936">
        <f t="shared" si="207"/>
        <v>130365.15</v>
      </c>
      <c r="F936">
        <f t="shared" si="208"/>
        <v>130365.15</v>
      </c>
      <c r="G936">
        <v>0</v>
      </c>
      <c r="H936">
        <v>0</v>
      </c>
      <c r="I936">
        <v>0</v>
      </c>
      <c r="J936" s="107"/>
      <c r="K936" s="107"/>
    </row>
    <row r="937" spans="1:11" x14ac:dyDescent="0.25">
      <c r="A937" s="107"/>
      <c r="B937" s="107"/>
      <c r="C937" s="107"/>
      <c r="D937">
        <v>2023</v>
      </c>
      <c r="E937">
        <f t="shared" si="207"/>
        <v>128975.77</v>
      </c>
      <c r="F937">
        <f t="shared" si="208"/>
        <v>128975.77</v>
      </c>
      <c r="G937">
        <v>0</v>
      </c>
      <c r="H937">
        <v>0</v>
      </c>
      <c r="I937">
        <v>0</v>
      </c>
      <c r="J937" s="107"/>
      <c r="K937" s="107"/>
    </row>
    <row r="938" spans="1:11" x14ac:dyDescent="0.25">
      <c r="A938" s="107"/>
      <c r="B938" s="107"/>
      <c r="C938" s="107"/>
      <c r="D938">
        <v>2024</v>
      </c>
      <c r="E938">
        <f t="shared" si="207"/>
        <v>128199.62</v>
      </c>
      <c r="F938">
        <f t="shared" si="208"/>
        <v>128199.62</v>
      </c>
      <c r="G938">
        <v>0</v>
      </c>
      <c r="H938">
        <v>0</v>
      </c>
      <c r="I938">
        <v>0</v>
      </c>
      <c r="J938" s="107"/>
      <c r="K938" s="107"/>
    </row>
    <row r="939" spans="1:11" x14ac:dyDescent="0.25">
      <c r="A939" s="107"/>
      <c r="B939" s="107"/>
      <c r="C939" s="107"/>
      <c r="D939">
        <v>2025</v>
      </c>
      <c r="E939">
        <f t="shared" si="207"/>
        <v>128199.62</v>
      </c>
      <c r="F939">
        <f t="shared" si="208"/>
        <v>128199.62</v>
      </c>
      <c r="G939">
        <v>0</v>
      </c>
      <c r="H939">
        <v>0</v>
      </c>
      <c r="I939">
        <v>0</v>
      </c>
      <c r="J939" s="107"/>
      <c r="K939" s="107"/>
    </row>
    <row r="940" spans="1:11" x14ac:dyDescent="0.25">
      <c r="A940" s="107" t="s">
        <v>1730</v>
      </c>
      <c r="B940" s="107" t="s">
        <v>1731</v>
      </c>
      <c r="C940" s="107" t="s">
        <v>14</v>
      </c>
      <c r="D940" t="s">
        <v>8</v>
      </c>
      <c r="E940">
        <f>SUM(E941:E945)</f>
        <v>593498.06000000006</v>
      </c>
      <c r="F940">
        <f>SUM(F941:F945)</f>
        <v>593498.06000000006</v>
      </c>
      <c r="G940">
        <f>G941+G942+G943+G944+G945</f>
        <v>0</v>
      </c>
      <c r="H940">
        <f>H941+H942+H943+H944+H945</f>
        <v>0</v>
      </c>
      <c r="I940">
        <f>I941+I942+I943+I944+I945</f>
        <v>0</v>
      </c>
      <c r="J940" s="107" t="s">
        <v>1732</v>
      </c>
      <c r="K940" s="107" t="s">
        <v>1726</v>
      </c>
    </row>
    <row r="941" spans="1:11" x14ac:dyDescent="0.25">
      <c r="A941" s="107"/>
      <c r="B941" s="107"/>
      <c r="C941" s="107"/>
      <c r="D941">
        <v>2021</v>
      </c>
      <c r="E941">
        <f t="shared" ref="E941:E945" si="209">F941</f>
        <v>77757.899999999994</v>
      </c>
      <c r="F941">
        <v>77757.899999999994</v>
      </c>
      <c r="G941">
        <v>0</v>
      </c>
      <c r="H941">
        <v>0</v>
      </c>
      <c r="I941">
        <v>0</v>
      </c>
      <c r="J941" s="107"/>
      <c r="K941" s="107"/>
    </row>
    <row r="942" spans="1:11" x14ac:dyDescent="0.25">
      <c r="A942" s="107"/>
      <c r="B942" s="107"/>
      <c r="C942" s="107"/>
      <c r="D942">
        <v>2022</v>
      </c>
      <c r="E942">
        <f t="shared" si="209"/>
        <v>130365.15</v>
      </c>
      <c r="F942">
        <v>130365.15</v>
      </c>
      <c r="G942">
        <v>0</v>
      </c>
      <c r="H942">
        <v>0</v>
      </c>
      <c r="I942">
        <v>0</v>
      </c>
      <c r="J942" s="107"/>
      <c r="K942" s="107"/>
    </row>
    <row r="943" spans="1:11" x14ac:dyDescent="0.25">
      <c r="A943" s="107"/>
      <c r="B943" s="107"/>
      <c r="C943" s="107"/>
      <c r="D943">
        <v>2023</v>
      </c>
      <c r="E943">
        <f t="shared" si="209"/>
        <v>128975.77</v>
      </c>
      <c r="F943">
        <v>128975.77</v>
      </c>
      <c r="G943">
        <v>0</v>
      </c>
      <c r="H943">
        <v>0</v>
      </c>
      <c r="I943">
        <v>0</v>
      </c>
      <c r="J943" s="107"/>
      <c r="K943" s="107"/>
    </row>
    <row r="944" spans="1:11" x14ac:dyDescent="0.25">
      <c r="A944" s="107"/>
      <c r="B944" s="107"/>
      <c r="C944" s="107"/>
      <c r="D944">
        <v>2024</v>
      </c>
      <c r="E944">
        <f t="shared" si="209"/>
        <v>128199.62</v>
      </c>
      <c r="F944">
        <v>128199.62</v>
      </c>
      <c r="G944">
        <v>0</v>
      </c>
      <c r="H944">
        <v>0</v>
      </c>
      <c r="I944">
        <v>0</v>
      </c>
      <c r="J944" s="107"/>
      <c r="K944" s="107"/>
    </row>
    <row r="945" spans="1:11" x14ac:dyDescent="0.25">
      <c r="A945" s="107"/>
      <c r="B945" s="107"/>
      <c r="C945" s="107"/>
      <c r="D945">
        <v>2025</v>
      </c>
      <c r="E945">
        <f t="shared" si="209"/>
        <v>128199.62</v>
      </c>
      <c r="F945">
        <v>128199.62</v>
      </c>
      <c r="G945">
        <v>0</v>
      </c>
      <c r="H945">
        <v>0</v>
      </c>
      <c r="I945">
        <v>0</v>
      </c>
      <c r="J945" s="107"/>
      <c r="K945" s="107"/>
    </row>
    <row r="947" spans="1:11" x14ac:dyDescent="0.25">
      <c r="A947" s="107"/>
      <c r="B947" s="107"/>
      <c r="C947" s="107"/>
      <c r="D947" s="107"/>
      <c r="E947" s="107"/>
      <c r="F947" s="107"/>
      <c r="G947" s="107"/>
      <c r="H947" s="107"/>
      <c r="I947" s="107"/>
      <c r="J947" s="107"/>
    </row>
    <row r="948" spans="1:11" ht="18.75" customHeight="1" x14ac:dyDescent="0.25">
      <c r="A948" t="s">
        <v>1733</v>
      </c>
    </row>
    <row r="949" spans="1:11" ht="22.5" customHeight="1" x14ac:dyDescent="0.25">
      <c r="A949" s="107" t="s">
        <v>1734</v>
      </c>
      <c r="B949" s="107"/>
      <c r="C949" s="107"/>
      <c r="D949" s="107"/>
      <c r="E949" s="107"/>
      <c r="F949" s="107"/>
      <c r="G949" s="107"/>
      <c r="H949" s="107"/>
      <c r="I949" s="107"/>
      <c r="J949" s="107"/>
    </row>
    <row r="957" spans="1:11" x14ac:dyDescent="0.25">
      <c r="B957" s="107"/>
      <c r="C957" s="107"/>
    </row>
    <row r="958" spans="1:11" x14ac:dyDescent="0.25">
      <c r="B958" s="107"/>
      <c r="C958" s="107"/>
    </row>
    <row r="959" spans="1:11" x14ac:dyDescent="0.25">
      <c r="B959" s="107"/>
      <c r="C959" s="107"/>
    </row>
    <row r="960" spans="1:11" x14ac:dyDescent="0.25">
      <c r="B960" s="107"/>
      <c r="C960" s="107"/>
    </row>
    <row r="961" spans="2:3" x14ac:dyDescent="0.25">
      <c r="B961" s="107"/>
      <c r="C961" s="107"/>
    </row>
    <row r="962" spans="2:3" x14ac:dyDescent="0.25">
      <c r="B962" s="107"/>
      <c r="C962" s="107"/>
    </row>
  </sheetData>
  <mergeCells count="795">
    <mergeCell ref="A940:A945"/>
    <mergeCell ref="B940:B945"/>
    <mergeCell ref="C940:C945"/>
    <mergeCell ref="J940:J945"/>
    <mergeCell ref="K940:K945"/>
    <mergeCell ref="A947:J947"/>
    <mergeCell ref="A949:J949"/>
    <mergeCell ref="B957:C962"/>
    <mergeCell ref="A928:A933"/>
    <mergeCell ref="B928:B933"/>
    <mergeCell ref="C928:C933"/>
    <mergeCell ref="J928:J933"/>
    <mergeCell ref="K928:K933"/>
    <mergeCell ref="A934:A939"/>
    <mergeCell ref="B934:B939"/>
    <mergeCell ref="C934:C939"/>
    <mergeCell ref="J934:J939"/>
    <mergeCell ref="K934:K939"/>
    <mergeCell ref="A916:A921"/>
    <mergeCell ref="B916:B921"/>
    <mergeCell ref="C916:C921"/>
    <mergeCell ref="J916:J921"/>
    <mergeCell ref="K916:K921"/>
    <mergeCell ref="A922:A927"/>
    <mergeCell ref="B922:B927"/>
    <mergeCell ref="C922:C927"/>
    <mergeCell ref="J922:J927"/>
    <mergeCell ref="K922:K927"/>
    <mergeCell ref="A904:A909"/>
    <mergeCell ref="B904:B909"/>
    <mergeCell ref="C904:C909"/>
    <mergeCell ref="J904:J909"/>
    <mergeCell ref="K904:K909"/>
    <mergeCell ref="A910:A915"/>
    <mergeCell ref="B910:B915"/>
    <mergeCell ref="C910:C915"/>
    <mergeCell ref="J910:J915"/>
    <mergeCell ref="K910:K915"/>
    <mergeCell ref="A892:A897"/>
    <mergeCell ref="B892:B897"/>
    <mergeCell ref="C892:C897"/>
    <mergeCell ref="J892:J897"/>
    <mergeCell ref="K892:K897"/>
    <mergeCell ref="A898:A903"/>
    <mergeCell ref="B898:B903"/>
    <mergeCell ref="C898:C903"/>
    <mergeCell ref="J898:J903"/>
    <mergeCell ref="K898:K903"/>
    <mergeCell ref="A880:A885"/>
    <mergeCell ref="B880:B885"/>
    <mergeCell ref="C880:C885"/>
    <mergeCell ref="J880:J885"/>
    <mergeCell ref="K880:K885"/>
    <mergeCell ref="A886:A891"/>
    <mergeCell ref="B886:B891"/>
    <mergeCell ref="C886:C891"/>
    <mergeCell ref="J886:J891"/>
    <mergeCell ref="K886:K891"/>
    <mergeCell ref="A868:A873"/>
    <mergeCell ref="B868:B873"/>
    <mergeCell ref="C868:C873"/>
    <mergeCell ref="J868:J873"/>
    <mergeCell ref="K868:K873"/>
    <mergeCell ref="A874:A879"/>
    <mergeCell ref="B874:B879"/>
    <mergeCell ref="C874:C879"/>
    <mergeCell ref="J874:J879"/>
    <mergeCell ref="K874:K879"/>
    <mergeCell ref="A856:A861"/>
    <mergeCell ref="B856:B861"/>
    <mergeCell ref="C856:C861"/>
    <mergeCell ref="J856:J861"/>
    <mergeCell ref="K856:K861"/>
    <mergeCell ref="A862:A867"/>
    <mergeCell ref="B862:B867"/>
    <mergeCell ref="C862:C867"/>
    <mergeCell ref="J862:J867"/>
    <mergeCell ref="K862:K867"/>
    <mergeCell ref="A844:A849"/>
    <mergeCell ref="B844:B849"/>
    <mergeCell ref="C844:C849"/>
    <mergeCell ref="J844:J849"/>
    <mergeCell ref="K844:K849"/>
    <mergeCell ref="A850:A855"/>
    <mergeCell ref="B850:B855"/>
    <mergeCell ref="C850:C855"/>
    <mergeCell ref="J850:J855"/>
    <mergeCell ref="K850:K855"/>
    <mergeCell ref="A832:A837"/>
    <mergeCell ref="B832:B837"/>
    <mergeCell ref="C832:C837"/>
    <mergeCell ref="J832:J837"/>
    <mergeCell ref="K832:K837"/>
    <mergeCell ref="A838:A843"/>
    <mergeCell ref="B838:B843"/>
    <mergeCell ref="C838:C843"/>
    <mergeCell ref="J838:J843"/>
    <mergeCell ref="K838:K843"/>
    <mergeCell ref="A820:A825"/>
    <mergeCell ref="B820:B825"/>
    <mergeCell ref="C820:C825"/>
    <mergeCell ref="J820:J825"/>
    <mergeCell ref="K820:K825"/>
    <mergeCell ref="A826:A831"/>
    <mergeCell ref="B826:B831"/>
    <mergeCell ref="C826:C831"/>
    <mergeCell ref="J826:J831"/>
    <mergeCell ref="K826:K831"/>
    <mergeCell ref="A808:A813"/>
    <mergeCell ref="B808:B813"/>
    <mergeCell ref="C808:C813"/>
    <mergeCell ref="J808:J813"/>
    <mergeCell ref="K808:K813"/>
    <mergeCell ref="A814:A819"/>
    <mergeCell ref="B814:B819"/>
    <mergeCell ref="C814:C819"/>
    <mergeCell ref="J814:J819"/>
    <mergeCell ref="K814:K819"/>
    <mergeCell ref="A796:A801"/>
    <mergeCell ref="B796:B801"/>
    <mergeCell ref="C796:C801"/>
    <mergeCell ref="J796:J801"/>
    <mergeCell ref="K796:K801"/>
    <mergeCell ref="A802:A807"/>
    <mergeCell ref="B802:B807"/>
    <mergeCell ref="C802:C807"/>
    <mergeCell ref="J802:J807"/>
    <mergeCell ref="K802:K807"/>
    <mergeCell ref="A784:A789"/>
    <mergeCell ref="B784:B789"/>
    <mergeCell ref="C784:C789"/>
    <mergeCell ref="J784:J789"/>
    <mergeCell ref="K784:K789"/>
    <mergeCell ref="A790:A795"/>
    <mergeCell ref="B790:B795"/>
    <mergeCell ref="C790:C795"/>
    <mergeCell ref="J790:J795"/>
    <mergeCell ref="K790:K795"/>
    <mergeCell ref="A772:A777"/>
    <mergeCell ref="B772:B777"/>
    <mergeCell ref="C772:C777"/>
    <mergeCell ref="J772:J777"/>
    <mergeCell ref="K772:K777"/>
    <mergeCell ref="A778:A783"/>
    <mergeCell ref="B778:B783"/>
    <mergeCell ref="C778:C783"/>
    <mergeCell ref="J778:J783"/>
    <mergeCell ref="K778:K783"/>
    <mergeCell ref="A760:A765"/>
    <mergeCell ref="B760:B765"/>
    <mergeCell ref="C760:C765"/>
    <mergeCell ref="J760:J765"/>
    <mergeCell ref="K760:K765"/>
    <mergeCell ref="A766:A771"/>
    <mergeCell ref="B766:B771"/>
    <mergeCell ref="C766:C771"/>
    <mergeCell ref="J766:J771"/>
    <mergeCell ref="K766:K771"/>
    <mergeCell ref="A748:A753"/>
    <mergeCell ref="B748:B753"/>
    <mergeCell ref="C748:C753"/>
    <mergeCell ref="J748:J753"/>
    <mergeCell ref="K748:K753"/>
    <mergeCell ref="A754:A759"/>
    <mergeCell ref="B754:B759"/>
    <mergeCell ref="C754:C759"/>
    <mergeCell ref="J754:J759"/>
    <mergeCell ref="K754:K759"/>
    <mergeCell ref="A736:A741"/>
    <mergeCell ref="B736:B741"/>
    <mergeCell ref="C736:C741"/>
    <mergeCell ref="J736:J741"/>
    <mergeCell ref="K736:K741"/>
    <mergeCell ref="A742:A747"/>
    <mergeCell ref="B742:B747"/>
    <mergeCell ref="C742:C747"/>
    <mergeCell ref="J742:J747"/>
    <mergeCell ref="K742:K747"/>
    <mergeCell ref="A724:A729"/>
    <mergeCell ref="B724:B729"/>
    <mergeCell ref="C724:C729"/>
    <mergeCell ref="J724:J729"/>
    <mergeCell ref="K724:K729"/>
    <mergeCell ref="A730:A735"/>
    <mergeCell ref="B730:B735"/>
    <mergeCell ref="C730:C735"/>
    <mergeCell ref="J730:J735"/>
    <mergeCell ref="K730:K735"/>
    <mergeCell ref="A712:A717"/>
    <mergeCell ref="B712:B717"/>
    <mergeCell ref="C712:C717"/>
    <mergeCell ref="J712:J717"/>
    <mergeCell ref="K712:K717"/>
    <mergeCell ref="A718:A723"/>
    <mergeCell ref="B718:B723"/>
    <mergeCell ref="C718:C723"/>
    <mergeCell ref="J718:J723"/>
    <mergeCell ref="K718:K723"/>
    <mergeCell ref="A700:A705"/>
    <mergeCell ref="B700:B705"/>
    <mergeCell ref="C700:C705"/>
    <mergeCell ref="J700:J705"/>
    <mergeCell ref="K700:K705"/>
    <mergeCell ref="A706:A711"/>
    <mergeCell ref="B706:B711"/>
    <mergeCell ref="C706:C711"/>
    <mergeCell ref="J706:J711"/>
    <mergeCell ref="K706:K711"/>
    <mergeCell ref="A688:A693"/>
    <mergeCell ref="B688:B693"/>
    <mergeCell ref="C688:C693"/>
    <mergeCell ref="J688:J693"/>
    <mergeCell ref="K688:K693"/>
    <mergeCell ref="A694:A699"/>
    <mergeCell ref="B694:B699"/>
    <mergeCell ref="C694:C699"/>
    <mergeCell ref="J694:J699"/>
    <mergeCell ref="K694:K699"/>
    <mergeCell ref="A676:A681"/>
    <mergeCell ref="B676:B681"/>
    <mergeCell ref="C676:C681"/>
    <mergeCell ref="J676:J681"/>
    <mergeCell ref="K676:K681"/>
    <mergeCell ref="A682:A687"/>
    <mergeCell ref="B682:B687"/>
    <mergeCell ref="C682:C687"/>
    <mergeCell ref="J682:J687"/>
    <mergeCell ref="K682:K687"/>
    <mergeCell ref="A664:A669"/>
    <mergeCell ref="B664:B669"/>
    <mergeCell ref="C664:C669"/>
    <mergeCell ref="J664:J669"/>
    <mergeCell ref="K664:K669"/>
    <mergeCell ref="A670:A675"/>
    <mergeCell ref="B670:B675"/>
    <mergeCell ref="C670:C675"/>
    <mergeCell ref="J670:J675"/>
    <mergeCell ref="K670:K675"/>
    <mergeCell ref="A652:A657"/>
    <mergeCell ref="B652:B657"/>
    <mergeCell ref="C652:C657"/>
    <mergeCell ref="J652:J657"/>
    <mergeCell ref="K652:K657"/>
    <mergeCell ref="A658:A663"/>
    <mergeCell ref="B658:B663"/>
    <mergeCell ref="C658:C663"/>
    <mergeCell ref="J658:J663"/>
    <mergeCell ref="K658:K663"/>
    <mergeCell ref="A640:A645"/>
    <mergeCell ref="B640:B645"/>
    <mergeCell ref="C640:C645"/>
    <mergeCell ref="J640:J645"/>
    <mergeCell ref="K640:K645"/>
    <mergeCell ref="A646:A651"/>
    <mergeCell ref="B646:B651"/>
    <mergeCell ref="C646:C651"/>
    <mergeCell ref="J646:J651"/>
    <mergeCell ref="K646:K651"/>
    <mergeCell ref="A628:A633"/>
    <mergeCell ref="B628:B633"/>
    <mergeCell ref="C628:C633"/>
    <mergeCell ref="J628:J633"/>
    <mergeCell ref="K628:K633"/>
    <mergeCell ref="A634:A639"/>
    <mergeCell ref="B634:B639"/>
    <mergeCell ref="C634:C639"/>
    <mergeCell ref="J634:J639"/>
    <mergeCell ref="K634:K639"/>
    <mergeCell ref="A616:A621"/>
    <mergeCell ref="B616:B621"/>
    <mergeCell ref="C616:C621"/>
    <mergeCell ref="J616:J621"/>
    <mergeCell ref="K616:K621"/>
    <mergeCell ref="A622:A627"/>
    <mergeCell ref="B622:B627"/>
    <mergeCell ref="C622:C627"/>
    <mergeCell ref="J622:J627"/>
    <mergeCell ref="K622:K627"/>
    <mergeCell ref="A604:A609"/>
    <mergeCell ref="B604:B609"/>
    <mergeCell ref="C604:C609"/>
    <mergeCell ref="J604:J609"/>
    <mergeCell ref="K604:K609"/>
    <mergeCell ref="A610:A615"/>
    <mergeCell ref="B610:B615"/>
    <mergeCell ref="C610:C615"/>
    <mergeCell ref="J610:J615"/>
    <mergeCell ref="K610:K615"/>
    <mergeCell ref="A592:A597"/>
    <mergeCell ref="B592:B597"/>
    <mergeCell ref="C592:C597"/>
    <mergeCell ref="J592:J597"/>
    <mergeCell ref="K592:K597"/>
    <mergeCell ref="A598:A603"/>
    <mergeCell ref="B598:B603"/>
    <mergeCell ref="C598:C603"/>
    <mergeCell ref="J598:J603"/>
    <mergeCell ref="K598:K603"/>
    <mergeCell ref="A580:A585"/>
    <mergeCell ref="B580:B585"/>
    <mergeCell ref="C580:C585"/>
    <mergeCell ref="J580:J585"/>
    <mergeCell ref="K580:K585"/>
    <mergeCell ref="A586:A591"/>
    <mergeCell ref="B586:B591"/>
    <mergeCell ref="C586:C591"/>
    <mergeCell ref="J586:J591"/>
    <mergeCell ref="K586:K591"/>
    <mergeCell ref="A568:A573"/>
    <mergeCell ref="B568:B573"/>
    <mergeCell ref="C568:C573"/>
    <mergeCell ref="J568:J573"/>
    <mergeCell ref="K568:K573"/>
    <mergeCell ref="A574:A579"/>
    <mergeCell ref="B574:B579"/>
    <mergeCell ref="C574:C579"/>
    <mergeCell ref="J574:J579"/>
    <mergeCell ref="K574:K579"/>
    <mergeCell ref="A556:A561"/>
    <mergeCell ref="B556:B561"/>
    <mergeCell ref="C556:C561"/>
    <mergeCell ref="J556:J561"/>
    <mergeCell ref="K556:K561"/>
    <mergeCell ref="A562:A567"/>
    <mergeCell ref="B562:B567"/>
    <mergeCell ref="C562:C567"/>
    <mergeCell ref="J562:J567"/>
    <mergeCell ref="K562:K567"/>
    <mergeCell ref="A544:A549"/>
    <mergeCell ref="B544:B549"/>
    <mergeCell ref="C544:C549"/>
    <mergeCell ref="J544:J549"/>
    <mergeCell ref="K544:K549"/>
    <mergeCell ref="A550:A555"/>
    <mergeCell ref="B550:B555"/>
    <mergeCell ref="C550:C555"/>
    <mergeCell ref="J550:J555"/>
    <mergeCell ref="K550:K555"/>
    <mergeCell ref="N531:R531"/>
    <mergeCell ref="A532:A537"/>
    <mergeCell ref="B532:B537"/>
    <mergeCell ref="C532:C537"/>
    <mergeCell ref="J532:J537"/>
    <mergeCell ref="K532:K537"/>
    <mergeCell ref="A538:A543"/>
    <mergeCell ref="B538:B543"/>
    <mergeCell ref="C538:C543"/>
    <mergeCell ref="J538:J543"/>
    <mergeCell ref="K538:K543"/>
    <mergeCell ref="A520:A525"/>
    <mergeCell ref="B520:B525"/>
    <mergeCell ref="C520:C525"/>
    <mergeCell ref="J520:J525"/>
    <mergeCell ref="K520:K525"/>
    <mergeCell ref="A526:A531"/>
    <mergeCell ref="B526:B531"/>
    <mergeCell ref="C526:C531"/>
    <mergeCell ref="J526:J531"/>
    <mergeCell ref="K526:K531"/>
    <mergeCell ref="A508:A513"/>
    <mergeCell ref="B508:B513"/>
    <mergeCell ref="C508:C513"/>
    <mergeCell ref="J508:J513"/>
    <mergeCell ref="K508:K513"/>
    <mergeCell ref="A514:A519"/>
    <mergeCell ref="B514:B519"/>
    <mergeCell ref="C514:C519"/>
    <mergeCell ref="J514:J519"/>
    <mergeCell ref="K514:K519"/>
    <mergeCell ref="A496:A501"/>
    <mergeCell ref="B496:B501"/>
    <mergeCell ref="C496:C501"/>
    <mergeCell ref="J496:J501"/>
    <mergeCell ref="K496:K501"/>
    <mergeCell ref="A502:A507"/>
    <mergeCell ref="B502:B507"/>
    <mergeCell ref="C502:C507"/>
    <mergeCell ref="J502:J507"/>
    <mergeCell ref="K502:K507"/>
    <mergeCell ref="A484:A489"/>
    <mergeCell ref="B484:B489"/>
    <mergeCell ref="C484:C489"/>
    <mergeCell ref="J484:J489"/>
    <mergeCell ref="K484:K489"/>
    <mergeCell ref="A490:A495"/>
    <mergeCell ref="B490:B495"/>
    <mergeCell ref="C490:C495"/>
    <mergeCell ref="J490:J495"/>
    <mergeCell ref="K490:K495"/>
    <mergeCell ref="A472:A477"/>
    <mergeCell ref="B472:B477"/>
    <mergeCell ref="C472:C477"/>
    <mergeCell ref="J472:J477"/>
    <mergeCell ref="K472:K477"/>
    <mergeCell ref="A478:A483"/>
    <mergeCell ref="B478:B483"/>
    <mergeCell ref="C478:C483"/>
    <mergeCell ref="J478:J483"/>
    <mergeCell ref="K478:K483"/>
    <mergeCell ref="A460:A465"/>
    <mergeCell ref="B460:B465"/>
    <mergeCell ref="C460:C465"/>
    <mergeCell ref="J460:J465"/>
    <mergeCell ref="K460:K465"/>
    <mergeCell ref="A466:A471"/>
    <mergeCell ref="B466:B471"/>
    <mergeCell ref="C466:C471"/>
    <mergeCell ref="J466:J471"/>
    <mergeCell ref="K466:K471"/>
    <mergeCell ref="A448:A453"/>
    <mergeCell ref="B448:B453"/>
    <mergeCell ref="C448:C453"/>
    <mergeCell ref="J448:J453"/>
    <mergeCell ref="K448:K453"/>
    <mergeCell ref="A454:A459"/>
    <mergeCell ref="B454:B459"/>
    <mergeCell ref="C454:C459"/>
    <mergeCell ref="J454:J459"/>
    <mergeCell ref="K454:K459"/>
    <mergeCell ref="A436:A441"/>
    <mergeCell ref="B436:B441"/>
    <mergeCell ref="C436:C441"/>
    <mergeCell ref="J436:J441"/>
    <mergeCell ref="K436:K441"/>
    <mergeCell ref="A442:A447"/>
    <mergeCell ref="B442:B447"/>
    <mergeCell ref="C442:C447"/>
    <mergeCell ref="J442:J447"/>
    <mergeCell ref="K442:K447"/>
    <mergeCell ref="A424:A429"/>
    <mergeCell ref="B424:B429"/>
    <mergeCell ref="C424:C429"/>
    <mergeCell ref="J424:J429"/>
    <mergeCell ref="K424:K429"/>
    <mergeCell ref="A430:A435"/>
    <mergeCell ref="B430:B435"/>
    <mergeCell ref="C430:C435"/>
    <mergeCell ref="J430:J435"/>
    <mergeCell ref="K430:K435"/>
    <mergeCell ref="A412:A417"/>
    <mergeCell ref="B412:B417"/>
    <mergeCell ref="C412:C417"/>
    <mergeCell ref="J412:J417"/>
    <mergeCell ref="K412:K417"/>
    <mergeCell ref="A418:A423"/>
    <mergeCell ref="B418:B423"/>
    <mergeCell ref="C418:C423"/>
    <mergeCell ref="J418:J423"/>
    <mergeCell ref="K418:K423"/>
    <mergeCell ref="A400:A405"/>
    <mergeCell ref="B400:B405"/>
    <mergeCell ref="C400:C405"/>
    <mergeCell ref="J400:J405"/>
    <mergeCell ref="K400:K405"/>
    <mergeCell ref="A406:A411"/>
    <mergeCell ref="B406:B411"/>
    <mergeCell ref="C406:C411"/>
    <mergeCell ref="J406:J411"/>
    <mergeCell ref="K406:K411"/>
    <mergeCell ref="A388:A393"/>
    <mergeCell ref="B388:B393"/>
    <mergeCell ref="C388:C393"/>
    <mergeCell ref="J388:J393"/>
    <mergeCell ref="K388:K393"/>
    <mergeCell ref="A394:A399"/>
    <mergeCell ref="B394:B399"/>
    <mergeCell ref="C394:C399"/>
    <mergeCell ref="J394:J399"/>
    <mergeCell ref="K394:K399"/>
    <mergeCell ref="A376:A381"/>
    <mergeCell ref="B376:B381"/>
    <mergeCell ref="C376:C381"/>
    <mergeCell ref="J376:J381"/>
    <mergeCell ref="K376:K381"/>
    <mergeCell ref="A382:A387"/>
    <mergeCell ref="B382:B387"/>
    <mergeCell ref="C382:C387"/>
    <mergeCell ref="J382:J387"/>
    <mergeCell ref="K382:K387"/>
    <mergeCell ref="A364:A369"/>
    <mergeCell ref="B364:B369"/>
    <mergeCell ref="C364:C369"/>
    <mergeCell ref="J364:J369"/>
    <mergeCell ref="K364:K369"/>
    <mergeCell ref="A370:A375"/>
    <mergeCell ref="B370:B375"/>
    <mergeCell ref="C370:C375"/>
    <mergeCell ref="J370:J375"/>
    <mergeCell ref="K370:K375"/>
    <mergeCell ref="A352:A357"/>
    <mergeCell ref="B352:B357"/>
    <mergeCell ref="C352:C357"/>
    <mergeCell ref="J352:J357"/>
    <mergeCell ref="K352:K357"/>
    <mergeCell ref="A358:A363"/>
    <mergeCell ref="B358:B363"/>
    <mergeCell ref="C358:C363"/>
    <mergeCell ref="J358:J363"/>
    <mergeCell ref="K358:K363"/>
    <mergeCell ref="A340:A345"/>
    <mergeCell ref="B340:B345"/>
    <mergeCell ref="C340:C345"/>
    <mergeCell ref="J340:J345"/>
    <mergeCell ref="K340:K345"/>
    <mergeCell ref="A346:A351"/>
    <mergeCell ref="B346:B351"/>
    <mergeCell ref="C346:C351"/>
    <mergeCell ref="J346:J351"/>
    <mergeCell ref="K346:K351"/>
    <mergeCell ref="A328:A333"/>
    <mergeCell ref="B328:B333"/>
    <mergeCell ref="C328:C333"/>
    <mergeCell ref="J328:J333"/>
    <mergeCell ref="K328:K333"/>
    <mergeCell ref="A334:A339"/>
    <mergeCell ref="B334:B339"/>
    <mergeCell ref="C334:C339"/>
    <mergeCell ref="J334:J339"/>
    <mergeCell ref="K334:K339"/>
    <mergeCell ref="A316:A321"/>
    <mergeCell ref="B316:B321"/>
    <mergeCell ref="C316:C321"/>
    <mergeCell ref="J316:J321"/>
    <mergeCell ref="K316:K321"/>
    <mergeCell ref="A322:A327"/>
    <mergeCell ref="B322:B327"/>
    <mergeCell ref="C322:C327"/>
    <mergeCell ref="J322:J327"/>
    <mergeCell ref="K322:K327"/>
    <mergeCell ref="A304:A309"/>
    <mergeCell ref="B304:B309"/>
    <mergeCell ref="C304:C309"/>
    <mergeCell ref="J304:J309"/>
    <mergeCell ref="K304:K309"/>
    <mergeCell ref="A310:A315"/>
    <mergeCell ref="B310:B315"/>
    <mergeCell ref="C310:C315"/>
    <mergeCell ref="J310:J315"/>
    <mergeCell ref="K310:K315"/>
    <mergeCell ref="A292:A297"/>
    <mergeCell ref="B292:B297"/>
    <mergeCell ref="C292:C297"/>
    <mergeCell ref="J292:J297"/>
    <mergeCell ref="K292:K297"/>
    <mergeCell ref="A298:A303"/>
    <mergeCell ref="B298:B303"/>
    <mergeCell ref="C298:C303"/>
    <mergeCell ref="J298:J303"/>
    <mergeCell ref="K298:K303"/>
    <mergeCell ref="A280:A285"/>
    <mergeCell ref="B280:B285"/>
    <mergeCell ref="C280:C285"/>
    <mergeCell ref="J280:J285"/>
    <mergeCell ref="K280:K285"/>
    <mergeCell ref="A286:A291"/>
    <mergeCell ref="B286:B291"/>
    <mergeCell ref="C286:C291"/>
    <mergeCell ref="J286:J291"/>
    <mergeCell ref="K286:K291"/>
    <mergeCell ref="A268:A273"/>
    <mergeCell ref="B268:B273"/>
    <mergeCell ref="C268:C273"/>
    <mergeCell ref="J268:J273"/>
    <mergeCell ref="K268:K273"/>
    <mergeCell ref="A274:A279"/>
    <mergeCell ref="B274:B279"/>
    <mergeCell ref="C274:C279"/>
    <mergeCell ref="J274:J279"/>
    <mergeCell ref="K274:K279"/>
    <mergeCell ref="A256:A261"/>
    <mergeCell ref="B256:B261"/>
    <mergeCell ref="C256:C261"/>
    <mergeCell ref="J256:J261"/>
    <mergeCell ref="K256:K261"/>
    <mergeCell ref="A262:A267"/>
    <mergeCell ref="B262:B267"/>
    <mergeCell ref="C262:C267"/>
    <mergeCell ref="J262:J267"/>
    <mergeCell ref="K262:K267"/>
    <mergeCell ref="A244:A249"/>
    <mergeCell ref="B244:B249"/>
    <mergeCell ref="C244:C249"/>
    <mergeCell ref="J244:J249"/>
    <mergeCell ref="K244:K249"/>
    <mergeCell ref="A250:A255"/>
    <mergeCell ref="B250:B255"/>
    <mergeCell ref="C250:C255"/>
    <mergeCell ref="J250:J255"/>
    <mergeCell ref="K250:K255"/>
    <mergeCell ref="A232:A237"/>
    <mergeCell ref="B232:B237"/>
    <mergeCell ref="C232:C237"/>
    <mergeCell ref="J232:J237"/>
    <mergeCell ref="K232:K237"/>
    <mergeCell ref="A238:A243"/>
    <mergeCell ref="B238:B243"/>
    <mergeCell ref="C238:C243"/>
    <mergeCell ref="J238:J243"/>
    <mergeCell ref="K238:K243"/>
    <mergeCell ref="A220:A225"/>
    <mergeCell ref="B220:B225"/>
    <mergeCell ref="C220:C225"/>
    <mergeCell ref="J220:J225"/>
    <mergeCell ref="K220:K225"/>
    <mergeCell ref="A226:A231"/>
    <mergeCell ref="B226:B231"/>
    <mergeCell ref="C226:C231"/>
    <mergeCell ref="J226:J231"/>
    <mergeCell ref="K226:K231"/>
    <mergeCell ref="A208:A213"/>
    <mergeCell ref="B208:B213"/>
    <mergeCell ref="C208:C213"/>
    <mergeCell ref="J208:J213"/>
    <mergeCell ref="K208:K213"/>
    <mergeCell ref="A214:A219"/>
    <mergeCell ref="B214:B219"/>
    <mergeCell ref="C214:C219"/>
    <mergeCell ref="J214:J219"/>
    <mergeCell ref="K214:K219"/>
    <mergeCell ref="A196:A201"/>
    <mergeCell ref="B196:B201"/>
    <mergeCell ref="C196:C201"/>
    <mergeCell ref="J196:J201"/>
    <mergeCell ref="K196:K201"/>
    <mergeCell ref="A202:A207"/>
    <mergeCell ref="B202:B207"/>
    <mergeCell ref="C202:C207"/>
    <mergeCell ref="J202:J207"/>
    <mergeCell ref="K202:K207"/>
    <mergeCell ref="A184:A189"/>
    <mergeCell ref="B184:B189"/>
    <mergeCell ref="C184:C189"/>
    <mergeCell ref="J184:J189"/>
    <mergeCell ref="K184:K189"/>
    <mergeCell ref="A190:A195"/>
    <mergeCell ref="B190:B195"/>
    <mergeCell ref="C190:C195"/>
    <mergeCell ref="J190:J195"/>
    <mergeCell ref="K190:K195"/>
    <mergeCell ref="A172:A177"/>
    <mergeCell ref="B172:B177"/>
    <mergeCell ref="C172:C177"/>
    <mergeCell ref="J172:J177"/>
    <mergeCell ref="K172:K177"/>
    <mergeCell ref="A178:A183"/>
    <mergeCell ref="B178:B183"/>
    <mergeCell ref="C178:C183"/>
    <mergeCell ref="J178:J183"/>
    <mergeCell ref="K178:K183"/>
    <mergeCell ref="A160:A165"/>
    <mergeCell ref="B160:B165"/>
    <mergeCell ref="C160:C165"/>
    <mergeCell ref="J160:J165"/>
    <mergeCell ref="K160:K165"/>
    <mergeCell ref="A166:A171"/>
    <mergeCell ref="B166:B171"/>
    <mergeCell ref="C166:C171"/>
    <mergeCell ref="J166:J171"/>
    <mergeCell ref="K166:K171"/>
    <mergeCell ref="A148:A153"/>
    <mergeCell ref="B148:B153"/>
    <mergeCell ref="C148:C153"/>
    <mergeCell ref="J148:J153"/>
    <mergeCell ref="K148:K153"/>
    <mergeCell ref="A154:A159"/>
    <mergeCell ref="B154:B159"/>
    <mergeCell ref="C154:C159"/>
    <mergeCell ref="J154:J159"/>
    <mergeCell ref="K154:K159"/>
    <mergeCell ref="A136:A141"/>
    <mergeCell ref="B136:B141"/>
    <mergeCell ref="C136:C141"/>
    <mergeCell ref="J136:J141"/>
    <mergeCell ref="K136:K141"/>
    <mergeCell ref="A142:A147"/>
    <mergeCell ref="B142:B147"/>
    <mergeCell ref="C142:C147"/>
    <mergeCell ref="J142:J147"/>
    <mergeCell ref="K142:K147"/>
    <mergeCell ref="A124:A129"/>
    <mergeCell ref="B124:B129"/>
    <mergeCell ref="C124:C129"/>
    <mergeCell ref="J124:J129"/>
    <mergeCell ref="K124:K129"/>
    <mergeCell ref="A130:A135"/>
    <mergeCell ref="B130:B135"/>
    <mergeCell ref="C130:C135"/>
    <mergeCell ref="J130:J135"/>
    <mergeCell ref="K130:K135"/>
    <mergeCell ref="A112:A117"/>
    <mergeCell ref="B112:B117"/>
    <mergeCell ref="C112:C117"/>
    <mergeCell ref="J112:J117"/>
    <mergeCell ref="K112:K117"/>
    <mergeCell ref="A118:A123"/>
    <mergeCell ref="B118:B123"/>
    <mergeCell ref="C118:C123"/>
    <mergeCell ref="J118:J123"/>
    <mergeCell ref="K118:K123"/>
    <mergeCell ref="A100:A105"/>
    <mergeCell ref="B100:B105"/>
    <mergeCell ref="C100:C105"/>
    <mergeCell ref="J100:J105"/>
    <mergeCell ref="K100:K105"/>
    <mergeCell ref="A106:A111"/>
    <mergeCell ref="B106:B111"/>
    <mergeCell ref="C106:C111"/>
    <mergeCell ref="J106:J111"/>
    <mergeCell ref="K106:K111"/>
    <mergeCell ref="A88:A93"/>
    <mergeCell ref="B88:B93"/>
    <mergeCell ref="C88:C93"/>
    <mergeCell ref="J88:J93"/>
    <mergeCell ref="K88:K93"/>
    <mergeCell ref="A94:A99"/>
    <mergeCell ref="B94:B99"/>
    <mergeCell ref="C94:C99"/>
    <mergeCell ref="J94:J99"/>
    <mergeCell ref="K94:K99"/>
    <mergeCell ref="A76:A81"/>
    <mergeCell ref="B76:B81"/>
    <mergeCell ref="C76:C81"/>
    <mergeCell ref="J76:J81"/>
    <mergeCell ref="K76:K81"/>
    <mergeCell ref="A82:A87"/>
    <mergeCell ref="B82:B87"/>
    <mergeCell ref="C82:C87"/>
    <mergeCell ref="J82:J87"/>
    <mergeCell ref="K82:K87"/>
    <mergeCell ref="A64:A69"/>
    <mergeCell ref="B64:B69"/>
    <mergeCell ref="C64:C69"/>
    <mergeCell ref="J64:J69"/>
    <mergeCell ref="K64:K69"/>
    <mergeCell ref="A70:A75"/>
    <mergeCell ref="B70:B75"/>
    <mergeCell ref="C70:C75"/>
    <mergeCell ref="J70:J75"/>
    <mergeCell ref="K70:K75"/>
    <mergeCell ref="A52:A57"/>
    <mergeCell ref="B52:B57"/>
    <mergeCell ref="C52:C57"/>
    <mergeCell ref="J52:J57"/>
    <mergeCell ref="K52:K57"/>
    <mergeCell ref="A58:A63"/>
    <mergeCell ref="B58:B63"/>
    <mergeCell ref="C58:C63"/>
    <mergeCell ref="J58:J63"/>
    <mergeCell ref="K58:K63"/>
    <mergeCell ref="A40:A45"/>
    <mergeCell ref="B40:B45"/>
    <mergeCell ref="C40:C45"/>
    <mergeCell ref="J40:J45"/>
    <mergeCell ref="K40:K45"/>
    <mergeCell ref="A46:A51"/>
    <mergeCell ref="B46:B51"/>
    <mergeCell ref="C46:C51"/>
    <mergeCell ref="J46:J51"/>
    <mergeCell ref="K46:K51"/>
    <mergeCell ref="A28:A33"/>
    <mergeCell ref="B28:B33"/>
    <mergeCell ref="C28:C33"/>
    <mergeCell ref="J28:J33"/>
    <mergeCell ref="K28:K33"/>
    <mergeCell ref="A34:A39"/>
    <mergeCell ref="B34:B39"/>
    <mergeCell ref="C34:C39"/>
    <mergeCell ref="J34:J39"/>
    <mergeCell ref="K34:K39"/>
    <mergeCell ref="L10:L11"/>
    <mergeCell ref="Z12:AF14"/>
    <mergeCell ref="A16:A21"/>
    <mergeCell ref="B16:B21"/>
    <mergeCell ref="C16:C21"/>
    <mergeCell ref="J16:J21"/>
    <mergeCell ref="K16:K21"/>
    <mergeCell ref="A22:A27"/>
    <mergeCell ref="B22:B27"/>
    <mergeCell ref="C22:C27"/>
    <mergeCell ref="J22:J27"/>
    <mergeCell ref="K22:K27"/>
    <mergeCell ref="L22:O22"/>
    <mergeCell ref="K3:K4"/>
    <mergeCell ref="J5:K5"/>
    <mergeCell ref="A8:A9"/>
    <mergeCell ref="B8:B9"/>
    <mergeCell ref="C8:C9"/>
    <mergeCell ref="D8:I8"/>
    <mergeCell ref="J8:J9"/>
    <mergeCell ref="K8:K9"/>
    <mergeCell ref="A10:A15"/>
    <mergeCell ref="B10:B15"/>
    <mergeCell ref="C10:C15"/>
    <mergeCell ref="J10:J15"/>
    <mergeCell ref="K10:K15"/>
  </mergeCells>
  <pageMargins left="0.70866141732283472" right="0.70866141732283472" top="0.74803149606299213" bottom="0.74803149606299213" header="0.31496062992125984" footer="0.31496062992125984"/>
  <pageSetup paperSize="9" scale="44" firstPageNumber="4294967295" orientation="landscape"/>
  <headerFoot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pageSetUpPr fitToPage="1"/>
  </sheetPr>
  <dimension ref="A1:O413"/>
  <sheetViews>
    <sheetView workbookViewId="0">
      <pane xSplit="3" ySplit="4" topLeftCell="D5" activePane="bottomRight" state="frozen"/>
      <selection activeCell="E37" sqref="E37"/>
      <selection pane="topRight"/>
      <selection pane="bottomLeft"/>
      <selection pane="bottomRight" activeCell="D5" sqref="D5"/>
    </sheetView>
  </sheetViews>
  <sheetFormatPr defaultRowHeight="15" outlineLevelRow="1" x14ac:dyDescent="0.25"/>
  <cols>
    <col min="1" max="1" width="5.8554687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2" width="13" customWidth="1"/>
    <col min="14" max="14" width="13" customWidth="1"/>
    <col min="16" max="16" width="16" customWidth="1"/>
  </cols>
  <sheetData>
    <row r="1" spans="1:15" ht="15.75" customHeight="1" x14ac:dyDescent="0.25">
      <c r="A1" s="107" t="s">
        <v>0</v>
      </c>
      <c r="B1" s="107"/>
      <c r="C1" s="107"/>
      <c r="D1" s="107"/>
      <c r="E1" s="107"/>
      <c r="F1" s="107"/>
      <c r="G1" s="107"/>
      <c r="H1" s="107"/>
      <c r="I1" s="107"/>
      <c r="J1" s="107"/>
      <c r="K1" s="107"/>
    </row>
    <row r="2" spans="1:15" x14ac:dyDescent="0.25">
      <c r="A2" s="107"/>
      <c r="B2" s="107"/>
      <c r="C2" s="107"/>
      <c r="D2" s="107"/>
      <c r="E2" s="107"/>
      <c r="F2" s="107"/>
      <c r="G2" s="107"/>
      <c r="H2" s="107"/>
      <c r="I2" s="107"/>
      <c r="J2" s="107"/>
      <c r="K2" s="107"/>
    </row>
    <row r="3" spans="1:15" ht="15" customHeight="1" x14ac:dyDescent="0.25">
      <c r="A3" s="107" t="s">
        <v>1</v>
      </c>
      <c r="B3" s="107" t="s">
        <v>2</v>
      </c>
      <c r="C3" s="107" t="s">
        <v>3</v>
      </c>
      <c r="D3" s="107" t="s">
        <v>4</v>
      </c>
      <c r="E3" s="107"/>
      <c r="F3" s="107"/>
      <c r="G3" s="107"/>
      <c r="H3" s="107"/>
      <c r="I3" s="107"/>
      <c r="J3" s="107" t="s">
        <v>5</v>
      </c>
      <c r="K3" s="107" t="s">
        <v>6</v>
      </c>
    </row>
    <row r="4" spans="1:15" ht="36.75" customHeight="1" x14ac:dyDescent="0.25">
      <c r="A4" s="107"/>
      <c r="B4" s="107"/>
      <c r="C4" s="107"/>
      <c r="D4" t="s">
        <v>7</v>
      </c>
      <c r="E4" t="s">
        <v>8</v>
      </c>
      <c r="F4" t="s">
        <v>9</v>
      </c>
      <c r="G4" t="s">
        <v>10</v>
      </c>
      <c r="H4" t="s">
        <v>11</v>
      </c>
      <c r="I4" t="s">
        <v>12</v>
      </c>
      <c r="J4" s="107"/>
      <c r="K4" s="107"/>
    </row>
    <row r="5" spans="1:15" ht="15" customHeight="1" x14ac:dyDescent="0.25">
      <c r="A5" s="107"/>
      <c r="B5" s="107" t="s">
        <v>13</v>
      </c>
      <c r="C5" s="107" t="s">
        <v>14</v>
      </c>
      <c r="D5" t="s">
        <v>8</v>
      </c>
      <c r="E5">
        <f t="shared" ref="E5:E34" si="0">SUM(F5:I5)</f>
        <v>5519498.5184192872</v>
      </c>
      <c r="F5">
        <f>SUM(F6:F10)</f>
        <v>4843282.6545299999</v>
      </c>
      <c r="G5">
        <f>SUM(G6:G10)</f>
        <v>592630.10000000009</v>
      </c>
      <c r="H5">
        <f>SUM(H6:H10)</f>
        <v>83585.763889287147</v>
      </c>
      <c r="I5">
        <f>SUM(I6:I10)</f>
        <v>0</v>
      </c>
      <c r="J5" s="107"/>
      <c r="K5" s="107" t="s">
        <v>482</v>
      </c>
    </row>
    <row r="6" spans="1:15" x14ac:dyDescent="0.25">
      <c r="A6" s="107"/>
      <c r="B6" s="107"/>
      <c r="C6" s="107"/>
      <c r="D6">
        <v>2021</v>
      </c>
      <c r="E6">
        <f t="shared" si="0"/>
        <v>1610012.4609524454</v>
      </c>
      <c r="F6">
        <f t="shared" ref="F6:G10" si="1">F24+F122+F224+F397</f>
        <v>1258822.7500600002</v>
      </c>
      <c r="G6">
        <f t="shared" si="1"/>
        <v>309302.10000000003</v>
      </c>
      <c r="H6">
        <f>H12+H18</f>
        <v>41887.610892445038</v>
      </c>
      <c r="I6">
        <f t="shared" ref="I6:I10" si="2">I24+I122+I224+I397</f>
        <v>0</v>
      </c>
      <c r="J6" s="107"/>
      <c r="K6" s="107"/>
    </row>
    <row r="7" spans="1:15" x14ac:dyDescent="0.25">
      <c r="A7" s="107"/>
      <c r="B7" s="107"/>
      <c r="C7" s="107"/>
      <c r="D7">
        <v>2022</v>
      </c>
      <c r="E7">
        <f t="shared" si="0"/>
        <v>1286009.02868</v>
      </c>
      <c r="F7">
        <f t="shared" si="1"/>
        <v>1108398.6704199999</v>
      </c>
      <c r="G7">
        <f t="shared" si="1"/>
        <v>136318.79999999999</v>
      </c>
      <c r="H7">
        <f t="shared" ref="H7:H10" si="3">H25+H123+H225+H398</f>
        <v>41291.558260000005</v>
      </c>
      <c r="I7">
        <f t="shared" si="2"/>
        <v>0</v>
      </c>
      <c r="J7" s="107"/>
      <c r="K7" s="107"/>
    </row>
    <row r="8" spans="1:15" x14ac:dyDescent="0.25">
      <c r="A8" s="107"/>
      <c r="B8" s="107"/>
      <c r="C8" s="107"/>
      <c r="D8">
        <v>2023</v>
      </c>
      <c r="E8">
        <f t="shared" si="0"/>
        <v>974087.27133684221</v>
      </c>
      <c r="F8">
        <f t="shared" si="1"/>
        <v>826671.47660000005</v>
      </c>
      <c r="G8">
        <f t="shared" si="1"/>
        <v>147009.20000000001</v>
      </c>
      <c r="H8">
        <f t="shared" si="3"/>
        <v>406.59473684210525</v>
      </c>
      <c r="I8">
        <f t="shared" si="2"/>
        <v>0</v>
      </c>
      <c r="J8" s="107"/>
      <c r="K8" s="107"/>
    </row>
    <row r="9" spans="1:15" x14ac:dyDescent="0.25">
      <c r="A9" s="107"/>
      <c r="B9" s="107"/>
      <c r="C9" s="107"/>
      <c r="D9">
        <v>2024</v>
      </c>
      <c r="E9">
        <f t="shared" si="0"/>
        <v>829941.89545000007</v>
      </c>
      <c r="F9">
        <f t="shared" si="1"/>
        <v>829941.89545000007</v>
      </c>
      <c r="G9">
        <f t="shared" si="1"/>
        <v>0</v>
      </c>
      <c r="H9">
        <f t="shared" si="3"/>
        <v>0</v>
      </c>
      <c r="I9">
        <f t="shared" si="2"/>
        <v>0</v>
      </c>
      <c r="J9" s="107"/>
      <c r="K9" s="107"/>
    </row>
    <row r="10" spans="1:15"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5" x14ac:dyDescent="0.25">
      <c r="A11" s="107"/>
      <c r="B11" s="107" t="s">
        <v>483</v>
      </c>
      <c r="C11" s="107" t="s">
        <v>14</v>
      </c>
      <c r="D11" t="s">
        <v>8</v>
      </c>
      <c r="E11">
        <f t="shared" si="0"/>
        <v>4405596.3602799997</v>
      </c>
      <c r="F11">
        <f>SUM(F12:F16)</f>
        <v>4296094.6692000004</v>
      </c>
      <c r="G11">
        <f>SUM(G12:G16)</f>
        <v>90239.1</v>
      </c>
      <c r="H11">
        <f>SUM(H12:H16)</f>
        <v>19262.591080000002</v>
      </c>
      <c r="I11">
        <f>SUM(I12:I16)</f>
        <v>0</v>
      </c>
      <c r="J11" s="107"/>
      <c r="K11" s="107" t="s">
        <v>484</v>
      </c>
    </row>
    <row r="12" spans="1:15" x14ac:dyDescent="0.25">
      <c r="A12" s="107"/>
      <c r="B12" s="107"/>
      <c r="C12" s="107"/>
      <c r="D12">
        <v>2021</v>
      </c>
      <c r="E12">
        <f t="shared" si="0"/>
        <v>1159052.59274</v>
      </c>
      <c r="F12">
        <f>F24+F122+F283+F289+F295+F301+F373+F397+F355+F259+F271</f>
        <v>1087976.6016600002</v>
      </c>
      <c r="G12">
        <f>G24+G122+G283+G289+G295+G301+G373+G397+G355+G259</f>
        <v>51813.4</v>
      </c>
      <c r="H12">
        <f>H24+H122+H283+H301+H373+H397</f>
        <v>19262.591080000002</v>
      </c>
      <c r="I12">
        <f t="shared" ref="I12:I15" si="4">I6-I18</f>
        <v>0</v>
      </c>
      <c r="J12" s="107"/>
      <c r="K12" s="107"/>
      <c r="L12">
        <f>1136630691.26/1000</f>
        <v>1136630.69126</v>
      </c>
      <c r="M12">
        <f>L12-F12-G12</f>
        <v>-3159.3104000001695</v>
      </c>
      <c r="N12">
        <f>M12*1000</f>
        <v>-3159310.4000001694</v>
      </c>
      <c r="O12" t="s">
        <v>485</v>
      </c>
    </row>
    <row r="13" spans="1:15" x14ac:dyDescent="0.25">
      <c r="A13" s="107"/>
      <c r="B13" s="107"/>
      <c r="C13" s="107"/>
      <c r="D13">
        <v>2022</v>
      </c>
      <c r="E13">
        <f t="shared" ref="E13:E14" si="5">SUM(F13:I13)</f>
        <v>758589.6334899998</v>
      </c>
      <c r="F13">
        <f t="shared" ref="F13:H16" si="6">F7-F19</f>
        <v>739782.1334899998</v>
      </c>
      <c r="G13">
        <f t="shared" si="6"/>
        <v>18807.499999999985</v>
      </c>
      <c r="H13">
        <f t="shared" si="6"/>
        <v>0</v>
      </c>
      <c r="I13">
        <f t="shared" si="4"/>
        <v>0</v>
      </c>
      <c r="J13" s="107"/>
      <c r="K13" s="107"/>
    </row>
    <row r="14" spans="1:15" x14ac:dyDescent="0.25">
      <c r="A14" s="107"/>
      <c r="B14" s="107"/>
      <c r="C14" s="107"/>
      <c r="D14">
        <v>2023</v>
      </c>
      <c r="E14">
        <f t="shared" si="5"/>
        <v>838564.37660000008</v>
      </c>
      <c r="F14">
        <f t="shared" si="6"/>
        <v>818946.17660000001</v>
      </c>
      <c r="G14">
        <f t="shared" si="6"/>
        <v>19618.200000000012</v>
      </c>
      <c r="H14">
        <f t="shared" si="6"/>
        <v>0</v>
      </c>
      <c r="I14">
        <f t="shared" si="4"/>
        <v>0</v>
      </c>
      <c r="J14" s="107"/>
      <c r="K14" s="107"/>
    </row>
    <row r="15" spans="1:15" x14ac:dyDescent="0.25">
      <c r="A15" s="107"/>
      <c r="B15" s="107"/>
      <c r="C15" s="107"/>
      <c r="D15">
        <v>2024</v>
      </c>
      <c r="E15">
        <f t="shared" si="0"/>
        <v>829941.89545000007</v>
      </c>
      <c r="F15">
        <f t="shared" si="6"/>
        <v>829941.89545000007</v>
      </c>
      <c r="G15">
        <f t="shared" si="6"/>
        <v>0</v>
      </c>
      <c r="H15">
        <f t="shared" si="6"/>
        <v>0</v>
      </c>
      <c r="I15">
        <f t="shared" si="4"/>
        <v>0</v>
      </c>
      <c r="J15" s="107"/>
      <c r="K15" s="107"/>
    </row>
    <row r="16" spans="1:15" x14ac:dyDescent="0.25">
      <c r="A16" s="107"/>
      <c r="B16" s="107"/>
      <c r="C16" s="107"/>
      <c r="D16">
        <v>2025</v>
      </c>
      <c r="E16">
        <f t="shared" si="0"/>
        <v>819447.86199999996</v>
      </c>
      <c r="F16">
        <f t="shared" si="6"/>
        <v>819447.86199999996</v>
      </c>
      <c r="G16">
        <f t="shared" si="6"/>
        <v>0</v>
      </c>
      <c r="H16">
        <f t="shared" si="6"/>
        <v>0</v>
      </c>
      <c r="I16">
        <f>I10-I22</f>
        <v>0</v>
      </c>
      <c r="J16" s="107"/>
      <c r="K16" s="107"/>
    </row>
    <row r="17" spans="1:14" x14ac:dyDescent="0.25">
      <c r="A17" s="107"/>
      <c r="B17" s="107" t="s">
        <v>18</v>
      </c>
      <c r="C17" s="107" t="s">
        <v>19</v>
      </c>
      <c r="D17" t="s">
        <v>8</v>
      </c>
      <c r="E17">
        <f t="shared" si="0"/>
        <v>1113902.1581392873</v>
      </c>
      <c r="F17">
        <f>SUM(F18:F22)</f>
        <v>547187.98533000005</v>
      </c>
      <c r="G17">
        <f>SUM(G18:G22)</f>
        <v>502391</v>
      </c>
      <c r="H17">
        <f>SUM(H18:H22)</f>
        <v>64323.172809287142</v>
      </c>
      <c r="I17">
        <f>SUM(I18:I22)</f>
        <v>0</v>
      </c>
      <c r="J17" s="107"/>
      <c r="K17" s="107" t="s">
        <v>20</v>
      </c>
    </row>
    <row r="18" spans="1:14" x14ac:dyDescent="0.25">
      <c r="A18" s="107"/>
      <c r="B18" s="107"/>
      <c r="C18" s="107"/>
      <c r="D18">
        <v>2021</v>
      </c>
      <c r="E18">
        <f t="shared" si="0"/>
        <v>450959.86821244506</v>
      </c>
      <c r="F18">
        <f>F379+F385+F241+F391+F247+F307+F313+F319+F325+F331+F337+F253+F265+F343+F349+F361</f>
        <v>170846.14839999998</v>
      </c>
      <c r="G18">
        <f t="shared" ref="G18:I22" si="7">G379+G385+G241+G391+G247+G307+G313+G319+G325+G331+G337+G253+G265+G343+G349</f>
        <v>257488.7</v>
      </c>
      <c r="H18">
        <f t="shared" si="7"/>
        <v>22625.019812445033</v>
      </c>
      <c r="I18">
        <f t="shared" si="7"/>
        <v>0</v>
      </c>
      <c r="J18" s="107"/>
      <c r="K18" s="107"/>
    </row>
    <row r="19" spans="1:14" x14ac:dyDescent="0.25">
      <c r="A19" s="107"/>
      <c r="B19" s="107"/>
      <c r="C19" s="107"/>
      <c r="D19">
        <v>2022</v>
      </c>
      <c r="E19">
        <f t="shared" si="0"/>
        <v>527419.39519000007</v>
      </c>
      <c r="F19">
        <f t="shared" ref="F19:F22" si="8">F380+F386+F242+F392+F248+F308+F314+F320+F326+F332+F338+F254+F266+F344+F350</f>
        <v>368616.53693000006</v>
      </c>
      <c r="G19">
        <f t="shared" si="7"/>
        <v>117511.3</v>
      </c>
      <c r="H19">
        <f t="shared" si="7"/>
        <v>41291.558260000005</v>
      </c>
      <c r="I19">
        <f t="shared" si="7"/>
        <v>0</v>
      </c>
      <c r="J19" s="107"/>
      <c r="K19" s="107"/>
    </row>
    <row r="20" spans="1:14" x14ac:dyDescent="0.25">
      <c r="A20" s="107"/>
      <c r="B20" s="107"/>
      <c r="C20" s="107"/>
      <c r="D20">
        <v>2023</v>
      </c>
      <c r="E20">
        <f t="shared" si="0"/>
        <v>135522.89473684211</v>
      </c>
      <c r="F20">
        <f t="shared" si="8"/>
        <v>7725.3</v>
      </c>
      <c r="G20">
        <f t="shared" si="7"/>
        <v>127391</v>
      </c>
      <c r="H20">
        <f t="shared" si="7"/>
        <v>406.59473684210525</v>
      </c>
      <c r="I20">
        <f t="shared" si="7"/>
        <v>0</v>
      </c>
      <c r="J20" s="107"/>
      <c r="K20" s="107"/>
    </row>
    <row r="21" spans="1:14" x14ac:dyDescent="0.25">
      <c r="A21" s="107"/>
      <c r="B21" s="107"/>
      <c r="C21" s="107"/>
      <c r="D21">
        <v>2024</v>
      </c>
      <c r="E21">
        <f t="shared" si="0"/>
        <v>0</v>
      </c>
      <c r="F21">
        <f t="shared" si="8"/>
        <v>0</v>
      </c>
      <c r="G21">
        <f t="shared" si="7"/>
        <v>0</v>
      </c>
      <c r="H21">
        <f t="shared" si="7"/>
        <v>0</v>
      </c>
      <c r="I21">
        <f t="shared" si="7"/>
        <v>0</v>
      </c>
      <c r="J21" s="107"/>
      <c r="K21" s="107"/>
    </row>
    <row r="22" spans="1:14" x14ac:dyDescent="0.25">
      <c r="A22" s="107"/>
      <c r="B22" s="107"/>
      <c r="C22" s="107"/>
      <c r="D22">
        <v>2025</v>
      </c>
      <c r="E22">
        <f t="shared" si="0"/>
        <v>0</v>
      </c>
      <c r="F22">
        <f t="shared" si="8"/>
        <v>0</v>
      </c>
      <c r="G22">
        <f t="shared" si="7"/>
        <v>0</v>
      </c>
      <c r="H22">
        <f t="shared" si="7"/>
        <v>0</v>
      </c>
      <c r="I22">
        <f t="shared" si="7"/>
        <v>0</v>
      </c>
      <c r="J22" s="107"/>
      <c r="K22" s="107"/>
    </row>
    <row r="23" spans="1:14" ht="15" customHeight="1" x14ac:dyDescent="0.25">
      <c r="A23" s="107">
        <v>1</v>
      </c>
      <c r="B23" s="107" t="s">
        <v>21</v>
      </c>
      <c r="C23" s="107" t="s">
        <v>14</v>
      </c>
      <c r="D23" t="s">
        <v>8</v>
      </c>
      <c r="E23">
        <f t="shared" si="0"/>
        <v>280285.22365</v>
      </c>
      <c r="F23">
        <f>SUM(F24:F28)</f>
        <v>255381.12364999999</v>
      </c>
      <c r="G23">
        <f>SUM(G24:G28)</f>
        <v>24904.1</v>
      </c>
      <c r="H23">
        <f>SUM(H24:H28)</f>
        <v>0</v>
      </c>
      <c r="I23">
        <f>SUM(I24:I28)</f>
        <v>0</v>
      </c>
      <c r="J23" s="107"/>
      <c r="K23" s="107" t="s">
        <v>486</v>
      </c>
      <c r="L23" s="107"/>
      <c r="M23" s="107"/>
      <c r="N23" s="107"/>
    </row>
    <row r="24" spans="1:14" x14ac:dyDescent="0.25">
      <c r="A24" s="107"/>
      <c r="B24" s="107"/>
      <c r="C24" s="107"/>
      <c r="D24">
        <v>2021</v>
      </c>
      <c r="E24">
        <f t="shared" si="0"/>
        <v>145391.97261</v>
      </c>
      <c r="F24">
        <f>F30+F51+F87</f>
        <v>124124.57260999999</v>
      </c>
      <c r="G24">
        <f t="shared" ref="F24:I28" si="9">G30+G51+G87</f>
        <v>21267.4</v>
      </c>
      <c r="H24">
        <f t="shared" si="9"/>
        <v>0</v>
      </c>
      <c r="I24">
        <f t="shared" si="9"/>
        <v>0</v>
      </c>
      <c r="J24" s="107"/>
      <c r="K24" s="107"/>
      <c r="L24" s="107"/>
      <c r="M24" s="107"/>
      <c r="N24" s="107"/>
    </row>
    <row r="25" spans="1:14" x14ac:dyDescent="0.25">
      <c r="A25" s="107"/>
      <c r="B25" s="107"/>
      <c r="C25" s="107"/>
      <c r="D25">
        <v>2022</v>
      </c>
      <c r="E25">
        <f t="shared" si="0"/>
        <v>35570.248939999998</v>
      </c>
      <c r="F25">
        <f t="shared" si="9"/>
        <v>33752.148939999999</v>
      </c>
      <c r="G25">
        <f t="shared" si="9"/>
        <v>1818.1</v>
      </c>
      <c r="H25">
        <f t="shared" si="9"/>
        <v>0</v>
      </c>
      <c r="I25">
        <f t="shared" si="9"/>
        <v>0</v>
      </c>
      <c r="J25" s="107"/>
      <c r="K25" s="107"/>
      <c r="L25" s="107"/>
      <c r="M25" s="107"/>
      <c r="N25" s="107"/>
    </row>
    <row r="26" spans="1:14" x14ac:dyDescent="0.25">
      <c r="A26" s="107"/>
      <c r="B26" s="107"/>
      <c r="C26" s="107"/>
      <c r="D26">
        <v>2023</v>
      </c>
      <c r="E26">
        <f t="shared" si="0"/>
        <v>35570.801050000002</v>
      </c>
      <c r="F26">
        <f t="shared" si="9"/>
        <v>33752.201050000003</v>
      </c>
      <c r="G26">
        <f t="shared" si="9"/>
        <v>1818.6</v>
      </c>
      <c r="H26">
        <f t="shared" si="9"/>
        <v>0</v>
      </c>
      <c r="I26">
        <f t="shared" si="9"/>
        <v>0</v>
      </c>
      <c r="J26" s="107"/>
      <c r="K26" s="107"/>
      <c r="L26" s="107"/>
      <c r="M26" s="107"/>
      <c r="N26" s="107"/>
    </row>
    <row r="27" spans="1:14" x14ac:dyDescent="0.25">
      <c r="A27" s="107"/>
      <c r="B27" s="107"/>
      <c r="C27" s="107"/>
      <c r="D27">
        <v>2024</v>
      </c>
      <c r="E27">
        <f t="shared" si="0"/>
        <v>33752.201050000003</v>
      </c>
      <c r="F27">
        <f t="shared" si="9"/>
        <v>33752.201050000003</v>
      </c>
      <c r="G27">
        <f t="shared" si="9"/>
        <v>0</v>
      </c>
      <c r="H27">
        <f t="shared" si="9"/>
        <v>0</v>
      </c>
      <c r="I27">
        <f t="shared" si="9"/>
        <v>0</v>
      </c>
      <c r="J27" s="107"/>
      <c r="K27" s="107"/>
      <c r="L27" s="107"/>
      <c r="M27" s="107"/>
      <c r="N27" s="107"/>
    </row>
    <row r="28" spans="1:14" x14ac:dyDescent="0.25">
      <c r="A28" s="107"/>
      <c r="B28" s="107"/>
      <c r="C28" s="107"/>
      <c r="D28">
        <v>2025</v>
      </c>
      <c r="E28">
        <f t="shared" si="0"/>
        <v>30000</v>
      </c>
      <c r="F28">
        <f t="shared" si="9"/>
        <v>30000</v>
      </c>
      <c r="G28">
        <f t="shared" si="9"/>
        <v>0</v>
      </c>
      <c r="H28">
        <f t="shared" si="9"/>
        <v>0</v>
      </c>
      <c r="I28">
        <f t="shared" si="9"/>
        <v>0</v>
      </c>
      <c r="J28" s="107"/>
      <c r="K28" s="107"/>
      <c r="L28" s="107"/>
      <c r="M28" s="107"/>
      <c r="N28" s="107"/>
    </row>
    <row r="29" spans="1:14" x14ac:dyDescent="0.25">
      <c r="A29" s="107" t="s">
        <v>23</v>
      </c>
      <c r="B29" s="107" t="s">
        <v>24</v>
      </c>
      <c r="C29" s="107" t="s">
        <v>14</v>
      </c>
      <c r="D29" t="s">
        <v>8</v>
      </c>
      <c r="E29">
        <f t="shared" si="0"/>
        <v>7998.665</v>
      </c>
      <c r="F29">
        <f>SUM(F30:F34)</f>
        <v>7998.665</v>
      </c>
      <c r="G29">
        <f>SUM(G30:G34)</f>
        <v>0</v>
      </c>
      <c r="H29">
        <f>SUM(H30:H34)</f>
        <v>0</v>
      </c>
      <c r="I29">
        <f>SUM(I30:I34)</f>
        <v>0</v>
      </c>
      <c r="J29" s="107" t="s">
        <v>487</v>
      </c>
      <c r="K29" s="107" t="s">
        <v>488</v>
      </c>
      <c r="L29" s="107"/>
      <c r="M29" s="107"/>
      <c r="N29" s="107"/>
    </row>
    <row r="30" spans="1:14" x14ac:dyDescent="0.25">
      <c r="A30" s="107"/>
      <c r="B30" s="107"/>
      <c r="C30" s="107"/>
      <c r="D30">
        <v>2021</v>
      </c>
      <c r="E30">
        <f t="shared" si="0"/>
        <v>7998.665</v>
      </c>
      <c r="F30">
        <f t="shared" ref="F30:I34" si="10">F42</f>
        <v>7998.665</v>
      </c>
      <c r="G30">
        <f t="shared" si="10"/>
        <v>0</v>
      </c>
      <c r="H30">
        <f t="shared" si="10"/>
        <v>0</v>
      </c>
      <c r="I30">
        <f t="shared" si="10"/>
        <v>0</v>
      </c>
      <c r="J30" s="107"/>
      <c r="K30" s="107"/>
      <c r="L30" s="107"/>
      <c r="M30" s="107"/>
      <c r="N30" s="107"/>
    </row>
    <row r="31" spans="1:14" x14ac:dyDescent="0.25">
      <c r="A31" s="107"/>
      <c r="B31" s="107"/>
      <c r="C31" s="107"/>
      <c r="D31">
        <v>2022</v>
      </c>
      <c r="E31">
        <f t="shared" si="0"/>
        <v>0</v>
      </c>
      <c r="F31">
        <f t="shared" si="10"/>
        <v>0</v>
      </c>
      <c r="G31">
        <f t="shared" si="10"/>
        <v>0</v>
      </c>
      <c r="H31">
        <f t="shared" si="10"/>
        <v>0</v>
      </c>
      <c r="I31">
        <f t="shared" si="10"/>
        <v>0</v>
      </c>
      <c r="J31" s="107"/>
      <c r="K31" s="107"/>
      <c r="L31" s="107"/>
      <c r="M31" s="107"/>
      <c r="N31" s="107"/>
    </row>
    <row r="32" spans="1:14" x14ac:dyDescent="0.25">
      <c r="A32" s="107"/>
      <c r="B32" s="107"/>
      <c r="C32" s="107"/>
      <c r="D32">
        <v>2023</v>
      </c>
      <c r="E32">
        <f t="shared" si="0"/>
        <v>0</v>
      </c>
      <c r="F32">
        <f t="shared" si="10"/>
        <v>0</v>
      </c>
      <c r="G32">
        <f t="shared" si="10"/>
        <v>0</v>
      </c>
      <c r="H32">
        <f t="shared" si="10"/>
        <v>0</v>
      </c>
      <c r="I32">
        <f t="shared" si="10"/>
        <v>0</v>
      </c>
      <c r="J32" s="107"/>
      <c r="K32" s="107"/>
      <c r="L32" s="107"/>
      <c r="M32" s="107"/>
      <c r="N32" s="107"/>
    </row>
    <row r="33" spans="1:14" x14ac:dyDescent="0.25">
      <c r="A33" s="107"/>
      <c r="B33" s="107"/>
      <c r="C33" s="107"/>
      <c r="D33">
        <v>2024</v>
      </c>
      <c r="E33">
        <f t="shared" si="0"/>
        <v>0</v>
      </c>
      <c r="F33">
        <f t="shared" si="10"/>
        <v>0</v>
      </c>
      <c r="G33">
        <f t="shared" si="10"/>
        <v>0</v>
      </c>
      <c r="H33">
        <f t="shared" si="10"/>
        <v>0</v>
      </c>
      <c r="I33">
        <f t="shared" si="10"/>
        <v>0</v>
      </c>
      <c r="J33" s="107"/>
      <c r="K33" s="107"/>
      <c r="L33" s="107"/>
      <c r="M33" s="107"/>
      <c r="N33" s="107"/>
    </row>
    <row r="34" spans="1:14" x14ac:dyDescent="0.25">
      <c r="A34" s="107"/>
      <c r="B34" s="107"/>
      <c r="C34" s="107"/>
      <c r="D34">
        <v>2025</v>
      </c>
      <c r="E34">
        <f t="shared" si="0"/>
        <v>0</v>
      </c>
      <c r="F34">
        <f t="shared" si="10"/>
        <v>0</v>
      </c>
      <c r="G34">
        <f>G46</f>
        <v>0</v>
      </c>
      <c r="H34">
        <f>H46</f>
        <v>0</v>
      </c>
      <c r="I34">
        <f>I46</f>
        <v>0</v>
      </c>
      <c r="J34" s="107"/>
      <c r="K34" s="107"/>
      <c r="L34" s="107"/>
      <c r="M34" s="107"/>
      <c r="N34" s="107"/>
    </row>
    <row r="35" spans="1:14" x14ac:dyDescent="0.25">
      <c r="A35" s="107" t="s">
        <v>27</v>
      </c>
      <c r="B35" s="107" t="s">
        <v>489</v>
      </c>
      <c r="C35" s="107" t="s">
        <v>490</v>
      </c>
      <c r="D35" t="s">
        <v>8</v>
      </c>
      <c r="E35">
        <v>0</v>
      </c>
      <c r="F35">
        <v>0</v>
      </c>
      <c r="G35">
        <v>0</v>
      </c>
      <c r="H35">
        <v>0</v>
      </c>
      <c r="I35">
        <v>0</v>
      </c>
      <c r="J35" s="107" t="s">
        <v>29</v>
      </c>
      <c r="K35" s="107" t="s">
        <v>486</v>
      </c>
    </row>
    <row r="36" spans="1:14" x14ac:dyDescent="0.25">
      <c r="A36" s="107"/>
      <c r="B36" s="107"/>
      <c r="C36" s="107"/>
      <c r="D36">
        <v>2021</v>
      </c>
      <c r="E36">
        <v>0</v>
      </c>
      <c r="F36">
        <v>0</v>
      </c>
      <c r="G36">
        <v>0</v>
      </c>
      <c r="H36">
        <v>0</v>
      </c>
      <c r="I36">
        <v>0</v>
      </c>
      <c r="J36" s="107"/>
      <c r="K36" s="107"/>
    </row>
    <row r="37" spans="1:14" x14ac:dyDescent="0.25">
      <c r="A37" s="107"/>
      <c r="B37" s="107"/>
      <c r="C37" s="107"/>
      <c r="D37">
        <v>2022</v>
      </c>
      <c r="E37">
        <v>0</v>
      </c>
      <c r="F37">
        <v>0</v>
      </c>
      <c r="G37">
        <v>0</v>
      </c>
      <c r="H37">
        <v>0</v>
      </c>
      <c r="I37">
        <v>0</v>
      </c>
      <c r="J37" s="107"/>
      <c r="K37" s="107"/>
    </row>
    <row r="38" spans="1:14" x14ac:dyDescent="0.25">
      <c r="A38" s="107"/>
      <c r="B38" s="107"/>
      <c r="C38" s="107"/>
      <c r="D38">
        <v>2023</v>
      </c>
      <c r="E38">
        <v>0</v>
      </c>
      <c r="F38">
        <v>0</v>
      </c>
      <c r="G38">
        <v>0</v>
      </c>
      <c r="H38">
        <v>0</v>
      </c>
      <c r="I38">
        <v>0</v>
      </c>
      <c r="J38" s="107"/>
      <c r="K38" s="107"/>
    </row>
    <row r="39" spans="1:14" x14ac:dyDescent="0.25">
      <c r="A39" s="107"/>
      <c r="B39" s="107"/>
      <c r="C39" s="107"/>
      <c r="D39">
        <v>2024</v>
      </c>
      <c r="E39">
        <v>0</v>
      </c>
      <c r="F39">
        <v>0</v>
      </c>
      <c r="G39">
        <v>0</v>
      </c>
      <c r="H39">
        <v>0</v>
      </c>
      <c r="I39">
        <v>0</v>
      </c>
      <c r="J39" s="107"/>
      <c r="K39" s="107"/>
    </row>
    <row r="40" spans="1:14" x14ac:dyDescent="0.25">
      <c r="A40" s="107"/>
      <c r="B40" s="107"/>
      <c r="C40" s="107"/>
      <c r="D40">
        <v>2025</v>
      </c>
      <c r="E40">
        <v>0</v>
      </c>
      <c r="F40">
        <v>0</v>
      </c>
      <c r="G40">
        <v>0</v>
      </c>
      <c r="H40">
        <v>0</v>
      </c>
      <c r="I40">
        <v>0</v>
      </c>
      <c r="J40" s="107"/>
      <c r="K40" s="107"/>
    </row>
    <row r="41" spans="1:14" x14ac:dyDescent="0.25">
      <c r="A41" s="107" t="s">
        <v>491</v>
      </c>
      <c r="B41" s="107" t="s">
        <v>492</v>
      </c>
      <c r="C41" s="107" t="s">
        <v>490</v>
      </c>
      <c r="D41" t="s">
        <v>8</v>
      </c>
      <c r="E41">
        <f>SUM(E42:E46)</f>
        <v>7998.665</v>
      </c>
      <c r="F41">
        <f>SUM(F42:F46)</f>
        <v>7998.665</v>
      </c>
      <c r="G41">
        <f>SUM(G42:G46)</f>
        <v>0</v>
      </c>
      <c r="H41">
        <f>SUM(H42:H46)</f>
        <v>0</v>
      </c>
      <c r="I41">
        <f>SUM(I42:I46)</f>
        <v>0</v>
      </c>
      <c r="J41" s="107" t="s">
        <v>493</v>
      </c>
      <c r="K41" s="107" t="s">
        <v>494</v>
      </c>
      <c r="L41" s="107"/>
      <c r="M41" s="107"/>
      <c r="N41" s="107"/>
    </row>
    <row r="42" spans="1:14" x14ac:dyDescent="0.25">
      <c r="A42" s="107"/>
      <c r="B42" s="107"/>
      <c r="C42" s="107"/>
      <c r="D42">
        <v>2021</v>
      </c>
      <c r="E42">
        <f>SUM(F42:I42)</f>
        <v>7998.665</v>
      </c>
      <c r="F42">
        <v>7998.665</v>
      </c>
      <c r="G42">
        <v>0</v>
      </c>
      <c r="H42">
        <v>0</v>
      </c>
      <c r="I42">
        <v>0</v>
      </c>
      <c r="J42" s="107"/>
      <c r="K42" s="107"/>
      <c r="L42" s="107"/>
      <c r="M42" s="107"/>
      <c r="N42" s="107"/>
    </row>
    <row r="43" spans="1:14" x14ac:dyDescent="0.25">
      <c r="A43" s="107"/>
      <c r="B43" s="107"/>
      <c r="C43" s="107"/>
      <c r="D43">
        <v>2022</v>
      </c>
      <c r="E43">
        <v>0</v>
      </c>
      <c r="F43">
        <v>0</v>
      </c>
      <c r="G43">
        <v>0</v>
      </c>
      <c r="H43">
        <v>0</v>
      </c>
      <c r="I43">
        <v>0</v>
      </c>
      <c r="J43" s="107"/>
      <c r="K43" s="107"/>
      <c r="L43" s="107"/>
      <c r="M43" s="107"/>
      <c r="N43" s="107"/>
    </row>
    <row r="44" spans="1:14" x14ac:dyDescent="0.25">
      <c r="A44" s="107"/>
      <c r="B44" s="107"/>
      <c r="C44" s="107"/>
      <c r="D44">
        <v>2023</v>
      </c>
      <c r="E44">
        <v>0</v>
      </c>
      <c r="F44">
        <v>0</v>
      </c>
      <c r="G44">
        <v>0</v>
      </c>
      <c r="H44">
        <v>0</v>
      </c>
      <c r="I44">
        <v>0</v>
      </c>
      <c r="J44" s="107"/>
      <c r="K44" s="107"/>
      <c r="L44" s="107"/>
      <c r="M44" s="107"/>
      <c r="N44" s="107"/>
    </row>
    <row r="45" spans="1:14" x14ac:dyDescent="0.25">
      <c r="A45" s="107"/>
      <c r="B45" s="107"/>
      <c r="C45" s="107"/>
      <c r="D45">
        <v>2024</v>
      </c>
      <c r="E45">
        <v>0</v>
      </c>
      <c r="F45">
        <v>0</v>
      </c>
      <c r="G45">
        <v>0</v>
      </c>
      <c r="H45">
        <v>0</v>
      </c>
      <c r="I45">
        <v>0</v>
      </c>
      <c r="J45" s="107"/>
      <c r="K45" s="107"/>
      <c r="L45" s="107"/>
      <c r="M45" s="107"/>
      <c r="N45" s="107"/>
    </row>
    <row r="46" spans="1:14" x14ac:dyDescent="0.25">
      <c r="A46" s="107"/>
      <c r="B46" s="107"/>
      <c r="C46" s="107"/>
      <c r="D46">
        <v>2025</v>
      </c>
      <c r="E46">
        <v>0</v>
      </c>
      <c r="F46">
        <v>0</v>
      </c>
      <c r="G46">
        <v>0</v>
      </c>
      <c r="H46">
        <v>0</v>
      </c>
      <c r="I46">
        <v>0</v>
      </c>
      <c r="J46" s="107"/>
      <c r="K46" s="107"/>
      <c r="L46" s="107"/>
      <c r="M46" s="107"/>
      <c r="N46" s="107"/>
    </row>
    <row r="50" spans="1:11" ht="27.75" customHeight="1" x14ac:dyDescent="0.25">
      <c r="A50" s="107" t="s">
        <v>30</v>
      </c>
      <c r="B50" s="107" t="s">
        <v>31</v>
      </c>
      <c r="C50" s="107" t="s">
        <v>14</v>
      </c>
      <c r="D50" t="s">
        <v>8</v>
      </c>
      <c r="E50">
        <f t="shared" ref="E50:E61" si="11">SUM(F50:I50)</f>
        <v>229136.894</v>
      </c>
      <c r="F50">
        <f>SUM(F51:F55)</f>
        <v>229136.894</v>
      </c>
      <c r="G50">
        <f>SUM(G51:G55)</f>
        <v>0</v>
      </c>
      <c r="H50">
        <f>SUM(H51:H55)</f>
        <v>0</v>
      </c>
      <c r="I50">
        <f>SUM(I51:I55)</f>
        <v>0</v>
      </c>
      <c r="J50" s="107" t="s">
        <v>495</v>
      </c>
      <c r="K50" s="107" t="s">
        <v>486</v>
      </c>
    </row>
    <row r="51" spans="1:11" ht="27.75" customHeight="1" x14ac:dyDescent="0.25">
      <c r="A51" s="107"/>
      <c r="B51" s="107"/>
      <c r="C51" s="107"/>
      <c r="D51">
        <v>2021</v>
      </c>
      <c r="E51">
        <f t="shared" si="11"/>
        <v>109136.894</v>
      </c>
      <c r="F51">
        <f t="shared" ref="F51:F53" si="12">SUM(F57+F63+F69+F75+F81)</f>
        <v>109136.894</v>
      </c>
      <c r="G51">
        <f t="shared" ref="F51:I55" si="13">SUM(G57+G63+G69+G75+G81)</f>
        <v>0</v>
      </c>
      <c r="H51">
        <f t="shared" si="13"/>
        <v>0</v>
      </c>
      <c r="I51">
        <f t="shared" si="13"/>
        <v>0</v>
      </c>
      <c r="J51" s="107"/>
      <c r="K51" s="107"/>
    </row>
    <row r="52" spans="1:11" ht="27.75" customHeight="1" x14ac:dyDescent="0.25">
      <c r="A52" s="107"/>
      <c r="B52" s="107"/>
      <c r="C52" s="107"/>
      <c r="D52">
        <v>2022</v>
      </c>
      <c r="E52">
        <f t="shared" si="11"/>
        <v>30000</v>
      </c>
      <c r="F52">
        <f t="shared" si="12"/>
        <v>30000</v>
      </c>
      <c r="G52">
        <f t="shared" si="13"/>
        <v>0</v>
      </c>
      <c r="H52">
        <f t="shared" si="13"/>
        <v>0</v>
      </c>
      <c r="I52">
        <f t="shared" si="13"/>
        <v>0</v>
      </c>
      <c r="J52" s="107"/>
      <c r="K52" s="107"/>
    </row>
    <row r="53" spans="1:11" ht="27.75" customHeight="1" x14ac:dyDescent="0.25">
      <c r="A53" s="107"/>
      <c r="B53" s="107"/>
      <c r="C53" s="107"/>
      <c r="D53">
        <v>2023</v>
      </c>
      <c r="E53">
        <f t="shared" si="11"/>
        <v>30000</v>
      </c>
      <c r="F53">
        <f t="shared" si="12"/>
        <v>30000</v>
      </c>
      <c r="G53">
        <f t="shared" si="13"/>
        <v>0</v>
      </c>
      <c r="H53">
        <f t="shared" si="13"/>
        <v>0</v>
      </c>
      <c r="I53">
        <f t="shared" si="13"/>
        <v>0</v>
      </c>
      <c r="J53" s="107"/>
      <c r="K53" s="107"/>
    </row>
    <row r="54" spans="1:11" ht="27.75" customHeight="1" x14ac:dyDescent="0.25">
      <c r="A54" s="107"/>
      <c r="B54" s="107"/>
      <c r="C54" s="107"/>
      <c r="D54">
        <v>2024</v>
      </c>
      <c r="E54">
        <f t="shared" si="11"/>
        <v>30000</v>
      </c>
      <c r="F54">
        <f t="shared" si="13"/>
        <v>30000</v>
      </c>
      <c r="G54">
        <f t="shared" si="13"/>
        <v>0</v>
      </c>
      <c r="H54">
        <f t="shared" si="13"/>
        <v>0</v>
      </c>
      <c r="I54">
        <f t="shared" si="13"/>
        <v>0</v>
      </c>
      <c r="J54" s="107"/>
      <c r="K54" s="107"/>
    </row>
    <row r="55" spans="1:11" ht="27.75" customHeight="1" x14ac:dyDescent="0.25">
      <c r="A55" s="107"/>
      <c r="B55" s="107"/>
      <c r="C55" s="107"/>
      <c r="D55">
        <v>2025</v>
      </c>
      <c r="E55">
        <f t="shared" si="11"/>
        <v>30000</v>
      </c>
      <c r="F55">
        <f t="shared" si="13"/>
        <v>30000</v>
      </c>
      <c r="G55">
        <f t="shared" si="13"/>
        <v>0</v>
      </c>
      <c r="H55">
        <f t="shared" si="13"/>
        <v>0</v>
      </c>
      <c r="I55">
        <f t="shared" si="13"/>
        <v>0</v>
      </c>
      <c r="J55" s="107"/>
      <c r="K55" s="107"/>
    </row>
    <row r="56" spans="1:11" ht="15" customHeight="1" x14ac:dyDescent="0.25">
      <c r="A56" s="107" t="s">
        <v>33</v>
      </c>
      <c r="B56" s="107" t="s">
        <v>496</v>
      </c>
      <c r="C56" s="107" t="s">
        <v>14</v>
      </c>
      <c r="D56" t="s">
        <v>8</v>
      </c>
      <c r="E56">
        <f t="shared" si="11"/>
        <v>163000</v>
      </c>
      <c r="F56">
        <f>SUM(F57:F61)</f>
        <v>163000</v>
      </c>
      <c r="G56">
        <f>SUM(G57:G61)</f>
        <v>0</v>
      </c>
      <c r="H56">
        <f>SUM(H57:H61)</f>
        <v>0</v>
      </c>
      <c r="I56">
        <f>SUM(I57:I61)</f>
        <v>0</v>
      </c>
      <c r="J56" s="107" t="s">
        <v>497</v>
      </c>
      <c r="K56" s="107" t="s">
        <v>484</v>
      </c>
    </row>
    <row r="57" spans="1:11" x14ac:dyDescent="0.25">
      <c r="A57" s="107"/>
      <c r="B57" s="107"/>
      <c r="C57" s="107"/>
      <c r="D57">
        <v>2021</v>
      </c>
      <c r="E57">
        <f t="shared" si="11"/>
        <v>43000</v>
      </c>
      <c r="F57">
        <v>43000</v>
      </c>
      <c r="G57">
        <v>0</v>
      </c>
      <c r="H57">
        <v>0</v>
      </c>
      <c r="I57">
        <v>0</v>
      </c>
      <c r="J57" s="107"/>
      <c r="K57" s="107"/>
    </row>
    <row r="58" spans="1:11" x14ac:dyDescent="0.25">
      <c r="A58" s="107"/>
      <c r="B58" s="107"/>
      <c r="C58" s="107"/>
      <c r="D58">
        <v>2022</v>
      </c>
      <c r="E58">
        <v>30000</v>
      </c>
      <c r="F58">
        <v>30000</v>
      </c>
      <c r="G58">
        <v>0</v>
      </c>
      <c r="H58">
        <v>0</v>
      </c>
      <c r="I58">
        <v>0</v>
      </c>
      <c r="J58" s="107"/>
      <c r="K58" s="107"/>
    </row>
    <row r="59" spans="1:11" x14ac:dyDescent="0.25">
      <c r="A59" s="107"/>
      <c r="B59" s="107"/>
      <c r="C59" s="107"/>
      <c r="D59">
        <v>2023</v>
      </c>
      <c r="E59">
        <f t="shared" si="11"/>
        <v>30000</v>
      </c>
      <c r="F59">
        <v>30000</v>
      </c>
      <c r="G59">
        <v>0</v>
      </c>
      <c r="H59">
        <v>0</v>
      </c>
      <c r="I59">
        <v>0</v>
      </c>
      <c r="J59" s="107"/>
      <c r="K59" s="107"/>
    </row>
    <row r="60" spans="1:11" x14ac:dyDescent="0.25">
      <c r="A60" s="107"/>
      <c r="B60" s="107"/>
      <c r="C60" s="107"/>
      <c r="D60">
        <v>2024</v>
      </c>
      <c r="E60">
        <f t="shared" si="11"/>
        <v>30000</v>
      </c>
      <c r="F60">
        <v>30000</v>
      </c>
      <c r="G60">
        <v>0</v>
      </c>
      <c r="H60">
        <v>0</v>
      </c>
      <c r="I60">
        <v>0</v>
      </c>
      <c r="J60" s="107"/>
      <c r="K60" s="107"/>
    </row>
    <row r="61" spans="1:11" x14ac:dyDescent="0.25">
      <c r="A61" s="107"/>
      <c r="B61" s="107"/>
      <c r="C61" s="107"/>
      <c r="D61">
        <v>2025</v>
      </c>
      <c r="E61">
        <f t="shared" si="11"/>
        <v>30000</v>
      </c>
      <c r="F61">
        <v>30000</v>
      </c>
      <c r="G61">
        <v>0</v>
      </c>
      <c r="H61">
        <v>0</v>
      </c>
      <c r="I61">
        <v>0</v>
      </c>
      <c r="J61" s="107"/>
      <c r="K61" s="107"/>
    </row>
    <row r="62" spans="1:11" ht="13.5" customHeight="1" outlineLevel="1" x14ac:dyDescent="0.25">
      <c r="A62" s="107" t="s">
        <v>36</v>
      </c>
      <c r="B62" s="107" t="s">
        <v>498</v>
      </c>
      <c r="C62" s="107">
        <v>2021</v>
      </c>
      <c r="D62" t="s">
        <v>8</v>
      </c>
      <c r="E62">
        <f>SUM(E63:E67)</f>
        <v>0</v>
      </c>
      <c r="F62">
        <f>SUM(F63:F67)</f>
        <v>0</v>
      </c>
      <c r="G62">
        <f>SUM(G63:G67)</f>
        <v>0</v>
      </c>
      <c r="H62">
        <f>SUM(H63:H67)</f>
        <v>0</v>
      </c>
      <c r="I62">
        <f>SUM(I63:I67)</f>
        <v>0</v>
      </c>
      <c r="J62" s="107" t="s">
        <v>499</v>
      </c>
      <c r="K62" s="107" t="s">
        <v>484</v>
      </c>
    </row>
    <row r="63" spans="1:11" ht="13.5" customHeight="1" outlineLevel="1" x14ac:dyDescent="0.25">
      <c r="A63" s="107"/>
      <c r="B63" s="107"/>
      <c r="C63" s="107"/>
      <c r="D63">
        <v>2021</v>
      </c>
      <c r="E63">
        <f t="shared" ref="E63:E67" si="14">SUM(F63:I63)</f>
        <v>0</v>
      </c>
      <c r="F63">
        <v>0</v>
      </c>
      <c r="G63">
        <v>0</v>
      </c>
      <c r="H63">
        <v>0</v>
      </c>
      <c r="I63">
        <v>0</v>
      </c>
      <c r="J63" s="107"/>
      <c r="K63" s="107"/>
    </row>
    <row r="64" spans="1:11" ht="13.5" customHeight="1" outlineLevel="1" x14ac:dyDescent="0.25">
      <c r="A64" s="107"/>
      <c r="B64" s="107"/>
      <c r="C64" s="107"/>
      <c r="D64">
        <v>2022</v>
      </c>
      <c r="E64">
        <f t="shared" si="14"/>
        <v>0</v>
      </c>
      <c r="F64">
        <v>0</v>
      </c>
      <c r="G64">
        <v>0</v>
      </c>
      <c r="H64">
        <v>0</v>
      </c>
      <c r="I64">
        <v>0</v>
      </c>
      <c r="J64" s="107"/>
      <c r="K64" s="107"/>
    </row>
    <row r="65" spans="1:11" ht="13.5" customHeight="1" outlineLevel="1" x14ac:dyDescent="0.25">
      <c r="A65" s="107"/>
      <c r="B65" s="107"/>
      <c r="C65" s="107"/>
      <c r="D65">
        <v>2023</v>
      </c>
      <c r="E65">
        <f t="shared" si="14"/>
        <v>0</v>
      </c>
      <c r="F65">
        <v>0</v>
      </c>
      <c r="G65">
        <v>0</v>
      </c>
      <c r="H65">
        <v>0</v>
      </c>
      <c r="I65">
        <v>0</v>
      </c>
      <c r="J65" s="107"/>
      <c r="K65" s="107"/>
    </row>
    <row r="66" spans="1:11" ht="13.5" customHeight="1" outlineLevel="1" x14ac:dyDescent="0.25">
      <c r="A66" s="107"/>
      <c r="B66" s="107"/>
      <c r="C66" s="107"/>
      <c r="D66">
        <v>2024</v>
      </c>
      <c r="E66">
        <f t="shared" si="14"/>
        <v>0</v>
      </c>
      <c r="F66">
        <v>0</v>
      </c>
      <c r="G66">
        <v>0</v>
      </c>
      <c r="H66">
        <v>0</v>
      </c>
      <c r="I66">
        <v>0</v>
      </c>
      <c r="J66" s="107"/>
      <c r="K66" s="107"/>
    </row>
    <row r="67" spans="1:11" ht="13.5" customHeight="1" outlineLevel="1" x14ac:dyDescent="0.25">
      <c r="A67" s="107"/>
      <c r="B67" s="107"/>
      <c r="C67" s="107"/>
      <c r="D67">
        <v>2025</v>
      </c>
      <c r="E67">
        <f t="shared" si="14"/>
        <v>0</v>
      </c>
      <c r="F67">
        <v>0</v>
      </c>
      <c r="G67">
        <v>0</v>
      </c>
      <c r="H67">
        <v>0</v>
      </c>
      <c r="I67">
        <v>0</v>
      </c>
      <c r="J67" s="107"/>
      <c r="K67" s="107"/>
    </row>
    <row r="68" spans="1:11" ht="13.5" customHeight="1" outlineLevel="1" x14ac:dyDescent="0.25">
      <c r="A68" s="107" t="s">
        <v>500</v>
      </c>
      <c r="B68" s="107" t="s">
        <v>501</v>
      </c>
      <c r="C68" s="107">
        <v>2021</v>
      </c>
      <c r="D68" t="s">
        <v>8</v>
      </c>
      <c r="E68">
        <f>SUM(E69:E73)</f>
        <v>33993.769</v>
      </c>
      <c r="F68">
        <f>SUM(F69:F73)</f>
        <v>33993.769</v>
      </c>
      <c r="G68">
        <f>SUM(G69:G73)</f>
        <v>0</v>
      </c>
      <c r="H68">
        <f>SUM(H69:H73)</f>
        <v>0</v>
      </c>
      <c r="I68">
        <f>SUM(I69:I73)</f>
        <v>0</v>
      </c>
      <c r="J68" s="107" t="s">
        <v>502</v>
      </c>
      <c r="K68" s="107" t="s">
        <v>484</v>
      </c>
    </row>
    <row r="69" spans="1:11" ht="13.5" customHeight="1" outlineLevel="1" x14ac:dyDescent="0.25">
      <c r="A69" s="107"/>
      <c r="B69" s="107"/>
      <c r="C69" s="107"/>
      <c r="D69">
        <v>2021</v>
      </c>
      <c r="E69">
        <f>SUM(F69:I69)</f>
        <v>33993.769</v>
      </c>
      <c r="F69">
        <v>33993.769</v>
      </c>
      <c r="G69">
        <v>0</v>
      </c>
      <c r="H69">
        <v>0</v>
      </c>
      <c r="I69">
        <v>0</v>
      </c>
      <c r="J69" s="107"/>
      <c r="K69" s="107"/>
    </row>
    <row r="70" spans="1:11" ht="13.5" customHeight="1" outlineLevel="1" x14ac:dyDescent="0.25">
      <c r="A70" s="107"/>
      <c r="B70" s="107"/>
      <c r="C70" s="107"/>
      <c r="D70">
        <v>2022</v>
      </c>
      <c r="E70">
        <v>0</v>
      </c>
      <c r="F70">
        <v>0</v>
      </c>
      <c r="G70">
        <v>0</v>
      </c>
      <c r="H70">
        <v>0</v>
      </c>
      <c r="I70">
        <v>0</v>
      </c>
      <c r="J70" s="107"/>
      <c r="K70" s="107"/>
    </row>
    <row r="71" spans="1:11" ht="13.5" customHeight="1" outlineLevel="1" x14ac:dyDescent="0.25">
      <c r="A71" s="107"/>
      <c r="B71" s="107"/>
      <c r="C71" s="107"/>
      <c r="D71">
        <v>2023</v>
      </c>
      <c r="E71">
        <f t="shared" ref="E71:E73" si="15">SUM(F71:I71)</f>
        <v>0</v>
      </c>
      <c r="F71">
        <v>0</v>
      </c>
      <c r="G71">
        <v>0</v>
      </c>
      <c r="H71">
        <v>0</v>
      </c>
      <c r="I71">
        <v>0</v>
      </c>
      <c r="J71" s="107"/>
      <c r="K71" s="107"/>
    </row>
    <row r="72" spans="1:11" ht="13.5" customHeight="1" outlineLevel="1" x14ac:dyDescent="0.25">
      <c r="A72" s="107"/>
      <c r="B72" s="107"/>
      <c r="C72" s="107"/>
      <c r="D72">
        <v>2024</v>
      </c>
      <c r="E72">
        <f t="shared" si="15"/>
        <v>0</v>
      </c>
      <c r="F72">
        <v>0</v>
      </c>
      <c r="G72">
        <v>0</v>
      </c>
      <c r="H72">
        <v>0</v>
      </c>
      <c r="I72">
        <v>0</v>
      </c>
      <c r="J72" s="107"/>
      <c r="K72" s="107"/>
    </row>
    <row r="73" spans="1:11" ht="13.5" customHeight="1" outlineLevel="1" x14ac:dyDescent="0.25">
      <c r="A73" s="107"/>
      <c r="B73" s="107"/>
      <c r="C73" s="107"/>
      <c r="D73">
        <v>2025</v>
      </c>
      <c r="E73">
        <f t="shared" si="15"/>
        <v>0</v>
      </c>
      <c r="F73">
        <v>0</v>
      </c>
      <c r="G73">
        <v>0</v>
      </c>
      <c r="H73">
        <v>0</v>
      </c>
      <c r="I73">
        <v>0</v>
      </c>
      <c r="J73" s="107"/>
      <c r="K73" s="107"/>
    </row>
    <row r="74" spans="1:11" ht="13.5" customHeight="1" outlineLevel="1" x14ac:dyDescent="0.25">
      <c r="A74" s="107" t="s">
        <v>503</v>
      </c>
      <c r="B74" s="107" t="s">
        <v>504</v>
      </c>
      <c r="C74" s="107">
        <v>2021</v>
      </c>
      <c r="D74" t="s">
        <v>8</v>
      </c>
      <c r="E74">
        <f>SUM(E75:E79)</f>
        <v>2700</v>
      </c>
      <c r="F74">
        <f>SUM(F75:F79)</f>
        <v>2700</v>
      </c>
      <c r="G74">
        <f>SUM(G75:G79)</f>
        <v>0</v>
      </c>
      <c r="H74">
        <f>SUM(H75:H79)</f>
        <v>0</v>
      </c>
      <c r="I74">
        <f>SUM(I75:I79)</f>
        <v>0</v>
      </c>
      <c r="J74" s="107" t="s">
        <v>505</v>
      </c>
      <c r="K74" s="107" t="s">
        <v>484</v>
      </c>
    </row>
    <row r="75" spans="1:11" ht="13.5" customHeight="1" outlineLevel="1" x14ac:dyDescent="0.25">
      <c r="A75" s="107"/>
      <c r="B75" s="107"/>
      <c r="C75" s="107"/>
      <c r="D75">
        <v>2021</v>
      </c>
      <c r="E75">
        <f t="shared" ref="E75:E79" si="16">SUM(F75:I75)</f>
        <v>2700</v>
      </c>
      <c r="F75">
        <f>1350+1350</f>
        <v>2700</v>
      </c>
      <c r="G75">
        <v>0</v>
      </c>
      <c r="H75">
        <v>0</v>
      </c>
      <c r="I75">
        <v>0</v>
      </c>
      <c r="J75" s="107"/>
      <c r="K75" s="107"/>
    </row>
    <row r="76" spans="1:11" ht="13.5" customHeight="1" outlineLevel="1" x14ac:dyDescent="0.25">
      <c r="A76" s="107"/>
      <c r="B76" s="107"/>
      <c r="C76" s="107"/>
      <c r="D76">
        <v>2022</v>
      </c>
      <c r="E76">
        <f t="shared" si="16"/>
        <v>0</v>
      </c>
      <c r="F76">
        <v>0</v>
      </c>
      <c r="G76">
        <v>0</v>
      </c>
      <c r="H76">
        <v>0</v>
      </c>
      <c r="I76">
        <v>0</v>
      </c>
      <c r="J76" s="107"/>
      <c r="K76" s="107"/>
    </row>
    <row r="77" spans="1:11" ht="13.5" customHeight="1" outlineLevel="1" x14ac:dyDescent="0.25">
      <c r="A77" s="107"/>
      <c r="B77" s="107"/>
      <c r="C77" s="107"/>
      <c r="D77">
        <v>2023</v>
      </c>
      <c r="E77">
        <f t="shared" si="16"/>
        <v>0</v>
      </c>
      <c r="F77">
        <v>0</v>
      </c>
      <c r="G77">
        <v>0</v>
      </c>
      <c r="H77">
        <v>0</v>
      </c>
      <c r="I77">
        <v>0</v>
      </c>
      <c r="J77" s="107"/>
      <c r="K77" s="107"/>
    </row>
    <row r="78" spans="1:11" ht="13.5" customHeight="1" outlineLevel="1" x14ac:dyDescent="0.25">
      <c r="A78" s="107"/>
      <c r="B78" s="107"/>
      <c r="C78" s="107"/>
      <c r="D78">
        <v>2024</v>
      </c>
      <c r="E78">
        <f t="shared" si="16"/>
        <v>0</v>
      </c>
      <c r="F78">
        <v>0</v>
      </c>
      <c r="G78">
        <v>0</v>
      </c>
      <c r="H78">
        <v>0</v>
      </c>
      <c r="I78">
        <v>0</v>
      </c>
      <c r="J78" s="107"/>
      <c r="K78" s="107"/>
    </row>
    <row r="79" spans="1:11" ht="13.5" customHeight="1" outlineLevel="1" x14ac:dyDescent="0.25">
      <c r="A79" s="107"/>
      <c r="B79" s="107"/>
      <c r="C79" s="107"/>
      <c r="D79">
        <v>2025</v>
      </c>
      <c r="E79">
        <f t="shared" si="16"/>
        <v>0</v>
      </c>
      <c r="F79">
        <v>0</v>
      </c>
      <c r="G79">
        <v>0</v>
      </c>
      <c r="H79">
        <v>0</v>
      </c>
      <c r="I79">
        <v>0</v>
      </c>
      <c r="J79" s="107"/>
      <c r="K79" s="107"/>
    </row>
    <row r="80" spans="1:11" ht="13.5" customHeight="1" outlineLevel="1" x14ac:dyDescent="0.25">
      <c r="A80" s="107" t="s">
        <v>506</v>
      </c>
      <c r="B80" s="107" t="s">
        <v>507</v>
      </c>
      <c r="C80" s="107">
        <v>2021</v>
      </c>
      <c r="D80" t="s">
        <v>8</v>
      </c>
      <c r="E80">
        <f>SUM(E81:E85)</f>
        <v>29443.125</v>
      </c>
      <c r="F80">
        <f>SUM(F81:F85)</f>
        <v>29443.125</v>
      </c>
      <c r="G80">
        <f>SUM(G81:G85)</f>
        <v>0</v>
      </c>
      <c r="H80">
        <f>SUM(H81:H85)</f>
        <v>0</v>
      </c>
      <c r="I80">
        <f>SUM(I81:I85)</f>
        <v>0</v>
      </c>
      <c r="J80" s="107" t="s">
        <v>508</v>
      </c>
      <c r="K80" s="107" t="s">
        <v>486</v>
      </c>
    </row>
    <row r="81" spans="1:11" ht="13.5" customHeight="1" outlineLevel="1" x14ac:dyDescent="0.25">
      <c r="A81" s="107"/>
      <c r="B81" s="107"/>
      <c r="C81" s="107"/>
      <c r="D81">
        <v>2021</v>
      </c>
      <c r="E81">
        <f t="shared" ref="E81:E97" si="17">SUM(F81:I81)</f>
        <v>29443.125</v>
      </c>
      <c r="F81">
        <f>29443125/1000</f>
        <v>29443.125</v>
      </c>
      <c r="G81">
        <v>0</v>
      </c>
      <c r="H81">
        <v>0</v>
      </c>
      <c r="I81">
        <v>0</v>
      </c>
      <c r="J81" s="107"/>
      <c r="K81" s="107"/>
    </row>
    <row r="82" spans="1:11" ht="13.5" customHeight="1" outlineLevel="1" x14ac:dyDescent="0.25">
      <c r="A82" s="107"/>
      <c r="B82" s="107"/>
      <c r="C82" s="107"/>
      <c r="D82">
        <v>2022</v>
      </c>
      <c r="E82">
        <f t="shared" si="17"/>
        <v>0</v>
      </c>
      <c r="F82">
        <v>0</v>
      </c>
      <c r="G82">
        <v>0</v>
      </c>
      <c r="H82">
        <v>0</v>
      </c>
      <c r="I82">
        <v>0</v>
      </c>
      <c r="J82" s="107"/>
      <c r="K82" s="107"/>
    </row>
    <row r="83" spans="1:11" ht="13.5" customHeight="1" outlineLevel="1" x14ac:dyDescent="0.25">
      <c r="A83" s="107"/>
      <c r="B83" s="107"/>
      <c r="C83" s="107"/>
      <c r="D83">
        <v>2023</v>
      </c>
      <c r="E83">
        <f t="shared" si="17"/>
        <v>0</v>
      </c>
      <c r="F83">
        <v>0</v>
      </c>
      <c r="G83">
        <v>0</v>
      </c>
      <c r="H83">
        <v>0</v>
      </c>
      <c r="I83">
        <v>0</v>
      </c>
      <c r="J83" s="107"/>
      <c r="K83" s="107"/>
    </row>
    <row r="84" spans="1:11" ht="13.5" customHeight="1" outlineLevel="1" x14ac:dyDescent="0.25">
      <c r="A84" s="107"/>
      <c r="B84" s="107"/>
      <c r="C84" s="107"/>
      <c r="D84">
        <v>2024</v>
      </c>
      <c r="E84">
        <f t="shared" si="17"/>
        <v>0</v>
      </c>
      <c r="F84">
        <v>0</v>
      </c>
      <c r="G84">
        <v>0</v>
      </c>
      <c r="H84">
        <v>0</v>
      </c>
      <c r="I84">
        <v>0</v>
      </c>
      <c r="J84" s="107"/>
      <c r="K84" s="107"/>
    </row>
    <row r="85" spans="1:11" ht="13.5" customHeight="1" outlineLevel="1" x14ac:dyDescent="0.25">
      <c r="A85" s="107"/>
      <c r="B85" s="107"/>
      <c r="C85" s="107"/>
      <c r="D85">
        <v>2025</v>
      </c>
      <c r="E85">
        <f t="shared" si="17"/>
        <v>0</v>
      </c>
      <c r="F85">
        <v>0</v>
      </c>
      <c r="G85">
        <v>0</v>
      </c>
      <c r="H85">
        <v>0</v>
      </c>
      <c r="I85">
        <v>0</v>
      </c>
      <c r="J85" s="107"/>
      <c r="K85" s="107"/>
    </row>
    <row r="86" spans="1:11" ht="15" customHeight="1" outlineLevel="1" x14ac:dyDescent="0.25">
      <c r="A86" s="107" t="s">
        <v>39</v>
      </c>
      <c r="B86" s="107" t="s">
        <v>40</v>
      </c>
      <c r="C86" s="107" t="s">
        <v>41</v>
      </c>
      <c r="D86" t="s">
        <v>8</v>
      </c>
      <c r="E86">
        <f t="shared" si="17"/>
        <v>43149.664649999999</v>
      </c>
      <c r="F86">
        <f>SUM(F87:F91)</f>
        <v>18245.56465</v>
      </c>
      <c r="G86">
        <f>SUM(G87:G91)</f>
        <v>24904.1</v>
      </c>
      <c r="H86">
        <f>SUM(H87:H91)</f>
        <v>0</v>
      </c>
      <c r="I86">
        <f>SUM(I87:I91)</f>
        <v>0</v>
      </c>
      <c r="J86" s="107" t="s">
        <v>509</v>
      </c>
      <c r="K86" s="107" t="s">
        <v>510</v>
      </c>
    </row>
    <row r="87" spans="1:11" outlineLevel="1" x14ac:dyDescent="0.25">
      <c r="A87" s="107"/>
      <c r="B87" s="107"/>
      <c r="C87" s="107"/>
      <c r="D87">
        <v>2021</v>
      </c>
      <c r="E87">
        <f t="shared" si="17"/>
        <v>28256.413610000003</v>
      </c>
      <c r="F87">
        <f>F104+F116+F93+F110</f>
        <v>6989.01361</v>
      </c>
      <c r="G87">
        <f t="shared" ref="F87:I91" si="18">G104+G116+G93+G110</f>
        <v>21267.4</v>
      </c>
      <c r="H87">
        <f t="shared" si="18"/>
        <v>0</v>
      </c>
      <c r="I87">
        <f t="shared" si="18"/>
        <v>0</v>
      </c>
      <c r="J87" s="107"/>
      <c r="K87" s="107"/>
    </row>
    <row r="88" spans="1:11" outlineLevel="1" x14ac:dyDescent="0.25">
      <c r="A88" s="107"/>
      <c r="B88" s="107"/>
      <c r="C88" s="107"/>
      <c r="D88">
        <v>2022</v>
      </c>
      <c r="E88">
        <f t="shared" si="17"/>
        <v>5570.2489399999995</v>
      </c>
      <c r="F88">
        <f t="shared" si="18"/>
        <v>3752.14894</v>
      </c>
      <c r="G88">
        <f t="shared" si="18"/>
        <v>1818.1</v>
      </c>
      <c r="H88">
        <f t="shared" si="18"/>
        <v>0</v>
      </c>
      <c r="I88">
        <f t="shared" si="18"/>
        <v>0</v>
      </c>
      <c r="J88" s="107"/>
      <c r="K88" s="107"/>
    </row>
    <row r="89" spans="1:11" outlineLevel="1" x14ac:dyDescent="0.25">
      <c r="A89" s="107"/>
      <c r="B89" s="107"/>
      <c r="C89" s="107"/>
      <c r="D89">
        <v>2023</v>
      </c>
      <c r="E89">
        <f t="shared" si="17"/>
        <v>5570.80105</v>
      </c>
      <c r="F89">
        <f t="shared" si="18"/>
        <v>3752.2010500000001</v>
      </c>
      <c r="G89">
        <f t="shared" si="18"/>
        <v>1818.6</v>
      </c>
      <c r="H89">
        <f t="shared" si="18"/>
        <v>0</v>
      </c>
      <c r="I89">
        <f t="shared" si="18"/>
        <v>0</v>
      </c>
      <c r="J89" s="107"/>
      <c r="K89" s="107"/>
    </row>
    <row r="90" spans="1:11" outlineLevel="1" x14ac:dyDescent="0.25">
      <c r="A90" s="107"/>
      <c r="B90" s="107"/>
      <c r="C90" s="107"/>
      <c r="D90">
        <v>2024</v>
      </c>
      <c r="E90">
        <f t="shared" si="17"/>
        <v>3752.2010500000001</v>
      </c>
      <c r="F90">
        <f t="shared" si="18"/>
        <v>3752.2010500000001</v>
      </c>
      <c r="G90">
        <f t="shared" si="18"/>
        <v>0</v>
      </c>
      <c r="H90">
        <f t="shared" si="18"/>
        <v>0</v>
      </c>
      <c r="I90">
        <f t="shared" si="18"/>
        <v>0</v>
      </c>
      <c r="J90" s="107"/>
      <c r="K90" s="107"/>
    </row>
    <row r="91" spans="1:11" outlineLevel="1" x14ac:dyDescent="0.25">
      <c r="A91" s="107"/>
      <c r="B91" s="107"/>
      <c r="C91" s="107"/>
      <c r="D91">
        <v>2025</v>
      </c>
      <c r="E91">
        <f t="shared" si="17"/>
        <v>0</v>
      </c>
      <c r="F91">
        <f t="shared" si="18"/>
        <v>0</v>
      </c>
      <c r="G91">
        <f t="shared" si="18"/>
        <v>0</v>
      </c>
      <c r="H91">
        <f t="shared" si="18"/>
        <v>0</v>
      </c>
      <c r="I91">
        <f t="shared" si="18"/>
        <v>0</v>
      </c>
      <c r="J91" s="107"/>
      <c r="K91" s="107"/>
    </row>
    <row r="92" spans="1:11" outlineLevel="1" x14ac:dyDescent="0.25">
      <c r="A92" s="107" t="s">
        <v>44</v>
      </c>
      <c r="B92" s="107" t="s">
        <v>45</v>
      </c>
      <c r="C92" s="107" t="s">
        <v>41</v>
      </c>
      <c r="D92" t="s">
        <v>8</v>
      </c>
      <c r="E92">
        <f t="shared" si="17"/>
        <v>5333.2085100000004</v>
      </c>
      <c r="F92">
        <f>SUM(F93:F97)</f>
        <v>429.10850999999997</v>
      </c>
      <c r="G92">
        <f>SUM(G93:G97)</f>
        <v>4904.1000000000004</v>
      </c>
      <c r="H92">
        <f>SUM(H93:H97)</f>
        <v>0</v>
      </c>
      <c r="I92">
        <f>SUM(I93:I97)</f>
        <v>0</v>
      </c>
      <c r="J92" s="107" t="s">
        <v>511</v>
      </c>
      <c r="K92" s="107" t="s">
        <v>512</v>
      </c>
    </row>
    <row r="93" spans="1:11" outlineLevel="1" x14ac:dyDescent="0.25">
      <c r="A93" s="107"/>
      <c r="B93" s="107"/>
      <c r="C93" s="107"/>
      <c r="D93">
        <v>2021</v>
      </c>
      <c r="E93">
        <f t="shared" si="17"/>
        <v>1348.2978700000001</v>
      </c>
      <c r="F93">
        <v>80.897869999999998</v>
      </c>
      <c r="G93">
        <v>1267.4000000000001</v>
      </c>
      <c r="H93">
        <v>0</v>
      </c>
      <c r="I93">
        <v>0</v>
      </c>
      <c r="J93" s="107"/>
      <c r="K93" s="107"/>
    </row>
    <row r="94" spans="1:11" outlineLevel="1" x14ac:dyDescent="0.25">
      <c r="A94" s="107"/>
      <c r="B94" s="107"/>
      <c r="C94" s="107"/>
      <c r="D94">
        <v>2022</v>
      </c>
      <c r="E94">
        <f t="shared" si="17"/>
        <v>1934.1489399999998</v>
      </c>
      <c r="F94">
        <v>116.04894</v>
      </c>
      <c r="G94">
        <v>1818.1</v>
      </c>
      <c r="H94">
        <v>0</v>
      </c>
      <c r="I94">
        <v>0</v>
      </c>
      <c r="J94" s="107"/>
      <c r="K94" s="107"/>
    </row>
    <row r="95" spans="1:11" outlineLevel="1" x14ac:dyDescent="0.25">
      <c r="A95" s="107"/>
      <c r="B95" s="107"/>
      <c r="C95" s="107"/>
      <c r="D95">
        <v>2023</v>
      </c>
      <c r="E95">
        <f t="shared" si="17"/>
        <v>1934.68085</v>
      </c>
      <c r="F95">
        <v>116.08085</v>
      </c>
      <c r="G95">
        <v>1818.6</v>
      </c>
      <c r="H95">
        <v>0</v>
      </c>
      <c r="I95">
        <v>0</v>
      </c>
      <c r="J95" s="107"/>
      <c r="K95" s="107"/>
    </row>
    <row r="96" spans="1:11" outlineLevel="1" x14ac:dyDescent="0.25">
      <c r="A96" s="107"/>
      <c r="B96" s="107"/>
      <c r="C96" s="107"/>
      <c r="D96">
        <v>2024</v>
      </c>
      <c r="E96">
        <f t="shared" si="17"/>
        <v>116.08085</v>
      </c>
      <c r="F96">
        <v>116.08085</v>
      </c>
      <c r="G96">
        <v>0</v>
      </c>
      <c r="H96">
        <v>0</v>
      </c>
      <c r="I96">
        <v>0</v>
      </c>
      <c r="J96" s="107"/>
      <c r="K96" s="107"/>
    </row>
    <row r="97" spans="1:14" outlineLevel="1" x14ac:dyDescent="0.25">
      <c r="A97" s="107"/>
      <c r="B97" s="107"/>
      <c r="C97" s="107"/>
      <c r="D97">
        <v>2025</v>
      </c>
      <c r="E97">
        <f t="shared" si="17"/>
        <v>0</v>
      </c>
      <c r="F97">
        <v>0</v>
      </c>
      <c r="G97">
        <v>0</v>
      </c>
      <c r="H97">
        <v>0</v>
      </c>
      <c r="I97">
        <v>0</v>
      </c>
      <c r="J97" s="107"/>
      <c r="K97" s="107"/>
    </row>
    <row r="98" spans="1:14" outlineLevel="1" x14ac:dyDescent="0.25"/>
    <row r="99" spans="1:14" outlineLevel="1" x14ac:dyDescent="0.25"/>
    <row r="100" spans="1:14" outlineLevel="1" x14ac:dyDescent="0.25"/>
    <row r="101" spans="1:14" outlineLevel="1" x14ac:dyDescent="0.25"/>
    <row r="102" spans="1:14" outlineLevel="1" x14ac:dyDescent="0.25"/>
    <row r="103" spans="1:14" ht="15" customHeight="1" outlineLevel="1" x14ac:dyDescent="0.25">
      <c r="A103" s="107" t="s">
        <v>48</v>
      </c>
      <c r="B103" s="107" t="s">
        <v>513</v>
      </c>
      <c r="C103" s="107" t="s">
        <v>41</v>
      </c>
      <c r="D103" t="s">
        <v>8</v>
      </c>
      <c r="E103">
        <f t="shared" ref="E103:E166" si="19">SUM(F103:I103)</f>
        <v>6539.8604000000005</v>
      </c>
      <c r="F103">
        <f>SUM(F104:F108)</f>
        <v>6539.8604000000005</v>
      </c>
      <c r="G103">
        <f>SUM(G104:G108)</f>
        <v>0</v>
      </c>
      <c r="H103">
        <f>SUM(H104:H108)</f>
        <v>0</v>
      </c>
      <c r="I103">
        <f>SUM(I104:I108)</f>
        <v>0</v>
      </c>
      <c r="J103" s="107" t="s">
        <v>50</v>
      </c>
      <c r="K103" s="107" t="s">
        <v>484</v>
      </c>
      <c r="L103" s="107"/>
      <c r="M103" s="107"/>
      <c r="N103" s="107"/>
    </row>
    <row r="104" spans="1:14" outlineLevel="1" x14ac:dyDescent="0.25">
      <c r="A104" s="107"/>
      <c r="B104" s="107"/>
      <c r="C104" s="107"/>
      <c r="D104">
        <v>2021</v>
      </c>
      <c r="E104">
        <f t="shared" si="19"/>
        <v>1631.52</v>
      </c>
      <c r="F104">
        <v>1631.52</v>
      </c>
      <c r="G104">
        <v>0</v>
      </c>
      <c r="H104">
        <v>0</v>
      </c>
      <c r="I104">
        <v>0</v>
      </c>
      <c r="J104" s="107"/>
      <c r="K104" s="107"/>
      <c r="L104" s="107"/>
      <c r="M104" s="107"/>
      <c r="N104" s="107"/>
    </row>
    <row r="105" spans="1:14" outlineLevel="1" x14ac:dyDescent="0.25">
      <c r="A105" s="107"/>
      <c r="B105" s="107"/>
      <c r="C105" s="107"/>
      <c r="D105">
        <v>2022</v>
      </c>
      <c r="E105">
        <f t="shared" si="19"/>
        <v>1636.1</v>
      </c>
      <c r="F105">
        <v>1636.1</v>
      </c>
      <c r="G105">
        <v>0</v>
      </c>
      <c r="H105">
        <v>0</v>
      </c>
      <c r="I105">
        <v>0</v>
      </c>
      <c r="J105" s="107"/>
      <c r="K105" s="107"/>
      <c r="L105" s="107"/>
      <c r="M105" s="107"/>
      <c r="N105" s="107"/>
    </row>
    <row r="106" spans="1:14" outlineLevel="1" x14ac:dyDescent="0.25">
      <c r="A106" s="107"/>
      <c r="B106" s="107"/>
      <c r="C106" s="107"/>
      <c r="D106">
        <v>2023</v>
      </c>
      <c r="E106">
        <f t="shared" si="19"/>
        <v>1636.1202000000001</v>
      </c>
      <c r="F106">
        <v>1636.1202000000001</v>
      </c>
      <c r="G106">
        <v>0</v>
      </c>
      <c r="H106">
        <v>0</v>
      </c>
      <c r="I106">
        <v>0</v>
      </c>
      <c r="J106" s="107"/>
      <c r="K106" s="107"/>
      <c r="L106" s="107"/>
      <c r="M106" s="107"/>
      <c r="N106" s="107"/>
    </row>
    <row r="107" spans="1:14" outlineLevel="1" x14ac:dyDescent="0.25">
      <c r="A107" s="107"/>
      <c r="B107" s="107"/>
      <c r="C107" s="107"/>
      <c r="D107">
        <v>2024</v>
      </c>
      <c r="E107">
        <f t="shared" si="19"/>
        <v>1636.1202000000001</v>
      </c>
      <c r="F107">
        <v>1636.1202000000001</v>
      </c>
      <c r="G107">
        <v>0</v>
      </c>
      <c r="H107">
        <v>0</v>
      </c>
      <c r="I107">
        <v>0</v>
      </c>
      <c r="J107" s="107"/>
      <c r="K107" s="107"/>
      <c r="L107" s="107"/>
      <c r="M107" s="107"/>
      <c r="N107" s="107"/>
    </row>
    <row r="108" spans="1:14" outlineLevel="1" x14ac:dyDescent="0.25">
      <c r="A108" s="107"/>
      <c r="B108" s="107"/>
      <c r="C108" s="107"/>
      <c r="D108">
        <v>2025</v>
      </c>
      <c r="E108">
        <f t="shared" si="19"/>
        <v>0</v>
      </c>
      <c r="F108">
        <v>0</v>
      </c>
      <c r="G108">
        <v>0</v>
      </c>
      <c r="H108">
        <v>0</v>
      </c>
      <c r="I108">
        <v>0</v>
      </c>
      <c r="J108" s="107"/>
      <c r="K108" s="107"/>
      <c r="L108" s="107"/>
      <c r="M108" s="107"/>
      <c r="N108" s="107"/>
    </row>
    <row r="109" spans="1:14" ht="18" customHeight="1" outlineLevel="1" x14ac:dyDescent="0.25">
      <c r="A109" s="107" t="s">
        <v>51</v>
      </c>
      <c r="B109" s="107" t="s">
        <v>52</v>
      </c>
      <c r="C109" s="107" t="s">
        <v>41</v>
      </c>
      <c r="D109" t="s">
        <v>8</v>
      </c>
      <c r="E109">
        <f t="shared" si="19"/>
        <v>10000</v>
      </c>
      <c r="F109">
        <f>SUM(F110:F114)</f>
        <v>10000</v>
      </c>
      <c r="G109">
        <f>SUM(G110:G114)</f>
        <v>0</v>
      </c>
      <c r="H109">
        <f>SUM(H110:H114)</f>
        <v>0</v>
      </c>
      <c r="I109">
        <f>SUM(I110:I114)</f>
        <v>0</v>
      </c>
      <c r="J109" s="107" t="s">
        <v>514</v>
      </c>
      <c r="K109" s="107" t="s">
        <v>515</v>
      </c>
    </row>
    <row r="110" spans="1:14" ht="18" customHeight="1" outlineLevel="1" x14ac:dyDescent="0.25">
      <c r="A110" s="107"/>
      <c r="B110" s="107"/>
      <c r="C110" s="107"/>
      <c r="D110">
        <v>2021</v>
      </c>
      <c r="E110">
        <f t="shared" si="19"/>
        <v>4000</v>
      </c>
      <c r="F110">
        <v>4000</v>
      </c>
      <c r="G110">
        <v>0</v>
      </c>
      <c r="H110">
        <v>0</v>
      </c>
      <c r="I110">
        <v>0</v>
      </c>
      <c r="J110" s="107"/>
      <c r="K110" s="107"/>
    </row>
    <row r="111" spans="1:14" ht="18" customHeight="1" outlineLevel="1" x14ac:dyDescent="0.25">
      <c r="A111" s="107"/>
      <c r="B111" s="107"/>
      <c r="C111" s="107"/>
      <c r="D111">
        <v>2022</v>
      </c>
      <c r="E111">
        <f t="shared" si="19"/>
        <v>2000</v>
      </c>
      <c r="F111">
        <v>2000</v>
      </c>
      <c r="G111">
        <v>0</v>
      </c>
      <c r="H111">
        <v>0</v>
      </c>
      <c r="I111">
        <v>0</v>
      </c>
      <c r="J111" s="107"/>
      <c r="K111" s="107"/>
    </row>
    <row r="112" spans="1:14" ht="18" customHeight="1" outlineLevel="1" x14ac:dyDescent="0.25">
      <c r="A112" s="107"/>
      <c r="B112" s="107"/>
      <c r="C112" s="107"/>
      <c r="D112">
        <v>2023</v>
      </c>
      <c r="E112">
        <f t="shared" si="19"/>
        <v>2000</v>
      </c>
      <c r="F112">
        <v>2000</v>
      </c>
      <c r="G112">
        <v>0</v>
      </c>
      <c r="H112">
        <v>0</v>
      </c>
      <c r="I112">
        <v>0</v>
      </c>
      <c r="J112" s="107"/>
      <c r="K112" s="107"/>
    </row>
    <row r="113" spans="1:14" ht="18" customHeight="1" outlineLevel="1" x14ac:dyDescent="0.25">
      <c r="A113" s="107"/>
      <c r="B113" s="107"/>
      <c r="C113" s="107"/>
      <c r="D113">
        <v>2024</v>
      </c>
      <c r="E113">
        <f t="shared" si="19"/>
        <v>2000</v>
      </c>
      <c r="F113">
        <v>2000</v>
      </c>
      <c r="G113">
        <v>0</v>
      </c>
      <c r="H113">
        <v>0</v>
      </c>
      <c r="I113">
        <v>0</v>
      </c>
      <c r="J113" s="107"/>
      <c r="K113" s="107"/>
    </row>
    <row r="114" spans="1:14" ht="18" customHeight="1" outlineLevel="1" x14ac:dyDescent="0.25">
      <c r="A114" s="107"/>
      <c r="B114" s="107"/>
      <c r="C114" s="107"/>
      <c r="D114">
        <v>2025</v>
      </c>
      <c r="E114">
        <f t="shared" si="19"/>
        <v>0</v>
      </c>
      <c r="F114">
        <v>0</v>
      </c>
      <c r="G114">
        <v>0</v>
      </c>
      <c r="H114">
        <v>0</v>
      </c>
      <c r="I114">
        <v>0</v>
      </c>
      <c r="J114" s="107"/>
      <c r="K114" s="107"/>
    </row>
    <row r="115" spans="1:14" ht="13.5" customHeight="1" outlineLevel="1" x14ac:dyDescent="0.25">
      <c r="A115" s="107" t="s">
        <v>516</v>
      </c>
      <c r="B115" s="107" t="s">
        <v>45</v>
      </c>
      <c r="C115" s="107" t="s">
        <v>41</v>
      </c>
      <c r="D115" t="s">
        <v>8</v>
      </c>
      <c r="E115">
        <f t="shared" si="19"/>
        <v>21276.595740000001</v>
      </c>
      <c r="F115">
        <f>SUM(F116:F120)</f>
        <v>1276.59574</v>
      </c>
      <c r="G115">
        <f>SUM(G116:G120)</f>
        <v>20000</v>
      </c>
      <c r="H115">
        <f>SUM(H116:H120)</f>
        <v>0</v>
      </c>
      <c r="I115">
        <f>SUM(I116:I120)</f>
        <v>0</v>
      </c>
      <c r="J115" s="107" t="s">
        <v>517</v>
      </c>
      <c r="K115" s="107" t="s">
        <v>515</v>
      </c>
    </row>
    <row r="116" spans="1:14" ht="13.5" customHeight="1" outlineLevel="1" x14ac:dyDescent="0.25">
      <c r="A116" s="107"/>
      <c r="B116" s="107"/>
      <c r="C116" s="107"/>
      <c r="D116">
        <v>2021</v>
      </c>
      <c r="E116">
        <f t="shared" si="19"/>
        <v>21276.595740000001</v>
      </c>
      <c r="F116">
        <v>1276.59574</v>
      </c>
      <c r="G116">
        <v>20000</v>
      </c>
      <c r="H116">
        <v>0</v>
      </c>
      <c r="I116">
        <v>0</v>
      </c>
      <c r="J116" s="107"/>
      <c r="K116" s="107"/>
    </row>
    <row r="117" spans="1:14" ht="13.5" customHeight="1" outlineLevel="1" x14ac:dyDescent="0.25">
      <c r="A117" s="107"/>
      <c r="B117" s="107"/>
      <c r="C117" s="107"/>
      <c r="D117">
        <v>2022</v>
      </c>
      <c r="E117">
        <v>0</v>
      </c>
      <c r="F117">
        <v>0</v>
      </c>
      <c r="G117">
        <v>0</v>
      </c>
      <c r="H117">
        <v>0</v>
      </c>
      <c r="I117">
        <v>0</v>
      </c>
      <c r="J117" s="107"/>
      <c r="K117" s="107"/>
    </row>
    <row r="118" spans="1:14" ht="13.5" customHeight="1" outlineLevel="1" x14ac:dyDescent="0.25">
      <c r="A118" s="107"/>
      <c r="B118" s="107"/>
      <c r="C118" s="107"/>
      <c r="D118">
        <v>2023</v>
      </c>
      <c r="E118">
        <v>0</v>
      </c>
      <c r="F118">
        <v>0</v>
      </c>
      <c r="G118">
        <v>0</v>
      </c>
      <c r="H118">
        <v>0</v>
      </c>
      <c r="I118">
        <v>0</v>
      </c>
      <c r="J118" s="107"/>
      <c r="K118" s="107"/>
    </row>
    <row r="119" spans="1:14" ht="13.5" customHeight="1" outlineLevel="1" x14ac:dyDescent="0.25">
      <c r="A119" s="107"/>
      <c r="B119" s="107"/>
      <c r="C119" s="107"/>
      <c r="D119">
        <v>2024</v>
      </c>
      <c r="E119">
        <v>0</v>
      </c>
      <c r="F119">
        <v>0</v>
      </c>
      <c r="G119">
        <v>0</v>
      </c>
      <c r="H119">
        <v>0</v>
      </c>
      <c r="I119">
        <v>0</v>
      </c>
      <c r="J119" s="107"/>
      <c r="K119" s="107"/>
    </row>
    <row r="120" spans="1:14" ht="13.5" customHeight="1" outlineLevel="1" x14ac:dyDescent="0.25">
      <c r="A120" s="107"/>
      <c r="B120" s="107"/>
      <c r="C120" s="107"/>
      <c r="D120">
        <v>2025</v>
      </c>
      <c r="E120">
        <f t="shared" si="19"/>
        <v>0</v>
      </c>
      <c r="F120">
        <v>0</v>
      </c>
      <c r="G120">
        <v>0</v>
      </c>
      <c r="H120">
        <v>0</v>
      </c>
      <c r="I120">
        <v>0</v>
      </c>
      <c r="J120" s="107"/>
      <c r="K120" s="107"/>
    </row>
    <row r="121" spans="1:14" ht="15" customHeight="1" x14ac:dyDescent="0.25">
      <c r="A121" s="107" t="s">
        <v>54</v>
      </c>
      <c r="B121" s="107" t="s">
        <v>55</v>
      </c>
      <c r="C121" s="107" t="s">
        <v>14</v>
      </c>
      <c r="D121" t="s">
        <v>8</v>
      </c>
      <c r="E121">
        <f t="shared" si="19"/>
        <v>3810972.2388499998</v>
      </c>
      <c r="F121">
        <f>SUM(F122:F126)</f>
        <v>3732319.5386399999</v>
      </c>
      <c r="G121">
        <f>SUM(G122:G126)</f>
        <v>65335</v>
      </c>
      <c r="H121">
        <f>SUM(H122:H126)</f>
        <v>13317.700210000001</v>
      </c>
      <c r="I121">
        <f>SUM(I122:I126)</f>
        <v>0</v>
      </c>
      <c r="J121" s="107"/>
      <c r="K121" s="107" t="s">
        <v>510</v>
      </c>
      <c r="L121" s="107"/>
      <c r="M121" s="107"/>
      <c r="N121" s="107"/>
    </row>
    <row r="122" spans="1:14" x14ac:dyDescent="0.25">
      <c r="A122" s="107"/>
      <c r="B122" s="107"/>
      <c r="C122" s="107"/>
      <c r="D122">
        <v>2021</v>
      </c>
      <c r="E122">
        <f t="shared" si="19"/>
        <v>900957.62559000007</v>
      </c>
      <c r="F122">
        <f t="shared" ref="F122:I126" si="20">F128+F188+F206</f>
        <v>857093.92538000003</v>
      </c>
      <c r="G122">
        <f t="shared" si="20"/>
        <v>30546</v>
      </c>
      <c r="H122">
        <f t="shared" si="20"/>
        <v>13317.700210000001</v>
      </c>
      <c r="I122">
        <f t="shared" si="20"/>
        <v>0</v>
      </c>
      <c r="J122" s="107"/>
      <c r="K122" s="107"/>
      <c r="L122" s="107"/>
      <c r="M122" s="107"/>
      <c r="N122" s="107"/>
    </row>
    <row r="123" spans="1:14" x14ac:dyDescent="0.25">
      <c r="A123" s="107"/>
      <c r="B123" s="107"/>
      <c r="C123" s="107"/>
      <c r="D123">
        <v>2022</v>
      </c>
      <c r="E123">
        <f t="shared" si="19"/>
        <v>677144.84193</v>
      </c>
      <c r="F123">
        <f t="shared" si="20"/>
        <v>660155.44192999997</v>
      </c>
      <c r="G123">
        <f t="shared" si="20"/>
        <v>16989.400000000001</v>
      </c>
      <c r="H123">
        <f t="shared" si="20"/>
        <v>0</v>
      </c>
      <c r="I123">
        <f t="shared" si="20"/>
        <v>0</v>
      </c>
      <c r="J123" s="107"/>
      <c r="K123" s="107"/>
      <c r="L123" s="107"/>
      <c r="M123" s="107"/>
      <c r="N123" s="107"/>
    </row>
    <row r="124" spans="1:14" x14ac:dyDescent="0.25">
      <c r="A124" s="107"/>
      <c r="B124" s="107"/>
      <c r="C124" s="107"/>
      <c r="D124">
        <v>2023</v>
      </c>
      <c r="E124">
        <f t="shared" si="19"/>
        <v>757119.03292999999</v>
      </c>
      <c r="F124">
        <f t="shared" si="20"/>
        <v>739319.43293000001</v>
      </c>
      <c r="G124">
        <f t="shared" si="20"/>
        <v>17799.599999999999</v>
      </c>
      <c r="H124">
        <f t="shared" si="20"/>
        <v>0</v>
      </c>
      <c r="I124">
        <f t="shared" si="20"/>
        <v>0</v>
      </c>
      <c r="J124" s="107"/>
      <c r="K124" s="107"/>
      <c r="L124" s="107"/>
      <c r="M124" s="107"/>
      <c r="N124" s="107"/>
    </row>
    <row r="125" spans="1:14" x14ac:dyDescent="0.25">
      <c r="A125" s="107"/>
      <c r="B125" s="107"/>
      <c r="C125" s="107"/>
      <c r="D125">
        <v>2024</v>
      </c>
      <c r="E125">
        <f t="shared" si="19"/>
        <v>739221.28540000005</v>
      </c>
      <c r="F125">
        <f t="shared" si="20"/>
        <v>739221.28540000005</v>
      </c>
      <c r="G125">
        <f t="shared" si="20"/>
        <v>0</v>
      </c>
      <c r="H125">
        <f t="shared" si="20"/>
        <v>0</v>
      </c>
      <c r="I125">
        <f t="shared" si="20"/>
        <v>0</v>
      </c>
      <c r="J125" s="107"/>
      <c r="K125" s="107"/>
      <c r="L125" s="107"/>
      <c r="M125" s="107"/>
      <c r="N125" s="107"/>
    </row>
    <row r="126" spans="1:14" x14ac:dyDescent="0.25">
      <c r="A126" s="107"/>
      <c r="B126" s="107"/>
      <c r="C126" s="107"/>
      <c r="D126">
        <v>2025</v>
      </c>
      <c r="E126">
        <f t="shared" si="19"/>
        <v>736529.45299999998</v>
      </c>
      <c r="F126">
        <f t="shared" si="20"/>
        <v>736529.45299999998</v>
      </c>
      <c r="G126">
        <f t="shared" si="20"/>
        <v>0</v>
      </c>
      <c r="H126">
        <f t="shared" si="20"/>
        <v>0</v>
      </c>
      <c r="I126">
        <f>I132+I192+I210</f>
        <v>0</v>
      </c>
      <c r="J126" s="107"/>
      <c r="K126" s="107"/>
      <c r="L126" s="107"/>
      <c r="M126" s="107"/>
      <c r="N126" s="107"/>
    </row>
    <row r="127" spans="1:14" ht="13.5" customHeight="1" outlineLevel="1" x14ac:dyDescent="0.25">
      <c r="A127" s="107" t="s">
        <v>56</v>
      </c>
      <c r="B127" s="107" t="s">
        <v>518</v>
      </c>
      <c r="C127" s="107" t="s">
        <v>14</v>
      </c>
      <c r="D127" t="s">
        <v>8</v>
      </c>
      <c r="E127">
        <f t="shared" si="19"/>
        <v>3679188.1416999996</v>
      </c>
      <c r="F127">
        <f>SUM(F128:F132)</f>
        <v>3679188.1416999996</v>
      </c>
      <c r="G127">
        <f>SUM(G128:G132)</f>
        <v>0</v>
      </c>
      <c r="H127">
        <f>SUM(H128:H132)</f>
        <v>0</v>
      </c>
      <c r="I127">
        <f>SUM(I128:I132)</f>
        <v>0</v>
      </c>
      <c r="J127" s="107" t="s">
        <v>519</v>
      </c>
      <c r="K127" s="107" t="s">
        <v>486</v>
      </c>
      <c r="L127" s="107"/>
      <c r="M127" s="107"/>
      <c r="N127" s="107"/>
    </row>
    <row r="128" spans="1:14" ht="13.5" customHeight="1" outlineLevel="1" x14ac:dyDescent="0.25">
      <c r="A128" s="107"/>
      <c r="B128" s="107"/>
      <c r="C128" s="107"/>
      <c r="D128">
        <v>2021</v>
      </c>
      <c r="E128">
        <f t="shared" si="19"/>
        <v>812182.60270000005</v>
      </c>
      <c r="F128">
        <f>F134+F140+F146+F152+F158+F164++F170+F176+F182</f>
        <v>812182.60270000005</v>
      </c>
      <c r="G128">
        <f t="shared" ref="F128:I132" si="21">G134+G140+G146+G152+G158+G164++G170+G176+G182</f>
        <v>0</v>
      </c>
      <c r="H128">
        <f t="shared" si="21"/>
        <v>0</v>
      </c>
      <c r="I128">
        <f t="shared" si="21"/>
        <v>0</v>
      </c>
      <c r="J128" s="107"/>
      <c r="K128" s="107"/>
      <c r="L128" s="107"/>
      <c r="M128" s="107"/>
      <c r="N128" s="107"/>
    </row>
    <row r="129" spans="1:14" ht="13.5" customHeight="1" outlineLevel="1" x14ac:dyDescent="0.25">
      <c r="A129" s="107"/>
      <c r="B129" s="107"/>
      <c r="C129" s="107"/>
      <c r="D129">
        <v>2022</v>
      </c>
      <c r="E129">
        <f t="shared" si="19"/>
        <v>657417.17700000003</v>
      </c>
      <c r="F129">
        <f t="shared" si="21"/>
        <v>657417.17700000003</v>
      </c>
      <c r="G129">
        <f t="shared" si="21"/>
        <v>0</v>
      </c>
      <c r="H129">
        <f t="shared" si="21"/>
        <v>0</v>
      </c>
      <c r="I129">
        <f t="shared" si="21"/>
        <v>0</v>
      </c>
      <c r="J129" s="107"/>
      <c r="K129" s="107"/>
      <c r="L129" s="107"/>
      <c r="M129" s="107"/>
      <c r="N129" s="107"/>
    </row>
    <row r="130" spans="1:14" ht="13.5" customHeight="1" outlineLevel="1" x14ac:dyDescent="0.25">
      <c r="A130" s="107"/>
      <c r="B130" s="107"/>
      <c r="C130" s="107"/>
      <c r="D130">
        <v>2023</v>
      </c>
      <c r="E130">
        <f t="shared" si="19"/>
        <v>736529.45299999998</v>
      </c>
      <c r="F130">
        <f t="shared" si="21"/>
        <v>736529.45299999998</v>
      </c>
      <c r="G130">
        <f t="shared" si="21"/>
        <v>0</v>
      </c>
      <c r="H130">
        <f t="shared" si="21"/>
        <v>0</v>
      </c>
      <c r="I130">
        <f t="shared" si="21"/>
        <v>0</v>
      </c>
      <c r="J130" s="107"/>
      <c r="K130" s="107"/>
      <c r="L130" s="107"/>
      <c r="M130" s="107"/>
      <c r="N130" s="107"/>
    </row>
    <row r="131" spans="1:14" ht="13.5" customHeight="1" outlineLevel="1" x14ac:dyDescent="0.25">
      <c r="A131" s="107"/>
      <c r="B131" s="107"/>
      <c r="C131" s="107"/>
      <c r="D131">
        <v>2024</v>
      </c>
      <c r="E131">
        <f t="shared" si="19"/>
        <v>736529.45600000001</v>
      </c>
      <c r="F131">
        <f t="shared" si="21"/>
        <v>736529.45600000001</v>
      </c>
      <c r="G131">
        <f t="shared" si="21"/>
        <v>0</v>
      </c>
      <c r="H131">
        <f t="shared" si="21"/>
        <v>0</v>
      </c>
      <c r="I131">
        <f t="shared" si="21"/>
        <v>0</v>
      </c>
      <c r="J131" s="107"/>
      <c r="K131" s="107"/>
      <c r="L131" s="107"/>
      <c r="M131" s="107"/>
      <c r="N131" s="107"/>
    </row>
    <row r="132" spans="1:14" ht="13.5" customHeight="1" outlineLevel="1" x14ac:dyDescent="0.25">
      <c r="A132" s="107"/>
      <c r="B132" s="107"/>
      <c r="C132" s="107"/>
      <c r="D132">
        <v>2025</v>
      </c>
      <c r="E132">
        <f t="shared" si="19"/>
        <v>736529.45299999998</v>
      </c>
      <c r="F132">
        <f t="shared" si="21"/>
        <v>736529.45299999998</v>
      </c>
      <c r="G132">
        <f t="shared" si="21"/>
        <v>0</v>
      </c>
      <c r="H132">
        <f t="shared" si="21"/>
        <v>0</v>
      </c>
      <c r="I132">
        <f>I138+I144+I150+I156+I162+I168++I174+I180+I186</f>
        <v>0</v>
      </c>
      <c r="J132" s="107"/>
      <c r="K132" s="107"/>
      <c r="L132" s="107"/>
      <c r="M132" s="107"/>
      <c r="N132" s="107"/>
    </row>
    <row r="133" spans="1:14" ht="13.5" customHeight="1" outlineLevel="1" x14ac:dyDescent="0.25">
      <c r="A133" s="107" t="s">
        <v>60</v>
      </c>
      <c r="B133" s="107" t="s">
        <v>61</v>
      </c>
      <c r="C133" s="107" t="s">
        <v>14</v>
      </c>
      <c r="D133" t="s">
        <v>8</v>
      </c>
      <c r="E133">
        <f t="shared" si="19"/>
        <v>10533.2857</v>
      </c>
      <c r="F133">
        <f>SUM(F134:F138)</f>
        <v>10533.2857</v>
      </c>
      <c r="G133">
        <f>SUM(G134:G138)</f>
        <v>0</v>
      </c>
      <c r="H133">
        <f>SUM(H134:H138)</f>
        <v>0</v>
      </c>
      <c r="I133">
        <f>SUM(I134:I138)</f>
        <v>0</v>
      </c>
      <c r="J133" s="107" t="s">
        <v>62</v>
      </c>
      <c r="K133" s="107" t="s">
        <v>484</v>
      </c>
      <c r="L133" s="107"/>
      <c r="M133" s="107"/>
      <c r="N133" s="107"/>
    </row>
    <row r="134" spans="1:14" ht="13.5" customHeight="1" outlineLevel="1" x14ac:dyDescent="0.25">
      <c r="A134" s="107"/>
      <c r="B134" s="107"/>
      <c r="C134" s="107"/>
      <c r="D134">
        <v>2021</v>
      </c>
      <c r="E134">
        <f t="shared" si="19"/>
        <v>2106.6577000000002</v>
      </c>
      <c r="F134">
        <f>2106.6577</f>
        <v>2106.6577000000002</v>
      </c>
      <c r="G134">
        <v>0</v>
      </c>
      <c r="H134">
        <v>0</v>
      </c>
      <c r="I134">
        <v>0</v>
      </c>
      <c r="J134" s="107"/>
      <c r="K134" s="107"/>
      <c r="L134" s="107"/>
      <c r="M134" s="107"/>
      <c r="N134" s="107"/>
    </row>
    <row r="135" spans="1:14" ht="13.5" customHeight="1" outlineLevel="1" x14ac:dyDescent="0.25">
      <c r="A135" s="107"/>
      <c r="B135" s="107"/>
      <c r="C135" s="107"/>
      <c r="D135">
        <v>2022</v>
      </c>
      <c r="E135">
        <f t="shared" si="19"/>
        <v>2106.6570000000002</v>
      </c>
      <c r="F135">
        <v>2106.6570000000002</v>
      </c>
      <c r="G135">
        <v>0</v>
      </c>
      <c r="H135">
        <v>0</v>
      </c>
      <c r="I135">
        <v>0</v>
      </c>
      <c r="J135" s="107"/>
      <c r="K135" s="107"/>
      <c r="L135" s="107"/>
      <c r="M135" s="107"/>
      <c r="N135" s="107"/>
    </row>
    <row r="136" spans="1:14" ht="13.5" customHeight="1" outlineLevel="1" x14ac:dyDescent="0.25">
      <c r="A136" s="107"/>
      <c r="B136" s="107"/>
      <c r="C136" s="107"/>
      <c r="D136">
        <v>2023</v>
      </c>
      <c r="E136">
        <f t="shared" si="19"/>
        <v>2106.6570000000002</v>
      </c>
      <c r="F136">
        <v>2106.6570000000002</v>
      </c>
      <c r="G136">
        <v>0</v>
      </c>
      <c r="H136">
        <v>0</v>
      </c>
      <c r="I136">
        <v>0</v>
      </c>
      <c r="J136" s="107"/>
      <c r="K136" s="107"/>
      <c r="L136" s="107"/>
      <c r="M136" s="107"/>
      <c r="N136" s="107"/>
    </row>
    <row r="137" spans="1:14" ht="13.5" customHeight="1" outlineLevel="1" x14ac:dyDescent="0.25">
      <c r="A137" s="107"/>
      <c r="B137" s="107"/>
      <c r="C137" s="107"/>
      <c r="D137">
        <v>2024</v>
      </c>
      <c r="E137">
        <f t="shared" si="19"/>
        <v>2106.6570000000002</v>
      </c>
      <c r="F137">
        <v>2106.6570000000002</v>
      </c>
      <c r="G137">
        <v>0</v>
      </c>
      <c r="H137">
        <v>0</v>
      </c>
      <c r="I137">
        <v>0</v>
      </c>
      <c r="J137" s="107"/>
      <c r="K137" s="107"/>
      <c r="L137" s="107"/>
      <c r="M137" s="107"/>
      <c r="N137" s="107"/>
    </row>
    <row r="138" spans="1:14" ht="13.5" customHeight="1" outlineLevel="1" x14ac:dyDescent="0.25">
      <c r="A138" s="107"/>
      <c r="B138" s="107"/>
      <c r="C138" s="107"/>
      <c r="D138">
        <v>2025</v>
      </c>
      <c r="E138">
        <f t="shared" si="19"/>
        <v>2106.6570000000002</v>
      </c>
      <c r="F138">
        <v>2106.6570000000002</v>
      </c>
      <c r="G138">
        <f>+G144+G150+G156+G180</f>
        <v>0</v>
      </c>
      <c r="H138">
        <v>0</v>
      </c>
      <c r="I138">
        <v>0</v>
      </c>
      <c r="J138" s="107"/>
      <c r="K138" s="107"/>
      <c r="L138" s="107"/>
      <c r="M138" s="107"/>
      <c r="N138" s="107"/>
    </row>
    <row r="139" spans="1:14" ht="13.5" customHeight="1" outlineLevel="1" x14ac:dyDescent="0.25">
      <c r="A139" s="107" t="s">
        <v>63</v>
      </c>
      <c r="B139" s="107" t="s">
        <v>520</v>
      </c>
      <c r="C139" s="107" t="s">
        <v>14</v>
      </c>
      <c r="D139" t="s">
        <v>8</v>
      </c>
      <c r="E139">
        <f t="shared" si="19"/>
        <v>4792</v>
      </c>
      <c r="F139">
        <f>SUM(F140:F144)</f>
        <v>4792</v>
      </c>
      <c r="G139">
        <f>SUM(G140:G144)</f>
        <v>0</v>
      </c>
      <c r="H139">
        <f>SUM(H140:H144)</f>
        <v>0</v>
      </c>
      <c r="I139">
        <f>SUM(I140:I144)</f>
        <v>0</v>
      </c>
      <c r="J139" s="107" t="s">
        <v>521</v>
      </c>
      <c r="K139" s="107" t="s">
        <v>484</v>
      </c>
    </row>
    <row r="140" spans="1:14" ht="13.5" customHeight="1" outlineLevel="1" x14ac:dyDescent="0.25">
      <c r="A140" s="107"/>
      <c r="B140" s="107"/>
      <c r="C140" s="107"/>
      <c r="D140">
        <v>2021</v>
      </c>
      <c r="E140">
        <f t="shared" si="19"/>
        <v>456</v>
      </c>
      <c r="F140">
        <v>456</v>
      </c>
      <c r="G140">
        <v>0</v>
      </c>
      <c r="H140">
        <v>0</v>
      </c>
      <c r="I140">
        <v>0</v>
      </c>
      <c r="J140" s="107"/>
      <c r="K140" s="107"/>
    </row>
    <row r="141" spans="1:14" ht="13.5" customHeight="1" outlineLevel="1" x14ac:dyDescent="0.25">
      <c r="A141" s="107"/>
      <c r="B141" s="107"/>
      <c r="C141" s="107"/>
      <c r="D141">
        <v>2022</v>
      </c>
      <c r="E141">
        <f t="shared" si="19"/>
        <v>1084</v>
      </c>
      <c r="F141">
        <v>1084</v>
      </c>
      <c r="G141">
        <v>0</v>
      </c>
      <c r="H141">
        <v>0</v>
      </c>
      <c r="I141">
        <v>0</v>
      </c>
      <c r="J141" s="107"/>
      <c r="K141" s="107"/>
    </row>
    <row r="142" spans="1:14" ht="13.5" customHeight="1" outlineLevel="1" x14ac:dyDescent="0.25">
      <c r="A142" s="107"/>
      <c r="B142" s="107"/>
      <c r="C142" s="107"/>
      <c r="D142">
        <v>2023</v>
      </c>
      <c r="E142">
        <f t="shared" si="19"/>
        <v>1084</v>
      </c>
      <c r="F142">
        <v>1084</v>
      </c>
      <c r="G142">
        <v>0</v>
      </c>
      <c r="H142">
        <v>0</v>
      </c>
      <c r="I142">
        <v>0</v>
      </c>
      <c r="J142" s="107"/>
      <c r="K142" s="107"/>
    </row>
    <row r="143" spans="1:14" ht="13.5" customHeight="1" outlineLevel="1" x14ac:dyDescent="0.25">
      <c r="A143" s="107"/>
      <c r="B143" s="107"/>
      <c r="C143" s="107"/>
      <c r="D143">
        <v>2024</v>
      </c>
      <c r="E143">
        <f t="shared" si="19"/>
        <v>1084</v>
      </c>
      <c r="F143">
        <v>1084</v>
      </c>
      <c r="G143">
        <v>0</v>
      </c>
      <c r="H143">
        <v>0</v>
      </c>
      <c r="I143">
        <v>0</v>
      </c>
      <c r="J143" s="107"/>
      <c r="K143" s="107"/>
    </row>
    <row r="144" spans="1:14" ht="13.5" customHeight="1" outlineLevel="1" x14ac:dyDescent="0.25">
      <c r="A144" s="107"/>
      <c r="B144" s="107"/>
      <c r="C144" s="107"/>
      <c r="D144">
        <v>2025</v>
      </c>
      <c r="E144">
        <f t="shared" si="19"/>
        <v>1084</v>
      </c>
      <c r="F144">
        <v>1084</v>
      </c>
      <c r="G144">
        <v>0</v>
      </c>
      <c r="H144">
        <v>0</v>
      </c>
      <c r="I144">
        <v>0</v>
      </c>
      <c r="J144" s="107"/>
      <c r="K144" s="107"/>
    </row>
    <row r="145" spans="1:11" ht="13.5" customHeight="1" outlineLevel="1" x14ac:dyDescent="0.25">
      <c r="A145" s="107" t="s">
        <v>66</v>
      </c>
      <c r="B145" s="107" t="s">
        <v>67</v>
      </c>
      <c r="C145" s="107" t="s">
        <v>14</v>
      </c>
      <c r="D145" t="s">
        <v>8</v>
      </c>
      <c r="E145">
        <f t="shared" si="19"/>
        <v>156.04999999999998</v>
      </c>
      <c r="F145">
        <f>SUM(F146:F150)</f>
        <v>156.04999999999998</v>
      </c>
      <c r="G145">
        <f>SUM(G146:G150)</f>
        <v>0</v>
      </c>
      <c r="H145">
        <f>SUM(H146:H150)</f>
        <v>0</v>
      </c>
      <c r="I145">
        <f>SUM(I146:I150)</f>
        <v>0</v>
      </c>
      <c r="J145" s="107" t="s">
        <v>522</v>
      </c>
      <c r="K145" s="107" t="s">
        <v>69</v>
      </c>
    </row>
    <row r="146" spans="1:11" ht="13.5" customHeight="1" outlineLevel="1" x14ac:dyDescent="0.25">
      <c r="A146" s="107"/>
      <c r="B146" s="107"/>
      <c r="C146" s="107"/>
      <c r="D146">
        <v>2021</v>
      </c>
      <c r="E146">
        <f t="shared" si="19"/>
        <v>27.77</v>
      </c>
      <c r="F146">
        <f>27770/1000</f>
        <v>27.77</v>
      </c>
      <c r="G146">
        <v>0</v>
      </c>
      <c r="H146">
        <v>0</v>
      </c>
      <c r="I146">
        <v>0</v>
      </c>
      <c r="J146" s="107"/>
      <c r="K146" s="107"/>
    </row>
    <row r="147" spans="1:11" ht="13.5" customHeight="1" outlineLevel="1" x14ac:dyDescent="0.25">
      <c r="A147" s="107"/>
      <c r="B147" s="107"/>
      <c r="C147" s="107"/>
      <c r="D147">
        <v>2022</v>
      </c>
      <c r="E147">
        <f t="shared" si="19"/>
        <v>32.07</v>
      </c>
      <c r="F147">
        <v>32.07</v>
      </c>
      <c r="G147">
        <v>0</v>
      </c>
      <c r="H147">
        <v>0</v>
      </c>
      <c r="I147">
        <v>0</v>
      </c>
      <c r="J147" s="107"/>
      <c r="K147" s="107"/>
    </row>
    <row r="148" spans="1:11" ht="13.5" customHeight="1" outlineLevel="1" x14ac:dyDescent="0.25">
      <c r="A148" s="107"/>
      <c r="B148" s="107"/>
      <c r="C148" s="107"/>
      <c r="D148">
        <v>2023</v>
      </c>
      <c r="E148">
        <f t="shared" si="19"/>
        <v>32.07</v>
      </c>
      <c r="F148">
        <v>32.07</v>
      </c>
      <c r="G148">
        <v>0</v>
      </c>
      <c r="H148">
        <v>0</v>
      </c>
      <c r="I148">
        <v>0</v>
      </c>
      <c r="J148" s="107"/>
      <c r="K148" s="107"/>
    </row>
    <row r="149" spans="1:11" ht="13.5" customHeight="1" outlineLevel="1" x14ac:dyDescent="0.25">
      <c r="A149" s="107"/>
      <c r="B149" s="107"/>
      <c r="C149" s="107"/>
      <c r="D149">
        <v>2024</v>
      </c>
      <c r="E149">
        <f t="shared" si="19"/>
        <v>32.07</v>
      </c>
      <c r="F149">
        <v>32.07</v>
      </c>
      <c r="G149">
        <v>0</v>
      </c>
      <c r="H149">
        <v>0</v>
      </c>
      <c r="I149">
        <v>0</v>
      </c>
      <c r="J149" s="107"/>
      <c r="K149" s="107"/>
    </row>
    <row r="150" spans="1:11" ht="13.5" customHeight="1" outlineLevel="1" x14ac:dyDescent="0.25">
      <c r="A150" s="107"/>
      <c r="B150" s="107"/>
      <c r="C150" s="107"/>
      <c r="D150">
        <v>2025</v>
      </c>
      <c r="E150">
        <f t="shared" si="19"/>
        <v>32.07</v>
      </c>
      <c r="F150">
        <v>32.07</v>
      </c>
      <c r="G150">
        <v>0</v>
      </c>
      <c r="H150">
        <v>0</v>
      </c>
      <c r="I150">
        <v>0</v>
      </c>
      <c r="J150" s="107"/>
      <c r="K150" s="107"/>
    </row>
    <row r="151" spans="1:11" ht="13.5" customHeight="1" outlineLevel="1" x14ac:dyDescent="0.25">
      <c r="A151" s="107" t="s">
        <v>70</v>
      </c>
      <c r="B151" s="107" t="s">
        <v>71</v>
      </c>
      <c r="C151" s="107" t="s">
        <v>14</v>
      </c>
      <c r="D151" t="s">
        <v>8</v>
      </c>
      <c r="E151">
        <f t="shared" si="19"/>
        <v>3593845.3790000002</v>
      </c>
      <c r="F151">
        <f>SUM(F152:F156)</f>
        <v>3593845.3790000002</v>
      </c>
      <c r="G151">
        <f>SUM(G152:G156)</f>
        <v>0</v>
      </c>
      <c r="H151">
        <f>SUM(H152:H156)</f>
        <v>0</v>
      </c>
      <c r="I151">
        <f>SUM(I152:I156)</f>
        <v>0</v>
      </c>
      <c r="J151" s="107" t="s">
        <v>72</v>
      </c>
      <c r="K151" s="107" t="s">
        <v>77</v>
      </c>
    </row>
    <row r="152" spans="1:11" ht="13.5" customHeight="1" outlineLevel="1" x14ac:dyDescent="0.25">
      <c r="A152" s="107"/>
      <c r="B152" s="107"/>
      <c r="C152" s="107"/>
      <c r="D152">
        <v>2021</v>
      </c>
      <c r="E152">
        <f t="shared" si="19"/>
        <v>753975.94799999997</v>
      </c>
      <c r="F152">
        <f>753975.948</f>
        <v>753975.94799999997</v>
      </c>
      <c r="G152">
        <v>0</v>
      </c>
      <c r="H152">
        <v>0</v>
      </c>
      <c r="I152">
        <v>0</v>
      </c>
      <c r="J152" s="107"/>
      <c r="K152" s="107"/>
    </row>
    <row r="153" spans="1:11" ht="13.5" customHeight="1" outlineLevel="1" x14ac:dyDescent="0.25">
      <c r="A153" s="107"/>
      <c r="B153" s="107"/>
      <c r="C153" s="107"/>
      <c r="D153">
        <v>2022</v>
      </c>
      <c r="E153">
        <f t="shared" si="19"/>
        <v>650633.15</v>
      </c>
      <c r="F153">
        <v>650633.15</v>
      </c>
      <c r="G153">
        <v>0</v>
      </c>
      <c r="H153">
        <v>0</v>
      </c>
      <c r="I153">
        <v>0</v>
      </c>
      <c r="J153" s="107"/>
      <c r="K153" s="107"/>
    </row>
    <row r="154" spans="1:11" ht="13.5" customHeight="1" outlineLevel="1" x14ac:dyDescent="0.25">
      <c r="A154" s="107"/>
      <c r="B154" s="107"/>
      <c r="C154" s="107"/>
      <c r="D154">
        <v>2023</v>
      </c>
      <c r="E154">
        <f t="shared" si="19"/>
        <v>729745.42599999998</v>
      </c>
      <c r="F154">
        <v>729745.42599999998</v>
      </c>
      <c r="G154">
        <v>0</v>
      </c>
      <c r="H154">
        <v>0</v>
      </c>
      <c r="I154">
        <v>0</v>
      </c>
      <c r="J154" s="107"/>
      <c r="K154" s="107"/>
    </row>
    <row r="155" spans="1:11" ht="13.5" customHeight="1" outlineLevel="1" x14ac:dyDescent="0.25">
      <c r="A155" s="107"/>
      <c r="B155" s="107"/>
      <c r="C155" s="107"/>
      <c r="D155">
        <v>2024</v>
      </c>
      <c r="E155">
        <f t="shared" si="19"/>
        <v>729745.429</v>
      </c>
      <c r="F155">
        <v>729745.429</v>
      </c>
      <c r="G155">
        <v>0</v>
      </c>
      <c r="H155">
        <v>0</v>
      </c>
      <c r="I155">
        <v>0</v>
      </c>
      <c r="J155" s="107"/>
      <c r="K155" s="107"/>
    </row>
    <row r="156" spans="1:11" ht="13.5" customHeight="1" outlineLevel="1" x14ac:dyDescent="0.25">
      <c r="A156" s="107"/>
      <c r="B156" s="107"/>
      <c r="C156" s="107"/>
      <c r="D156">
        <v>2025</v>
      </c>
      <c r="E156">
        <f t="shared" si="19"/>
        <v>729745.42599999998</v>
      </c>
      <c r="F156">
        <v>729745.42599999998</v>
      </c>
      <c r="G156">
        <v>0</v>
      </c>
      <c r="H156">
        <v>0</v>
      </c>
      <c r="I156">
        <v>0</v>
      </c>
      <c r="J156" s="107"/>
      <c r="K156" s="107"/>
    </row>
    <row r="157" spans="1:11" ht="13.5" customHeight="1" outlineLevel="1" x14ac:dyDescent="0.25">
      <c r="A157" s="107" t="s">
        <v>74</v>
      </c>
      <c r="B157" s="107" t="s">
        <v>75</v>
      </c>
      <c r="C157" s="107" t="s">
        <v>14</v>
      </c>
      <c r="D157" t="s">
        <v>8</v>
      </c>
      <c r="E157">
        <f t="shared" si="19"/>
        <v>17806.5</v>
      </c>
      <c r="F157">
        <f>SUM(F158:F162)</f>
        <v>17806.5</v>
      </c>
      <c r="G157">
        <f>SUM(G158:G162)</f>
        <v>0</v>
      </c>
      <c r="H157">
        <f>SUM(H158:H162)</f>
        <v>0</v>
      </c>
      <c r="I157">
        <f>SUM(I158:I162)</f>
        <v>0</v>
      </c>
      <c r="J157" s="107" t="s">
        <v>523</v>
      </c>
      <c r="K157" s="107" t="s">
        <v>77</v>
      </c>
    </row>
    <row r="158" spans="1:11" ht="13.5" customHeight="1" outlineLevel="1" x14ac:dyDescent="0.25">
      <c r="A158" s="107"/>
      <c r="B158" s="107"/>
      <c r="C158" s="107"/>
      <c r="D158">
        <v>2021</v>
      </c>
      <c r="E158">
        <f t="shared" si="19"/>
        <v>3561.3</v>
      </c>
      <c r="F158">
        <v>3561.3</v>
      </c>
      <c r="G158">
        <v>0</v>
      </c>
      <c r="H158">
        <v>0</v>
      </c>
      <c r="I158">
        <v>0</v>
      </c>
      <c r="J158" s="107"/>
      <c r="K158" s="107"/>
    </row>
    <row r="159" spans="1:11" ht="13.5" customHeight="1" outlineLevel="1" x14ac:dyDescent="0.25">
      <c r="A159" s="107"/>
      <c r="B159" s="107"/>
      <c r="C159" s="107"/>
      <c r="D159">
        <v>2022</v>
      </c>
      <c r="E159">
        <f t="shared" si="19"/>
        <v>3561.3</v>
      </c>
      <c r="F159">
        <v>3561.3</v>
      </c>
      <c r="G159">
        <v>0</v>
      </c>
      <c r="H159">
        <v>0</v>
      </c>
      <c r="I159">
        <v>0</v>
      </c>
      <c r="J159" s="107"/>
      <c r="K159" s="107"/>
    </row>
    <row r="160" spans="1:11" ht="13.5" customHeight="1" outlineLevel="1" x14ac:dyDescent="0.25">
      <c r="A160" s="107"/>
      <c r="B160" s="107"/>
      <c r="C160" s="107"/>
      <c r="D160">
        <v>2023</v>
      </c>
      <c r="E160">
        <f t="shared" si="19"/>
        <v>3561.3</v>
      </c>
      <c r="F160">
        <v>3561.3</v>
      </c>
      <c r="G160">
        <v>0</v>
      </c>
      <c r="H160">
        <v>0</v>
      </c>
      <c r="I160">
        <v>0</v>
      </c>
      <c r="J160" s="107"/>
      <c r="K160" s="107"/>
    </row>
    <row r="161" spans="1:11" ht="13.5" customHeight="1" outlineLevel="1" x14ac:dyDescent="0.25">
      <c r="A161" s="107"/>
      <c r="B161" s="107"/>
      <c r="C161" s="107"/>
      <c r="D161">
        <v>2024</v>
      </c>
      <c r="E161">
        <f t="shared" si="19"/>
        <v>3561.3</v>
      </c>
      <c r="F161">
        <v>3561.3</v>
      </c>
      <c r="G161">
        <v>0</v>
      </c>
      <c r="H161">
        <v>0</v>
      </c>
      <c r="I161">
        <v>0</v>
      </c>
      <c r="J161" s="107"/>
      <c r="K161" s="107"/>
    </row>
    <row r="162" spans="1:11" ht="19.5" customHeight="1" outlineLevel="1" x14ac:dyDescent="0.25">
      <c r="A162" s="107"/>
      <c r="B162" s="107"/>
      <c r="C162" s="107"/>
      <c r="D162">
        <v>2025</v>
      </c>
      <c r="E162">
        <f t="shared" si="19"/>
        <v>3561.3</v>
      </c>
      <c r="F162">
        <v>3561.3</v>
      </c>
      <c r="G162">
        <v>0</v>
      </c>
      <c r="H162">
        <v>0</v>
      </c>
      <c r="I162">
        <v>0</v>
      </c>
      <c r="J162" s="107"/>
      <c r="K162" s="107"/>
    </row>
    <row r="163" spans="1:11" ht="14.25" customHeight="1" outlineLevel="1" x14ac:dyDescent="0.25">
      <c r="A163" s="107" t="s">
        <v>524</v>
      </c>
      <c r="B163" s="107" t="s">
        <v>525</v>
      </c>
      <c r="C163" s="107" t="s">
        <v>14</v>
      </c>
      <c r="D163" t="s">
        <v>8</v>
      </c>
      <c r="E163">
        <f t="shared" si="19"/>
        <v>27000</v>
      </c>
      <c r="F163">
        <f>SUM(F164:F168)</f>
        <v>27000</v>
      </c>
      <c r="G163">
        <f>SUM(G164:G168)</f>
        <v>0</v>
      </c>
      <c r="H163">
        <f>SUM(H164:H168)</f>
        <v>0</v>
      </c>
      <c r="I163">
        <f>SUM(I164:I168)</f>
        <v>0</v>
      </c>
      <c r="J163" s="107" t="s">
        <v>526</v>
      </c>
      <c r="K163" s="107" t="s">
        <v>527</v>
      </c>
    </row>
    <row r="164" spans="1:11" ht="13.5" customHeight="1" outlineLevel="1" x14ac:dyDescent="0.25">
      <c r="A164" s="107"/>
      <c r="B164" s="107"/>
      <c r="C164" s="107"/>
      <c r="D164">
        <v>2021</v>
      </c>
      <c r="E164">
        <f t="shared" si="19"/>
        <v>27000</v>
      </c>
      <c r="F164">
        <v>27000</v>
      </c>
      <c r="G164">
        <v>0</v>
      </c>
      <c r="H164">
        <v>0</v>
      </c>
      <c r="I164">
        <v>0</v>
      </c>
      <c r="J164" s="107"/>
      <c r="K164" s="107"/>
    </row>
    <row r="165" spans="1:11" ht="13.5" customHeight="1" outlineLevel="1" x14ac:dyDescent="0.25">
      <c r="A165" s="107"/>
      <c r="B165" s="107"/>
      <c r="C165" s="107"/>
      <c r="D165">
        <v>2022</v>
      </c>
      <c r="E165">
        <f t="shared" si="19"/>
        <v>0</v>
      </c>
      <c r="F165">
        <v>0</v>
      </c>
      <c r="G165">
        <v>0</v>
      </c>
      <c r="H165">
        <v>0</v>
      </c>
      <c r="I165">
        <v>0</v>
      </c>
      <c r="J165" s="107"/>
      <c r="K165" s="107"/>
    </row>
    <row r="166" spans="1:11" ht="13.5" customHeight="1" outlineLevel="1" x14ac:dyDescent="0.25">
      <c r="A166" s="107"/>
      <c r="B166" s="107"/>
      <c r="C166" s="107"/>
      <c r="D166">
        <v>2023</v>
      </c>
      <c r="E166">
        <f t="shared" si="19"/>
        <v>0</v>
      </c>
      <c r="F166">
        <v>0</v>
      </c>
      <c r="G166">
        <v>0</v>
      </c>
      <c r="H166">
        <v>0</v>
      </c>
      <c r="I166">
        <v>0</v>
      </c>
      <c r="J166" s="107"/>
      <c r="K166" s="107"/>
    </row>
    <row r="167" spans="1:11" ht="13.5" customHeight="1" outlineLevel="1" x14ac:dyDescent="0.25">
      <c r="A167" s="107"/>
      <c r="B167" s="107"/>
      <c r="C167" s="107"/>
      <c r="D167">
        <v>2024</v>
      </c>
      <c r="E167">
        <f t="shared" ref="E167:E192" si="22">SUM(F167:I167)</f>
        <v>0</v>
      </c>
      <c r="F167">
        <v>0</v>
      </c>
      <c r="G167">
        <v>0</v>
      </c>
      <c r="H167">
        <v>0</v>
      </c>
      <c r="I167">
        <v>0</v>
      </c>
      <c r="J167" s="107"/>
      <c r="K167" s="107"/>
    </row>
    <row r="168" spans="1:11" ht="19.5" customHeight="1" outlineLevel="1" x14ac:dyDescent="0.25">
      <c r="A168" s="107"/>
      <c r="B168" s="107"/>
      <c r="C168" s="107"/>
      <c r="D168">
        <v>2025</v>
      </c>
      <c r="E168">
        <f t="shared" si="22"/>
        <v>0</v>
      </c>
      <c r="F168">
        <v>0</v>
      </c>
      <c r="G168">
        <v>0</v>
      </c>
      <c r="H168">
        <v>0</v>
      </c>
      <c r="I168">
        <v>0</v>
      </c>
      <c r="J168" s="107"/>
      <c r="K168" s="107"/>
    </row>
    <row r="169" spans="1:11" ht="14.25" customHeight="1" outlineLevel="1" x14ac:dyDescent="0.25">
      <c r="A169" s="107" t="s">
        <v>528</v>
      </c>
      <c r="B169" s="107" t="s">
        <v>529</v>
      </c>
      <c r="C169" s="107" t="s">
        <v>14</v>
      </c>
      <c r="D169" t="s">
        <v>8</v>
      </c>
      <c r="E169">
        <f t="shared" si="22"/>
        <v>24356</v>
      </c>
      <c r="F169">
        <f>SUM(F170:F174)</f>
        <v>24356</v>
      </c>
      <c r="G169">
        <f>SUM(G170:G174)</f>
        <v>0</v>
      </c>
      <c r="H169">
        <f>SUM(H170:H174)</f>
        <v>0</v>
      </c>
      <c r="I169">
        <f>SUM(I170:I174)</f>
        <v>0</v>
      </c>
      <c r="J169" s="107" t="s">
        <v>530</v>
      </c>
      <c r="K169" s="107" t="s">
        <v>531</v>
      </c>
    </row>
    <row r="170" spans="1:11" ht="13.5" customHeight="1" outlineLevel="1" x14ac:dyDescent="0.25">
      <c r="A170" s="107"/>
      <c r="B170" s="107"/>
      <c r="C170" s="107"/>
      <c r="D170">
        <v>2021</v>
      </c>
      <c r="E170">
        <f t="shared" si="22"/>
        <v>24356</v>
      </c>
      <c r="F170">
        <v>24356</v>
      </c>
      <c r="G170">
        <v>0</v>
      </c>
      <c r="H170">
        <v>0</v>
      </c>
      <c r="I170">
        <v>0</v>
      </c>
      <c r="J170" s="107"/>
      <c r="K170" s="107"/>
    </row>
    <row r="171" spans="1:11" ht="13.5" customHeight="1" outlineLevel="1" x14ac:dyDescent="0.25">
      <c r="A171" s="107"/>
      <c r="B171" s="107"/>
      <c r="C171" s="107"/>
      <c r="D171">
        <v>2022</v>
      </c>
      <c r="E171">
        <f t="shared" si="22"/>
        <v>0</v>
      </c>
      <c r="F171">
        <v>0</v>
      </c>
      <c r="G171">
        <v>0</v>
      </c>
      <c r="H171">
        <v>0</v>
      </c>
      <c r="I171">
        <v>0</v>
      </c>
      <c r="J171" s="107"/>
      <c r="K171" s="107"/>
    </row>
    <row r="172" spans="1:11" ht="13.5" customHeight="1" outlineLevel="1" x14ac:dyDescent="0.25">
      <c r="A172" s="107"/>
      <c r="B172" s="107"/>
      <c r="C172" s="107"/>
      <c r="D172">
        <v>2023</v>
      </c>
      <c r="E172">
        <f t="shared" si="22"/>
        <v>0</v>
      </c>
      <c r="F172">
        <v>0</v>
      </c>
      <c r="G172">
        <v>0</v>
      </c>
      <c r="H172">
        <v>0</v>
      </c>
      <c r="I172">
        <v>0</v>
      </c>
      <c r="J172" s="107"/>
      <c r="K172" s="107"/>
    </row>
    <row r="173" spans="1:11" ht="13.5" customHeight="1" outlineLevel="1" x14ac:dyDescent="0.25">
      <c r="A173" s="107"/>
      <c r="B173" s="107"/>
      <c r="C173" s="107"/>
      <c r="D173">
        <v>2024</v>
      </c>
      <c r="E173">
        <f t="shared" si="22"/>
        <v>0</v>
      </c>
      <c r="F173">
        <v>0</v>
      </c>
      <c r="G173">
        <v>0</v>
      </c>
      <c r="H173">
        <v>0</v>
      </c>
      <c r="I173">
        <v>0</v>
      </c>
      <c r="J173" s="107"/>
      <c r="K173" s="107"/>
    </row>
    <row r="174" spans="1:11" ht="19.5" customHeight="1" outlineLevel="1" x14ac:dyDescent="0.25">
      <c r="A174" s="107"/>
      <c r="B174" s="107"/>
      <c r="C174" s="107"/>
      <c r="D174">
        <v>2025</v>
      </c>
      <c r="E174">
        <f t="shared" si="22"/>
        <v>0</v>
      </c>
      <c r="F174">
        <v>0</v>
      </c>
      <c r="G174">
        <v>0</v>
      </c>
      <c r="H174">
        <v>0</v>
      </c>
      <c r="I174">
        <v>0</v>
      </c>
      <c r="J174" s="107"/>
      <c r="K174" s="107"/>
    </row>
    <row r="175" spans="1:11" ht="14.25" customHeight="1" outlineLevel="1" x14ac:dyDescent="0.25">
      <c r="A175" s="107" t="s">
        <v>532</v>
      </c>
      <c r="B175" s="107" t="s">
        <v>533</v>
      </c>
      <c r="C175" s="107" t="s">
        <v>14</v>
      </c>
      <c r="D175" t="s">
        <v>8</v>
      </c>
      <c r="E175">
        <f t="shared" si="22"/>
        <v>100</v>
      </c>
      <c r="F175">
        <f>SUM(F176:F180)</f>
        <v>100</v>
      </c>
      <c r="G175">
        <f>SUM(G176:G180)</f>
        <v>0</v>
      </c>
      <c r="H175">
        <f>SUM(H176:H180)</f>
        <v>0</v>
      </c>
      <c r="I175">
        <f>SUM(I176:I180)</f>
        <v>0</v>
      </c>
      <c r="J175" s="107" t="s">
        <v>534</v>
      </c>
      <c r="K175" s="107" t="s">
        <v>92</v>
      </c>
    </row>
    <row r="176" spans="1:11" ht="13.5" customHeight="1" outlineLevel="1" x14ac:dyDescent="0.25">
      <c r="A176" s="107"/>
      <c r="B176" s="107"/>
      <c r="C176" s="107"/>
      <c r="D176">
        <v>2021</v>
      </c>
      <c r="E176">
        <f t="shared" si="22"/>
        <v>100</v>
      </c>
      <c r="F176">
        <v>100</v>
      </c>
      <c r="G176">
        <v>0</v>
      </c>
      <c r="H176">
        <v>0</v>
      </c>
      <c r="I176">
        <v>0</v>
      </c>
      <c r="J176" s="107"/>
      <c r="K176" s="107"/>
    </row>
    <row r="177" spans="1:11" ht="13.5" customHeight="1" outlineLevel="1" x14ac:dyDescent="0.25">
      <c r="A177" s="107"/>
      <c r="B177" s="107"/>
      <c r="C177" s="107"/>
      <c r="D177">
        <v>2022</v>
      </c>
      <c r="E177">
        <f t="shared" si="22"/>
        <v>0</v>
      </c>
      <c r="F177">
        <v>0</v>
      </c>
      <c r="G177">
        <v>0</v>
      </c>
      <c r="H177">
        <v>0</v>
      </c>
      <c r="I177">
        <v>0</v>
      </c>
      <c r="J177" s="107"/>
      <c r="K177" s="107"/>
    </row>
    <row r="178" spans="1:11" ht="13.5" customHeight="1" outlineLevel="1" x14ac:dyDescent="0.25">
      <c r="A178" s="107"/>
      <c r="B178" s="107"/>
      <c r="C178" s="107"/>
      <c r="D178">
        <v>2023</v>
      </c>
      <c r="E178">
        <f t="shared" si="22"/>
        <v>0</v>
      </c>
      <c r="F178">
        <v>0</v>
      </c>
      <c r="G178">
        <v>0</v>
      </c>
      <c r="H178">
        <v>0</v>
      </c>
      <c r="I178">
        <v>0</v>
      </c>
      <c r="J178" s="107"/>
      <c r="K178" s="107"/>
    </row>
    <row r="179" spans="1:11" ht="13.5" customHeight="1" outlineLevel="1" x14ac:dyDescent="0.25">
      <c r="A179" s="107"/>
      <c r="B179" s="107"/>
      <c r="C179" s="107"/>
      <c r="D179">
        <v>2024</v>
      </c>
      <c r="E179">
        <f t="shared" si="22"/>
        <v>0</v>
      </c>
      <c r="F179">
        <v>0</v>
      </c>
      <c r="G179">
        <v>0</v>
      </c>
      <c r="H179">
        <v>0</v>
      </c>
      <c r="I179">
        <v>0</v>
      </c>
      <c r="J179" s="107"/>
      <c r="K179" s="107"/>
    </row>
    <row r="180" spans="1:11" ht="19.5" customHeight="1" outlineLevel="1" x14ac:dyDescent="0.25">
      <c r="A180" s="107"/>
      <c r="B180" s="107"/>
      <c r="C180" s="107"/>
      <c r="D180">
        <v>2025</v>
      </c>
      <c r="E180">
        <f t="shared" si="22"/>
        <v>0</v>
      </c>
      <c r="F180">
        <v>0</v>
      </c>
      <c r="G180">
        <v>0</v>
      </c>
      <c r="H180">
        <v>0</v>
      </c>
      <c r="I180">
        <v>0</v>
      </c>
      <c r="J180" s="107"/>
      <c r="K180" s="107"/>
    </row>
    <row r="181" spans="1:11" ht="16.5" customHeight="1" outlineLevel="1" x14ac:dyDescent="0.25">
      <c r="A181" s="107" t="s">
        <v>535</v>
      </c>
      <c r="B181" s="107" t="s">
        <v>536</v>
      </c>
      <c r="C181" s="107" t="s">
        <v>14</v>
      </c>
      <c r="D181" t="s">
        <v>8</v>
      </c>
      <c r="E181">
        <f t="shared" si="22"/>
        <v>598.92700000000002</v>
      </c>
      <c r="F181">
        <f>SUM(F182:F186)</f>
        <v>598.92700000000002</v>
      </c>
      <c r="G181">
        <f>SUM(G182:G186)</f>
        <v>0</v>
      </c>
      <c r="H181">
        <f>SUM(H182:H186)</f>
        <v>0</v>
      </c>
      <c r="I181">
        <f>SUM(I182:I186)</f>
        <v>0</v>
      </c>
      <c r="J181" s="107" t="s">
        <v>537</v>
      </c>
      <c r="K181" s="107" t="s">
        <v>531</v>
      </c>
    </row>
    <row r="182" spans="1:11" ht="16.5" customHeight="1" outlineLevel="1" x14ac:dyDescent="0.25">
      <c r="A182" s="107"/>
      <c r="B182" s="107"/>
      <c r="C182" s="107"/>
      <c r="D182">
        <v>2021</v>
      </c>
      <c r="E182">
        <f t="shared" si="22"/>
        <v>598.92700000000002</v>
      </c>
      <c r="F182">
        <v>598.92700000000002</v>
      </c>
      <c r="G182">
        <v>0</v>
      </c>
      <c r="H182">
        <v>0</v>
      </c>
      <c r="I182">
        <v>0</v>
      </c>
      <c r="J182" s="107"/>
      <c r="K182" s="107"/>
    </row>
    <row r="183" spans="1:11" ht="16.5" customHeight="1" outlineLevel="1" x14ac:dyDescent="0.25">
      <c r="A183" s="107"/>
      <c r="B183" s="107"/>
      <c r="C183" s="107"/>
      <c r="D183">
        <v>2022</v>
      </c>
      <c r="E183">
        <f t="shared" si="22"/>
        <v>0</v>
      </c>
      <c r="F183">
        <v>0</v>
      </c>
      <c r="G183">
        <v>0</v>
      </c>
      <c r="H183">
        <v>0</v>
      </c>
      <c r="I183">
        <v>0</v>
      </c>
      <c r="J183" s="107"/>
      <c r="K183" s="107"/>
    </row>
    <row r="184" spans="1:11" ht="16.5" customHeight="1" outlineLevel="1" x14ac:dyDescent="0.25">
      <c r="A184" s="107"/>
      <c r="B184" s="107"/>
      <c r="C184" s="107"/>
      <c r="D184">
        <v>2023</v>
      </c>
      <c r="E184">
        <f t="shared" si="22"/>
        <v>0</v>
      </c>
      <c r="F184">
        <v>0</v>
      </c>
      <c r="G184">
        <v>0</v>
      </c>
      <c r="H184">
        <v>0</v>
      </c>
      <c r="I184">
        <v>0</v>
      </c>
      <c r="J184" s="107"/>
      <c r="K184" s="107"/>
    </row>
    <row r="185" spans="1:11" ht="16.5" customHeight="1" outlineLevel="1" x14ac:dyDescent="0.25">
      <c r="A185" s="107"/>
      <c r="B185" s="107"/>
      <c r="C185" s="107"/>
      <c r="D185">
        <v>2024</v>
      </c>
      <c r="E185">
        <f t="shared" si="22"/>
        <v>0</v>
      </c>
      <c r="F185">
        <v>0</v>
      </c>
      <c r="G185">
        <v>0</v>
      </c>
      <c r="H185">
        <v>0</v>
      </c>
      <c r="I185">
        <v>0</v>
      </c>
      <c r="J185" s="107"/>
      <c r="K185" s="107"/>
    </row>
    <row r="186" spans="1:11" ht="16.5" customHeight="1" outlineLevel="1" x14ac:dyDescent="0.25">
      <c r="A186" s="107"/>
      <c r="B186" s="107"/>
      <c r="C186" s="107"/>
      <c r="D186">
        <v>2025</v>
      </c>
      <c r="E186">
        <f t="shared" si="22"/>
        <v>0</v>
      </c>
      <c r="F186">
        <v>0</v>
      </c>
      <c r="G186">
        <v>0</v>
      </c>
      <c r="H186">
        <v>0</v>
      </c>
      <c r="I186">
        <v>0</v>
      </c>
      <c r="J186" s="107"/>
      <c r="K186" s="107"/>
    </row>
    <row r="187" spans="1:11" ht="34.5" customHeight="1" outlineLevel="1" x14ac:dyDescent="0.25">
      <c r="A187" s="107" t="s">
        <v>78</v>
      </c>
      <c r="B187" s="107" t="s">
        <v>538</v>
      </c>
      <c r="C187" s="107" t="s">
        <v>14</v>
      </c>
      <c r="D187" t="s">
        <v>8</v>
      </c>
      <c r="E187">
        <f t="shared" si="22"/>
        <v>54717.700210000003</v>
      </c>
      <c r="F187">
        <f>SUM(F188:F192)</f>
        <v>41400</v>
      </c>
      <c r="G187">
        <f>SUM(G188:G192)</f>
        <v>0</v>
      </c>
      <c r="H187">
        <f>SUM(H188:H192)</f>
        <v>13317.700210000001</v>
      </c>
      <c r="I187">
        <f>SUM(I188:I192)</f>
        <v>0</v>
      </c>
      <c r="J187" s="107" t="s">
        <v>539</v>
      </c>
      <c r="K187" s="107" t="s">
        <v>515</v>
      </c>
    </row>
    <row r="188" spans="1:11" ht="34.5" customHeight="1" outlineLevel="1" x14ac:dyDescent="0.25">
      <c r="A188" s="107"/>
      <c r="B188" s="107"/>
      <c r="C188" s="107"/>
      <c r="D188">
        <v>2021</v>
      </c>
      <c r="E188">
        <f t="shared" si="22"/>
        <v>54717.700210000003</v>
      </c>
      <c r="F188">
        <f t="shared" ref="F188:I192" si="23">F200+F194</f>
        <v>41400</v>
      </c>
      <c r="G188">
        <f t="shared" si="23"/>
        <v>0</v>
      </c>
      <c r="H188">
        <f t="shared" si="23"/>
        <v>13317.700210000001</v>
      </c>
      <c r="I188">
        <f t="shared" si="23"/>
        <v>0</v>
      </c>
      <c r="J188" s="107"/>
      <c r="K188" s="107"/>
    </row>
    <row r="189" spans="1:11" ht="34.5" customHeight="1" outlineLevel="1" x14ac:dyDescent="0.25">
      <c r="A189" s="107"/>
      <c r="B189" s="107"/>
      <c r="C189" s="107"/>
      <c r="D189">
        <v>2022</v>
      </c>
      <c r="E189">
        <f t="shared" si="22"/>
        <v>0</v>
      </c>
      <c r="F189">
        <f t="shared" si="23"/>
        <v>0</v>
      </c>
      <c r="G189">
        <f t="shared" si="23"/>
        <v>0</v>
      </c>
      <c r="H189">
        <f t="shared" si="23"/>
        <v>0</v>
      </c>
      <c r="I189">
        <f t="shared" si="23"/>
        <v>0</v>
      </c>
      <c r="J189" s="107"/>
      <c r="K189" s="107"/>
    </row>
    <row r="190" spans="1:11" ht="34.5" customHeight="1" outlineLevel="1" x14ac:dyDescent="0.25">
      <c r="A190" s="107"/>
      <c r="B190" s="107"/>
      <c r="C190" s="107"/>
      <c r="D190">
        <v>2023</v>
      </c>
      <c r="E190">
        <f t="shared" si="22"/>
        <v>0</v>
      </c>
      <c r="F190">
        <f t="shared" si="23"/>
        <v>0</v>
      </c>
      <c r="G190">
        <f t="shared" si="23"/>
        <v>0</v>
      </c>
      <c r="H190">
        <f t="shared" si="23"/>
        <v>0</v>
      </c>
      <c r="I190">
        <f t="shared" si="23"/>
        <v>0</v>
      </c>
      <c r="J190" s="107"/>
      <c r="K190" s="107"/>
    </row>
    <row r="191" spans="1:11" ht="34.5" customHeight="1" outlineLevel="1" x14ac:dyDescent="0.25">
      <c r="A191" s="107"/>
      <c r="B191" s="107"/>
      <c r="C191" s="107"/>
      <c r="D191">
        <v>2024</v>
      </c>
      <c r="E191">
        <f t="shared" si="22"/>
        <v>0</v>
      </c>
      <c r="F191">
        <f t="shared" si="23"/>
        <v>0</v>
      </c>
      <c r="G191">
        <f t="shared" si="23"/>
        <v>0</v>
      </c>
      <c r="H191">
        <f t="shared" si="23"/>
        <v>0</v>
      </c>
      <c r="I191">
        <f t="shared" si="23"/>
        <v>0</v>
      </c>
      <c r="J191" s="107"/>
      <c r="K191" s="107"/>
    </row>
    <row r="192" spans="1:11" ht="34.5" customHeight="1" outlineLevel="1" x14ac:dyDescent="0.25">
      <c r="A192" s="107"/>
      <c r="B192" s="107"/>
      <c r="C192" s="107"/>
      <c r="D192">
        <v>2025</v>
      </c>
      <c r="E192">
        <f t="shared" si="22"/>
        <v>0</v>
      </c>
      <c r="F192">
        <f t="shared" si="23"/>
        <v>0</v>
      </c>
      <c r="G192">
        <f t="shared" si="23"/>
        <v>0</v>
      </c>
      <c r="H192">
        <f t="shared" si="23"/>
        <v>0</v>
      </c>
      <c r="I192">
        <f t="shared" si="23"/>
        <v>0</v>
      </c>
      <c r="J192" s="107"/>
      <c r="K192" s="107"/>
    </row>
    <row r="193" spans="1:11" ht="18.75" customHeight="1" outlineLevel="1" x14ac:dyDescent="0.25">
      <c r="A193" s="107" t="s">
        <v>81</v>
      </c>
      <c r="B193" s="107" t="s">
        <v>82</v>
      </c>
      <c r="C193" s="107">
        <v>2021</v>
      </c>
      <c r="D193" t="s">
        <v>8</v>
      </c>
      <c r="E193">
        <f>SUM(E194:E198)</f>
        <v>9800.9188400000003</v>
      </c>
      <c r="F193">
        <f>SUM(F194:F198)</f>
        <v>6400</v>
      </c>
      <c r="G193">
        <f>SUM(G194:G198)</f>
        <v>0</v>
      </c>
      <c r="H193">
        <f>SUM(H194:H198)</f>
        <v>3400.9188399999998</v>
      </c>
      <c r="I193">
        <f>SUM(I194:I198)</f>
        <v>0</v>
      </c>
      <c r="J193" s="107" t="s">
        <v>83</v>
      </c>
      <c r="K193" s="107" t="s">
        <v>515</v>
      </c>
    </row>
    <row r="194" spans="1:11" ht="18.75" customHeight="1" outlineLevel="1" x14ac:dyDescent="0.25">
      <c r="A194" s="107"/>
      <c r="B194" s="107"/>
      <c r="C194" s="107"/>
      <c r="D194">
        <v>2021</v>
      </c>
      <c r="E194">
        <f t="shared" ref="E194:E198" si="24">SUM(F194:I194)</f>
        <v>9800.9188400000003</v>
      </c>
      <c r="F194">
        <v>6400</v>
      </c>
      <c r="G194">
        <v>0</v>
      </c>
      <c r="H194">
        <v>3400.9188399999998</v>
      </c>
      <c r="I194">
        <v>0</v>
      </c>
      <c r="J194" s="107"/>
      <c r="K194" s="107"/>
    </row>
    <row r="195" spans="1:11" ht="18.75" customHeight="1" outlineLevel="1" x14ac:dyDescent="0.25">
      <c r="A195" s="107"/>
      <c r="B195" s="107"/>
      <c r="C195" s="107"/>
      <c r="D195">
        <v>2022</v>
      </c>
      <c r="E195">
        <f t="shared" si="24"/>
        <v>0</v>
      </c>
      <c r="F195">
        <v>0</v>
      </c>
      <c r="G195">
        <v>0</v>
      </c>
      <c r="H195">
        <v>0</v>
      </c>
      <c r="I195">
        <v>0</v>
      </c>
      <c r="J195" s="107"/>
      <c r="K195" s="107"/>
    </row>
    <row r="196" spans="1:11" ht="18.75" customHeight="1" outlineLevel="1" x14ac:dyDescent="0.25">
      <c r="A196" s="107"/>
      <c r="B196" s="107"/>
      <c r="C196" s="107"/>
      <c r="D196">
        <v>2023</v>
      </c>
      <c r="E196">
        <f t="shared" si="24"/>
        <v>0</v>
      </c>
      <c r="F196">
        <v>0</v>
      </c>
      <c r="G196">
        <v>0</v>
      </c>
      <c r="H196">
        <v>0</v>
      </c>
      <c r="I196">
        <v>0</v>
      </c>
      <c r="J196" s="107"/>
      <c r="K196" s="107"/>
    </row>
    <row r="197" spans="1:11" ht="18.75" customHeight="1" outlineLevel="1" x14ac:dyDescent="0.25">
      <c r="A197" s="107"/>
      <c r="B197" s="107"/>
      <c r="C197" s="107"/>
      <c r="D197">
        <v>2024</v>
      </c>
      <c r="E197">
        <f t="shared" si="24"/>
        <v>0</v>
      </c>
      <c r="F197">
        <v>0</v>
      </c>
      <c r="G197">
        <v>0</v>
      </c>
      <c r="H197">
        <v>0</v>
      </c>
      <c r="I197">
        <v>0</v>
      </c>
      <c r="J197" s="107"/>
      <c r="K197" s="107"/>
    </row>
    <row r="198" spans="1:11" ht="18.75" customHeight="1" outlineLevel="1" x14ac:dyDescent="0.25">
      <c r="A198" s="107"/>
      <c r="B198" s="107"/>
      <c r="C198" s="107"/>
      <c r="D198">
        <v>2025</v>
      </c>
      <c r="E198">
        <f t="shared" si="24"/>
        <v>0</v>
      </c>
      <c r="F198">
        <v>0</v>
      </c>
      <c r="G198">
        <v>0</v>
      </c>
      <c r="H198">
        <v>0</v>
      </c>
      <c r="I198">
        <v>0</v>
      </c>
      <c r="J198" s="107"/>
      <c r="K198" s="107"/>
    </row>
    <row r="199" spans="1:11" ht="17.100000000000001" customHeight="1" outlineLevel="1" x14ac:dyDescent="0.25">
      <c r="A199" s="107" t="s">
        <v>540</v>
      </c>
      <c r="B199" s="107" t="s">
        <v>541</v>
      </c>
      <c r="C199" s="107">
        <v>2021</v>
      </c>
      <c r="D199" t="s">
        <v>8</v>
      </c>
      <c r="E199">
        <f>SUM(E200:E204)</f>
        <v>44916.781369999997</v>
      </c>
      <c r="F199">
        <f>SUM(F200:F204)</f>
        <v>35000</v>
      </c>
      <c r="G199">
        <f>SUM(G200:G204)</f>
        <v>0</v>
      </c>
      <c r="H199">
        <f>SUM(H200:H204)</f>
        <v>9916.7813700000006</v>
      </c>
      <c r="I199">
        <f>SUM(I200:I204)</f>
        <v>0</v>
      </c>
      <c r="J199" s="107" t="s">
        <v>542</v>
      </c>
      <c r="K199" s="107" t="s">
        <v>515</v>
      </c>
    </row>
    <row r="200" spans="1:11" ht="17.100000000000001" customHeight="1" outlineLevel="1" x14ac:dyDescent="0.25">
      <c r="A200" s="107"/>
      <c r="B200" s="107"/>
      <c r="C200" s="107"/>
      <c r="D200">
        <v>2021</v>
      </c>
      <c r="E200">
        <f t="shared" ref="E200:E234" si="25">SUM(F200:I200)</f>
        <v>44916.781369999997</v>
      </c>
      <c r="F200">
        <v>35000</v>
      </c>
      <c r="G200">
        <v>0</v>
      </c>
      <c r="H200">
        <v>9916.7813700000006</v>
      </c>
      <c r="I200">
        <v>0</v>
      </c>
      <c r="J200" s="107"/>
      <c r="K200" s="107"/>
    </row>
    <row r="201" spans="1:11" ht="17.100000000000001" customHeight="1" outlineLevel="1" x14ac:dyDescent="0.25">
      <c r="A201" s="107"/>
      <c r="B201" s="107"/>
      <c r="C201" s="107"/>
      <c r="D201">
        <v>2022</v>
      </c>
      <c r="E201">
        <f t="shared" si="25"/>
        <v>0</v>
      </c>
      <c r="F201">
        <v>0</v>
      </c>
      <c r="G201">
        <v>0</v>
      </c>
      <c r="H201">
        <v>0</v>
      </c>
      <c r="I201">
        <v>0</v>
      </c>
      <c r="J201" s="107"/>
      <c r="K201" s="107"/>
    </row>
    <row r="202" spans="1:11" ht="17.100000000000001" customHeight="1" outlineLevel="1" x14ac:dyDescent="0.25">
      <c r="A202" s="107"/>
      <c r="B202" s="107"/>
      <c r="C202" s="107"/>
      <c r="D202">
        <v>2023</v>
      </c>
      <c r="E202">
        <f t="shared" si="25"/>
        <v>0</v>
      </c>
      <c r="F202">
        <v>0</v>
      </c>
      <c r="G202">
        <v>0</v>
      </c>
      <c r="H202">
        <v>0</v>
      </c>
      <c r="I202">
        <v>0</v>
      </c>
      <c r="J202" s="107"/>
      <c r="K202" s="107"/>
    </row>
    <row r="203" spans="1:11" ht="17.100000000000001" customHeight="1" outlineLevel="1" x14ac:dyDescent="0.25">
      <c r="A203" s="107"/>
      <c r="B203" s="107"/>
      <c r="C203" s="107"/>
      <c r="D203">
        <v>2024</v>
      </c>
      <c r="E203">
        <f t="shared" si="25"/>
        <v>0</v>
      </c>
      <c r="F203">
        <v>0</v>
      </c>
      <c r="G203">
        <v>0</v>
      </c>
      <c r="H203">
        <v>0</v>
      </c>
      <c r="I203">
        <v>0</v>
      </c>
      <c r="J203" s="107"/>
      <c r="K203" s="107"/>
    </row>
    <row r="204" spans="1:11" ht="17.100000000000001" customHeight="1" outlineLevel="1" x14ac:dyDescent="0.25">
      <c r="A204" s="107"/>
      <c r="B204" s="107"/>
      <c r="C204" s="107"/>
      <c r="D204">
        <v>2025</v>
      </c>
      <c r="E204">
        <f t="shared" si="25"/>
        <v>0</v>
      </c>
      <c r="F204">
        <v>0</v>
      </c>
      <c r="G204">
        <v>0</v>
      </c>
      <c r="H204">
        <v>0</v>
      </c>
      <c r="I204">
        <v>0</v>
      </c>
      <c r="J204" s="107"/>
      <c r="K204" s="107"/>
    </row>
    <row r="205" spans="1:11" ht="20.100000000000001" customHeight="1" outlineLevel="1" x14ac:dyDescent="0.25">
      <c r="A205" s="107" t="s">
        <v>84</v>
      </c>
      <c r="B205" s="107" t="s">
        <v>40</v>
      </c>
      <c r="C205" s="107" t="s">
        <v>41</v>
      </c>
      <c r="D205" t="s">
        <v>8</v>
      </c>
      <c r="E205">
        <f t="shared" si="25"/>
        <v>77066.396940000006</v>
      </c>
      <c r="F205">
        <f>SUM(F206:F210)</f>
        <v>11731.396940000001</v>
      </c>
      <c r="G205">
        <f>SUM(G206:G210)</f>
        <v>65335</v>
      </c>
      <c r="H205">
        <f>SUM(H206:H210)</f>
        <v>0</v>
      </c>
      <c r="I205">
        <f>SUM(I206:I210)</f>
        <v>0</v>
      </c>
      <c r="J205" s="107" t="s">
        <v>85</v>
      </c>
      <c r="K205" s="107" t="s">
        <v>486</v>
      </c>
    </row>
    <row r="206" spans="1:11" ht="20.100000000000001" customHeight="1" outlineLevel="1" x14ac:dyDescent="0.25">
      <c r="A206" s="107"/>
      <c r="B206" s="107"/>
      <c r="C206" s="107"/>
      <c r="D206">
        <v>2021</v>
      </c>
      <c r="E206">
        <f t="shared" si="25"/>
        <v>34057.322679999997</v>
      </c>
      <c r="F206">
        <f t="shared" ref="F206:F209" si="26">F212+F218</f>
        <v>3511.3226800000002</v>
      </c>
      <c r="G206">
        <f t="shared" ref="F206:I210" si="27">G212+G218</f>
        <v>30546</v>
      </c>
      <c r="H206">
        <f t="shared" si="27"/>
        <v>0</v>
      </c>
      <c r="I206">
        <f t="shared" si="27"/>
        <v>0</v>
      </c>
      <c r="J206" s="107"/>
      <c r="K206" s="107"/>
    </row>
    <row r="207" spans="1:11" ht="20.100000000000001" customHeight="1" outlineLevel="1" x14ac:dyDescent="0.25">
      <c r="A207" s="107"/>
      <c r="B207" s="107"/>
      <c r="C207" s="107"/>
      <c r="D207">
        <v>2022</v>
      </c>
      <c r="E207">
        <f t="shared" si="25"/>
        <v>19727.664930000003</v>
      </c>
      <c r="F207">
        <f t="shared" si="26"/>
        <v>2738.2649299999998</v>
      </c>
      <c r="G207">
        <f t="shared" si="27"/>
        <v>16989.400000000001</v>
      </c>
      <c r="H207">
        <f t="shared" si="27"/>
        <v>0</v>
      </c>
      <c r="I207">
        <f t="shared" si="27"/>
        <v>0</v>
      </c>
      <c r="J207" s="107"/>
      <c r="K207" s="107"/>
    </row>
    <row r="208" spans="1:11" ht="20.100000000000001" customHeight="1" outlineLevel="1" x14ac:dyDescent="0.25">
      <c r="A208" s="107"/>
      <c r="B208" s="107"/>
      <c r="C208" s="107"/>
      <c r="D208">
        <v>2023</v>
      </c>
      <c r="E208">
        <f t="shared" si="25"/>
        <v>20589.57993</v>
      </c>
      <c r="F208">
        <f t="shared" si="26"/>
        <v>2789.97993</v>
      </c>
      <c r="G208">
        <f t="shared" si="27"/>
        <v>17799.599999999999</v>
      </c>
      <c r="H208">
        <f t="shared" si="27"/>
        <v>0</v>
      </c>
      <c r="I208">
        <f t="shared" si="27"/>
        <v>0</v>
      </c>
      <c r="J208" s="107"/>
      <c r="K208" s="107"/>
    </row>
    <row r="209" spans="1:11" ht="20.100000000000001" customHeight="1" outlineLevel="1" x14ac:dyDescent="0.25">
      <c r="A209" s="107"/>
      <c r="B209" s="107"/>
      <c r="C209" s="107"/>
      <c r="D209">
        <v>2024</v>
      </c>
      <c r="E209">
        <f t="shared" si="25"/>
        <v>2691.8294000000001</v>
      </c>
      <c r="F209">
        <f t="shared" si="26"/>
        <v>2691.8294000000001</v>
      </c>
      <c r="G209">
        <f t="shared" si="27"/>
        <v>0</v>
      </c>
      <c r="H209">
        <f t="shared" si="27"/>
        <v>0</v>
      </c>
      <c r="I209">
        <f t="shared" si="27"/>
        <v>0</v>
      </c>
      <c r="J209" s="107"/>
      <c r="K209" s="107"/>
    </row>
    <row r="210" spans="1:11" ht="20.100000000000001" customHeight="1" outlineLevel="1" x14ac:dyDescent="0.25">
      <c r="A210" s="107"/>
      <c r="B210" s="107"/>
      <c r="C210" s="107"/>
      <c r="D210">
        <v>2025</v>
      </c>
      <c r="E210">
        <f t="shared" si="25"/>
        <v>0</v>
      </c>
      <c r="F210">
        <f t="shared" si="27"/>
        <v>0</v>
      </c>
      <c r="G210">
        <f t="shared" si="27"/>
        <v>0</v>
      </c>
      <c r="H210">
        <f t="shared" si="27"/>
        <v>0</v>
      </c>
      <c r="I210">
        <f>I216+I222</f>
        <v>0</v>
      </c>
      <c r="J210" s="107"/>
      <c r="K210" s="107"/>
    </row>
    <row r="211" spans="1:11" ht="15.75" customHeight="1" outlineLevel="1" x14ac:dyDescent="0.25">
      <c r="A211" s="107" t="s">
        <v>60</v>
      </c>
      <c r="B211" s="107" t="s">
        <v>87</v>
      </c>
      <c r="C211" s="107" t="s">
        <v>41</v>
      </c>
      <c r="D211" t="s">
        <v>8</v>
      </c>
      <c r="E211">
        <f t="shared" si="25"/>
        <v>55205.819469999995</v>
      </c>
      <c r="F211">
        <f>SUM(F212:F216)</f>
        <v>4000.1194699999996</v>
      </c>
      <c r="G211">
        <f>SUM(G212:G216)</f>
        <v>51205.7</v>
      </c>
      <c r="H211">
        <f>SUM(H212:H216)</f>
        <v>0</v>
      </c>
      <c r="I211">
        <f>SUM(I212:I216)</f>
        <v>0</v>
      </c>
      <c r="J211" s="107" t="s">
        <v>543</v>
      </c>
      <c r="K211" s="107" t="s">
        <v>515</v>
      </c>
    </row>
    <row r="212" spans="1:11" outlineLevel="1" x14ac:dyDescent="0.25">
      <c r="A212" s="107"/>
      <c r="B212" s="107"/>
      <c r="C212" s="107"/>
      <c r="D212">
        <v>2021</v>
      </c>
      <c r="E212">
        <f t="shared" si="25"/>
        <v>27675.21</v>
      </c>
      <c r="F212">
        <v>1660.51</v>
      </c>
      <c r="G212">
        <v>26014.7</v>
      </c>
      <c r="H212">
        <v>0</v>
      </c>
      <c r="I212">
        <v>0</v>
      </c>
      <c r="J212" s="107"/>
      <c r="K212" s="107"/>
    </row>
    <row r="213" spans="1:11" outlineLevel="1" x14ac:dyDescent="0.25">
      <c r="A213" s="107"/>
      <c r="B213" s="107"/>
      <c r="C213" s="107"/>
      <c r="D213">
        <v>2022</v>
      </c>
      <c r="E213">
        <f t="shared" si="25"/>
        <v>12968.51</v>
      </c>
      <c r="F213">
        <v>778.11</v>
      </c>
      <c r="G213">
        <v>12190.4</v>
      </c>
      <c r="H213">
        <v>0</v>
      </c>
      <c r="I213">
        <v>0</v>
      </c>
      <c r="J213" s="107"/>
      <c r="K213" s="107"/>
    </row>
    <row r="214" spans="1:11" outlineLevel="1" x14ac:dyDescent="0.25">
      <c r="A214" s="107"/>
      <c r="B214" s="107"/>
      <c r="C214" s="107"/>
      <c r="D214">
        <v>2023</v>
      </c>
      <c r="E214">
        <f t="shared" si="25"/>
        <v>13830.425000000001</v>
      </c>
      <c r="F214">
        <v>829.82500000000005</v>
      </c>
      <c r="G214">
        <v>13000.6</v>
      </c>
      <c r="H214">
        <v>0</v>
      </c>
      <c r="I214">
        <v>0</v>
      </c>
      <c r="J214" s="107"/>
      <c r="K214" s="107"/>
    </row>
    <row r="215" spans="1:11" outlineLevel="1" x14ac:dyDescent="0.25">
      <c r="A215" s="107"/>
      <c r="B215" s="107"/>
      <c r="C215" s="107"/>
      <c r="D215">
        <v>2024</v>
      </c>
      <c r="E215">
        <f t="shared" si="25"/>
        <v>731.67447000000004</v>
      </c>
      <c r="F215">
        <v>731.67447000000004</v>
      </c>
      <c r="G215">
        <v>0</v>
      </c>
      <c r="H215">
        <v>0</v>
      </c>
      <c r="I215">
        <v>0</v>
      </c>
      <c r="J215" s="107"/>
      <c r="K215" s="107"/>
    </row>
    <row r="216" spans="1:11" outlineLevel="1" x14ac:dyDescent="0.25">
      <c r="A216" s="107"/>
      <c r="B216" s="107"/>
      <c r="C216" s="107"/>
      <c r="D216">
        <v>2025</v>
      </c>
      <c r="E216">
        <f t="shared" si="25"/>
        <v>0</v>
      </c>
      <c r="F216">
        <v>0</v>
      </c>
      <c r="G216">
        <v>0</v>
      </c>
      <c r="H216">
        <v>0</v>
      </c>
      <c r="I216">
        <v>0</v>
      </c>
      <c r="J216" s="107"/>
      <c r="K216" s="107"/>
    </row>
    <row r="217" spans="1:11" ht="19.5" customHeight="1" outlineLevel="1" x14ac:dyDescent="0.25">
      <c r="A217" s="107" t="s">
        <v>63</v>
      </c>
      <c r="B217" s="107" t="s">
        <v>90</v>
      </c>
      <c r="C217" s="107" t="s">
        <v>14</v>
      </c>
      <c r="D217" t="s">
        <v>8</v>
      </c>
      <c r="E217">
        <f t="shared" si="25"/>
        <v>21860.577469999997</v>
      </c>
      <c r="F217">
        <f>SUM(F218:F222)</f>
        <v>7731.2774699999991</v>
      </c>
      <c r="G217">
        <f>SUM(G218:G222)</f>
        <v>14129.3</v>
      </c>
      <c r="H217">
        <f>SUM(H218:H222)</f>
        <v>0</v>
      </c>
      <c r="I217">
        <f>SUM(I218:I222)</f>
        <v>0</v>
      </c>
      <c r="J217" s="107" t="s">
        <v>544</v>
      </c>
      <c r="K217" s="107" t="s">
        <v>486</v>
      </c>
    </row>
    <row r="218" spans="1:11" ht="15" customHeight="1" outlineLevel="1" x14ac:dyDescent="0.25">
      <c r="A218" s="107"/>
      <c r="B218" s="107"/>
      <c r="C218" s="107"/>
      <c r="D218">
        <v>2021</v>
      </c>
      <c r="E218">
        <f t="shared" si="25"/>
        <v>6382.1126800000002</v>
      </c>
      <c r="F218">
        <v>1850.81268</v>
      </c>
      <c r="G218">
        <v>4531.3</v>
      </c>
      <c r="H218">
        <v>0</v>
      </c>
      <c r="I218">
        <v>0</v>
      </c>
      <c r="J218" s="107"/>
      <c r="K218" s="107"/>
    </row>
    <row r="219" spans="1:11" ht="16.5" customHeight="1" outlineLevel="1" x14ac:dyDescent="0.25">
      <c r="A219" s="107"/>
      <c r="B219" s="107"/>
      <c r="C219" s="107"/>
      <c r="D219">
        <v>2022</v>
      </c>
      <c r="E219">
        <f t="shared" si="25"/>
        <v>6759.1549299999997</v>
      </c>
      <c r="F219">
        <v>1960.1549299999999</v>
      </c>
      <c r="G219">
        <v>4799</v>
      </c>
      <c r="H219">
        <v>0</v>
      </c>
      <c r="I219">
        <v>0</v>
      </c>
      <c r="J219" s="107"/>
      <c r="K219" s="107"/>
    </row>
    <row r="220" spans="1:11" ht="14.25" customHeight="1" outlineLevel="1" x14ac:dyDescent="0.25">
      <c r="A220" s="107"/>
      <c r="B220" s="107"/>
      <c r="C220" s="107"/>
      <c r="D220">
        <v>2023</v>
      </c>
      <c r="E220">
        <f t="shared" si="25"/>
        <v>6759.1549299999997</v>
      </c>
      <c r="F220">
        <v>1960.1549299999999</v>
      </c>
      <c r="G220">
        <v>4799</v>
      </c>
      <c r="H220">
        <v>0</v>
      </c>
      <c r="I220">
        <v>0</v>
      </c>
      <c r="J220" s="107"/>
      <c r="K220" s="107"/>
    </row>
    <row r="221" spans="1:11" ht="12.75" customHeight="1" outlineLevel="1" x14ac:dyDescent="0.25">
      <c r="A221" s="107"/>
      <c r="B221" s="107"/>
      <c r="C221" s="107"/>
      <c r="D221">
        <v>2024</v>
      </c>
      <c r="E221">
        <f t="shared" si="25"/>
        <v>1960.1549299999999</v>
      </c>
      <c r="F221">
        <v>1960.1549299999999</v>
      </c>
      <c r="G221">
        <v>0</v>
      </c>
      <c r="H221">
        <v>0</v>
      </c>
      <c r="I221">
        <v>0</v>
      </c>
      <c r="J221" s="107"/>
      <c r="K221" s="107"/>
    </row>
    <row r="222" spans="1:11" ht="14.25" customHeight="1" outlineLevel="1" x14ac:dyDescent="0.25">
      <c r="A222" s="107"/>
      <c r="B222" s="107"/>
      <c r="C222" s="107"/>
      <c r="D222">
        <v>2025</v>
      </c>
      <c r="E222">
        <f t="shared" si="25"/>
        <v>0</v>
      </c>
      <c r="F222">
        <v>0</v>
      </c>
      <c r="G222">
        <v>0</v>
      </c>
      <c r="H222">
        <v>0</v>
      </c>
      <c r="I222">
        <v>0</v>
      </c>
      <c r="J222" s="107"/>
      <c r="K222" s="107"/>
    </row>
    <row r="223" spans="1:11" ht="15.95" customHeight="1" x14ac:dyDescent="0.25">
      <c r="A223" s="107" t="s">
        <v>93</v>
      </c>
      <c r="B223" s="107" t="s">
        <v>94</v>
      </c>
      <c r="C223" s="107" t="s">
        <v>14</v>
      </c>
      <c r="D223" t="s">
        <v>8</v>
      </c>
      <c r="E223">
        <f t="shared" si="25"/>
        <v>1223746.6160092873</v>
      </c>
      <c r="F223">
        <f>SUM(F224:F228)</f>
        <v>651087.55233000009</v>
      </c>
      <c r="G223">
        <f>SUM(G224:G228)</f>
        <v>502391</v>
      </c>
      <c r="H223">
        <f>SUM(H224:H228)</f>
        <v>70268.063679287137</v>
      </c>
      <c r="I223">
        <f>SUM(I224:I228)</f>
        <v>0</v>
      </c>
      <c r="J223" s="107"/>
      <c r="K223" s="107" t="s">
        <v>545</v>
      </c>
    </row>
    <row r="224" spans="1:11" ht="15.95" customHeight="1" x14ac:dyDescent="0.25">
      <c r="A224" s="107"/>
      <c r="B224" s="107"/>
      <c r="C224" s="107"/>
      <c r="D224">
        <v>2021</v>
      </c>
      <c r="E224">
        <f t="shared" si="25"/>
        <v>524654.3260824451</v>
      </c>
      <c r="F224">
        <f t="shared" ref="F224:I228" si="28">F230+F277+F367</f>
        <v>238595.71540000002</v>
      </c>
      <c r="G224">
        <f t="shared" si="28"/>
        <v>257488.7</v>
      </c>
      <c r="H224">
        <f t="shared" si="28"/>
        <v>28569.910682445032</v>
      </c>
      <c r="I224">
        <f t="shared" si="28"/>
        <v>0</v>
      </c>
      <c r="J224" s="107"/>
      <c r="K224" s="107"/>
    </row>
    <row r="225" spans="1:11" ht="15.95" customHeight="1" x14ac:dyDescent="0.25">
      <c r="A225" s="107"/>
      <c r="B225" s="107"/>
      <c r="C225" s="107"/>
      <c r="D225">
        <v>2022</v>
      </c>
      <c r="E225">
        <f t="shared" si="25"/>
        <v>537469.39519000007</v>
      </c>
      <c r="F225">
        <f t="shared" si="28"/>
        <v>378666.53693000006</v>
      </c>
      <c r="G225">
        <f t="shared" si="28"/>
        <v>117511.3</v>
      </c>
      <c r="H225">
        <f t="shared" si="28"/>
        <v>41291.558260000005</v>
      </c>
      <c r="I225">
        <f t="shared" si="28"/>
        <v>0</v>
      </c>
      <c r="J225" s="107"/>
      <c r="K225" s="107"/>
    </row>
    <row r="226" spans="1:11" ht="15.95" customHeight="1" x14ac:dyDescent="0.25">
      <c r="A226" s="107"/>
      <c r="B226" s="107"/>
      <c r="C226" s="107"/>
      <c r="D226">
        <v>2023</v>
      </c>
      <c r="E226">
        <f t="shared" si="25"/>
        <v>145572.89473684211</v>
      </c>
      <c r="F226">
        <f t="shared" si="28"/>
        <v>17775.3</v>
      </c>
      <c r="G226">
        <f t="shared" si="28"/>
        <v>127391</v>
      </c>
      <c r="H226">
        <f t="shared" si="28"/>
        <v>406.59473684210525</v>
      </c>
      <c r="I226">
        <f t="shared" si="28"/>
        <v>0</v>
      </c>
      <c r="J226" s="107"/>
      <c r="K226" s="107"/>
    </row>
    <row r="227" spans="1:11" ht="15.95" customHeight="1" x14ac:dyDescent="0.25">
      <c r="A227" s="107"/>
      <c r="B227" s="107"/>
      <c r="C227" s="107"/>
      <c r="D227">
        <v>2024</v>
      </c>
      <c r="E227">
        <f t="shared" si="25"/>
        <v>10050</v>
      </c>
      <c r="F227">
        <f t="shared" si="28"/>
        <v>10050</v>
      </c>
      <c r="G227">
        <f t="shared" si="28"/>
        <v>0</v>
      </c>
      <c r="H227">
        <f t="shared" si="28"/>
        <v>0</v>
      </c>
      <c r="I227">
        <f t="shared" si="28"/>
        <v>0</v>
      </c>
      <c r="J227" s="107"/>
      <c r="K227" s="107"/>
    </row>
    <row r="228" spans="1:11" ht="15.95" customHeight="1" x14ac:dyDescent="0.25">
      <c r="A228" s="107"/>
      <c r="B228" s="107"/>
      <c r="C228" s="107"/>
      <c r="D228">
        <v>2025</v>
      </c>
      <c r="E228">
        <f t="shared" si="25"/>
        <v>6000</v>
      </c>
      <c r="F228">
        <f t="shared" si="28"/>
        <v>6000</v>
      </c>
      <c r="G228">
        <f t="shared" si="28"/>
        <v>0</v>
      </c>
      <c r="H228">
        <f t="shared" si="28"/>
        <v>0</v>
      </c>
      <c r="I228">
        <f t="shared" si="28"/>
        <v>0</v>
      </c>
      <c r="J228" s="107"/>
      <c r="K228" s="107"/>
    </row>
    <row r="229" spans="1:11" ht="15" customHeight="1" outlineLevel="1" x14ac:dyDescent="0.25">
      <c r="A229" s="107" t="s">
        <v>96</v>
      </c>
      <c r="B229" s="107" t="s">
        <v>97</v>
      </c>
      <c r="C229" s="107">
        <v>2021</v>
      </c>
      <c r="D229" t="s">
        <v>8</v>
      </c>
      <c r="E229">
        <f t="shared" si="25"/>
        <v>180769.60168444228</v>
      </c>
      <c r="F229">
        <f>SUM(F230:F234)</f>
        <v>141114.04199</v>
      </c>
      <c r="G229">
        <f>SUM(G230:G234)</f>
        <v>0</v>
      </c>
      <c r="H229">
        <f>SUM(H230:H234)</f>
        <v>39655.559694442294</v>
      </c>
      <c r="I229">
        <f>SUM(I230:I234)</f>
        <v>0</v>
      </c>
      <c r="J229" s="107" t="s">
        <v>98</v>
      </c>
      <c r="K229" s="107" t="s">
        <v>546</v>
      </c>
    </row>
    <row r="230" spans="1:11" outlineLevel="1" x14ac:dyDescent="0.25">
      <c r="A230" s="107"/>
      <c r="B230" s="107"/>
      <c r="C230" s="107"/>
      <c r="D230">
        <v>2021</v>
      </c>
      <c r="E230">
        <f t="shared" si="25"/>
        <v>69669.141684442293</v>
      </c>
      <c r="F230">
        <f>F241+F247+F253+F259+F265+F271</f>
        <v>56344.391990000004</v>
      </c>
      <c r="G230">
        <f>G241+G247+G253+G259+G265+G271</f>
        <v>0</v>
      </c>
      <c r="H230">
        <f t="shared" ref="H230:I234" si="29">H241+H247+H253+H259+H265</f>
        <v>13324.749694442291</v>
      </c>
      <c r="I230">
        <f t="shared" si="29"/>
        <v>0</v>
      </c>
      <c r="J230" s="107"/>
      <c r="K230" s="107"/>
    </row>
    <row r="231" spans="1:11" outlineLevel="1" x14ac:dyDescent="0.25">
      <c r="A231" s="107"/>
      <c r="B231" s="107"/>
      <c r="C231" s="107"/>
      <c r="D231">
        <v>2022</v>
      </c>
      <c r="E231">
        <f t="shared" si="25"/>
        <v>111100.45999999999</v>
      </c>
      <c r="F231">
        <f t="shared" ref="F231:G234" si="30">F242+F248+F254+F260+F266</f>
        <v>84769.65</v>
      </c>
      <c r="G231">
        <f t="shared" si="30"/>
        <v>0</v>
      </c>
      <c r="H231">
        <f t="shared" si="29"/>
        <v>26330.81</v>
      </c>
      <c r="I231">
        <f t="shared" si="29"/>
        <v>0</v>
      </c>
      <c r="J231" s="107"/>
      <c r="K231" s="107"/>
    </row>
    <row r="232" spans="1:11" outlineLevel="1" x14ac:dyDescent="0.25">
      <c r="A232" s="107"/>
      <c r="B232" s="107"/>
      <c r="C232" s="107"/>
      <c r="D232">
        <v>2023</v>
      </c>
      <c r="E232">
        <f t="shared" si="25"/>
        <v>0</v>
      </c>
      <c r="F232">
        <f t="shared" si="30"/>
        <v>0</v>
      </c>
      <c r="G232">
        <f t="shared" si="30"/>
        <v>0</v>
      </c>
      <c r="H232">
        <f t="shared" si="29"/>
        <v>0</v>
      </c>
      <c r="I232">
        <f t="shared" si="29"/>
        <v>0</v>
      </c>
      <c r="J232" s="107"/>
      <c r="K232" s="107"/>
    </row>
    <row r="233" spans="1:11" outlineLevel="1" x14ac:dyDescent="0.25">
      <c r="A233" s="107"/>
      <c r="B233" s="107"/>
      <c r="C233" s="107"/>
      <c r="D233">
        <v>2024</v>
      </c>
      <c r="E233">
        <f t="shared" si="25"/>
        <v>0</v>
      </c>
      <c r="F233">
        <f t="shared" si="30"/>
        <v>0</v>
      </c>
      <c r="G233">
        <f t="shared" si="30"/>
        <v>0</v>
      </c>
      <c r="H233">
        <f t="shared" si="29"/>
        <v>0</v>
      </c>
      <c r="I233">
        <f t="shared" si="29"/>
        <v>0</v>
      </c>
      <c r="J233" s="107"/>
      <c r="K233" s="107"/>
    </row>
    <row r="234" spans="1:11" outlineLevel="1" x14ac:dyDescent="0.25">
      <c r="A234" s="107"/>
      <c r="B234" s="107"/>
      <c r="C234" s="107"/>
      <c r="D234">
        <v>2025</v>
      </c>
      <c r="E234">
        <f t="shared" si="25"/>
        <v>0</v>
      </c>
      <c r="F234">
        <f t="shared" si="30"/>
        <v>0</v>
      </c>
      <c r="G234">
        <f t="shared" si="30"/>
        <v>0</v>
      </c>
      <c r="H234">
        <f t="shared" si="29"/>
        <v>0</v>
      </c>
      <c r="I234">
        <f t="shared" si="29"/>
        <v>0</v>
      </c>
      <c r="J234" s="107"/>
      <c r="K234" s="107"/>
    </row>
    <row r="235" spans="1:11" outlineLevel="1" x14ac:dyDescent="0.25"/>
    <row r="236" spans="1:11" outlineLevel="1" x14ac:dyDescent="0.25"/>
    <row r="237" spans="1:11" outlineLevel="1" x14ac:dyDescent="0.25"/>
    <row r="238" spans="1:11" outlineLevel="1" x14ac:dyDescent="0.25"/>
    <row r="239" spans="1:11" outlineLevel="1" x14ac:dyDescent="0.25"/>
    <row r="240" spans="1:11" ht="15" customHeight="1" outlineLevel="1" x14ac:dyDescent="0.25">
      <c r="A240" s="107" t="s">
        <v>100</v>
      </c>
      <c r="B240" s="107" t="s">
        <v>101</v>
      </c>
      <c r="C240" s="107">
        <v>2021</v>
      </c>
      <c r="D240" t="s">
        <v>8</v>
      </c>
      <c r="E240">
        <f>SUM(E241:E245)</f>
        <v>6584.2777657004835</v>
      </c>
      <c r="F240">
        <f>SUM(F241:F245)</f>
        <v>5451.7819900000004</v>
      </c>
      <c r="G240">
        <f>SUM(G241:G245)</f>
        <v>0</v>
      </c>
      <c r="H240">
        <f>SUM(H241:H245)</f>
        <v>1132.4957757004834</v>
      </c>
      <c r="I240">
        <f>SUM(I241:I245)</f>
        <v>0</v>
      </c>
      <c r="J240" s="107" t="s">
        <v>102</v>
      </c>
      <c r="K240" s="107" t="s">
        <v>547</v>
      </c>
    </row>
    <row r="241" spans="1:11" outlineLevel="1" x14ac:dyDescent="0.25">
      <c r="A241" s="107"/>
      <c r="B241" s="107"/>
      <c r="C241" s="107"/>
      <c r="D241">
        <v>2021</v>
      </c>
      <c r="E241">
        <f t="shared" ref="E241:E245" si="31">SUM(F241:I241)</f>
        <v>6584.2777657004835</v>
      </c>
      <c r="F241">
        <v>5451.7819900000004</v>
      </c>
      <c r="G241">
        <v>0</v>
      </c>
      <c r="H241">
        <f>F241/82.8*17.2</f>
        <v>1132.4957757004834</v>
      </c>
      <c r="I241">
        <v>0</v>
      </c>
      <c r="J241" s="107"/>
      <c r="K241" s="107"/>
    </row>
    <row r="242" spans="1:11" outlineLevel="1" x14ac:dyDescent="0.25">
      <c r="A242" s="107"/>
      <c r="B242" s="107"/>
      <c r="C242" s="107"/>
      <c r="D242">
        <v>2022</v>
      </c>
      <c r="E242">
        <f t="shared" si="31"/>
        <v>0</v>
      </c>
      <c r="F242">
        <v>0</v>
      </c>
      <c r="G242">
        <v>0</v>
      </c>
      <c r="H242">
        <v>0</v>
      </c>
      <c r="I242">
        <v>0</v>
      </c>
      <c r="J242" s="107"/>
      <c r="K242" s="107"/>
    </row>
    <row r="243" spans="1:11" outlineLevel="1" x14ac:dyDescent="0.25">
      <c r="A243" s="107"/>
      <c r="B243" s="107"/>
      <c r="C243" s="107"/>
      <c r="D243">
        <v>2023</v>
      </c>
      <c r="E243">
        <f t="shared" si="31"/>
        <v>0</v>
      </c>
      <c r="F243">
        <v>0</v>
      </c>
      <c r="G243">
        <v>0</v>
      </c>
      <c r="H243">
        <v>0</v>
      </c>
      <c r="I243">
        <v>0</v>
      </c>
      <c r="J243" s="107"/>
      <c r="K243" s="107"/>
    </row>
    <row r="244" spans="1:11" outlineLevel="1" x14ac:dyDescent="0.25">
      <c r="A244" s="107"/>
      <c r="B244" s="107"/>
      <c r="C244" s="107"/>
      <c r="D244">
        <v>2024</v>
      </c>
      <c r="E244">
        <f t="shared" si="31"/>
        <v>0</v>
      </c>
      <c r="F244">
        <v>0</v>
      </c>
      <c r="G244">
        <v>0</v>
      </c>
      <c r="H244">
        <v>0</v>
      </c>
      <c r="I244">
        <v>0</v>
      </c>
      <c r="J244" s="107"/>
      <c r="K244" s="107"/>
    </row>
    <row r="245" spans="1:11" outlineLevel="1" x14ac:dyDescent="0.25">
      <c r="A245" s="107"/>
      <c r="B245" s="107"/>
      <c r="C245" s="107"/>
      <c r="D245">
        <v>2025</v>
      </c>
      <c r="E245">
        <f t="shared" si="31"/>
        <v>0</v>
      </c>
      <c r="F245">
        <v>0</v>
      </c>
      <c r="G245">
        <v>0</v>
      </c>
      <c r="H245">
        <v>0</v>
      </c>
      <c r="I245">
        <v>0</v>
      </c>
      <c r="J245" s="107"/>
      <c r="K245" s="107"/>
    </row>
    <row r="246" spans="1:11" ht="15" customHeight="1" outlineLevel="1" x14ac:dyDescent="0.25">
      <c r="A246" s="107" t="s">
        <v>548</v>
      </c>
      <c r="B246" s="107" t="s">
        <v>442</v>
      </c>
      <c r="C246" s="107">
        <v>2021</v>
      </c>
      <c r="D246" t="s">
        <v>8</v>
      </c>
      <c r="E246">
        <f>SUM(E247:E251)</f>
        <v>40997.273918741805</v>
      </c>
      <c r="F246">
        <f>SUM(F247:F251)</f>
        <v>31280.92</v>
      </c>
      <c r="G246">
        <f>SUM(G247:G251)</f>
        <v>0</v>
      </c>
      <c r="H246">
        <f>SUM(H247:H251)</f>
        <v>9716.3539187418082</v>
      </c>
      <c r="I246">
        <f>SUM(I247:I251)</f>
        <v>0</v>
      </c>
      <c r="J246" s="107" t="s">
        <v>549</v>
      </c>
      <c r="K246" s="107" t="s">
        <v>547</v>
      </c>
    </row>
    <row r="247" spans="1:11" outlineLevel="1" x14ac:dyDescent="0.25">
      <c r="A247" s="107"/>
      <c r="B247" s="107"/>
      <c r="C247" s="107"/>
      <c r="D247">
        <v>2021</v>
      </c>
      <c r="E247">
        <f t="shared" ref="E247:E307" si="32">SUM(F247:I247)</f>
        <v>40997.273918741805</v>
      </c>
      <c r="F247">
        <v>31280.92</v>
      </c>
      <c r="G247">
        <v>0</v>
      </c>
      <c r="H247">
        <f>F247/76.3*23.7</f>
        <v>9716.3539187418082</v>
      </c>
      <c r="I247">
        <v>0</v>
      </c>
      <c r="J247" s="107"/>
      <c r="K247" s="107"/>
    </row>
    <row r="248" spans="1:11" outlineLevel="1" x14ac:dyDescent="0.25">
      <c r="A248" s="107"/>
      <c r="B248" s="107"/>
      <c r="C248" s="107"/>
      <c r="D248">
        <v>2022</v>
      </c>
      <c r="E248">
        <f t="shared" si="32"/>
        <v>0</v>
      </c>
      <c r="F248">
        <v>0</v>
      </c>
      <c r="G248">
        <v>0</v>
      </c>
      <c r="H248">
        <v>0</v>
      </c>
      <c r="I248">
        <v>0</v>
      </c>
      <c r="J248" s="107"/>
      <c r="K248" s="107"/>
    </row>
    <row r="249" spans="1:11" outlineLevel="1" x14ac:dyDescent="0.25">
      <c r="A249" s="107"/>
      <c r="B249" s="107"/>
      <c r="C249" s="107"/>
      <c r="D249">
        <v>2023</v>
      </c>
      <c r="E249">
        <f t="shared" si="32"/>
        <v>0</v>
      </c>
      <c r="F249">
        <v>0</v>
      </c>
      <c r="G249">
        <v>0</v>
      </c>
      <c r="H249">
        <v>0</v>
      </c>
      <c r="I249">
        <v>0</v>
      </c>
      <c r="J249" s="107"/>
      <c r="K249" s="107"/>
    </row>
    <row r="250" spans="1:11" outlineLevel="1" x14ac:dyDescent="0.25">
      <c r="A250" s="107"/>
      <c r="B250" s="107"/>
      <c r="C250" s="107"/>
      <c r="D250">
        <v>2024</v>
      </c>
      <c r="E250">
        <f t="shared" si="32"/>
        <v>0</v>
      </c>
      <c r="F250">
        <v>0</v>
      </c>
      <c r="G250">
        <v>0</v>
      </c>
      <c r="H250">
        <v>0</v>
      </c>
      <c r="I250">
        <v>0</v>
      </c>
      <c r="J250" s="107"/>
      <c r="K250" s="107"/>
    </row>
    <row r="251" spans="1:11" outlineLevel="1" x14ac:dyDescent="0.25">
      <c r="A251" s="107"/>
      <c r="B251" s="107"/>
      <c r="C251" s="107"/>
      <c r="D251">
        <v>2025</v>
      </c>
      <c r="E251">
        <f t="shared" si="32"/>
        <v>0</v>
      </c>
      <c r="F251">
        <v>0</v>
      </c>
      <c r="G251">
        <v>0</v>
      </c>
      <c r="H251">
        <v>0</v>
      </c>
      <c r="I251">
        <v>0</v>
      </c>
      <c r="J251" s="107"/>
      <c r="K251" s="107"/>
    </row>
    <row r="252" spans="1:11" ht="15" customHeight="1" outlineLevel="1" x14ac:dyDescent="0.25">
      <c r="A252" s="107" t="s">
        <v>550</v>
      </c>
      <c r="B252" s="107" t="s">
        <v>551</v>
      </c>
      <c r="C252" s="107">
        <v>2021</v>
      </c>
      <c r="D252" t="s">
        <v>8</v>
      </c>
      <c r="E252">
        <f t="shared" si="32"/>
        <v>1505.5</v>
      </c>
      <c r="F252">
        <f>SUM(F253:F257)</f>
        <v>1505.5</v>
      </c>
      <c r="G252">
        <f>SUM(G253:G257)</f>
        <v>0</v>
      </c>
      <c r="H252">
        <f>SUM(H253:H257)</f>
        <v>0</v>
      </c>
      <c r="I252">
        <f>SUM(I253:I257)</f>
        <v>0</v>
      </c>
      <c r="J252" s="107" t="s">
        <v>552</v>
      </c>
      <c r="K252" s="107" t="s">
        <v>553</v>
      </c>
    </row>
    <row r="253" spans="1:11" ht="15" customHeight="1" outlineLevel="1" x14ac:dyDescent="0.25">
      <c r="A253" s="107"/>
      <c r="B253" s="107"/>
      <c r="C253" s="107"/>
      <c r="D253">
        <v>2021</v>
      </c>
      <c r="E253">
        <f t="shared" si="32"/>
        <v>1505.5</v>
      </c>
      <c r="F253">
        <v>1505.5</v>
      </c>
      <c r="G253">
        <v>0</v>
      </c>
      <c r="H253">
        <v>0</v>
      </c>
      <c r="I253">
        <v>0</v>
      </c>
      <c r="J253" s="107"/>
      <c r="K253" s="107"/>
    </row>
    <row r="254" spans="1:11" outlineLevel="1" x14ac:dyDescent="0.25">
      <c r="A254" s="107"/>
      <c r="B254" s="107"/>
      <c r="C254" s="107"/>
      <c r="D254">
        <v>2022</v>
      </c>
      <c r="E254">
        <f t="shared" si="32"/>
        <v>0</v>
      </c>
      <c r="F254">
        <v>0</v>
      </c>
      <c r="G254">
        <v>0</v>
      </c>
      <c r="H254">
        <v>0</v>
      </c>
      <c r="I254">
        <v>0</v>
      </c>
      <c r="J254" s="107"/>
      <c r="K254" s="107"/>
    </row>
    <row r="255" spans="1:11" outlineLevel="1" x14ac:dyDescent="0.25">
      <c r="A255" s="107"/>
      <c r="B255" s="107"/>
      <c r="C255" s="107"/>
      <c r="D255">
        <v>2023</v>
      </c>
      <c r="E255">
        <f t="shared" si="32"/>
        <v>0</v>
      </c>
      <c r="F255">
        <v>0</v>
      </c>
      <c r="G255">
        <v>0</v>
      </c>
      <c r="H255">
        <v>0</v>
      </c>
      <c r="I255">
        <v>0</v>
      </c>
      <c r="J255" s="107"/>
      <c r="K255" s="107"/>
    </row>
    <row r="256" spans="1:11" outlineLevel="1" x14ac:dyDescent="0.25">
      <c r="A256" s="107"/>
      <c r="B256" s="107"/>
      <c r="C256" s="107"/>
      <c r="D256">
        <v>2024</v>
      </c>
      <c r="E256">
        <f t="shared" si="32"/>
        <v>0</v>
      </c>
      <c r="F256">
        <v>0</v>
      </c>
      <c r="G256">
        <v>0</v>
      </c>
      <c r="H256">
        <v>0</v>
      </c>
      <c r="I256">
        <v>0</v>
      </c>
      <c r="J256" s="107"/>
      <c r="K256" s="107"/>
    </row>
    <row r="257" spans="1:11" outlineLevel="1" x14ac:dyDescent="0.25">
      <c r="A257" s="107"/>
      <c r="B257" s="107"/>
      <c r="C257" s="107"/>
      <c r="D257">
        <v>2025</v>
      </c>
      <c r="E257">
        <f t="shared" si="32"/>
        <v>0</v>
      </c>
      <c r="F257">
        <v>0</v>
      </c>
      <c r="G257">
        <v>0</v>
      </c>
      <c r="H257">
        <v>0</v>
      </c>
      <c r="I257">
        <v>0</v>
      </c>
      <c r="J257" s="107"/>
      <c r="K257" s="107"/>
    </row>
    <row r="258" spans="1:11" ht="15" hidden="1" customHeight="1" outlineLevel="1" x14ac:dyDescent="0.25">
      <c r="A258" s="107" t="s">
        <v>554</v>
      </c>
      <c r="B258" s="107" t="s">
        <v>555</v>
      </c>
      <c r="C258" s="107">
        <v>2021</v>
      </c>
      <c r="D258" t="s">
        <v>8</v>
      </c>
      <c r="E258">
        <f t="shared" si="32"/>
        <v>0</v>
      </c>
      <c r="F258">
        <f>SUM(F259:F263)</f>
        <v>0</v>
      </c>
      <c r="G258">
        <f>SUM(G259:G263)</f>
        <v>0</v>
      </c>
      <c r="H258">
        <f>SUM(H259:H263)</f>
        <v>0</v>
      </c>
      <c r="I258">
        <f>SUM(I259:I263)</f>
        <v>0</v>
      </c>
      <c r="J258" s="107" t="s">
        <v>556</v>
      </c>
      <c r="K258" s="107" t="s">
        <v>515</v>
      </c>
    </row>
    <row r="259" spans="1:11" hidden="1" outlineLevel="1" x14ac:dyDescent="0.25">
      <c r="A259" s="107"/>
      <c r="B259" s="107"/>
      <c r="C259" s="107"/>
      <c r="D259">
        <v>2021</v>
      </c>
      <c r="E259">
        <f t="shared" si="32"/>
        <v>0</v>
      </c>
      <c r="F259">
        <v>0</v>
      </c>
      <c r="G259">
        <v>0</v>
      </c>
      <c r="H259">
        <v>0</v>
      </c>
      <c r="I259">
        <v>0</v>
      </c>
      <c r="J259" s="107"/>
      <c r="K259" s="107"/>
    </row>
    <row r="260" spans="1:11" hidden="1" outlineLevel="1" x14ac:dyDescent="0.25">
      <c r="A260" s="107"/>
      <c r="B260" s="107"/>
      <c r="C260" s="107"/>
      <c r="D260">
        <v>2022</v>
      </c>
      <c r="E260">
        <f t="shared" si="32"/>
        <v>0</v>
      </c>
      <c r="F260">
        <v>0</v>
      </c>
      <c r="G260">
        <v>0</v>
      </c>
      <c r="H260">
        <v>0</v>
      </c>
      <c r="I260">
        <v>0</v>
      </c>
      <c r="J260" s="107"/>
      <c r="K260" s="107"/>
    </row>
    <row r="261" spans="1:11" hidden="1" outlineLevel="1" x14ac:dyDescent="0.25">
      <c r="A261" s="107"/>
      <c r="B261" s="107"/>
      <c r="C261" s="107"/>
      <c r="D261">
        <v>2023</v>
      </c>
      <c r="E261">
        <f t="shared" si="32"/>
        <v>0</v>
      </c>
      <c r="F261">
        <v>0</v>
      </c>
      <c r="G261">
        <v>0</v>
      </c>
      <c r="H261">
        <v>0</v>
      </c>
      <c r="I261">
        <v>0</v>
      </c>
      <c r="J261" s="107"/>
      <c r="K261" s="107"/>
    </row>
    <row r="262" spans="1:11" hidden="1" outlineLevel="1" x14ac:dyDescent="0.25">
      <c r="A262" s="107"/>
      <c r="B262" s="107"/>
      <c r="C262" s="107"/>
      <c r="D262">
        <v>2024</v>
      </c>
      <c r="E262">
        <f t="shared" si="32"/>
        <v>0</v>
      </c>
      <c r="F262">
        <v>0</v>
      </c>
      <c r="G262">
        <v>0</v>
      </c>
      <c r="H262">
        <v>0</v>
      </c>
      <c r="I262">
        <v>0</v>
      </c>
      <c r="J262" s="107"/>
      <c r="K262" s="107"/>
    </row>
    <row r="263" spans="1:11" ht="84.75" hidden="1" customHeight="1" outlineLevel="1" x14ac:dyDescent="0.25">
      <c r="A263" s="107"/>
      <c r="B263" s="107"/>
      <c r="C263" s="107"/>
      <c r="D263">
        <v>2025</v>
      </c>
      <c r="E263">
        <f t="shared" si="32"/>
        <v>0</v>
      </c>
      <c r="F263">
        <v>0</v>
      </c>
      <c r="G263">
        <v>0</v>
      </c>
      <c r="H263">
        <v>0</v>
      </c>
      <c r="I263">
        <v>0</v>
      </c>
      <c r="J263" s="107"/>
      <c r="K263" s="107"/>
    </row>
    <row r="264" spans="1:11" ht="15" customHeight="1" outlineLevel="1" x14ac:dyDescent="0.25">
      <c r="A264" s="107" t="s">
        <v>557</v>
      </c>
      <c r="B264" s="107" t="s">
        <v>558</v>
      </c>
      <c r="C264" s="107">
        <v>2021</v>
      </c>
      <c r="D264" t="s">
        <v>8</v>
      </c>
      <c r="E264">
        <f t="shared" si="32"/>
        <v>121547.26</v>
      </c>
      <c r="F264">
        <f>SUM(F265:F269)</f>
        <v>92740.549999999988</v>
      </c>
      <c r="G264">
        <f>SUM(G265:G269)</f>
        <v>0</v>
      </c>
      <c r="H264">
        <f>SUM(H265:H269)</f>
        <v>28806.710000000003</v>
      </c>
      <c r="I264">
        <f>SUM(I265:I269)</f>
        <v>0</v>
      </c>
      <c r="J264" s="107" t="s">
        <v>559</v>
      </c>
      <c r="K264" s="107" t="s">
        <v>547</v>
      </c>
    </row>
    <row r="265" spans="1:11" ht="15" customHeight="1" outlineLevel="1" x14ac:dyDescent="0.25">
      <c r="A265" s="107"/>
      <c r="B265" s="107"/>
      <c r="C265" s="107"/>
      <c r="D265">
        <v>2021</v>
      </c>
      <c r="E265">
        <f t="shared" si="32"/>
        <v>10446.799999999999</v>
      </c>
      <c r="F265">
        <v>7970.9</v>
      </c>
      <c r="G265">
        <v>0</v>
      </c>
      <c r="H265">
        <v>2475.9</v>
      </c>
      <c r="I265">
        <v>0</v>
      </c>
      <c r="J265" s="107"/>
      <c r="K265" s="107"/>
    </row>
    <row r="266" spans="1:11" ht="15" customHeight="1" outlineLevel="1" x14ac:dyDescent="0.25">
      <c r="A266" s="107"/>
      <c r="B266" s="107"/>
      <c r="C266" s="107"/>
      <c r="D266">
        <v>2022</v>
      </c>
      <c r="E266">
        <f t="shared" si="32"/>
        <v>111100.45999999999</v>
      </c>
      <c r="F266">
        <v>84769.65</v>
      </c>
      <c r="G266">
        <v>0</v>
      </c>
      <c r="H266">
        <v>26330.81</v>
      </c>
      <c r="I266">
        <v>0</v>
      </c>
      <c r="J266" s="107"/>
      <c r="K266" s="107"/>
    </row>
    <row r="267" spans="1:11" ht="15" customHeight="1" outlineLevel="1" x14ac:dyDescent="0.25">
      <c r="A267" s="107"/>
      <c r="B267" s="107"/>
      <c r="C267" s="107"/>
      <c r="D267">
        <v>2023</v>
      </c>
      <c r="E267">
        <f t="shared" si="32"/>
        <v>0</v>
      </c>
      <c r="F267">
        <v>0</v>
      </c>
      <c r="G267">
        <v>0</v>
      </c>
      <c r="H267">
        <v>0</v>
      </c>
      <c r="I267">
        <v>0</v>
      </c>
      <c r="J267" s="107"/>
      <c r="K267" s="107"/>
    </row>
    <row r="268" spans="1:11" ht="15" customHeight="1" outlineLevel="1" x14ac:dyDescent="0.25">
      <c r="A268" s="107"/>
      <c r="B268" s="107"/>
      <c r="C268" s="107"/>
      <c r="D268">
        <v>2024</v>
      </c>
      <c r="E268">
        <f t="shared" si="32"/>
        <v>0</v>
      </c>
      <c r="F268">
        <v>0</v>
      </c>
      <c r="G268">
        <v>0</v>
      </c>
      <c r="H268">
        <v>0</v>
      </c>
      <c r="I268">
        <v>0</v>
      </c>
      <c r="J268" s="107"/>
      <c r="K268" s="107"/>
    </row>
    <row r="269" spans="1:11" ht="15" customHeight="1" outlineLevel="1" x14ac:dyDescent="0.25">
      <c r="A269" s="107"/>
      <c r="B269" s="107"/>
      <c r="C269" s="107"/>
      <c r="D269">
        <v>2025</v>
      </c>
      <c r="E269">
        <f t="shared" si="32"/>
        <v>0</v>
      </c>
      <c r="F269">
        <v>0</v>
      </c>
      <c r="G269">
        <v>0</v>
      </c>
      <c r="H269">
        <v>0</v>
      </c>
      <c r="I269">
        <v>0</v>
      </c>
      <c r="J269" s="107"/>
      <c r="K269" s="107"/>
    </row>
    <row r="270" spans="1:11" ht="15" customHeight="1" outlineLevel="1" x14ac:dyDescent="0.25">
      <c r="A270" s="107" t="s">
        <v>560</v>
      </c>
      <c r="B270" s="107" t="s">
        <v>561</v>
      </c>
      <c r="C270" s="107">
        <v>2021</v>
      </c>
      <c r="D270" t="s">
        <v>8</v>
      </c>
      <c r="E270">
        <f t="shared" si="32"/>
        <v>10135.290000000001</v>
      </c>
      <c r="F270">
        <f>SUM(F271:F275)</f>
        <v>10135.290000000001</v>
      </c>
      <c r="G270">
        <f>SUM(G271:G275)</f>
        <v>0</v>
      </c>
      <c r="H270">
        <f>SUM(H271:H275)</f>
        <v>0</v>
      </c>
      <c r="I270">
        <f>SUM(I271:I275)</f>
        <v>0</v>
      </c>
      <c r="J270" s="107" t="s">
        <v>562</v>
      </c>
      <c r="K270" s="107" t="s">
        <v>563</v>
      </c>
    </row>
    <row r="271" spans="1:11" ht="15" customHeight="1" outlineLevel="1" x14ac:dyDescent="0.25">
      <c r="A271" s="107"/>
      <c r="B271" s="107"/>
      <c r="C271" s="107"/>
      <c r="D271">
        <v>2021</v>
      </c>
      <c r="E271">
        <f t="shared" si="32"/>
        <v>10135.290000000001</v>
      </c>
      <c r="F271">
        <v>10135.290000000001</v>
      </c>
      <c r="G271">
        <v>0</v>
      </c>
      <c r="H271">
        <v>0</v>
      </c>
      <c r="I271">
        <v>0</v>
      </c>
      <c r="J271" s="107"/>
      <c r="K271" s="107"/>
    </row>
    <row r="272" spans="1:11" ht="15" customHeight="1" outlineLevel="1" x14ac:dyDescent="0.25">
      <c r="A272" s="107"/>
      <c r="B272" s="107"/>
      <c r="C272" s="107"/>
      <c r="D272">
        <v>2022</v>
      </c>
      <c r="E272">
        <f t="shared" si="32"/>
        <v>0</v>
      </c>
      <c r="F272">
        <v>0</v>
      </c>
      <c r="G272">
        <v>0</v>
      </c>
      <c r="H272">
        <v>0</v>
      </c>
      <c r="I272">
        <v>0</v>
      </c>
      <c r="J272" s="107"/>
      <c r="K272" s="107"/>
    </row>
    <row r="273" spans="1:15" ht="15" customHeight="1" outlineLevel="1" x14ac:dyDescent="0.25">
      <c r="A273" s="107"/>
      <c r="B273" s="107"/>
      <c r="C273" s="107"/>
      <c r="D273">
        <v>2023</v>
      </c>
      <c r="E273">
        <f t="shared" si="32"/>
        <v>0</v>
      </c>
      <c r="F273">
        <v>0</v>
      </c>
      <c r="G273">
        <v>0</v>
      </c>
      <c r="H273">
        <v>0</v>
      </c>
      <c r="I273">
        <v>0</v>
      </c>
      <c r="J273" s="107"/>
      <c r="K273" s="107"/>
    </row>
    <row r="274" spans="1:15" ht="15" customHeight="1" outlineLevel="1" x14ac:dyDescent="0.25">
      <c r="A274" s="107"/>
      <c r="B274" s="107"/>
      <c r="C274" s="107"/>
      <c r="D274">
        <v>2024</v>
      </c>
      <c r="E274">
        <f t="shared" si="32"/>
        <v>0</v>
      </c>
      <c r="F274">
        <v>0</v>
      </c>
      <c r="G274">
        <v>0</v>
      </c>
      <c r="H274">
        <v>0</v>
      </c>
      <c r="I274">
        <v>0</v>
      </c>
      <c r="J274" s="107"/>
      <c r="K274" s="107"/>
    </row>
    <row r="275" spans="1:15" ht="15" customHeight="1" outlineLevel="1" x14ac:dyDescent="0.25">
      <c r="A275" s="107"/>
      <c r="B275" s="107"/>
      <c r="C275" s="107"/>
      <c r="D275">
        <v>2025</v>
      </c>
      <c r="E275">
        <f t="shared" si="32"/>
        <v>0</v>
      </c>
      <c r="F275">
        <v>0</v>
      </c>
      <c r="G275">
        <v>0</v>
      </c>
      <c r="H275">
        <v>0</v>
      </c>
      <c r="I275">
        <v>0</v>
      </c>
      <c r="J275" s="107"/>
      <c r="K275" s="107"/>
    </row>
    <row r="276" spans="1:15" ht="15" customHeight="1" outlineLevel="1" x14ac:dyDescent="0.25">
      <c r="A276" s="107" t="s">
        <v>104</v>
      </c>
      <c r="B276" s="107" t="s">
        <v>105</v>
      </c>
      <c r="C276" s="107" t="s">
        <v>14</v>
      </c>
      <c r="D276" t="s">
        <v>8</v>
      </c>
      <c r="E276">
        <f t="shared" si="32"/>
        <v>201513.85140800275</v>
      </c>
      <c r="F276">
        <f>SUM(F277:F281)</f>
        <v>187090.46288000001</v>
      </c>
      <c r="G276">
        <f>SUM(G277:G281)</f>
        <v>0</v>
      </c>
      <c r="H276">
        <f>SUM(H277:H281)</f>
        <v>14423.388528002741</v>
      </c>
      <c r="I276">
        <f>SUM(I277:I281)</f>
        <v>0</v>
      </c>
      <c r="J276" s="107" t="s">
        <v>106</v>
      </c>
      <c r="K276" s="107" t="s">
        <v>564</v>
      </c>
      <c r="L276" s="107"/>
      <c r="M276" s="107"/>
      <c r="N276" s="107"/>
      <c r="O276" s="107"/>
    </row>
    <row r="277" spans="1:15" outlineLevel="1" x14ac:dyDescent="0.25">
      <c r="A277" s="107"/>
      <c r="B277" s="107"/>
      <c r="C277" s="107"/>
      <c r="D277">
        <v>2021</v>
      </c>
      <c r="E277">
        <f t="shared" si="32"/>
        <v>177513.85140800275</v>
      </c>
      <c r="F277">
        <f>SUM(F283+F289+F295+F301+F307+F313+F319+F325+F331+F337+F343+F349+F355+F361)</f>
        <v>163090.46288000001</v>
      </c>
      <c r="G277">
        <f t="shared" ref="F277:I281" si="33">SUM(G283+G289+G295+G301+G307+G313+G319+G325+G331+G337+G343+G349+G355)</f>
        <v>0</v>
      </c>
      <c r="H277">
        <f t="shared" si="33"/>
        <v>14423.388528002741</v>
      </c>
      <c r="I277">
        <f t="shared" si="33"/>
        <v>0</v>
      </c>
      <c r="J277" s="107"/>
      <c r="K277" s="107"/>
      <c r="L277" s="107"/>
      <c r="M277" s="107"/>
      <c r="N277" s="107"/>
      <c r="O277" s="107"/>
    </row>
    <row r="278" spans="1:15" outlineLevel="1" x14ac:dyDescent="0.25">
      <c r="A278" s="107"/>
      <c r="B278" s="107"/>
      <c r="C278" s="107"/>
      <c r="D278">
        <v>2022</v>
      </c>
      <c r="E278">
        <f t="shared" si="32"/>
        <v>6000</v>
      </c>
      <c r="F278">
        <f t="shared" si="33"/>
        <v>6000</v>
      </c>
      <c r="G278">
        <f t="shared" si="33"/>
        <v>0</v>
      </c>
      <c r="H278">
        <f t="shared" si="33"/>
        <v>0</v>
      </c>
      <c r="I278">
        <f t="shared" si="33"/>
        <v>0</v>
      </c>
      <c r="J278" s="107"/>
      <c r="K278" s="107"/>
      <c r="L278" s="107"/>
      <c r="M278" s="107"/>
      <c r="N278" s="107"/>
      <c r="O278" s="107"/>
    </row>
    <row r="279" spans="1:15" outlineLevel="1" x14ac:dyDescent="0.25">
      <c r="A279" s="107"/>
      <c r="B279" s="107"/>
      <c r="C279" s="107"/>
      <c r="D279">
        <v>2023</v>
      </c>
      <c r="E279">
        <f t="shared" si="32"/>
        <v>6000</v>
      </c>
      <c r="F279">
        <f t="shared" si="33"/>
        <v>6000</v>
      </c>
      <c r="G279">
        <f t="shared" si="33"/>
        <v>0</v>
      </c>
      <c r="H279">
        <f t="shared" si="33"/>
        <v>0</v>
      </c>
      <c r="I279">
        <f t="shared" si="33"/>
        <v>0</v>
      </c>
      <c r="J279" s="107"/>
      <c r="K279" s="107"/>
    </row>
    <row r="280" spans="1:15" outlineLevel="1" x14ac:dyDescent="0.25">
      <c r="A280" s="107"/>
      <c r="B280" s="107"/>
      <c r="C280" s="107"/>
      <c r="D280">
        <v>2024</v>
      </c>
      <c r="E280">
        <f t="shared" si="32"/>
        <v>6000</v>
      </c>
      <c r="F280">
        <f t="shared" si="33"/>
        <v>6000</v>
      </c>
      <c r="G280">
        <f t="shared" si="33"/>
        <v>0</v>
      </c>
      <c r="H280">
        <f t="shared" si="33"/>
        <v>0</v>
      </c>
      <c r="I280">
        <f t="shared" si="33"/>
        <v>0</v>
      </c>
      <c r="J280" s="107"/>
      <c r="K280" s="107"/>
    </row>
    <row r="281" spans="1:15" outlineLevel="1" x14ac:dyDescent="0.25">
      <c r="A281" s="107"/>
      <c r="B281" s="107"/>
      <c r="C281" s="107"/>
      <c r="D281">
        <v>2025</v>
      </c>
      <c r="E281">
        <f t="shared" si="32"/>
        <v>6000</v>
      </c>
      <c r="F281">
        <f t="shared" si="33"/>
        <v>6000</v>
      </c>
      <c r="G281">
        <f t="shared" si="33"/>
        <v>0</v>
      </c>
      <c r="H281">
        <f t="shared" si="33"/>
        <v>0</v>
      </c>
      <c r="I281">
        <f t="shared" si="33"/>
        <v>0</v>
      </c>
      <c r="J281" s="107"/>
      <c r="K281" s="107"/>
    </row>
    <row r="282" spans="1:15" ht="17.100000000000001" customHeight="1" outlineLevel="1" x14ac:dyDescent="0.25">
      <c r="A282" s="107" t="s">
        <v>108</v>
      </c>
      <c r="B282" s="107" t="s">
        <v>109</v>
      </c>
      <c r="C282" s="107">
        <v>2021</v>
      </c>
      <c r="D282" t="s">
        <v>8</v>
      </c>
      <c r="E282">
        <f t="shared" si="32"/>
        <v>27027.03</v>
      </c>
      <c r="F282">
        <f>SUM(F283:F287)</f>
        <v>25000</v>
      </c>
      <c r="G282">
        <f>SUM(G283:G287)</f>
        <v>0</v>
      </c>
      <c r="H282">
        <f>SUM(H283:H287)</f>
        <v>2027.03</v>
      </c>
      <c r="I282">
        <f>SUM(I283:I287)</f>
        <v>0</v>
      </c>
      <c r="J282" s="107" t="s">
        <v>565</v>
      </c>
      <c r="K282" s="107" t="s">
        <v>566</v>
      </c>
    </row>
    <row r="283" spans="1:15" ht="17.100000000000001" customHeight="1" outlineLevel="1" x14ac:dyDescent="0.25">
      <c r="A283" s="107"/>
      <c r="B283" s="107"/>
      <c r="C283" s="107"/>
      <c r="D283">
        <v>2021</v>
      </c>
      <c r="E283">
        <f t="shared" si="32"/>
        <v>27027.03</v>
      </c>
      <c r="F283">
        <v>25000</v>
      </c>
      <c r="G283">
        <v>0</v>
      </c>
      <c r="H283">
        <v>2027.03</v>
      </c>
      <c r="I283">
        <v>0</v>
      </c>
      <c r="J283" s="107"/>
      <c r="K283" s="107"/>
    </row>
    <row r="284" spans="1:15" ht="17.100000000000001" customHeight="1" outlineLevel="1" x14ac:dyDescent="0.25">
      <c r="A284" s="107"/>
      <c r="B284" s="107"/>
      <c r="C284" s="107"/>
      <c r="D284">
        <v>2022</v>
      </c>
      <c r="E284">
        <f t="shared" si="32"/>
        <v>0</v>
      </c>
      <c r="F284">
        <v>0</v>
      </c>
      <c r="G284">
        <v>0</v>
      </c>
      <c r="H284">
        <f>+H302</f>
        <v>0</v>
      </c>
      <c r="I284">
        <v>0</v>
      </c>
      <c r="J284" s="107"/>
      <c r="K284" s="107"/>
    </row>
    <row r="285" spans="1:15" ht="17.100000000000001" customHeight="1" outlineLevel="1" x14ac:dyDescent="0.25">
      <c r="A285" s="107"/>
      <c r="B285" s="107"/>
      <c r="C285" s="107"/>
      <c r="D285">
        <v>2023</v>
      </c>
      <c r="E285">
        <f t="shared" si="32"/>
        <v>0</v>
      </c>
      <c r="F285">
        <v>0</v>
      </c>
      <c r="G285">
        <v>0</v>
      </c>
      <c r="H285">
        <v>0</v>
      </c>
      <c r="I285">
        <v>0</v>
      </c>
      <c r="J285" s="107"/>
      <c r="K285" s="107"/>
    </row>
    <row r="286" spans="1:15" outlineLevel="1" x14ac:dyDescent="0.25">
      <c r="A286" s="107"/>
      <c r="B286" s="107"/>
      <c r="C286" s="107"/>
      <c r="D286">
        <v>2024</v>
      </c>
      <c r="E286">
        <f t="shared" si="32"/>
        <v>0</v>
      </c>
      <c r="F286">
        <v>0</v>
      </c>
      <c r="G286">
        <v>0</v>
      </c>
      <c r="H286">
        <v>0</v>
      </c>
      <c r="I286">
        <v>0</v>
      </c>
      <c r="J286" s="107"/>
      <c r="K286" s="107"/>
    </row>
    <row r="287" spans="1:15" outlineLevel="1" x14ac:dyDescent="0.25">
      <c r="A287" s="107"/>
      <c r="B287" s="107"/>
      <c r="C287" s="107"/>
      <c r="D287">
        <v>2025</v>
      </c>
      <c r="E287">
        <f t="shared" si="32"/>
        <v>0</v>
      </c>
      <c r="F287">
        <v>0</v>
      </c>
      <c r="G287">
        <v>0</v>
      </c>
      <c r="H287">
        <v>0</v>
      </c>
      <c r="I287">
        <v>0</v>
      </c>
      <c r="J287" s="107"/>
      <c r="K287" s="107"/>
    </row>
    <row r="288" spans="1:15" ht="17.100000000000001" customHeight="1" outlineLevel="1" x14ac:dyDescent="0.25">
      <c r="A288" s="107" t="s">
        <v>112</v>
      </c>
      <c r="B288" s="107" t="s">
        <v>113</v>
      </c>
      <c r="C288" s="107" t="s">
        <v>14</v>
      </c>
      <c r="D288" t="s">
        <v>8</v>
      </c>
      <c r="E288">
        <f t="shared" si="32"/>
        <v>30000</v>
      </c>
      <c r="F288">
        <f>SUM(F289:F293)</f>
        <v>30000</v>
      </c>
      <c r="G288">
        <f>SUM(G289:G293)</f>
        <v>0</v>
      </c>
      <c r="H288">
        <f>SUM(H289:H293)</f>
        <v>0</v>
      </c>
      <c r="I288">
        <f>SUM(I289:I293)</f>
        <v>0</v>
      </c>
      <c r="J288" s="107" t="s">
        <v>567</v>
      </c>
      <c r="K288" s="107" t="s">
        <v>563</v>
      </c>
    </row>
    <row r="289" spans="1:11" ht="17.100000000000001" customHeight="1" outlineLevel="1" x14ac:dyDescent="0.25">
      <c r="A289" s="107"/>
      <c r="B289" s="107"/>
      <c r="C289" s="107"/>
      <c r="D289">
        <v>2021</v>
      </c>
      <c r="E289">
        <f t="shared" si="32"/>
        <v>6000</v>
      </c>
      <c r="F289">
        <v>6000</v>
      </c>
      <c r="G289">
        <v>0</v>
      </c>
      <c r="H289">
        <v>0</v>
      </c>
      <c r="I289">
        <v>0</v>
      </c>
      <c r="J289" s="107"/>
      <c r="K289" s="107"/>
    </row>
    <row r="290" spans="1:11" ht="17.100000000000001" customHeight="1" outlineLevel="1" x14ac:dyDescent="0.25">
      <c r="A290" s="107"/>
      <c r="B290" s="107"/>
      <c r="C290" s="107"/>
      <c r="D290">
        <v>2022</v>
      </c>
      <c r="E290">
        <f t="shared" si="32"/>
        <v>6000</v>
      </c>
      <c r="F290">
        <v>6000</v>
      </c>
      <c r="G290">
        <v>0</v>
      </c>
      <c r="H290">
        <v>0</v>
      </c>
      <c r="I290">
        <v>0</v>
      </c>
      <c r="J290" s="107"/>
      <c r="K290" s="107"/>
    </row>
    <row r="291" spans="1:11" ht="17.100000000000001" customHeight="1" outlineLevel="1" x14ac:dyDescent="0.25">
      <c r="A291" s="107"/>
      <c r="B291" s="107"/>
      <c r="C291" s="107"/>
      <c r="D291">
        <v>2023</v>
      </c>
      <c r="E291">
        <f t="shared" si="32"/>
        <v>6000</v>
      </c>
      <c r="F291">
        <v>6000</v>
      </c>
      <c r="G291">
        <v>0</v>
      </c>
      <c r="H291">
        <v>0</v>
      </c>
      <c r="I291">
        <v>0</v>
      </c>
      <c r="J291" s="107"/>
      <c r="K291" s="107"/>
    </row>
    <row r="292" spans="1:11" outlineLevel="1" x14ac:dyDescent="0.25">
      <c r="A292" s="107"/>
      <c r="B292" s="107"/>
      <c r="C292" s="107"/>
      <c r="D292">
        <v>2024</v>
      </c>
      <c r="E292">
        <f t="shared" si="32"/>
        <v>6000</v>
      </c>
      <c r="F292">
        <v>6000</v>
      </c>
      <c r="G292">
        <v>0</v>
      </c>
      <c r="H292">
        <v>0</v>
      </c>
      <c r="I292">
        <v>0</v>
      </c>
      <c r="J292" s="107"/>
      <c r="K292" s="107"/>
    </row>
    <row r="293" spans="1:11" outlineLevel="1" x14ac:dyDescent="0.25">
      <c r="A293" s="107"/>
      <c r="B293" s="107"/>
      <c r="C293" s="107"/>
      <c r="D293">
        <v>2025</v>
      </c>
      <c r="E293">
        <f t="shared" si="32"/>
        <v>6000</v>
      </c>
      <c r="F293">
        <v>6000</v>
      </c>
      <c r="G293">
        <v>0</v>
      </c>
      <c r="H293">
        <v>0</v>
      </c>
      <c r="I293">
        <v>0</v>
      </c>
      <c r="J293" s="107"/>
      <c r="K293" s="107"/>
    </row>
    <row r="294" spans="1:11" ht="17.100000000000001" customHeight="1" outlineLevel="1" x14ac:dyDescent="0.25">
      <c r="A294" s="107" t="s">
        <v>568</v>
      </c>
      <c r="B294" s="107" t="s">
        <v>569</v>
      </c>
      <c r="C294" s="107">
        <v>2021</v>
      </c>
      <c r="D294" t="s">
        <v>8</v>
      </c>
      <c r="E294">
        <f t="shared" si="32"/>
        <v>3963.1770000000001</v>
      </c>
      <c r="F294">
        <f>SUM(F295:F299)</f>
        <v>3963.1770000000001</v>
      </c>
      <c r="G294">
        <f>SUM(G295:G299)</f>
        <v>0</v>
      </c>
      <c r="H294">
        <f>SUM(H295:H299)</f>
        <v>0</v>
      </c>
      <c r="I294">
        <f>SUM(I295:I299)</f>
        <v>0</v>
      </c>
      <c r="J294" s="107" t="s">
        <v>570</v>
      </c>
      <c r="K294" s="107" t="s">
        <v>486</v>
      </c>
    </row>
    <row r="295" spans="1:11" ht="17.100000000000001" customHeight="1" outlineLevel="1" x14ac:dyDescent="0.25">
      <c r="A295" s="107"/>
      <c r="B295" s="107"/>
      <c r="C295" s="107"/>
      <c r="D295">
        <v>2021</v>
      </c>
      <c r="E295">
        <f t="shared" si="32"/>
        <v>3963.1770000000001</v>
      </c>
      <c r="F295">
        <f>3963177/1000</f>
        <v>3963.1770000000001</v>
      </c>
      <c r="G295">
        <v>0</v>
      </c>
      <c r="H295">
        <v>0</v>
      </c>
      <c r="I295">
        <v>0</v>
      </c>
      <c r="J295" s="107"/>
      <c r="K295" s="107"/>
    </row>
    <row r="296" spans="1:11" ht="17.100000000000001" customHeight="1" outlineLevel="1" x14ac:dyDescent="0.25">
      <c r="A296" s="107"/>
      <c r="B296" s="107"/>
      <c r="C296" s="107"/>
      <c r="D296">
        <v>2022</v>
      </c>
      <c r="E296">
        <v>0</v>
      </c>
      <c r="F296">
        <v>0</v>
      </c>
      <c r="G296">
        <v>0</v>
      </c>
      <c r="H296">
        <v>0</v>
      </c>
      <c r="I296">
        <v>0</v>
      </c>
      <c r="J296" s="107"/>
      <c r="K296" s="107"/>
    </row>
    <row r="297" spans="1:11" ht="17.100000000000001" customHeight="1" outlineLevel="1" x14ac:dyDescent="0.25">
      <c r="A297" s="107"/>
      <c r="B297" s="107"/>
      <c r="C297" s="107"/>
      <c r="D297">
        <v>2023</v>
      </c>
      <c r="E297">
        <v>0</v>
      </c>
      <c r="F297">
        <v>0</v>
      </c>
      <c r="G297">
        <v>0</v>
      </c>
      <c r="H297">
        <v>0</v>
      </c>
      <c r="I297">
        <v>0</v>
      </c>
      <c r="J297" s="107"/>
      <c r="K297" s="107"/>
    </row>
    <row r="298" spans="1:11" outlineLevel="1" x14ac:dyDescent="0.25">
      <c r="A298" s="107"/>
      <c r="B298" s="107"/>
      <c r="C298" s="107"/>
      <c r="D298">
        <v>2024</v>
      </c>
      <c r="E298">
        <v>0</v>
      </c>
      <c r="F298">
        <v>0</v>
      </c>
      <c r="G298">
        <v>0</v>
      </c>
      <c r="H298">
        <v>0</v>
      </c>
      <c r="I298">
        <v>0</v>
      </c>
      <c r="J298" s="107"/>
      <c r="K298" s="107"/>
    </row>
    <row r="299" spans="1:11" outlineLevel="1" x14ac:dyDescent="0.25">
      <c r="A299" s="107"/>
      <c r="B299" s="107"/>
      <c r="C299" s="107"/>
      <c r="D299">
        <v>2025</v>
      </c>
      <c r="E299">
        <v>0</v>
      </c>
      <c r="F299">
        <v>0</v>
      </c>
      <c r="G299">
        <v>0</v>
      </c>
      <c r="H299">
        <v>0</v>
      </c>
      <c r="I299">
        <v>0</v>
      </c>
      <c r="J299" s="107"/>
      <c r="K299" s="107"/>
    </row>
    <row r="300" spans="1:11" ht="17.100000000000001" customHeight="1" outlineLevel="1" x14ac:dyDescent="0.25">
      <c r="A300" s="107" t="s">
        <v>571</v>
      </c>
      <c r="B300" s="107" t="s">
        <v>572</v>
      </c>
      <c r="C300" s="107">
        <v>2021</v>
      </c>
      <c r="D300" t="s">
        <v>8</v>
      </c>
      <c r="E300">
        <f t="shared" si="32"/>
        <v>22778.260870000002</v>
      </c>
      <c r="F300">
        <f>SUM(F301:F305)</f>
        <v>18860.400000000001</v>
      </c>
      <c r="G300">
        <f>SUM(G301:G305)</f>
        <v>0</v>
      </c>
      <c r="H300">
        <f>SUM(H301:H305)</f>
        <v>3917.86087</v>
      </c>
      <c r="I300">
        <f>SUM(I301:I305)</f>
        <v>0</v>
      </c>
      <c r="J300" s="107" t="s">
        <v>573</v>
      </c>
      <c r="K300" s="107" t="s">
        <v>566</v>
      </c>
    </row>
    <row r="301" spans="1:11" ht="17.100000000000001" customHeight="1" outlineLevel="1" x14ac:dyDescent="0.25">
      <c r="A301" s="107"/>
      <c r="B301" s="107"/>
      <c r="C301" s="107"/>
      <c r="D301">
        <v>2021</v>
      </c>
      <c r="E301">
        <f t="shared" si="32"/>
        <v>22778.260870000002</v>
      </c>
      <c r="F301">
        <v>18860.400000000001</v>
      </c>
      <c r="G301">
        <v>0</v>
      </c>
      <c r="H301">
        <v>3917.86087</v>
      </c>
      <c r="I301">
        <v>0</v>
      </c>
      <c r="J301" s="107"/>
      <c r="K301" s="107"/>
    </row>
    <row r="302" spans="1:11" ht="17.100000000000001" customHeight="1" outlineLevel="1" x14ac:dyDescent="0.25">
      <c r="A302" s="107"/>
      <c r="B302" s="107"/>
      <c r="C302" s="107"/>
      <c r="D302">
        <v>2022</v>
      </c>
      <c r="E302">
        <v>0</v>
      </c>
      <c r="F302">
        <v>0</v>
      </c>
      <c r="G302">
        <v>0</v>
      </c>
      <c r="H302">
        <v>0</v>
      </c>
      <c r="I302">
        <v>0</v>
      </c>
      <c r="J302" s="107"/>
      <c r="K302" s="107"/>
    </row>
    <row r="303" spans="1:11" ht="17.100000000000001" customHeight="1" outlineLevel="1" x14ac:dyDescent="0.25">
      <c r="A303" s="107"/>
      <c r="B303" s="107"/>
      <c r="C303" s="107"/>
      <c r="D303">
        <v>2023</v>
      </c>
      <c r="E303">
        <v>0</v>
      </c>
      <c r="F303">
        <v>0</v>
      </c>
      <c r="G303">
        <v>0</v>
      </c>
      <c r="H303">
        <v>0</v>
      </c>
      <c r="I303">
        <v>0</v>
      </c>
      <c r="J303" s="107"/>
      <c r="K303" s="107"/>
    </row>
    <row r="304" spans="1:11" outlineLevel="1" x14ac:dyDescent="0.25">
      <c r="A304" s="107"/>
      <c r="B304" s="107"/>
      <c r="C304" s="107"/>
      <c r="D304">
        <v>2024</v>
      </c>
      <c r="E304">
        <v>0</v>
      </c>
      <c r="F304">
        <v>0</v>
      </c>
      <c r="G304">
        <v>0</v>
      </c>
      <c r="H304">
        <v>0</v>
      </c>
      <c r="I304">
        <v>0</v>
      </c>
      <c r="J304" s="107"/>
      <c r="K304" s="107"/>
    </row>
    <row r="305" spans="1:11" outlineLevel="1" x14ac:dyDescent="0.25">
      <c r="A305" s="107"/>
      <c r="B305" s="107"/>
      <c r="C305" s="107"/>
      <c r="D305">
        <v>2025</v>
      </c>
      <c r="E305">
        <v>0</v>
      </c>
      <c r="F305">
        <v>0</v>
      </c>
      <c r="G305">
        <v>0</v>
      </c>
      <c r="H305">
        <v>0</v>
      </c>
      <c r="I305">
        <v>0</v>
      </c>
      <c r="J305" s="107"/>
      <c r="K305" s="107"/>
    </row>
    <row r="306" spans="1:11" ht="17.100000000000001" customHeight="1" outlineLevel="1" x14ac:dyDescent="0.25">
      <c r="A306" s="107" t="s">
        <v>574</v>
      </c>
      <c r="B306" s="107" t="s">
        <v>575</v>
      </c>
      <c r="C306" s="107">
        <v>2021</v>
      </c>
      <c r="D306" t="s">
        <v>8</v>
      </c>
      <c r="E306">
        <f t="shared" si="32"/>
        <v>13210.697336842104</v>
      </c>
      <c r="F306">
        <f>SUM(F307:F311)</f>
        <v>12550.162469999999</v>
      </c>
      <c r="G306">
        <f>SUM(G307:G311)</f>
        <v>0</v>
      </c>
      <c r="H306">
        <f>SUM(H307:H311)</f>
        <v>660.5348668421052</v>
      </c>
      <c r="I306">
        <f>SUM(I307:I311)</f>
        <v>0</v>
      </c>
      <c r="J306" s="107" t="s">
        <v>576</v>
      </c>
      <c r="K306" s="107" t="s">
        <v>547</v>
      </c>
    </row>
    <row r="307" spans="1:11" ht="17.100000000000001" customHeight="1" outlineLevel="1" x14ac:dyDescent="0.25">
      <c r="A307" s="107"/>
      <c r="B307" s="107"/>
      <c r="C307" s="107"/>
      <c r="D307">
        <v>2021</v>
      </c>
      <c r="E307">
        <f t="shared" si="32"/>
        <v>13210.697336842104</v>
      </c>
      <c r="F307">
        <v>12550.162469999999</v>
      </c>
      <c r="G307">
        <v>0</v>
      </c>
      <c r="H307">
        <f>F307/95*5</f>
        <v>660.5348668421052</v>
      </c>
      <c r="I307">
        <v>0</v>
      </c>
      <c r="J307" s="107"/>
      <c r="K307" s="107"/>
    </row>
    <row r="308" spans="1:11" ht="17.100000000000001" customHeight="1" outlineLevel="1" x14ac:dyDescent="0.25">
      <c r="A308" s="107"/>
      <c r="B308" s="107"/>
      <c r="C308" s="107"/>
      <c r="D308">
        <v>2022</v>
      </c>
      <c r="E308">
        <v>0</v>
      </c>
      <c r="F308">
        <v>0</v>
      </c>
      <c r="G308">
        <v>0</v>
      </c>
      <c r="H308">
        <v>0</v>
      </c>
      <c r="I308">
        <v>0</v>
      </c>
      <c r="J308" s="107"/>
      <c r="K308" s="107"/>
    </row>
    <row r="309" spans="1:11" ht="17.100000000000001" customHeight="1" outlineLevel="1" x14ac:dyDescent="0.25">
      <c r="A309" s="107"/>
      <c r="B309" s="107"/>
      <c r="C309" s="107"/>
      <c r="D309">
        <v>2023</v>
      </c>
      <c r="E309">
        <v>0</v>
      </c>
      <c r="F309">
        <v>0</v>
      </c>
      <c r="G309">
        <v>0</v>
      </c>
      <c r="H309">
        <v>0</v>
      </c>
      <c r="I309">
        <v>0</v>
      </c>
      <c r="J309" s="107"/>
      <c r="K309" s="107"/>
    </row>
    <row r="310" spans="1:11" outlineLevel="1" x14ac:dyDescent="0.25">
      <c r="A310" s="107"/>
      <c r="B310" s="107"/>
      <c r="C310" s="107"/>
      <c r="D310">
        <v>2024</v>
      </c>
      <c r="E310">
        <v>0</v>
      </c>
      <c r="F310">
        <v>0</v>
      </c>
      <c r="G310">
        <v>0</v>
      </c>
      <c r="H310">
        <v>0</v>
      </c>
      <c r="I310">
        <v>0</v>
      </c>
      <c r="J310" s="107"/>
      <c r="K310" s="107"/>
    </row>
    <row r="311" spans="1:11" outlineLevel="1" x14ac:dyDescent="0.25">
      <c r="A311" s="107"/>
      <c r="B311" s="107"/>
      <c r="C311" s="107"/>
      <c r="D311">
        <v>2025</v>
      </c>
      <c r="E311">
        <v>0</v>
      </c>
      <c r="F311">
        <v>0</v>
      </c>
      <c r="G311">
        <v>0</v>
      </c>
      <c r="H311">
        <v>0</v>
      </c>
      <c r="I311">
        <v>0</v>
      </c>
      <c r="J311" s="107"/>
      <c r="K311" s="107"/>
    </row>
    <row r="312" spans="1:11" ht="17.100000000000001" customHeight="1" outlineLevel="1" x14ac:dyDescent="0.25">
      <c r="A312" s="107" t="s">
        <v>577</v>
      </c>
      <c r="B312" s="107" t="s">
        <v>578</v>
      </c>
      <c r="C312" s="107">
        <v>2021</v>
      </c>
      <c r="D312" t="s">
        <v>8</v>
      </c>
      <c r="E312">
        <f t="shared" ref="E312:E374" si="34">SUM(F312:I312)</f>
        <v>7451.59</v>
      </c>
      <c r="F312">
        <f>SUM(F313:F317)</f>
        <v>7079.0105000000003</v>
      </c>
      <c r="G312">
        <f>SUM(G313:G317)</f>
        <v>0</v>
      </c>
      <c r="H312">
        <f>SUM(H313:H317)</f>
        <v>372.5795</v>
      </c>
      <c r="I312">
        <f>SUM(I313:I317)</f>
        <v>0</v>
      </c>
      <c r="J312" s="107" t="s">
        <v>579</v>
      </c>
      <c r="K312" s="107" t="s">
        <v>547</v>
      </c>
    </row>
    <row r="313" spans="1:11" ht="17.100000000000001" customHeight="1" outlineLevel="1" x14ac:dyDescent="0.25">
      <c r="A313" s="107"/>
      <c r="B313" s="107"/>
      <c r="C313" s="107"/>
      <c r="D313">
        <v>2021</v>
      </c>
      <c r="E313">
        <f t="shared" si="34"/>
        <v>7451.59</v>
      </c>
      <c r="F313">
        <v>7079.0105000000003</v>
      </c>
      <c r="G313">
        <v>0</v>
      </c>
      <c r="H313">
        <f>F313/95*5</f>
        <v>372.5795</v>
      </c>
      <c r="I313">
        <v>0</v>
      </c>
      <c r="J313" s="107"/>
      <c r="K313" s="107"/>
    </row>
    <row r="314" spans="1:11" ht="17.100000000000001" customHeight="1" outlineLevel="1" x14ac:dyDescent="0.25">
      <c r="A314" s="107"/>
      <c r="B314" s="107"/>
      <c r="C314" s="107"/>
      <c r="D314">
        <v>2022</v>
      </c>
      <c r="E314">
        <v>0</v>
      </c>
      <c r="F314">
        <v>0</v>
      </c>
      <c r="G314">
        <v>0</v>
      </c>
      <c r="H314">
        <v>0</v>
      </c>
      <c r="I314">
        <v>0</v>
      </c>
      <c r="J314" s="107"/>
      <c r="K314" s="107"/>
    </row>
    <row r="315" spans="1:11" ht="17.100000000000001" customHeight="1" outlineLevel="1" x14ac:dyDescent="0.25">
      <c r="A315" s="107"/>
      <c r="B315" s="107"/>
      <c r="C315" s="107"/>
      <c r="D315">
        <v>2023</v>
      </c>
      <c r="E315">
        <v>0</v>
      </c>
      <c r="F315">
        <v>0</v>
      </c>
      <c r="G315">
        <v>0</v>
      </c>
      <c r="H315">
        <v>0</v>
      </c>
      <c r="I315">
        <v>0</v>
      </c>
      <c r="J315" s="107"/>
      <c r="K315" s="107"/>
    </row>
    <row r="316" spans="1:11" outlineLevel="1" x14ac:dyDescent="0.25">
      <c r="A316" s="107"/>
      <c r="B316" s="107"/>
      <c r="C316" s="107"/>
      <c r="D316">
        <v>2024</v>
      </c>
      <c r="E316">
        <v>0</v>
      </c>
      <c r="F316">
        <v>0</v>
      </c>
      <c r="G316">
        <v>0</v>
      </c>
      <c r="H316">
        <v>0</v>
      </c>
      <c r="I316">
        <v>0</v>
      </c>
      <c r="J316" s="107"/>
      <c r="K316" s="107"/>
    </row>
    <row r="317" spans="1:11" outlineLevel="1" x14ac:dyDescent="0.25">
      <c r="A317" s="107"/>
      <c r="B317" s="107"/>
      <c r="C317" s="107"/>
      <c r="D317">
        <v>2025</v>
      </c>
      <c r="E317">
        <v>0</v>
      </c>
      <c r="F317">
        <v>0</v>
      </c>
      <c r="G317">
        <v>0</v>
      </c>
      <c r="H317">
        <v>0</v>
      </c>
      <c r="I317">
        <v>0</v>
      </c>
      <c r="J317" s="107"/>
      <c r="K317" s="107"/>
    </row>
    <row r="318" spans="1:11" ht="17.100000000000001" customHeight="1" outlineLevel="1" x14ac:dyDescent="0.25">
      <c r="A318" s="107" t="s">
        <v>580</v>
      </c>
      <c r="B318" s="107" t="s">
        <v>416</v>
      </c>
      <c r="C318" s="107">
        <v>2021</v>
      </c>
      <c r="D318" t="s">
        <v>8</v>
      </c>
      <c r="E318">
        <f t="shared" si="34"/>
        <v>50013.516600000003</v>
      </c>
      <c r="F318">
        <f>SUM(F319:F323)</f>
        <v>47512.840770000003</v>
      </c>
      <c r="G318">
        <f>SUM(G319:G323)</f>
        <v>0</v>
      </c>
      <c r="H318">
        <f>SUM(H319:H323)</f>
        <v>2500.6758300000001</v>
      </c>
      <c r="I318">
        <f>SUM(I319:I323)</f>
        <v>0</v>
      </c>
      <c r="J318" s="107" t="s">
        <v>581</v>
      </c>
      <c r="K318" s="107" t="s">
        <v>547</v>
      </c>
    </row>
    <row r="319" spans="1:11" ht="17.100000000000001" customHeight="1" outlineLevel="1" x14ac:dyDescent="0.25">
      <c r="A319" s="107"/>
      <c r="B319" s="107"/>
      <c r="C319" s="107"/>
      <c r="D319">
        <v>2021</v>
      </c>
      <c r="E319">
        <f t="shared" si="34"/>
        <v>50013.516600000003</v>
      </c>
      <c r="F319">
        <v>47512.840770000003</v>
      </c>
      <c r="G319">
        <v>0</v>
      </c>
      <c r="H319">
        <f>F319/95*5</f>
        <v>2500.6758300000001</v>
      </c>
      <c r="I319">
        <v>0</v>
      </c>
      <c r="J319" s="107"/>
      <c r="K319" s="107"/>
    </row>
    <row r="320" spans="1:11" ht="17.100000000000001" customHeight="1" outlineLevel="1" x14ac:dyDescent="0.25">
      <c r="A320" s="107"/>
      <c r="B320" s="107"/>
      <c r="C320" s="107"/>
      <c r="D320">
        <v>2022</v>
      </c>
      <c r="E320">
        <v>0</v>
      </c>
      <c r="F320">
        <v>0</v>
      </c>
      <c r="G320">
        <v>0</v>
      </c>
      <c r="H320">
        <v>0</v>
      </c>
      <c r="I320">
        <v>0</v>
      </c>
      <c r="J320" s="107"/>
      <c r="K320" s="107"/>
    </row>
    <row r="321" spans="1:11" ht="17.100000000000001" customHeight="1" outlineLevel="1" x14ac:dyDescent="0.25">
      <c r="A321" s="107"/>
      <c r="B321" s="107"/>
      <c r="C321" s="107"/>
      <c r="D321">
        <v>2023</v>
      </c>
      <c r="E321">
        <v>0</v>
      </c>
      <c r="F321">
        <v>0</v>
      </c>
      <c r="G321">
        <v>0</v>
      </c>
      <c r="H321">
        <v>0</v>
      </c>
      <c r="I321">
        <v>0</v>
      </c>
      <c r="J321" s="107"/>
      <c r="K321" s="107"/>
    </row>
    <row r="322" spans="1:11" outlineLevel="1" x14ac:dyDescent="0.25">
      <c r="A322" s="107"/>
      <c r="B322" s="107"/>
      <c r="C322" s="107"/>
      <c r="D322">
        <v>2024</v>
      </c>
      <c r="E322">
        <v>0</v>
      </c>
      <c r="F322">
        <v>0</v>
      </c>
      <c r="G322">
        <v>0</v>
      </c>
      <c r="H322">
        <v>0</v>
      </c>
      <c r="I322">
        <v>0</v>
      </c>
      <c r="J322" s="107"/>
      <c r="K322" s="107"/>
    </row>
    <row r="323" spans="1:11" outlineLevel="1" x14ac:dyDescent="0.25">
      <c r="A323" s="107"/>
      <c r="B323" s="107"/>
      <c r="C323" s="107"/>
      <c r="D323">
        <v>2025</v>
      </c>
      <c r="E323">
        <v>0</v>
      </c>
      <c r="F323">
        <v>0</v>
      </c>
      <c r="G323">
        <v>0</v>
      </c>
      <c r="H323">
        <v>0</v>
      </c>
      <c r="I323">
        <v>0</v>
      </c>
      <c r="J323" s="107"/>
      <c r="K323" s="107"/>
    </row>
    <row r="324" spans="1:11" ht="17.100000000000001" customHeight="1" outlineLevel="1" x14ac:dyDescent="0.25">
      <c r="A324" s="107" t="s">
        <v>582</v>
      </c>
      <c r="B324" s="107" t="s">
        <v>419</v>
      </c>
      <c r="C324" s="107">
        <v>2021</v>
      </c>
      <c r="D324" t="s">
        <v>8</v>
      </c>
      <c r="E324">
        <f t="shared" si="34"/>
        <v>9928.3460643185299</v>
      </c>
      <c r="F324">
        <f>SUM(F325:F329)</f>
        <v>6483.2099799999996</v>
      </c>
      <c r="G324">
        <f>SUM(G325:G329)</f>
        <v>0</v>
      </c>
      <c r="H324">
        <f>SUM(H325:H329)</f>
        <v>3445.1360843185298</v>
      </c>
      <c r="I324">
        <f>SUM(I325:I329)</f>
        <v>0</v>
      </c>
      <c r="J324" s="107" t="s">
        <v>583</v>
      </c>
      <c r="K324" s="107" t="s">
        <v>547</v>
      </c>
    </row>
    <row r="325" spans="1:11" ht="17.100000000000001" customHeight="1" outlineLevel="1" x14ac:dyDescent="0.25">
      <c r="A325" s="107"/>
      <c r="B325" s="107"/>
      <c r="C325" s="107"/>
      <c r="D325">
        <v>2021</v>
      </c>
      <c r="E325">
        <f t="shared" si="34"/>
        <v>9928.3460643185299</v>
      </c>
      <c r="F325">
        <v>6483.2099799999996</v>
      </c>
      <c r="G325">
        <v>0</v>
      </c>
      <c r="H325">
        <f>F325/65.3*34.7</f>
        <v>3445.1360843185298</v>
      </c>
      <c r="I325">
        <v>0</v>
      </c>
      <c r="J325" s="107"/>
      <c r="K325" s="107"/>
    </row>
    <row r="326" spans="1:11" ht="17.100000000000001" customHeight="1" outlineLevel="1" x14ac:dyDescent="0.25">
      <c r="A326" s="107"/>
      <c r="B326" s="107"/>
      <c r="C326" s="107"/>
      <c r="D326">
        <v>2022</v>
      </c>
      <c r="E326">
        <v>0</v>
      </c>
      <c r="F326">
        <v>0</v>
      </c>
      <c r="G326">
        <v>0</v>
      </c>
      <c r="H326">
        <v>0</v>
      </c>
      <c r="I326">
        <v>0</v>
      </c>
      <c r="J326" s="107"/>
      <c r="K326" s="107"/>
    </row>
    <row r="327" spans="1:11" ht="17.100000000000001" customHeight="1" outlineLevel="1" x14ac:dyDescent="0.25">
      <c r="A327" s="107"/>
      <c r="B327" s="107"/>
      <c r="C327" s="107"/>
      <c r="D327">
        <v>2023</v>
      </c>
      <c r="E327">
        <v>0</v>
      </c>
      <c r="F327">
        <v>0</v>
      </c>
      <c r="G327">
        <v>0</v>
      </c>
      <c r="H327">
        <v>0</v>
      </c>
      <c r="I327">
        <v>0</v>
      </c>
      <c r="J327" s="107"/>
      <c r="K327" s="107"/>
    </row>
    <row r="328" spans="1:11" outlineLevel="1" x14ac:dyDescent="0.25">
      <c r="A328" s="107"/>
      <c r="B328" s="107"/>
      <c r="C328" s="107"/>
      <c r="D328">
        <v>2024</v>
      </c>
      <c r="E328">
        <v>0</v>
      </c>
      <c r="F328">
        <v>0</v>
      </c>
      <c r="G328">
        <v>0</v>
      </c>
      <c r="H328">
        <v>0</v>
      </c>
      <c r="I328">
        <v>0</v>
      </c>
      <c r="J328" s="107"/>
      <c r="K328" s="107"/>
    </row>
    <row r="329" spans="1:11" outlineLevel="1" x14ac:dyDescent="0.25">
      <c r="A329" s="107"/>
      <c r="B329" s="107"/>
      <c r="C329" s="107"/>
      <c r="D329">
        <v>2025</v>
      </c>
      <c r="E329">
        <v>0</v>
      </c>
      <c r="F329">
        <v>0</v>
      </c>
      <c r="G329">
        <v>0</v>
      </c>
      <c r="H329">
        <v>0</v>
      </c>
      <c r="I329">
        <v>0</v>
      </c>
      <c r="J329" s="107"/>
      <c r="K329" s="107"/>
    </row>
    <row r="330" spans="1:11" ht="16.5" hidden="1" customHeight="1" outlineLevel="1" x14ac:dyDescent="0.25">
      <c r="A330" s="107" t="s">
        <v>584</v>
      </c>
      <c r="B330" s="107" t="s">
        <v>424</v>
      </c>
      <c r="C330" s="107">
        <v>2021</v>
      </c>
      <c r="D330" t="s">
        <v>8</v>
      </c>
      <c r="E330">
        <f t="shared" si="34"/>
        <v>0</v>
      </c>
      <c r="F330">
        <f>SUM(F331:F335)</f>
        <v>0</v>
      </c>
      <c r="G330">
        <f>SUM(G331:G335)</f>
        <v>0</v>
      </c>
      <c r="H330">
        <f>SUM(H331:H335)</f>
        <v>0</v>
      </c>
      <c r="I330">
        <f>SUM(I331:I335)</f>
        <v>0</v>
      </c>
      <c r="J330" s="107" t="s">
        <v>585</v>
      </c>
      <c r="K330" s="107" t="s">
        <v>103</v>
      </c>
    </row>
    <row r="331" spans="1:11" ht="16.5" hidden="1" customHeight="1" outlineLevel="1" x14ac:dyDescent="0.25">
      <c r="A331" s="107"/>
      <c r="B331" s="107"/>
      <c r="C331" s="107"/>
      <c r="D331">
        <v>2021</v>
      </c>
      <c r="E331">
        <f t="shared" si="34"/>
        <v>0</v>
      </c>
      <c r="F331">
        <v>0</v>
      </c>
      <c r="G331">
        <v>0</v>
      </c>
      <c r="H331">
        <f>F331/95*5</f>
        <v>0</v>
      </c>
      <c r="I331">
        <v>0</v>
      </c>
      <c r="J331" s="107"/>
      <c r="K331" s="107"/>
    </row>
    <row r="332" spans="1:11" ht="16.5" hidden="1" customHeight="1" outlineLevel="1" x14ac:dyDescent="0.25">
      <c r="A332" s="107"/>
      <c r="B332" s="107"/>
      <c r="C332" s="107"/>
      <c r="D332">
        <v>2022</v>
      </c>
      <c r="E332">
        <v>0</v>
      </c>
      <c r="F332">
        <v>0</v>
      </c>
      <c r="G332">
        <v>0</v>
      </c>
      <c r="H332">
        <v>0</v>
      </c>
      <c r="I332">
        <v>0</v>
      </c>
      <c r="J332" s="107"/>
      <c r="K332" s="107"/>
    </row>
    <row r="333" spans="1:11" ht="16.5" hidden="1" customHeight="1" outlineLevel="1" x14ac:dyDescent="0.25">
      <c r="A333" s="107"/>
      <c r="B333" s="107"/>
      <c r="C333" s="107"/>
      <c r="D333">
        <v>2023</v>
      </c>
      <c r="E333">
        <v>0</v>
      </c>
      <c r="F333">
        <v>0</v>
      </c>
      <c r="G333">
        <v>0</v>
      </c>
      <c r="H333">
        <v>0</v>
      </c>
      <c r="I333">
        <v>0</v>
      </c>
      <c r="J333" s="107"/>
      <c r="K333" s="107"/>
    </row>
    <row r="334" spans="1:11" hidden="1" outlineLevel="1" x14ac:dyDescent="0.25">
      <c r="A334" s="107"/>
      <c r="B334" s="107"/>
      <c r="C334" s="107"/>
      <c r="D334">
        <v>2024</v>
      </c>
      <c r="E334">
        <v>0</v>
      </c>
      <c r="F334">
        <v>0</v>
      </c>
      <c r="G334">
        <v>0</v>
      </c>
      <c r="H334">
        <v>0</v>
      </c>
      <c r="I334">
        <v>0</v>
      </c>
      <c r="J334" s="107"/>
      <c r="K334" s="107"/>
    </row>
    <row r="335" spans="1:11" hidden="1" outlineLevel="1" x14ac:dyDescent="0.25">
      <c r="A335" s="107"/>
      <c r="B335" s="107"/>
      <c r="C335" s="107"/>
      <c r="D335">
        <v>2025</v>
      </c>
      <c r="E335">
        <v>0</v>
      </c>
      <c r="F335">
        <v>0</v>
      </c>
      <c r="G335">
        <v>0</v>
      </c>
      <c r="H335">
        <v>0</v>
      </c>
      <c r="I335">
        <v>0</v>
      </c>
      <c r="J335" s="107"/>
      <c r="K335" s="107"/>
    </row>
    <row r="336" spans="1:11" ht="15" customHeight="1" outlineLevel="1" x14ac:dyDescent="0.25">
      <c r="A336" s="107" t="s">
        <v>586</v>
      </c>
      <c r="B336" s="107" t="s">
        <v>587</v>
      </c>
      <c r="C336" s="107">
        <v>2021</v>
      </c>
      <c r="D336" t="s">
        <v>8</v>
      </c>
      <c r="E336">
        <f t="shared" si="34"/>
        <v>26585.427536842104</v>
      </c>
      <c r="F336">
        <f>SUM(F337:F341)</f>
        <v>25256.156159999999</v>
      </c>
      <c r="G336">
        <f>SUM(G337:G341)</f>
        <v>0</v>
      </c>
      <c r="H336">
        <f>SUM(H337:H341)</f>
        <v>1329.2713768421052</v>
      </c>
      <c r="I336">
        <f>SUM(I337:I341)</f>
        <v>0</v>
      </c>
      <c r="J336" s="107" t="s">
        <v>588</v>
      </c>
      <c r="K336" s="107" t="s">
        <v>547</v>
      </c>
    </row>
    <row r="337" spans="1:11" ht="15" customHeight="1" outlineLevel="1" x14ac:dyDescent="0.25">
      <c r="A337" s="107"/>
      <c r="B337" s="107"/>
      <c r="C337" s="107"/>
      <c r="D337">
        <v>2021</v>
      </c>
      <c r="E337">
        <f t="shared" si="34"/>
        <v>26585.427536842104</v>
      </c>
      <c r="F337">
        <v>25256.156159999999</v>
      </c>
      <c r="G337">
        <v>0</v>
      </c>
      <c r="H337">
        <f>F337/95*5</f>
        <v>1329.2713768421052</v>
      </c>
      <c r="I337">
        <v>0</v>
      </c>
      <c r="J337" s="107"/>
      <c r="K337" s="107"/>
    </row>
    <row r="338" spans="1:11" ht="15" customHeight="1" outlineLevel="1" x14ac:dyDescent="0.25">
      <c r="A338" s="107"/>
      <c r="B338" s="107"/>
      <c r="C338" s="107"/>
      <c r="D338">
        <v>2022</v>
      </c>
      <c r="E338">
        <v>0</v>
      </c>
      <c r="F338">
        <v>0</v>
      </c>
      <c r="G338">
        <v>0</v>
      </c>
      <c r="H338">
        <v>0</v>
      </c>
      <c r="I338">
        <v>0</v>
      </c>
      <c r="J338" s="107"/>
      <c r="K338" s="107"/>
    </row>
    <row r="339" spans="1:11" ht="15" customHeight="1" outlineLevel="1" x14ac:dyDescent="0.25">
      <c r="A339" s="107"/>
      <c r="B339" s="107"/>
      <c r="C339" s="107"/>
      <c r="D339">
        <v>2023</v>
      </c>
      <c r="E339">
        <v>0</v>
      </c>
      <c r="F339">
        <v>0</v>
      </c>
      <c r="G339">
        <v>0</v>
      </c>
      <c r="H339">
        <v>0</v>
      </c>
      <c r="I339">
        <v>0</v>
      </c>
      <c r="J339" s="107"/>
      <c r="K339" s="107"/>
    </row>
    <row r="340" spans="1:11" ht="15" customHeight="1" outlineLevel="1" x14ac:dyDescent="0.25">
      <c r="A340" s="107"/>
      <c r="B340" s="107"/>
      <c r="C340" s="107"/>
      <c r="D340">
        <v>2024</v>
      </c>
      <c r="E340">
        <v>0</v>
      </c>
      <c r="F340">
        <v>0</v>
      </c>
      <c r="G340">
        <v>0</v>
      </c>
      <c r="H340">
        <v>0</v>
      </c>
      <c r="I340">
        <v>0</v>
      </c>
      <c r="J340" s="107"/>
      <c r="K340" s="107"/>
    </row>
    <row r="341" spans="1:11" ht="15" customHeight="1" outlineLevel="1" x14ac:dyDescent="0.25">
      <c r="A341" s="107"/>
      <c r="B341" s="107"/>
      <c r="C341" s="107"/>
      <c r="D341">
        <v>2025</v>
      </c>
      <c r="E341">
        <v>0</v>
      </c>
      <c r="F341">
        <v>0</v>
      </c>
      <c r="G341">
        <v>0</v>
      </c>
      <c r="H341">
        <v>0</v>
      </c>
      <c r="I341">
        <v>0</v>
      </c>
      <c r="J341" s="107"/>
      <c r="K341" s="107"/>
    </row>
    <row r="342" spans="1:11" ht="15" customHeight="1" outlineLevel="1" x14ac:dyDescent="0.25">
      <c r="A342" s="107" t="s">
        <v>589</v>
      </c>
      <c r="B342" s="107" t="s">
        <v>590</v>
      </c>
      <c r="C342" s="107">
        <v>2021</v>
      </c>
      <c r="D342" t="s">
        <v>8</v>
      </c>
      <c r="E342">
        <f t="shared" si="34"/>
        <v>2270.6600000000003</v>
      </c>
      <c r="F342">
        <f>SUM(F343:F347)</f>
        <v>2100.36</v>
      </c>
      <c r="G342">
        <f>SUM(G343:G347)</f>
        <v>0</v>
      </c>
      <c r="H342">
        <f>SUM(H343:H347)</f>
        <v>170.3</v>
      </c>
      <c r="I342">
        <f>SUM(I343:I347)</f>
        <v>0</v>
      </c>
      <c r="J342" s="107" t="s">
        <v>591</v>
      </c>
      <c r="K342" s="107" t="s">
        <v>547</v>
      </c>
    </row>
    <row r="343" spans="1:11" ht="15" customHeight="1" outlineLevel="1" x14ac:dyDescent="0.25">
      <c r="A343" s="107"/>
      <c r="B343" s="107"/>
      <c r="C343" s="107"/>
      <c r="D343">
        <v>2021</v>
      </c>
      <c r="E343">
        <f t="shared" si="34"/>
        <v>2270.6600000000003</v>
      </c>
      <c r="F343">
        <v>2100.36</v>
      </c>
      <c r="G343">
        <v>0</v>
      </c>
      <c r="H343">
        <v>170.3</v>
      </c>
      <c r="I343">
        <v>0</v>
      </c>
      <c r="J343" s="107"/>
      <c r="K343" s="107"/>
    </row>
    <row r="344" spans="1:11" ht="15" customHeight="1" outlineLevel="1" x14ac:dyDescent="0.25">
      <c r="A344" s="107"/>
      <c r="B344" s="107"/>
      <c r="C344" s="107"/>
      <c r="D344">
        <v>2022</v>
      </c>
      <c r="E344">
        <f t="shared" si="34"/>
        <v>0</v>
      </c>
      <c r="F344">
        <v>0</v>
      </c>
      <c r="G344">
        <v>0</v>
      </c>
      <c r="H344">
        <v>0</v>
      </c>
      <c r="I344">
        <v>0</v>
      </c>
      <c r="J344" s="107"/>
      <c r="K344" s="107"/>
    </row>
    <row r="345" spans="1:11" ht="15" customHeight="1" outlineLevel="1" x14ac:dyDescent="0.25">
      <c r="A345" s="107"/>
      <c r="B345" s="107"/>
      <c r="C345" s="107"/>
      <c r="D345">
        <v>2023</v>
      </c>
      <c r="E345">
        <f t="shared" si="34"/>
        <v>0</v>
      </c>
      <c r="F345">
        <v>0</v>
      </c>
      <c r="G345">
        <v>0</v>
      </c>
      <c r="H345">
        <v>0</v>
      </c>
      <c r="I345">
        <v>0</v>
      </c>
      <c r="J345" s="107"/>
      <c r="K345" s="107"/>
    </row>
    <row r="346" spans="1:11" ht="15" customHeight="1" outlineLevel="1" x14ac:dyDescent="0.25">
      <c r="A346" s="107"/>
      <c r="B346" s="107"/>
      <c r="C346" s="107"/>
      <c r="D346">
        <v>2024</v>
      </c>
      <c r="E346">
        <f t="shared" si="34"/>
        <v>0</v>
      </c>
      <c r="F346">
        <v>0</v>
      </c>
      <c r="G346">
        <v>0</v>
      </c>
      <c r="H346">
        <v>0</v>
      </c>
      <c r="I346">
        <v>0</v>
      </c>
      <c r="J346" s="107"/>
      <c r="K346" s="107"/>
    </row>
    <row r="347" spans="1:11" ht="14.25" customHeight="1" outlineLevel="1" x14ac:dyDescent="0.25">
      <c r="A347" s="107"/>
      <c r="B347" s="107"/>
      <c r="C347" s="107"/>
      <c r="D347">
        <v>2025</v>
      </c>
      <c r="E347">
        <f t="shared" si="34"/>
        <v>0</v>
      </c>
      <c r="F347">
        <v>0</v>
      </c>
      <c r="G347">
        <v>0</v>
      </c>
      <c r="H347">
        <v>0</v>
      </c>
      <c r="I347">
        <v>0</v>
      </c>
      <c r="J347" s="107"/>
      <c r="K347" s="107"/>
    </row>
    <row r="348" spans="1:11" ht="15" hidden="1" customHeight="1" outlineLevel="1" x14ac:dyDescent="0.25">
      <c r="A348" s="107" t="s">
        <v>592</v>
      </c>
      <c r="B348" s="107" t="s">
        <v>593</v>
      </c>
      <c r="C348" s="107">
        <v>2021</v>
      </c>
      <c r="D348" t="s">
        <v>8</v>
      </c>
      <c r="J348" s="107" t="s">
        <v>594</v>
      </c>
      <c r="K348" s="107" t="s">
        <v>103</v>
      </c>
    </row>
    <row r="349" spans="1:11" ht="14.25" hidden="1" customHeight="1" outlineLevel="1" x14ac:dyDescent="0.25">
      <c r="A349" s="107"/>
      <c r="B349" s="107"/>
      <c r="C349" s="107"/>
      <c r="D349">
        <v>2021</v>
      </c>
      <c r="J349" s="107"/>
      <c r="K349" s="107"/>
    </row>
    <row r="350" spans="1:11" ht="12.75" hidden="1" customHeight="1" outlineLevel="1" x14ac:dyDescent="0.25">
      <c r="A350" s="107"/>
      <c r="B350" s="107"/>
      <c r="C350" s="107"/>
      <c r="D350">
        <v>2022</v>
      </c>
      <c r="J350" s="107"/>
      <c r="K350" s="107"/>
    </row>
    <row r="351" spans="1:11" ht="12.75" hidden="1" customHeight="1" outlineLevel="1" x14ac:dyDescent="0.25">
      <c r="A351" s="107"/>
      <c r="B351" s="107"/>
      <c r="C351" s="107"/>
      <c r="D351">
        <v>2023</v>
      </c>
      <c r="J351" s="107"/>
      <c r="K351" s="107"/>
    </row>
    <row r="352" spans="1:11" ht="12.75" hidden="1" customHeight="1" outlineLevel="1" x14ac:dyDescent="0.25">
      <c r="A352" s="107"/>
      <c r="B352" s="107"/>
      <c r="C352" s="107"/>
      <c r="D352">
        <v>2024</v>
      </c>
      <c r="J352" s="107"/>
      <c r="K352" s="107"/>
    </row>
    <row r="353" spans="1:11" ht="20.25" hidden="1" customHeight="1" outlineLevel="1" x14ac:dyDescent="0.25">
      <c r="A353" s="107"/>
      <c r="B353" s="107"/>
      <c r="C353" s="107"/>
      <c r="D353">
        <v>2025</v>
      </c>
      <c r="J353" s="107"/>
      <c r="K353" s="107"/>
    </row>
    <row r="354" spans="1:11" ht="12.75" customHeight="1" outlineLevel="1" x14ac:dyDescent="0.25">
      <c r="A354" s="107" t="s">
        <v>592</v>
      </c>
      <c r="B354" s="107" t="s">
        <v>595</v>
      </c>
      <c r="C354" s="107">
        <v>2021</v>
      </c>
      <c r="D354" t="s">
        <v>8</v>
      </c>
      <c r="E354">
        <f t="shared" si="34"/>
        <v>470</v>
      </c>
      <c r="F354">
        <f>SUM(F355:F359)</f>
        <v>470</v>
      </c>
      <c r="G354">
        <f>SUM(G355:G359)</f>
        <v>0</v>
      </c>
      <c r="H354">
        <f>SUM(H355:H359)</f>
        <v>0</v>
      </c>
      <c r="I354">
        <f>SUM(I355:I359)</f>
        <v>0</v>
      </c>
      <c r="J354" s="107" t="s">
        <v>596</v>
      </c>
      <c r="K354" s="107" t="s">
        <v>597</v>
      </c>
    </row>
    <row r="355" spans="1:11" ht="12.75" customHeight="1" outlineLevel="1" x14ac:dyDescent="0.25">
      <c r="A355" s="107"/>
      <c r="B355" s="107"/>
      <c r="C355" s="107"/>
      <c r="D355">
        <v>2021</v>
      </c>
      <c r="E355">
        <f t="shared" si="34"/>
        <v>470</v>
      </c>
      <c r="F355">
        <v>470</v>
      </c>
      <c r="G355">
        <v>0</v>
      </c>
      <c r="H355">
        <v>0</v>
      </c>
      <c r="I355">
        <v>0</v>
      </c>
      <c r="J355" s="107"/>
      <c r="K355" s="107"/>
    </row>
    <row r="356" spans="1:11" ht="12.75" customHeight="1" outlineLevel="1" x14ac:dyDescent="0.25">
      <c r="A356" s="107"/>
      <c r="B356" s="107"/>
      <c r="C356" s="107"/>
      <c r="D356">
        <v>2022</v>
      </c>
      <c r="E356">
        <f t="shared" si="34"/>
        <v>0</v>
      </c>
      <c r="F356">
        <v>0</v>
      </c>
      <c r="G356">
        <v>0</v>
      </c>
      <c r="H356">
        <v>0</v>
      </c>
      <c r="I356">
        <v>0</v>
      </c>
      <c r="J356" s="107"/>
      <c r="K356" s="107"/>
    </row>
    <row r="357" spans="1:11" ht="12.75" customHeight="1" outlineLevel="1" x14ac:dyDescent="0.25">
      <c r="A357" s="107"/>
      <c r="B357" s="107"/>
      <c r="C357" s="107"/>
      <c r="D357">
        <v>2023</v>
      </c>
      <c r="E357">
        <f t="shared" si="34"/>
        <v>0</v>
      </c>
      <c r="F357">
        <v>0</v>
      </c>
      <c r="G357">
        <v>0</v>
      </c>
      <c r="H357">
        <v>0</v>
      </c>
      <c r="I357">
        <v>0</v>
      </c>
      <c r="J357" s="107"/>
      <c r="K357" s="107"/>
    </row>
    <row r="358" spans="1:11" ht="12.75" customHeight="1" outlineLevel="1" x14ac:dyDescent="0.25">
      <c r="A358" s="107"/>
      <c r="B358" s="107"/>
      <c r="C358" s="107"/>
      <c r="D358">
        <v>2024</v>
      </c>
      <c r="E358">
        <f t="shared" si="34"/>
        <v>0</v>
      </c>
      <c r="F358">
        <v>0</v>
      </c>
      <c r="G358">
        <v>0</v>
      </c>
      <c r="H358">
        <v>0</v>
      </c>
      <c r="I358">
        <v>0</v>
      </c>
      <c r="J358" s="107"/>
      <c r="K358" s="107"/>
    </row>
    <row r="359" spans="1:11" ht="12.75" customHeight="1" outlineLevel="1" x14ac:dyDescent="0.25">
      <c r="A359" s="107"/>
      <c r="B359" s="107"/>
      <c r="C359" s="107"/>
      <c r="D359">
        <v>2025</v>
      </c>
      <c r="E359">
        <f t="shared" si="34"/>
        <v>0</v>
      </c>
      <c r="F359">
        <v>0</v>
      </c>
      <c r="G359">
        <v>0</v>
      </c>
      <c r="H359">
        <v>0</v>
      </c>
      <c r="I359">
        <v>0</v>
      </c>
      <c r="J359" s="107"/>
      <c r="K359" s="107"/>
    </row>
    <row r="360" spans="1:11" ht="12.75" customHeight="1" outlineLevel="1" x14ac:dyDescent="0.25">
      <c r="A360" s="107" t="s">
        <v>598</v>
      </c>
      <c r="B360" s="107" t="s">
        <v>599</v>
      </c>
      <c r="C360" s="107">
        <v>2021</v>
      </c>
      <c r="D360" t="s">
        <v>8</v>
      </c>
      <c r="E360">
        <f t="shared" si="34"/>
        <v>8226.4694736842102</v>
      </c>
      <c r="F360">
        <f>SUM(F361:F365)</f>
        <v>7815.1459999999997</v>
      </c>
      <c r="G360">
        <f>SUM(G361:G365)</f>
        <v>0</v>
      </c>
      <c r="H360">
        <f>SUM(H361:H365)</f>
        <v>411.32347368421051</v>
      </c>
      <c r="I360">
        <f>SUM(I361:I365)</f>
        <v>0</v>
      </c>
      <c r="J360" s="107" t="s">
        <v>600</v>
      </c>
      <c r="K360" s="107" t="s">
        <v>547</v>
      </c>
    </row>
    <row r="361" spans="1:11" ht="12.75" customHeight="1" outlineLevel="1" x14ac:dyDescent="0.25">
      <c r="A361" s="107"/>
      <c r="B361" s="107"/>
      <c r="C361" s="107"/>
      <c r="D361">
        <v>2021</v>
      </c>
      <c r="E361">
        <f t="shared" si="34"/>
        <v>8226.4694736842102</v>
      </c>
      <c r="F361">
        <v>7815.1459999999997</v>
      </c>
      <c r="G361">
        <v>0</v>
      </c>
      <c r="H361">
        <f>F361/95*5</f>
        <v>411.32347368421051</v>
      </c>
      <c r="I361">
        <v>0</v>
      </c>
      <c r="J361" s="107"/>
      <c r="K361" s="107"/>
    </row>
    <row r="362" spans="1:11" ht="12.75" customHeight="1" outlineLevel="1" x14ac:dyDescent="0.25">
      <c r="A362" s="107"/>
      <c r="B362" s="107"/>
      <c r="C362" s="107"/>
      <c r="D362">
        <v>2022</v>
      </c>
      <c r="E362">
        <f t="shared" si="34"/>
        <v>0</v>
      </c>
      <c r="F362">
        <v>0</v>
      </c>
      <c r="G362">
        <v>0</v>
      </c>
      <c r="H362">
        <v>0</v>
      </c>
      <c r="I362">
        <v>0</v>
      </c>
      <c r="J362" s="107"/>
      <c r="K362" s="107"/>
    </row>
    <row r="363" spans="1:11" ht="12.75" customHeight="1" outlineLevel="1" x14ac:dyDescent="0.25">
      <c r="A363" s="107"/>
      <c r="B363" s="107"/>
      <c r="C363" s="107"/>
      <c r="D363">
        <v>2023</v>
      </c>
      <c r="E363">
        <f t="shared" si="34"/>
        <v>0</v>
      </c>
      <c r="F363">
        <v>0</v>
      </c>
      <c r="G363">
        <v>0</v>
      </c>
      <c r="H363">
        <v>0</v>
      </c>
      <c r="I363">
        <v>0</v>
      </c>
      <c r="J363" s="107"/>
      <c r="K363" s="107"/>
    </row>
    <row r="364" spans="1:11" ht="12.75" customHeight="1" outlineLevel="1" x14ac:dyDescent="0.25">
      <c r="A364" s="107"/>
      <c r="B364" s="107"/>
      <c r="C364" s="107"/>
      <c r="D364">
        <v>2024</v>
      </c>
      <c r="E364">
        <f t="shared" si="34"/>
        <v>0</v>
      </c>
      <c r="F364">
        <v>0</v>
      </c>
      <c r="G364">
        <v>0</v>
      </c>
      <c r="H364">
        <v>0</v>
      </c>
      <c r="I364">
        <v>0</v>
      </c>
      <c r="J364" s="107"/>
      <c r="K364" s="107"/>
    </row>
    <row r="365" spans="1:11" ht="12.75" customHeight="1" outlineLevel="1" x14ac:dyDescent="0.25">
      <c r="A365" s="107"/>
      <c r="B365" s="107"/>
      <c r="C365" s="107"/>
      <c r="D365">
        <v>2025</v>
      </c>
      <c r="E365">
        <f t="shared" si="34"/>
        <v>0</v>
      </c>
      <c r="F365">
        <v>0</v>
      </c>
      <c r="G365">
        <v>0</v>
      </c>
      <c r="H365">
        <v>0</v>
      </c>
      <c r="I365">
        <v>0</v>
      </c>
      <c r="J365" s="107"/>
      <c r="K365" s="107"/>
    </row>
    <row r="366" spans="1:11" ht="12.75" customHeight="1" outlineLevel="1" x14ac:dyDescent="0.25">
      <c r="A366" s="107" t="s">
        <v>116</v>
      </c>
      <c r="B366" s="107" t="s">
        <v>40</v>
      </c>
      <c r="C366" s="107" t="s">
        <v>41</v>
      </c>
      <c r="D366" t="s">
        <v>8</v>
      </c>
      <c r="E366">
        <f t="shared" si="34"/>
        <v>841463.16291684215</v>
      </c>
      <c r="F366">
        <f>SUM(F367:F371)</f>
        <v>322883.04746000003</v>
      </c>
      <c r="G366">
        <f>SUM(G367:G371)</f>
        <v>502391</v>
      </c>
      <c r="H366">
        <f>SUM(H367:H371)</f>
        <v>16189.115456842106</v>
      </c>
      <c r="I366">
        <f>SUM(I367:I371)</f>
        <v>0</v>
      </c>
      <c r="J366" s="107" t="s">
        <v>117</v>
      </c>
      <c r="K366" s="107" t="s">
        <v>601</v>
      </c>
    </row>
    <row r="367" spans="1:11" outlineLevel="1" x14ac:dyDescent="0.25">
      <c r="A367" s="107"/>
      <c r="B367" s="107"/>
      <c r="C367" s="107"/>
      <c r="D367">
        <v>2021</v>
      </c>
      <c r="E367">
        <f t="shared" si="34"/>
        <v>277471.33299000002</v>
      </c>
      <c r="F367">
        <f>F373+F379+F385+F391</f>
        <v>19160.860530000002</v>
      </c>
      <c r="G367">
        <f t="shared" ref="F367:I371" si="35">G373+G379+G385+G391</f>
        <v>257488.7</v>
      </c>
      <c r="H367">
        <f t="shared" si="35"/>
        <v>821.77245999999991</v>
      </c>
      <c r="I367">
        <f t="shared" si="35"/>
        <v>0</v>
      </c>
      <c r="J367" s="107"/>
      <c r="K367" s="107"/>
    </row>
    <row r="368" spans="1:11" outlineLevel="1" x14ac:dyDescent="0.25">
      <c r="A368" s="107"/>
      <c r="B368" s="107"/>
      <c r="C368" s="107"/>
      <c r="D368">
        <v>2022</v>
      </c>
      <c r="E368">
        <f t="shared" si="34"/>
        <v>420368.93519000005</v>
      </c>
      <c r="F368">
        <f t="shared" si="35"/>
        <v>287896.88693000004</v>
      </c>
      <c r="G368">
        <f t="shared" si="35"/>
        <v>117511.3</v>
      </c>
      <c r="H368">
        <f t="shared" si="35"/>
        <v>14960.74826</v>
      </c>
      <c r="I368">
        <f t="shared" si="35"/>
        <v>0</v>
      </c>
      <c r="J368" s="107"/>
      <c r="K368" s="107"/>
    </row>
    <row r="369" spans="1:11" outlineLevel="1" x14ac:dyDescent="0.25">
      <c r="A369" s="107"/>
      <c r="B369" s="107"/>
      <c r="C369" s="107"/>
      <c r="D369">
        <v>2023</v>
      </c>
      <c r="E369">
        <f t="shared" si="34"/>
        <v>139572.89473684211</v>
      </c>
      <c r="F369">
        <f t="shared" si="35"/>
        <v>11775.3</v>
      </c>
      <c r="G369">
        <f t="shared" si="35"/>
        <v>127391</v>
      </c>
      <c r="H369">
        <f t="shared" si="35"/>
        <v>406.59473684210525</v>
      </c>
      <c r="I369">
        <f t="shared" si="35"/>
        <v>0</v>
      </c>
      <c r="J369" s="107"/>
      <c r="K369" s="107"/>
    </row>
    <row r="370" spans="1:11" outlineLevel="1" x14ac:dyDescent="0.25">
      <c r="A370" s="107"/>
      <c r="B370" s="107"/>
      <c r="C370" s="107"/>
      <c r="D370">
        <v>2024</v>
      </c>
      <c r="E370">
        <f t="shared" si="34"/>
        <v>4050</v>
      </c>
      <c r="F370">
        <f t="shared" si="35"/>
        <v>4050</v>
      </c>
      <c r="G370">
        <f t="shared" si="35"/>
        <v>0</v>
      </c>
      <c r="H370">
        <f t="shared" si="35"/>
        <v>0</v>
      </c>
      <c r="I370">
        <f t="shared" si="35"/>
        <v>0</v>
      </c>
      <c r="J370" s="107"/>
      <c r="K370" s="107"/>
    </row>
    <row r="371" spans="1:11" outlineLevel="1" x14ac:dyDescent="0.25">
      <c r="A371" s="107"/>
      <c r="B371" s="107"/>
      <c r="C371" s="107"/>
      <c r="D371">
        <v>2025</v>
      </c>
      <c r="E371">
        <f t="shared" si="34"/>
        <v>0</v>
      </c>
      <c r="F371">
        <f t="shared" si="35"/>
        <v>0</v>
      </c>
      <c r="G371">
        <f t="shared" si="35"/>
        <v>0</v>
      </c>
      <c r="H371">
        <f t="shared" si="35"/>
        <v>0</v>
      </c>
      <c r="I371">
        <f>I377+I383+I389+I395</f>
        <v>0</v>
      </c>
      <c r="J371" s="107"/>
      <c r="K371" s="107"/>
    </row>
    <row r="372" spans="1:11" x14ac:dyDescent="0.25">
      <c r="A372" s="107" t="s">
        <v>119</v>
      </c>
      <c r="B372" s="107" t="s">
        <v>120</v>
      </c>
      <c r="C372" s="107" t="s">
        <v>41</v>
      </c>
      <c r="D372" t="s">
        <v>8</v>
      </c>
      <c r="E372">
        <f t="shared" si="34"/>
        <v>15470.7</v>
      </c>
      <c r="F372">
        <f>SUM(F373:F377)</f>
        <v>15470.7</v>
      </c>
      <c r="G372">
        <f>SUM(G373:G377)</f>
        <v>0</v>
      </c>
      <c r="H372">
        <f>SUM(H373:H377)</f>
        <v>0</v>
      </c>
      <c r="I372">
        <f>SUM(I373:I377)</f>
        <v>0</v>
      </c>
      <c r="J372" s="107" t="s">
        <v>121</v>
      </c>
      <c r="K372" s="107" t="s">
        <v>484</v>
      </c>
    </row>
    <row r="373" spans="1:11" ht="14.25" customHeight="1" x14ac:dyDescent="0.25">
      <c r="A373" s="107"/>
      <c r="B373" s="107"/>
      <c r="C373" s="107"/>
      <c r="D373">
        <v>2021</v>
      </c>
      <c r="E373">
        <f t="shared" si="34"/>
        <v>3320.7</v>
      </c>
      <c r="F373">
        <v>3320.7</v>
      </c>
      <c r="G373">
        <v>0</v>
      </c>
      <c r="H373">
        <v>0</v>
      </c>
      <c r="I373">
        <v>0</v>
      </c>
      <c r="J373" s="107"/>
      <c r="K373" s="107"/>
    </row>
    <row r="374" spans="1:11" x14ac:dyDescent="0.25">
      <c r="A374" s="107"/>
      <c r="B374" s="107"/>
      <c r="C374" s="107"/>
      <c r="D374">
        <v>2022</v>
      </c>
      <c r="E374">
        <f t="shared" si="34"/>
        <v>4050</v>
      </c>
      <c r="F374">
        <v>4050</v>
      </c>
      <c r="G374">
        <v>0</v>
      </c>
      <c r="H374">
        <v>0</v>
      </c>
      <c r="I374">
        <v>0</v>
      </c>
      <c r="J374" s="107"/>
      <c r="K374" s="107"/>
    </row>
    <row r="375" spans="1:11" x14ac:dyDescent="0.25">
      <c r="A375" s="107"/>
      <c r="B375" s="107"/>
      <c r="C375" s="107"/>
      <c r="D375">
        <v>2023</v>
      </c>
      <c r="E375">
        <f t="shared" ref="E375:E413" si="36">SUM(F375:I375)</f>
        <v>4050</v>
      </c>
      <c r="F375">
        <v>4050</v>
      </c>
      <c r="G375">
        <v>0</v>
      </c>
      <c r="H375">
        <v>0</v>
      </c>
      <c r="I375">
        <v>0</v>
      </c>
      <c r="J375" s="107"/>
      <c r="K375" s="107"/>
    </row>
    <row r="376" spans="1:11" x14ac:dyDescent="0.25">
      <c r="A376" s="107"/>
      <c r="B376" s="107"/>
      <c r="C376" s="107"/>
      <c r="D376">
        <v>2024</v>
      </c>
      <c r="E376">
        <f t="shared" si="36"/>
        <v>4050</v>
      </c>
      <c r="F376">
        <v>4050</v>
      </c>
      <c r="G376">
        <v>0</v>
      </c>
      <c r="H376">
        <v>0</v>
      </c>
      <c r="I376">
        <v>0</v>
      </c>
      <c r="J376" s="107"/>
      <c r="K376" s="107"/>
    </row>
    <row r="377" spans="1:11" x14ac:dyDescent="0.25">
      <c r="A377" s="107"/>
      <c r="B377" s="107"/>
      <c r="C377" s="107"/>
      <c r="D377">
        <v>2025</v>
      </c>
      <c r="E377">
        <f t="shared" si="36"/>
        <v>0</v>
      </c>
      <c r="F377">
        <v>0</v>
      </c>
      <c r="G377">
        <v>0</v>
      </c>
      <c r="H377">
        <v>0</v>
      </c>
      <c r="I377">
        <v>0</v>
      </c>
      <c r="J377" s="107"/>
      <c r="K377" s="107"/>
    </row>
    <row r="378" spans="1:11" x14ac:dyDescent="0.25">
      <c r="A378" s="107" t="s">
        <v>122</v>
      </c>
      <c r="B378" s="107" t="s">
        <v>123</v>
      </c>
      <c r="C378" s="107" t="s">
        <v>124</v>
      </c>
      <c r="D378" t="s">
        <v>8</v>
      </c>
      <c r="E378">
        <f t="shared" si="36"/>
        <v>286452.78574999998</v>
      </c>
      <c r="F378">
        <f>SUM(F379:F383)</f>
        <v>156936.07866999999</v>
      </c>
      <c r="G378">
        <f>SUM(G379:G383)</f>
        <v>121253.24861000001</v>
      </c>
      <c r="H378">
        <f>SUM(H379:H383)</f>
        <v>8263.4584699999996</v>
      </c>
      <c r="I378">
        <f>SUM(I379:I383)</f>
        <v>0</v>
      </c>
      <c r="J378" s="107" t="s">
        <v>602</v>
      </c>
      <c r="K378" s="107" t="s">
        <v>547</v>
      </c>
    </row>
    <row r="379" spans="1:11" ht="14.25" customHeight="1" x14ac:dyDescent="0.25">
      <c r="A379" s="107"/>
      <c r="B379" s="107"/>
      <c r="C379" s="107"/>
      <c r="D379">
        <v>2021</v>
      </c>
      <c r="E379">
        <f t="shared" si="36"/>
        <v>94465.110319999992</v>
      </c>
      <c r="F379">
        <v>5458.1035300000003</v>
      </c>
      <c r="G379">
        <v>88723.845570000005</v>
      </c>
      <c r="H379">
        <v>283.16122000000001</v>
      </c>
      <c r="I379">
        <v>0</v>
      </c>
      <c r="J379" s="107"/>
      <c r="K379" s="107"/>
    </row>
    <row r="380" spans="1:11" x14ac:dyDescent="0.25">
      <c r="A380" s="107"/>
      <c r="B380" s="107"/>
      <c r="C380" s="107"/>
      <c r="D380">
        <v>2022</v>
      </c>
      <c r="E380">
        <f t="shared" si="36"/>
        <v>191987.67543</v>
      </c>
      <c r="F380">
        <v>151477.97514</v>
      </c>
      <c r="G380">
        <v>32529.403040000001</v>
      </c>
      <c r="H380">
        <v>7980.2972499999996</v>
      </c>
      <c r="I380">
        <v>0</v>
      </c>
      <c r="J380" s="107"/>
      <c r="K380" s="107"/>
    </row>
    <row r="381" spans="1:11" x14ac:dyDescent="0.25">
      <c r="A381" s="107"/>
      <c r="B381" s="107"/>
      <c r="C381" s="107"/>
      <c r="D381">
        <v>2023</v>
      </c>
      <c r="E381">
        <f t="shared" si="36"/>
        <v>0</v>
      </c>
      <c r="F381">
        <v>0</v>
      </c>
      <c r="G381">
        <v>0</v>
      </c>
      <c r="H381">
        <v>0</v>
      </c>
      <c r="I381">
        <v>0</v>
      </c>
      <c r="J381" s="107"/>
      <c r="K381" s="107"/>
    </row>
    <row r="382" spans="1:11" x14ac:dyDescent="0.25">
      <c r="A382" s="107"/>
      <c r="B382" s="107"/>
      <c r="C382" s="107"/>
      <c r="D382">
        <v>2024</v>
      </c>
      <c r="E382">
        <f t="shared" si="36"/>
        <v>0</v>
      </c>
      <c r="F382">
        <v>0</v>
      </c>
      <c r="G382">
        <v>0</v>
      </c>
      <c r="H382">
        <v>0</v>
      </c>
      <c r="I382">
        <v>0</v>
      </c>
      <c r="J382" s="107"/>
      <c r="K382" s="107"/>
    </row>
    <row r="383" spans="1:11" x14ac:dyDescent="0.25">
      <c r="A383" s="107"/>
      <c r="B383" s="107"/>
      <c r="C383" s="107"/>
      <c r="D383">
        <v>2025</v>
      </c>
      <c r="E383">
        <f t="shared" si="36"/>
        <v>0</v>
      </c>
      <c r="F383">
        <v>0</v>
      </c>
      <c r="G383">
        <v>0</v>
      </c>
      <c r="H383">
        <v>0</v>
      </c>
      <c r="I383">
        <v>0</v>
      </c>
      <c r="J383" s="107"/>
      <c r="K383" s="107"/>
    </row>
    <row r="384" spans="1:11" ht="15" customHeight="1" x14ac:dyDescent="0.25">
      <c r="A384" s="107" t="s">
        <v>126</v>
      </c>
      <c r="B384" s="107" t="s">
        <v>127</v>
      </c>
      <c r="C384" s="107" t="s">
        <v>124</v>
      </c>
      <c r="D384" t="s">
        <v>8</v>
      </c>
      <c r="E384">
        <f t="shared" si="36"/>
        <v>404016.78243000002</v>
      </c>
      <c r="F384">
        <f>SUM(F385:F389)</f>
        <v>142750.96879000001</v>
      </c>
      <c r="G384">
        <f>SUM(G385:G389)</f>
        <v>253746.75138999999</v>
      </c>
      <c r="H384">
        <f>SUM(H385:H389)</f>
        <v>7519.0622499999999</v>
      </c>
      <c r="I384">
        <f>SUM(I385:I389)</f>
        <v>0</v>
      </c>
      <c r="J384" s="107" t="s">
        <v>603</v>
      </c>
      <c r="K384" s="107" t="s">
        <v>547</v>
      </c>
    </row>
    <row r="385" spans="1:11" x14ac:dyDescent="0.25">
      <c r="A385" s="107"/>
      <c r="B385" s="107"/>
      <c r="C385" s="107"/>
      <c r="D385">
        <v>2021</v>
      </c>
      <c r="E385">
        <f t="shared" si="36"/>
        <v>179685.52267000001</v>
      </c>
      <c r="F385">
        <v>10382.057000000001</v>
      </c>
      <c r="G385">
        <v>168764.85443000001</v>
      </c>
      <c r="H385">
        <v>538.61123999999995</v>
      </c>
      <c r="I385">
        <v>0</v>
      </c>
      <c r="J385" s="107"/>
      <c r="K385" s="107"/>
    </row>
    <row r="386" spans="1:11" x14ac:dyDescent="0.25">
      <c r="A386" s="107"/>
      <c r="B386" s="107"/>
      <c r="C386" s="107"/>
      <c r="D386">
        <v>2022</v>
      </c>
      <c r="E386">
        <f t="shared" si="36"/>
        <v>224331.25976000002</v>
      </c>
      <c r="F386">
        <v>132368.91179000001</v>
      </c>
      <c r="G386">
        <v>84981.896959999998</v>
      </c>
      <c r="H386">
        <v>6980.4510099999998</v>
      </c>
      <c r="I386">
        <v>0</v>
      </c>
      <c r="J386" s="107"/>
      <c r="K386" s="107"/>
    </row>
    <row r="387" spans="1:11" x14ac:dyDescent="0.25">
      <c r="A387" s="107"/>
      <c r="B387" s="107"/>
      <c r="C387" s="107"/>
      <c r="D387">
        <v>2023</v>
      </c>
      <c r="E387">
        <f t="shared" si="36"/>
        <v>0</v>
      </c>
      <c r="F387">
        <v>0</v>
      </c>
      <c r="G387">
        <v>0</v>
      </c>
      <c r="H387">
        <v>0</v>
      </c>
      <c r="I387">
        <v>0</v>
      </c>
      <c r="J387" s="107"/>
      <c r="K387" s="107"/>
    </row>
    <row r="388" spans="1:11" x14ac:dyDescent="0.25">
      <c r="A388" s="107"/>
      <c r="B388" s="107"/>
      <c r="C388" s="107"/>
      <c r="D388">
        <v>2024</v>
      </c>
      <c r="E388">
        <f t="shared" si="36"/>
        <v>0</v>
      </c>
      <c r="F388">
        <v>0</v>
      </c>
      <c r="G388">
        <v>0</v>
      </c>
      <c r="H388">
        <v>0</v>
      </c>
      <c r="I388">
        <v>0</v>
      </c>
      <c r="J388" s="107"/>
      <c r="K388" s="107"/>
    </row>
    <row r="389" spans="1:11" x14ac:dyDescent="0.25">
      <c r="A389" s="107"/>
      <c r="B389" s="107"/>
      <c r="C389" s="107"/>
      <c r="D389">
        <v>2025</v>
      </c>
      <c r="E389">
        <f t="shared" si="36"/>
        <v>0</v>
      </c>
      <c r="F389">
        <v>0</v>
      </c>
      <c r="G389">
        <v>0</v>
      </c>
      <c r="H389">
        <v>0</v>
      </c>
      <c r="I389">
        <v>0</v>
      </c>
      <c r="J389" s="107"/>
      <c r="K389" s="107"/>
    </row>
    <row r="390" spans="1:11" ht="15" customHeight="1" x14ac:dyDescent="0.25">
      <c r="A390" s="107" t="s">
        <v>128</v>
      </c>
      <c r="B390" s="107" t="s">
        <v>129</v>
      </c>
      <c r="C390" s="107">
        <v>2023</v>
      </c>
      <c r="D390" t="s">
        <v>8</v>
      </c>
      <c r="E390">
        <f t="shared" si="36"/>
        <v>135522.89473684211</v>
      </c>
      <c r="F390">
        <f>SUM(F391:F395)</f>
        <v>7725.3</v>
      </c>
      <c r="G390">
        <f>SUM(G391:G395)</f>
        <v>127391</v>
      </c>
      <c r="H390">
        <f>SUM(H391:H395)</f>
        <v>406.59473684210525</v>
      </c>
      <c r="I390">
        <f>SUM(I391:I395)</f>
        <v>0</v>
      </c>
      <c r="J390" s="107" t="s">
        <v>604</v>
      </c>
      <c r="K390" s="107" t="s">
        <v>547</v>
      </c>
    </row>
    <row r="391" spans="1:11" x14ac:dyDescent="0.25">
      <c r="A391" s="107"/>
      <c r="B391" s="107"/>
      <c r="C391" s="107"/>
      <c r="D391">
        <v>2021</v>
      </c>
      <c r="E391">
        <f t="shared" si="36"/>
        <v>0</v>
      </c>
      <c r="F391">
        <v>0</v>
      </c>
      <c r="G391">
        <v>0</v>
      </c>
      <c r="H391">
        <v>0</v>
      </c>
      <c r="I391">
        <v>0</v>
      </c>
      <c r="J391" s="107"/>
      <c r="K391" s="107"/>
    </row>
    <row r="392" spans="1:11" x14ac:dyDescent="0.25">
      <c r="A392" s="107"/>
      <c r="B392" s="107"/>
      <c r="C392" s="107"/>
      <c r="D392">
        <v>2022</v>
      </c>
      <c r="E392">
        <f t="shared" si="36"/>
        <v>0</v>
      </c>
      <c r="F392">
        <v>0</v>
      </c>
      <c r="G392">
        <v>0</v>
      </c>
      <c r="H392">
        <v>0</v>
      </c>
      <c r="I392">
        <v>0</v>
      </c>
      <c r="J392" s="107"/>
      <c r="K392" s="107"/>
    </row>
    <row r="393" spans="1:11" x14ac:dyDescent="0.25">
      <c r="A393" s="107"/>
      <c r="B393" s="107"/>
      <c r="C393" s="107"/>
      <c r="D393">
        <v>2023</v>
      </c>
      <c r="E393">
        <f t="shared" si="36"/>
        <v>135522.89473684211</v>
      </c>
      <c r="F393">
        <v>7725.3</v>
      </c>
      <c r="G393">
        <v>127391</v>
      </c>
      <c r="H393">
        <f>F393/95*5</f>
        <v>406.59473684210525</v>
      </c>
      <c r="I393">
        <v>0</v>
      </c>
      <c r="J393" s="107"/>
      <c r="K393" s="107"/>
    </row>
    <row r="394" spans="1:11" x14ac:dyDescent="0.25">
      <c r="A394" s="107"/>
      <c r="B394" s="107"/>
      <c r="C394" s="107"/>
      <c r="D394">
        <v>2024</v>
      </c>
      <c r="E394">
        <f t="shared" si="36"/>
        <v>0</v>
      </c>
      <c r="F394">
        <v>0</v>
      </c>
      <c r="G394">
        <v>0</v>
      </c>
      <c r="H394">
        <v>0</v>
      </c>
      <c r="I394">
        <v>0</v>
      </c>
      <c r="J394" s="107"/>
      <c r="K394" s="107"/>
    </row>
    <row r="395" spans="1:11" x14ac:dyDescent="0.25">
      <c r="A395" s="107"/>
      <c r="B395" s="107"/>
      <c r="C395" s="107"/>
      <c r="D395">
        <v>2025</v>
      </c>
      <c r="E395">
        <f t="shared" si="36"/>
        <v>0</v>
      </c>
      <c r="F395">
        <v>0</v>
      </c>
      <c r="G395">
        <v>0</v>
      </c>
      <c r="H395">
        <v>0</v>
      </c>
      <c r="I395">
        <v>0</v>
      </c>
      <c r="J395" s="107"/>
      <c r="K395" s="107"/>
    </row>
    <row r="396" spans="1:11" x14ac:dyDescent="0.25">
      <c r="A396" s="107" t="s">
        <v>131</v>
      </c>
      <c r="B396" s="107" t="s">
        <v>132</v>
      </c>
      <c r="C396" s="107" t="s">
        <v>14</v>
      </c>
      <c r="D396" t="s">
        <v>8</v>
      </c>
      <c r="E396">
        <f t="shared" si="36"/>
        <v>204494.43990999996</v>
      </c>
      <c r="F396">
        <f>SUM(F397:F401)</f>
        <v>204494.43990999996</v>
      </c>
      <c r="G396">
        <f>SUM(G397:G401)</f>
        <v>0</v>
      </c>
      <c r="H396">
        <f>SUM(H397:H401)</f>
        <v>0</v>
      </c>
      <c r="I396">
        <f>SUM(I397:I401)</f>
        <v>0</v>
      </c>
      <c r="J396" s="107"/>
      <c r="K396" s="107" t="s">
        <v>484</v>
      </c>
    </row>
    <row r="397" spans="1:11" x14ac:dyDescent="0.25">
      <c r="A397" s="107"/>
      <c r="B397" s="107"/>
      <c r="C397" s="107"/>
      <c r="D397">
        <v>2021</v>
      </c>
      <c r="E397">
        <f t="shared" si="36"/>
        <v>39008.536670000001</v>
      </c>
      <c r="F397">
        <f t="shared" ref="F397:I401" si="37">F403</f>
        <v>39008.536670000001</v>
      </c>
      <c r="G397">
        <f t="shared" si="37"/>
        <v>0</v>
      </c>
      <c r="H397">
        <f t="shared" si="37"/>
        <v>0</v>
      </c>
      <c r="I397">
        <f t="shared" si="37"/>
        <v>0</v>
      </c>
      <c r="J397" s="107"/>
      <c r="K397" s="107"/>
    </row>
    <row r="398" spans="1:11" x14ac:dyDescent="0.25">
      <c r="A398" s="107"/>
      <c r="B398" s="107"/>
      <c r="C398" s="107"/>
      <c r="D398">
        <v>2022</v>
      </c>
      <c r="E398">
        <f t="shared" si="36"/>
        <v>35824.54262</v>
      </c>
      <c r="F398">
        <f t="shared" si="37"/>
        <v>35824.54262</v>
      </c>
      <c r="G398">
        <f t="shared" si="37"/>
        <v>0</v>
      </c>
      <c r="H398">
        <f t="shared" si="37"/>
        <v>0</v>
      </c>
      <c r="I398">
        <f t="shared" si="37"/>
        <v>0</v>
      </c>
      <c r="J398" s="107"/>
      <c r="K398" s="107"/>
    </row>
    <row r="399" spans="1:11" x14ac:dyDescent="0.25">
      <c r="A399" s="107"/>
      <c r="B399" s="107"/>
      <c r="C399" s="107"/>
      <c r="D399">
        <v>2023</v>
      </c>
      <c r="E399">
        <f t="shared" si="36"/>
        <v>35824.54262</v>
      </c>
      <c r="F399">
        <f t="shared" si="37"/>
        <v>35824.54262</v>
      </c>
      <c r="G399">
        <f t="shared" si="37"/>
        <v>0</v>
      </c>
      <c r="H399">
        <f t="shared" si="37"/>
        <v>0</v>
      </c>
      <c r="I399">
        <f t="shared" si="37"/>
        <v>0</v>
      </c>
      <c r="J399" s="107"/>
      <c r="K399" s="107"/>
    </row>
    <row r="400" spans="1:11" x14ac:dyDescent="0.25">
      <c r="A400" s="107"/>
      <c r="B400" s="107"/>
      <c r="C400" s="107"/>
      <c r="D400">
        <v>2024</v>
      </c>
      <c r="E400">
        <f t="shared" si="36"/>
        <v>46918.409</v>
      </c>
      <c r="F400">
        <f t="shared" si="37"/>
        <v>46918.409</v>
      </c>
      <c r="G400">
        <f t="shared" si="37"/>
        <v>0</v>
      </c>
      <c r="H400">
        <f t="shared" si="37"/>
        <v>0</v>
      </c>
      <c r="I400">
        <f t="shared" si="37"/>
        <v>0</v>
      </c>
      <c r="J400" s="107"/>
      <c r="K400" s="107"/>
    </row>
    <row r="401" spans="1:11" x14ac:dyDescent="0.25">
      <c r="A401" s="107"/>
      <c r="B401" s="107"/>
      <c r="C401" s="107"/>
      <c r="D401">
        <v>2025</v>
      </c>
      <c r="E401">
        <f t="shared" si="36"/>
        <v>46918.409</v>
      </c>
      <c r="F401">
        <f t="shared" si="37"/>
        <v>46918.409</v>
      </c>
      <c r="G401">
        <f t="shared" si="37"/>
        <v>0</v>
      </c>
      <c r="H401">
        <f t="shared" si="37"/>
        <v>0</v>
      </c>
      <c r="I401">
        <f t="shared" si="37"/>
        <v>0</v>
      </c>
      <c r="J401" s="107"/>
      <c r="K401" s="107"/>
    </row>
    <row r="402" spans="1:11" ht="15" customHeight="1" x14ac:dyDescent="0.25">
      <c r="A402" s="107" t="s">
        <v>133</v>
      </c>
      <c r="B402" s="107" t="s">
        <v>134</v>
      </c>
      <c r="C402" s="107" t="s">
        <v>14</v>
      </c>
      <c r="D402" t="s">
        <v>8</v>
      </c>
      <c r="E402">
        <f t="shared" si="36"/>
        <v>204494.43990999996</v>
      </c>
      <c r="F402">
        <f>SUM(F403:F407)</f>
        <v>204494.43990999996</v>
      </c>
      <c r="G402">
        <f>SUM(G403:G407)</f>
        <v>0</v>
      </c>
      <c r="H402">
        <f>SUM(H403:H407)</f>
        <v>0</v>
      </c>
      <c r="I402">
        <f>SUM(I403:I407)</f>
        <v>0</v>
      </c>
      <c r="J402" s="107" t="s">
        <v>605</v>
      </c>
      <c r="K402" s="107" t="s">
        <v>484</v>
      </c>
    </row>
    <row r="403" spans="1:11" x14ac:dyDescent="0.25">
      <c r="A403" s="107"/>
      <c r="B403" s="107"/>
      <c r="C403" s="107"/>
      <c r="D403">
        <v>2021</v>
      </c>
      <c r="E403">
        <f t="shared" si="36"/>
        <v>39008.536670000001</v>
      </c>
      <c r="F403">
        <f t="shared" ref="F403:I407" si="38">F409</f>
        <v>39008.536670000001</v>
      </c>
      <c r="G403">
        <f t="shared" si="38"/>
        <v>0</v>
      </c>
      <c r="H403">
        <f t="shared" si="38"/>
        <v>0</v>
      </c>
      <c r="I403">
        <f t="shared" si="38"/>
        <v>0</v>
      </c>
      <c r="J403" s="107"/>
      <c r="K403" s="107"/>
    </row>
    <row r="404" spans="1:11" x14ac:dyDescent="0.25">
      <c r="A404" s="107"/>
      <c r="B404" s="107"/>
      <c r="C404" s="107"/>
      <c r="D404">
        <v>2022</v>
      </c>
      <c r="E404">
        <f t="shared" si="36"/>
        <v>35824.54262</v>
      </c>
      <c r="F404">
        <f t="shared" si="38"/>
        <v>35824.54262</v>
      </c>
      <c r="G404">
        <f t="shared" si="38"/>
        <v>0</v>
      </c>
      <c r="H404">
        <f t="shared" si="38"/>
        <v>0</v>
      </c>
      <c r="I404">
        <f t="shared" si="38"/>
        <v>0</v>
      </c>
      <c r="J404" s="107"/>
      <c r="K404" s="107"/>
    </row>
    <row r="405" spans="1:11" x14ac:dyDescent="0.25">
      <c r="A405" s="107"/>
      <c r="B405" s="107"/>
      <c r="C405" s="107"/>
      <c r="D405">
        <v>2023</v>
      </c>
      <c r="E405">
        <f t="shared" si="36"/>
        <v>35824.54262</v>
      </c>
      <c r="F405">
        <f t="shared" si="38"/>
        <v>35824.54262</v>
      </c>
      <c r="G405">
        <f t="shared" si="38"/>
        <v>0</v>
      </c>
      <c r="H405">
        <f t="shared" si="38"/>
        <v>0</v>
      </c>
      <c r="I405">
        <f t="shared" si="38"/>
        <v>0</v>
      </c>
      <c r="J405" s="107"/>
      <c r="K405" s="107"/>
    </row>
    <row r="406" spans="1:11" x14ac:dyDescent="0.25">
      <c r="A406" s="107"/>
      <c r="B406" s="107"/>
      <c r="C406" s="107"/>
      <c r="D406">
        <v>2024</v>
      </c>
      <c r="E406">
        <f t="shared" si="36"/>
        <v>46918.409</v>
      </c>
      <c r="F406">
        <f t="shared" si="38"/>
        <v>46918.409</v>
      </c>
      <c r="G406">
        <f t="shared" si="38"/>
        <v>0</v>
      </c>
      <c r="H406">
        <f t="shared" si="38"/>
        <v>0</v>
      </c>
      <c r="I406">
        <f t="shared" si="38"/>
        <v>0</v>
      </c>
      <c r="J406" s="107"/>
      <c r="K406" s="107"/>
    </row>
    <row r="407" spans="1:11" ht="52.5" customHeight="1" x14ac:dyDescent="0.25">
      <c r="A407" s="107"/>
      <c r="B407" s="107"/>
      <c r="C407" s="107"/>
      <c r="D407">
        <v>2025</v>
      </c>
      <c r="E407">
        <f t="shared" si="36"/>
        <v>46918.409</v>
      </c>
      <c r="F407">
        <f t="shared" si="38"/>
        <v>46918.409</v>
      </c>
      <c r="G407">
        <f>G413</f>
        <v>0</v>
      </c>
      <c r="H407">
        <f>H413</f>
        <v>0</v>
      </c>
      <c r="I407">
        <f>I413</f>
        <v>0</v>
      </c>
      <c r="J407" s="107"/>
      <c r="K407" s="107"/>
    </row>
    <row r="408" spans="1:11" x14ac:dyDescent="0.25">
      <c r="A408" s="107" t="s">
        <v>135</v>
      </c>
      <c r="B408" s="107" t="s">
        <v>606</v>
      </c>
      <c r="C408" s="107" t="s">
        <v>14</v>
      </c>
      <c r="D408" t="s">
        <v>8</v>
      </c>
      <c r="E408">
        <f t="shared" si="36"/>
        <v>204494.43990999996</v>
      </c>
      <c r="F408">
        <f>SUM(F409:F413)</f>
        <v>204494.43990999996</v>
      </c>
      <c r="G408">
        <f>SUM(G409:G413)</f>
        <v>0</v>
      </c>
      <c r="H408">
        <f>SUM(H409:H413)</f>
        <v>0</v>
      </c>
      <c r="I408">
        <f>SUM(I409:I413)</f>
        <v>0</v>
      </c>
      <c r="J408" s="107" t="s">
        <v>607</v>
      </c>
      <c r="K408" s="107" t="s">
        <v>484</v>
      </c>
    </row>
    <row r="409" spans="1:11" x14ac:dyDescent="0.25">
      <c r="A409" s="107"/>
      <c r="B409" s="107"/>
      <c r="C409" s="107"/>
      <c r="D409">
        <v>2021</v>
      </c>
      <c r="E409">
        <f t="shared" si="36"/>
        <v>39008.536670000001</v>
      </c>
      <c r="F409">
        <v>39008.536670000001</v>
      </c>
      <c r="G409">
        <v>0</v>
      </c>
      <c r="H409">
        <v>0</v>
      </c>
      <c r="I409">
        <v>0</v>
      </c>
      <c r="J409" s="107"/>
      <c r="K409" s="107"/>
    </row>
    <row r="410" spans="1:11" x14ac:dyDescent="0.25">
      <c r="A410" s="107"/>
      <c r="B410" s="107"/>
      <c r="C410" s="107"/>
      <c r="D410">
        <v>2022</v>
      </c>
      <c r="E410">
        <f t="shared" si="36"/>
        <v>35824.54262</v>
      </c>
      <c r="F410">
        <v>35824.54262</v>
      </c>
      <c r="G410">
        <v>0</v>
      </c>
      <c r="H410">
        <v>0</v>
      </c>
      <c r="I410">
        <v>0</v>
      </c>
      <c r="J410" s="107"/>
      <c r="K410" s="107"/>
    </row>
    <row r="411" spans="1:11" x14ac:dyDescent="0.25">
      <c r="A411" s="107"/>
      <c r="B411" s="107"/>
      <c r="C411" s="107"/>
      <c r="D411">
        <v>2023</v>
      </c>
      <c r="E411">
        <f t="shared" si="36"/>
        <v>35824.54262</v>
      </c>
      <c r="F411">
        <v>35824.54262</v>
      </c>
      <c r="G411">
        <v>0</v>
      </c>
      <c r="H411">
        <v>0</v>
      </c>
      <c r="I411">
        <v>0</v>
      </c>
      <c r="J411" s="107"/>
      <c r="K411" s="107"/>
    </row>
    <row r="412" spans="1:11" x14ac:dyDescent="0.25">
      <c r="A412" s="107"/>
      <c r="B412" s="107"/>
      <c r="C412" s="107"/>
      <c r="D412">
        <v>2024</v>
      </c>
      <c r="E412">
        <f t="shared" si="36"/>
        <v>46918.409</v>
      </c>
      <c r="F412">
        <v>46918.409</v>
      </c>
      <c r="G412">
        <v>0</v>
      </c>
      <c r="H412">
        <v>0</v>
      </c>
      <c r="I412">
        <v>0</v>
      </c>
      <c r="J412" s="107"/>
      <c r="K412" s="107"/>
    </row>
    <row r="413" spans="1:11" x14ac:dyDescent="0.25">
      <c r="A413" s="107"/>
      <c r="B413" s="107"/>
      <c r="C413" s="107"/>
      <c r="D413">
        <v>2025</v>
      </c>
      <c r="E413">
        <f t="shared" si="36"/>
        <v>46918.409</v>
      </c>
      <c r="F413">
        <v>46918.409</v>
      </c>
      <c r="G413">
        <v>0</v>
      </c>
      <c r="H413">
        <v>0</v>
      </c>
      <c r="I413">
        <v>0</v>
      </c>
      <c r="J413" s="107"/>
      <c r="K413" s="107"/>
    </row>
  </sheetData>
  <autoFilter ref="A4:L395">
    <filterColumn colId="3">
      <colorFilter dxfId="3"/>
    </filterColumn>
  </autoFilter>
  <mergeCells count="345">
    <mergeCell ref="A408:A413"/>
    <mergeCell ref="B408:B413"/>
    <mergeCell ref="C408:C413"/>
    <mergeCell ref="J408:J413"/>
    <mergeCell ref="K408:K413"/>
    <mergeCell ref="A396:A401"/>
    <mergeCell ref="B396:B401"/>
    <mergeCell ref="C396:C401"/>
    <mergeCell ref="J396:J401"/>
    <mergeCell ref="K396:K401"/>
    <mergeCell ref="A402:A407"/>
    <mergeCell ref="B402:B407"/>
    <mergeCell ref="C402:C407"/>
    <mergeCell ref="J402:J407"/>
    <mergeCell ref="K402:K407"/>
    <mergeCell ref="A384:A389"/>
    <mergeCell ref="B384:B389"/>
    <mergeCell ref="C384:C389"/>
    <mergeCell ref="J384:J389"/>
    <mergeCell ref="K384:K389"/>
    <mergeCell ref="A390:A395"/>
    <mergeCell ref="B390:B395"/>
    <mergeCell ref="C390:C395"/>
    <mergeCell ref="J390:J395"/>
    <mergeCell ref="K390:K395"/>
    <mergeCell ref="A372:A377"/>
    <mergeCell ref="B372:B377"/>
    <mergeCell ref="C372:C377"/>
    <mergeCell ref="J372:J377"/>
    <mergeCell ref="K372:K377"/>
    <mergeCell ref="A378:A383"/>
    <mergeCell ref="B378:B383"/>
    <mergeCell ref="C378:C383"/>
    <mergeCell ref="J378:J383"/>
    <mergeCell ref="K378:K383"/>
    <mergeCell ref="A360:A365"/>
    <mergeCell ref="B360:B365"/>
    <mergeCell ref="C360:C365"/>
    <mergeCell ref="J360:J365"/>
    <mergeCell ref="K360:K365"/>
    <mergeCell ref="A366:A371"/>
    <mergeCell ref="B366:B371"/>
    <mergeCell ref="C366:C371"/>
    <mergeCell ref="J366:J371"/>
    <mergeCell ref="K366:K371"/>
    <mergeCell ref="A348:A353"/>
    <mergeCell ref="B348:B353"/>
    <mergeCell ref="C348:C353"/>
    <mergeCell ref="J348:J353"/>
    <mergeCell ref="K348:K353"/>
    <mergeCell ref="A354:A359"/>
    <mergeCell ref="B354:B359"/>
    <mergeCell ref="C354:C359"/>
    <mergeCell ref="J354:J359"/>
    <mergeCell ref="K354:K359"/>
    <mergeCell ref="A336:A341"/>
    <mergeCell ref="B336:B341"/>
    <mergeCell ref="C336:C341"/>
    <mergeCell ref="J336:J341"/>
    <mergeCell ref="K336:K341"/>
    <mergeCell ref="A342:A347"/>
    <mergeCell ref="B342:B347"/>
    <mergeCell ref="C342:C347"/>
    <mergeCell ref="J342:J347"/>
    <mergeCell ref="K342:K347"/>
    <mergeCell ref="A324:A329"/>
    <mergeCell ref="B324:B329"/>
    <mergeCell ref="C324:C329"/>
    <mergeCell ref="J324:J329"/>
    <mergeCell ref="K324:K329"/>
    <mergeCell ref="A330:A335"/>
    <mergeCell ref="B330:B335"/>
    <mergeCell ref="C330:C335"/>
    <mergeCell ref="J330:J335"/>
    <mergeCell ref="K330:K335"/>
    <mergeCell ref="A312:A317"/>
    <mergeCell ref="B312:B317"/>
    <mergeCell ref="C312:C317"/>
    <mergeCell ref="J312:J317"/>
    <mergeCell ref="K312:K317"/>
    <mergeCell ref="A318:A323"/>
    <mergeCell ref="B318:B323"/>
    <mergeCell ref="C318:C323"/>
    <mergeCell ref="J318:J323"/>
    <mergeCell ref="K318:K323"/>
    <mergeCell ref="A300:A305"/>
    <mergeCell ref="B300:B305"/>
    <mergeCell ref="C300:C305"/>
    <mergeCell ref="J300:J305"/>
    <mergeCell ref="K300:K305"/>
    <mergeCell ref="A306:A311"/>
    <mergeCell ref="B306:B311"/>
    <mergeCell ref="C306:C311"/>
    <mergeCell ref="J306:J311"/>
    <mergeCell ref="K306:K311"/>
    <mergeCell ref="A288:A293"/>
    <mergeCell ref="B288:B293"/>
    <mergeCell ref="C288:C293"/>
    <mergeCell ref="J288:J293"/>
    <mergeCell ref="K288:K293"/>
    <mergeCell ref="A294:A299"/>
    <mergeCell ref="B294:B299"/>
    <mergeCell ref="C294:C299"/>
    <mergeCell ref="J294:J299"/>
    <mergeCell ref="K294:K299"/>
    <mergeCell ref="A276:A281"/>
    <mergeCell ref="B276:B281"/>
    <mergeCell ref="C276:C281"/>
    <mergeCell ref="J276:J281"/>
    <mergeCell ref="K276:K281"/>
    <mergeCell ref="L276:O278"/>
    <mergeCell ref="A282:A287"/>
    <mergeCell ref="B282:B287"/>
    <mergeCell ref="C282:C287"/>
    <mergeCell ref="J282:J287"/>
    <mergeCell ref="K282:K287"/>
    <mergeCell ref="A264:A269"/>
    <mergeCell ref="B264:B269"/>
    <mergeCell ref="C264:C269"/>
    <mergeCell ref="J264:J269"/>
    <mergeCell ref="K264:K269"/>
    <mergeCell ref="A270:A275"/>
    <mergeCell ref="B270:B275"/>
    <mergeCell ref="C270:C275"/>
    <mergeCell ref="J270:J275"/>
    <mergeCell ref="K270:K275"/>
    <mergeCell ref="A252:A257"/>
    <mergeCell ref="B252:B257"/>
    <mergeCell ref="C252:C257"/>
    <mergeCell ref="J252:J257"/>
    <mergeCell ref="K252:K257"/>
    <mergeCell ref="A258:A263"/>
    <mergeCell ref="B258:B263"/>
    <mergeCell ref="C258:C263"/>
    <mergeCell ref="J258:J263"/>
    <mergeCell ref="K258:K263"/>
    <mergeCell ref="A240:A245"/>
    <mergeCell ref="B240:B245"/>
    <mergeCell ref="C240:C245"/>
    <mergeCell ref="J240:J245"/>
    <mergeCell ref="K240:K245"/>
    <mergeCell ref="A246:A251"/>
    <mergeCell ref="B246:B251"/>
    <mergeCell ref="C246:C251"/>
    <mergeCell ref="J246:J251"/>
    <mergeCell ref="K246:K251"/>
    <mergeCell ref="A223:A228"/>
    <mergeCell ref="B223:B228"/>
    <mergeCell ref="C223:C228"/>
    <mergeCell ref="J223:J228"/>
    <mergeCell ref="K223:K228"/>
    <mergeCell ref="A229:A234"/>
    <mergeCell ref="B229:B234"/>
    <mergeCell ref="C229:C234"/>
    <mergeCell ref="J229:J234"/>
    <mergeCell ref="K229:K234"/>
    <mergeCell ref="A211:A216"/>
    <mergeCell ref="B211:B216"/>
    <mergeCell ref="C211:C216"/>
    <mergeCell ref="J211:J216"/>
    <mergeCell ref="K211:K216"/>
    <mergeCell ref="A217:A222"/>
    <mergeCell ref="B217:B222"/>
    <mergeCell ref="C217:C222"/>
    <mergeCell ref="J217:J222"/>
    <mergeCell ref="K217:K222"/>
    <mergeCell ref="A199:A204"/>
    <mergeCell ref="B199:B204"/>
    <mergeCell ref="C199:C204"/>
    <mergeCell ref="J199:J204"/>
    <mergeCell ref="K199:K204"/>
    <mergeCell ref="A205:A210"/>
    <mergeCell ref="B205:B210"/>
    <mergeCell ref="C205:C210"/>
    <mergeCell ref="J205:J210"/>
    <mergeCell ref="K205:K210"/>
    <mergeCell ref="A187:A192"/>
    <mergeCell ref="B187:B192"/>
    <mergeCell ref="C187:C192"/>
    <mergeCell ref="J187:J192"/>
    <mergeCell ref="K187:K192"/>
    <mergeCell ref="A193:A198"/>
    <mergeCell ref="B193:B198"/>
    <mergeCell ref="C193:C198"/>
    <mergeCell ref="J193:J198"/>
    <mergeCell ref="K193:K198"/>
    <mergeCell ref="A175:A180"/>
    <mergeCell ref="B175:B180"/>
    <mergeCell ref="C175:C180"/>
    <mergeCell ref="J175:J180"/>
    <mergeCell ref="K175:K180"/>
    <mergeCell ref="A181:A186"/>
    <mergeCell ref="B181:B186"/>
    <mergeCell ref="C181:C186"/>
    <mergeCell ref="J181:J186"/>
    <mergeCell ref="K181:K186"/>
    <mergeCell ref="A163:A168"/>
    <mergeCell ref="B163:B168"/>
    <mergeCell ref="C163:C168"/>
    <mergeCell ref="J163:J168"/>
    <mergeCell ref="K163:K168"/>
    <mergeCell ref="A169:A174"/>
    <mergeCell ref="B169:B174"/>
    <mergeCell ref="C169:C174"/>
    <mergeCell ref="J169:J174"/>
    <mergeCell ref="K169:K174"/>
    <mergeCell ref="A151:A156"/>
    <mergeCell ref="B151:B156"/>
    <mergeCell ref="C151:C156"/>
    <mergeCell ref="J151:J156"/>
    <mergeCell ref="K151:K156"/>
    <mergeCell ref="A157:A162"/>
    <mergeCell ref="B157:B162"/>
    <mergeCell ref="C157:C162"/>
    <mergeCell ref="J157:J162"/>
    <mergeCell ref="K157:K162"/>
    <mergeCell ref="A139:A144"/>
    <mergeCell ref="B139:B144"/>
    <mergeCell ref="C139:C144"/>
    <mergeCell ref="J139:J144"/>
    <mergeCell ref="K139:K144"/>
    <mergeCell ref="A145:A150"/>
    <mergeCell ref="B145:B150"/>
    <mergeCell ref="C145:C150"/>
    <mergeCell ref="J145:J150"/>
    <mergeCell ref="K145:K150"/>
    <mergeCell ref="L121:N126"/>
    <mergeCell ref="A127:A132"/>
    <mergeCell ref="B127:B132"/>
    <mergeCell ref="C127:C132"/>
    <mergeCell ref="J127:J132"/>
    <mergeCell ref="K127:K132"/>
    <mergeCell ref="L127:N132"/>
    <mergeCell ref="A133:A138"/>
    <mergeCell ref="B133:B138"/>
    <mergeCell ref="C133:C138"/>
    <mergeCell ref="J133:J138"/>
    <mergeCell ref="K133:K138"/>
    <mergeCell ref="L133:N138"/>
    <mergeCell ref="A115:A120"/>
    <mergeCell ref="B115:B120"/>
    <mergeCell ref="C115:C120"/>
    <mergeCell ref="J115:J120"/>
    <mergeCell ref="K115:K120"/>
    <mergeCell ref="A121:A126"/>
    <mergeCell ref="B121:B126"/>
    <mergeCell ref="C121:C126"/>
    <mergeCell ref="J121:J126"/>
    <mergeCell ref="K121:K126"/>
    <mergeCell ref="A103:A108"/>
    <mergeCell ref="B103:B108"/>
    <mergeCell ref="C103:C108"/>
    <mergeCell ref="J103:J108"/>
    <mergeCell ref="K103:K108"/>
    <mergeCell ref="L103:N108"/>
    <mergeCell ref="A109:A114"/>
    <mergeCell ref="B109:B114"/>
    <mergeCell ref="C109:C114"/>
    <mergeCell ref="J109:J114"/>
    <mergeCell ref="K109:K114"/>
    <mergeCell ref="A86:A91"/>
    <mergeCell ref="B86:B91"/>
    <mergeCell ref="C86:C91"/>
    <mergeCell ref="J86:J91"/>
    <mergeCell ref="K86:K91"/>
    <mergeCell ref="A92:A97"/>
    <mergeCell ref="B92:B97"/>
    <mergeCell ref="C92:C97"/>
    <mergeCell ref="J92:J97"/>
    <mergeCell ref="K92:K97"/>
    <mergeCell ref="A74:A79"/>
    <mergeCell ref="B74:B79"/>
    <mergeCell ref="C74:C79"/>
    <mergeCell ref="J74:J79"/>
    <mergeCell ref="K74:K79"/>
    <mergeCell ref="A80:A85"/>
    <mergeCell ref="B80:B85"/>
    <mergeCell ref="C80:C85"/>
    <mergeCell ref="J80:J85"/>
    <mergeCell ref="K80:K85"/>
    <mergeCell ref="A62:A67"/>
    <mergeCell ref="B62:B67"/>
    <mergeCell ref="C62:C67"/>
    <mergeCell ref="J62:J67"/>
    <mergeCell ref="K62:K67"/>
    <mergeCell ref="A68:A73"/>
    <mergeCell ref="B68:B73"/>
    <mergeCell ref="C68:C73"/>
    <mergeCell ref="J68:J73"/>
    <mergeCell ref="K68:K73"/>
    <mergeCell ref="L41:N46"/>
    <mergeCell ref="A50:A55"/>
    <mergeCell ref="B50:B55"/>
    <mergeCell ref="C50:C55"/>
    <mergeCell ref="J50:J55"/>
    <mergeCell ref="K50:K55"/>
    <mergeCell ref="A56:A61"/>
    <mergeCell ref="B56:B61"/>
    <mergeCell ref="C56:C61"/>
    <mergeCell ref="J56:J61"/>
    <mergeCell ref="K56:K61"/>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L23:N28"/>
    <mergeCell ref="A29:A34"/>
    <mergeCell ref="B29:B34"/>
    <mergeCell ref="C29:C34"/>
    <mergeCell ref="J29:J34"/>
    <mergeCell ref="K29:K34"/>
    <mergeCell ref="L29:N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2"/>
  <sheetViews>
    <sheetView zoomScale="90" workbookViewId="0">
      <selection activeCell="F817" sqref="F817"/>
    </sheetView>
  </sheetViews>
  <sheetFormatPr defaultRowHeight="15" x14ac:dyDescent="0.25"/>
  <cols>
    <col min="1" max="1" width="8.140625" customWidth="1"/>
    <col min="2" max="2" width="40.28515625" customWidth="1"/>
    <col min="3" max="3" width="12" customWidth="1"/>
    <col min="4" max="4" width="13.85546875" customWidth="1"/>
    <col min="5" max="5" width="21.85546875" customWidth="1"/>
    <col min="6" max="6" width="21.7109375" customWidth="1"/>
    <col min="7" max="7" width="21.5703125" customWidth="1"/>
    <col min="8" max="8" width="18.42578125" customWidth="1"/>
    <col min="9" max="9" width="32.85546875" customWidth="1"/>
    <col min="10" max="10" width="48.42578125" customWidth="1"/>
    <col min="11" max="11" width="40.42578125" customWidth="1"/>
    <col min="12" max="12" width="23.5703125" hidden="1" customWidth="1"/>
    <col min="13" max="13" width="14.85546875" hidden="1" customWidth="1"/>
    <col min="14" max="14" width="13.5703125" hidden="1" customWidth="1"/>
    <col min="15" max="15" width="14" hidden="1" customWidth="1"/>
    <col min="16" max="18" width="12.5703125" hidden="1" customWidth="1"/>
    <col min="19" max="19" width="0" hidden="1" customWidth="1"/>
    <col min="20" max="20" width="10" hidden="1" customWidth="1"/>
    <col min="21" max="21" width="11.7109375" hidden="1" customWidth="1"/>
    <col min="22" max="23" width="0" hidden="1" customWidth="1"/>
    <col min="24" max="24" width="10.28515625" hidden="1" customWidth="1"/>
    <col min="25" max="25" width="0" hidden="1" customWidth="1"/>
    <col min="27" max="28" width="11.85546875" bestFit="1" customWidth="1"/>
    <col min="29" max="29" width="3.85546875" bestFit="1" customWidth="1"/>
    <col min="30" max="30" width="10.42578125" bestFit="1" customWidth="1"/>
    <col min="31" max="31" width="6" bestFit="1" customWidth="1"/>
  </cols>
  <sheetData>
    <row r="2" spans="1:32" x14ac:dyDescent="0.25">
      <c r="K2" t="s">
        <v>1254</v>
      </c>
    </row>
    <row r="3" spans="1:32" x14ac:dyDescent="0.25">
      <c r="K3" s="107" t="s">
        <v>1256</v>
      </c>
    </row>
    <row r="4" spans="1:32" x14ac:dyDescent="0.25">
      <c r="K4" s="107"/>
    </row>
    <row r="5" spans="1:32" x14ac:dyDescent="0.25">
      <c r="C5" t="s">
        <v>1257</v>
      </c>
      <c r="J5" s="107" t="s">
        <v>1258</v>
      </c>
      <c r="K5" s="107"/>
    </row>
    <row r="8" spans="1:32" x14ac:dyDescent="0.25">
      <c r="A8" s="107" t="s">
        <v>1</v>
      </c>
      <c r="B8" s="107" t="s">
        <v>1234</v>
      </c>
      <c r="C8" s="107" t="s">
        <v>1235</v>
      </c>
      <c r="D8" s="107" t="s">
        <v>1259</v>
      </c>
      <c r="E8" s="107"/>
      <c r="F8" s="107"/>
      <c r="G8" s="107"/>
      <c r="H8" s="107"/>
      <c r="I8" s="107"/>
      <c r="J8" s="107" t="s">
        <v>5</v>
      </c>
      <c r="K8" s="107" t="s">
        <v>6</v>
      </c>
    </row>
    <row r="9" spans="1:32" x14ac:dyDescent="0.25">
      <c r="A9" s="107"/>
      <c r="B9" s="107"/>
      <c r="C9" s="107"/>
      <c r="D9" t="s">
        <v>1102</v>
      </c>
      <c r="E9" t="s">
        <v>8</v>
      </c>
      <c r="F9" t="s">
        <v>9</v>
      </c>
      <c r="G9" t="s">
        <v>10</v>
      </c>
      <c r="H9" t="s">
        <v>11</v>
      </c>
      <c r="I9" t="s">
        <v>12</v>
      </c>
      <c r="J9" s="107"/>
      <c r="K9" s="107"/>
    </row>
    <row r="10" spans="1:32" x14ac:dyDescent="0.25">
      <c r="A10" s="107"/>
      <c r="B10" s="107" t="s">
        <v>1241</v>
      </c>
      <c r="C10" s="107" t="s">
        <v>14</v>
      </c>
      <c r="D10" t="s">
        <v>8</v>
      </c>
      <c r="E10">
        <f>SUM(E11:E15)</f>
        <v>75844923.711671576</v>
      </c>
      <c r="F10">
        <f>SUM(F11:F15)</f>
        <v>63723961.675459996</v>
      </c>
      <c r="G10">
        <f>SUM(G11:G15)</f>
        <v>6847446.53333</v>
      </c>
      <c r="H10">
        <f>SUM(H11:H15)</f>
        <v>4476926.5128815789</v>
      </c>
      <c r="I10">
        <f>SUM(I11:I15)</f>
        <v>796588.99</v>
      </c>
      <c r="J10" s="107"/>
      <c r="K10" s="107" t="s">
        <v>1249</v>
      </c>
      <c r="L10" s="107"/>
      <c r="M10" t="s">
        <v>8</v>
      </c>
      <c r="N10">
        <v>71357089.200000003</v>
      </c>
      <c r="O10">
        <v>60414245.68</v>
      </c>
      <c r="P10">
        <v>6511233.3700000001</v>
      </c>
      <c r="Q10">
        <v>3752015.42</v>
      </c>
      <c r="R10">
        <v>679594.73</v>
      </c>
      <c r="T10">
        <f t="shared" ref="T10:Y15" si="0">E10-N10</f>
        <v>4487834.5116715729</v>
      </c>
      <c r="U10">
        <f t="shared" si="0"/>
        <v>3309715.9954599962</v>
      </c>
      <c r="V10">
        <f t="shared" si="0"/>
        <v>336213.16332999989</v>
      </c>
      <c r="W10">
        <f t="shared" si="0"/>
        <v>724911.09288157895</v>
      </c>
      <c r="X10">
        <f t="shared" si="0"/>
        <v>116994.26000000001</v>
      </c>
      <c r="Y10">
        <f t="shared" si="0"/>
        <v>0</v>
      </c>
    </row>
    <row r="11" spans="1:32" x14ac:dyDescent="0.25">
      <c r="A11" s="107"/>
      <c r="B11" s="107"/>
      <c r="C11" s="107"/>
      <c r="D11">
        <v>2021</v>
      </c>
      <c r="E11">
        <f t="shared" ref="E11:E15" si="1">SUM(F11:I11)</f>
        <v>14303970.520818945</v>
      </c>
      <c r="F11">
        <f t="shared" ref="F11:I15" si="2">F17+F347+F593+F719+F929</f>
        <v>12262546.638989998</v>
      </c>
      <c r="G11">
        <f t="shared" si="2"/>
        <v>1441099.2</v>
      </c>
      <c r="H11">
        <f t="shared" si="2"/>
        <v>439631.22182894737</v>
      </c>
      <c r="I11">
        <f t="shared" si="2"/>
        <v>160693.46</v>
      </c>
      <c r="J11" s="107"/>
      <c r="K11" s="107"/>
      <c r="L11" s="107"/>
      <c r="M11">
        <v>2021</v>
      </c>
      <c r="N11">
        <v>14303970.52</v>
      </c>
      <c r="O11">
        <v>12262546.640000001</v>
      </c>
      <c r="P11">
        <v>1441099.2</v>
      </c>
      <c r="Q11">
        <v>439631.22</v>
      </c>
      <c r="R11">
        <v>160693.46</v>
      </c>
      <c r="T11">
        <f t="shared" si="0"/>
        <v>8.1894546747207642E-4</v>
      </c>
      <c r="U11">
        <f t="shared" si="0"/>
        <v>-1.0100025683641434E-3</v>
      </c>
      <c r="V11">
        <f t="shared" si="0"/>
        <v>0</v>
      </c>
      <c r="W11">
        <f t="shared" si="0"/>
        <v>1.8289473955519497E-3</v>
      </c>
      <c r="X11">
        <f t="shared" si="0"/>
        <v>0</v>
      </c>
      <c r="Y11">
        <f t="shared" si="0"/>
        <v>0</v>
      </c>
    </row>
    <row r="12" spans="1:32" x14ac:dyDescent="0.25">
      <c r="A12" s="107"/>
      <c r="B12" s="107"/>
      <c r="C12" s="107"/>
      <c r="D12">
        <v>2022</v>
      </c>
      <c r="E12">
        <f t="shared" si="1"/>
        <v>24326093.439549997</v>
      </c>
      <c r="F12">
        <f t="shared" si="2"/>
        <v>20913806.155959997</v>
      </c>
      <c r="G12">
        <f t="shared" si="2"/>
        <v>2198335.6015900001</v>
      </c>
      <c r="H12">
        <f t="shared" si="2"/>
        <v>1028056.152</v>
      </c>
      <c r="I12">
        <f t="shared" si="2"/>
        <v>185895.53</v>
      </c>
      <c r="J12" s="107"/>
      <c r="K12" s="107"/>
      <c r="M12">
        <v>2022</v>
      </c>
      <c r="N12">
        <v>24884861.52</v>
      </c>
      <c r="O12">
        <v>20889150.57</v>
      </c>
      <c r="P12">
        <v>2973524.63</v>
      </c>
      <c r="Q12">
        <v>885324.73</v>
      </c>
      <c r="R12">
        <v>136861.59</v>
      </c>
      <c r="T12">
        <f t="shared" si="0"/>
        <v>-558768.0804500021</v>
      </c>
      <c r="U12">
        <f t="shared" si="0"/>
        <v>24655.585959997028</v>
      </c>
      <c r="V12">
        <f t="shared" si="0"/>
        <v>-775189.0284099998</v>
      </c>
      <c r="W12">
        <f t="shared" si="0"/>
        <v>142731.42200000002</v>
      </c>
      <c r="X12">
        <f t="shared" si="0"/>
        <v>49033.94</v>
      </c>
      <c r="Y12">
        <f t="shared" si="0"/>
        <v>0</v>
      </c>
      <c r="Z12" s="107"/>
      <c r="AA12" s="107"/>
      <c r="AB12" s="107"/>
      <c r="AC12" s="107"/>
      <c r="AD12" s="107"/>
      <c r="AE12" s="107"/>
      <c r="AF12" s="107"/>
    </row>
    <row r="13" spans="1:32" x14ac:dyDescent="0.25">
      <c r="A13" s="107"/>
      <c r="B13" s="107"/>
      <c r="C13" s="107"/>
      <c r="D13">
        <v>2023</v>
      </c>
      <c r="E13">
        <f t="shared" si="1"/>
        <v>16248794.159222629</v>
      </c>
      <c r="F13">
        <f t="shared" si="2"/>
        <v>12425051.845429998</v>
      </c>
      <c r="G13">
        <f t="shared" si="2"/>
        <v>2397119.45474</v>
      </c>
      <c r="H13">
        <f t="shared" si="2"/>
        <v>1276622.8590526315</v>
      </c>
      <c r="I13">
        <f t="shared" si="2"/>
        <v>150000</v>
      </c>
      <c r="J13" s="107"/>
      <c r="K13" s="107"/>
      <c r="M13">
        <v>2023</v>
      </c>
      <c r="N13">
        <v>16246301.6</v>
      </c>
      <c r="O13">
        <v>13403418.470000001</v>
      </c>
      <c r="P13">
        <v>1784973.64</v>
      </c>
      <c r="Q13">
        <v>940869.81</v>
      </c>
      <c r="R13">
        <v>117039.67999999999</v>
      </c>
      <c r="T13">
        <f t="shared" si="0"/>
        <v>2492.5592226292938</v>
      </c>
      <c r="U13">
        <f t="shared" si="0"/>
        <v>-978366.62457000278</v>
      </c>
      <c r="V13">
        <f t="shared" si="0"/>
        <v>612145.81474000006</v>
      </c>
      <c r="W13">
        <f t="shared" si="0"/>
        <v>335753.04905263148</v>
      </c>
      <c r="X13">
        <f t="shared" si="0"/>
        <v>32960.320000000007</v>
      </c>
      <c r="Y13">
        <f t="shared" si="0"/>
        <v>0</v>
      </c>
      <c r="Z13" s="107"/>
      <c r="AA13" s="107"/>
      <c r="AB13" s="107"/>
      <c r="AC13" s="107"/>
      <c r="AD13" s="107"/>
      <c r="AE13" s="107"/>
      <c r="AF13" s="107"/>
    </row>
    <row r="14" spans="1:32" x14ac:dyDescent="0.25">
      <c r="A14" s="107"/>
      <c r="B14" s="107"/>
      <c r="C14" s="107"/>
      <c r="D14">
        <v>2024</v>
      </c>
      <c r="E14">
        <f t="shared" si="1"/>
        <v>11966402.73043</v>
      </c>
      <c r="F14">
        <f t="shared" si="2"/>
        <v>10105865.873429999</v>
      </c>
      <c r="G14">
        <f t="shared" si="2"/>
        <v>781536.777</v>
      </c>
      <c r="H14">
        <f t="shared" si="2"/>
        <v>929000.08000000007</v>
      </c>
      <c r="I14">
        <f t="shared" si="2"/>
        <v>150000</v>
      </c>
      <c r="J14" s="107"/>
      <c r="K14" s="107"/>
      <c r="M14">
        <v>2024</v>
      </c>
      <c r="N14">
        <v>10885035.15</v>
      </c>
      <c r="O14">
        <v>9557996.3200000003</v>
      </c>
      <c r="P14">
        <v>287953.90000000002</v>
      </c>
      <c r="Q14">
        <v>924084.94</v>
      </c>
      <c r="R14">
        <v>115000</v>
      </c>
      <c r="T14">
        <f t="shared" si="0"/>
        <v>1081367.5804299992</v>
      </c>
      <c r="U14">
        <f t="shared" si="0"/>
        <v>547869.55342999846</v>
      </c>
      <c r="V14">
        <f t="shared" si="0"/>
        <v>493582.87699999998</v>
      </c>
      <c r="W14">
        <f t="shared" si="0"/>
        <v>4915.1400000001304</v>
      </c>
      <c r="X14">
        <f t="shared" si="0"/>
        <v>35000</v>
      </c>
      <c r="Y14">
        <f t="shared" si="0"/>
        <v>0</v>
      </c>
      <c r="Z14" s="107"/>
      <c r="AA14" s="107"/>
      <c r="AB14" s="107"/>
      <c r="AC14" s="107"/>
      <c r="AD14" s="107"/>
      <c r="AE14" s="107"/>
      <c r="AF14" s="107"/>
    </row>
    <row r="15" spans="1:32" ht="66" customHeight="1" x14ac:dyDescent="0.25">
      <c r="A15" s="107"/>
      <c r="B15" s="107"/>
      <c r="C15" s="107"/>
      <c r="D15">
        <v>2025</v>
      </c>
      <c r="E15">
        <f t="shared" si="1"/>
        <v>8999662.8616499994</v>
      </c>
      <c r="F15">
        <f t="shared" si="2"/>
        <v>8016691.1616500001</v>
      </c>
      <c r="G15">
        <f t="shared" si="2"/>
        <v>29355.5</v>
      </c>
      <c r="H15">
        <f t="shared" si="2"/>
        <v>803616.2</v>
      </c>
      <c r="I15">
        <f t="shared" si="2"/>
        <v>150000</v>
      </c>
      <c r="J15" s="107"/>
      <c r="K15" s="107"/>
      <c r="M15" t="s">
        <v>1260</v>
      </c>
      <c r="N15">
        <v>5036920.4000000004</v>
      </c>
      <c r="O15">
        <v>4301133.68</v>
      </c>
      <c r="P15">
        <v>23682</v>
      </c>
      <c r="Q15">
        <v>562104.72</v>
      </c>
      <c r="R15">
        <v>150000</v>
      </c>
      <c r="T15">
        <f t="shared" si="0"/>
        <v>3962742.461649999</v>
      </c>
      <c r="U15">
        <f t="shared" si="0"/>
        <v>3715557.4816500004</v>
      </c>
      <c r="V15">
        <f t="shared" si="0"/>
        <v>5673.5</v>
      </c>
      <c r="W15">
        <f t="shared" si="0"/>
        <v>241511.47999999998</v>
      </c>
      <c r="X15">
        <f t="shared" si="0"/>
        <v>0</v>
      </c>
      <c r="Y15">
        <f t="shared" si="0"/>
        <v>0</v>
      </c>
    </row>
    <row r="16" spans="1:32" x14ac:dyDescent="0.25">
      <c r="A16" s="107">
        <v>1</v>
      </c>
      <c r="B16" s="107" t="s">
        <v>1261</v>
      </c>
      <c r="C16" s="107" t="s">
        <v>14</v>
      </c>
      <c r="D16" t="s">
        <v>8</v>
      </c>
      <c r="E16">
        <f>SUM(E17:E21)</f>
        <v>13057901.6609</v>
      </c>
      <c r="F16">
        <f>SUM(F17:F21)</f>
        <v>10108669.222200001</v>
      </c>
      <c r="G16">
        <f>SUM(G17:G21)</f>
        <v>1255337.625</v>
      </c>
      <c r="H16">
        <f>SUM(H17:H21)</f>
        <v>943894.81370000006</v>
      </c>
      <c r="I16">
        <f>SUM(I17:I21)</f>
        <v>750000</v>
      </c>
      <c r="J16" s="107"/>
      <c r="K16" s="107" t="s">
        <v>1262</v>
      </c>
    </row>
    <row r="17" spans="1:25" x14ac:dyDescent="0.25">
      <c r="A17" s="107"/>
      <c r="B17" s="107"/>
      <c r="C17" s="107"/>
      <c r="D17">
        <v>2021</v>
      </c>
      <c r="E17">
        <f t="shared" ref="E17:E21" si="3">SUM(F17:I17)</f>
        <v>1518283.6040400001</v>
      </c>
      <c r="F17">
        <f t="shared" ref="F17:I21" si="4">F23+F41+F155+F167+F185+F227+F239+F263+F275+F287+F305+F329+F317</f>
        <v>1118539.10234</v>
      </c>
      <c r="G17">
        <f t="shared" si="4"/>
        <v>74257.099999999991</v>
      </c>
      <c r="H17">
        <f t="shared" si="4"/>
        <v>175487.40169999999</v>
      </c>
      <c r="I17">
        <f t="shared" si="4"/>
        <v>150000</v>
      </c>
      <c r="J17" s="107"/>
      <c r="K17" s="107"/>
      <c r="N17">
        <v>14409825.880000001</v>
      </c>
      <c r="O17">
        <v>11872923.76</v>
      </c>
      <c r="P17">
        <v>874889.5</v>
      </c>
      <c r="Q17">
        <v>1014972.94</v>
      </c>
      <c r="R17">
        <v>647039.68000000005</v>
      </c>
      <c r="T17">
        <f t="shared" ref="T17:Y21" si="5">N17-E16</f>
        <v>1351924.2191000003</v>
      </c>
      <c r="U17">
        <f t="shared" si="5"/>
        <v>1764254.5377999991</v>
      </c>
      <c r="V17">
        <f t="shared" si="5"/>
        <v>-380448.125</v>
      </c>
      <c r="W17">
        <f t="shared" si="5"/>
        <v>71078.126299999887</v>
      </c>
      <c r="X17">
        <f t="shared" si="5"/>
        <v>-102960.31999999995</v>
      </c>
      <c r="Y17">
        <f t="shared" si="5"/>
        <v>0</v>
      </c>
    </row>
    <row r="18" spans="1:25" x14ac:dyDescent="0.25">
      <c r="A18" s="107"/>
      <c r="B18" s="107"/>
      <c r="C18" s="107"/>
      <c r="D18">
        <v>2022</v>
      </c>
      <c r="E18">
        <f t="shared" si="3"/>
        <v>5900773.2748600002</v>
      </c>
      <c r="F18">
        <f t="shared" si="4"/>
        <v>4568669.2378599998</v>
      </c>
      <c r="G18">
        <f t="shared" si="4"/>
        <v>954021.32500000007</v>
      </c>
      <c r="H18">
        <f t="shared" si="4"/>
        <v>228082.712</v>
      </c>
      <c r="I18">
        <f t="shared" si="4"/>
        <v>150000</v>
      </c>
      <c r="J18" s="107"/>
      <c r="K18" s="107"/>
      <c r="N18">
        <v>1518283.6</v>
      </c>
      <c r="O18">
        <v>1118539.1000000001</v>
      </c>
      <c r="P18">
        <v>74257.100000000006</v>
      </c>
      <c r="Q18">
        <v>175487.4</v>
      </c>
      <c r="R18">
        <v>150000</v>
      </c>
      <c r="T18">
        <f t="shared" si="5"/>
        <v>-4.0400000289082527E-3</v>
      </c>
      <c r="U18">
        <f t="shared" si="5"/>
        <v>-2.3399998899549246E-3</v>
      </c>
      <c r="V18">
        <f t="shared" si="5"/>
        <v>0</v>
      </c>
      <c r="W18">
        <f t="shared" si="5"/>
        <v>-1.6999999934341758E-3</v>
      </c>
      <c r="X18">
        <f t="shared" si="5"/>
        <v>0</v>
      </c>
      <c r="Y18">
        <f t="shared" si="5"/>
        <v>0</v>
      </c>
    </row>
    <row r="19" spans="1:25" x14ac:dyDescent="0.25">
      <c r="A19" s="107"/>
      <c r="B19" s="107"/>
      <c r="C19" s="107"/>
      <c r="D19">
        <v>2023</v>
      </c>
      <c r="E19">
        <f t="shared" si="3"/>
        <v>2627062.9530000007</v>
      </c>
      <c r="F19">
        <f t="shared" si="4"/>
        <v>2157230.0530000003</v>
      </c>
      <c r="G19">
        <f t="shared" si="4"/>
        <v>112447.70000000001</v>
      </c>
      <c r="H19">
        <f t="shared" si="4"/>
        <v>207385.2</v>
      </c>
      <c r="I19">
        <f t="shared" si="4"/>
        <v>150000</v>
      </c>
      <c r="J19" s="107"/>
      <c r="K19" s="107"/>
      <c r="N19">
        <v>5430124.9699999997</v>
      </c>
      <c r="O19">
        <v>4638405.16</v>
      </c>
      <c r="P19">
        <v>434908.9</v>
      </c>
      <c r="Q19">
        <v>241810.91</v>
      </c>
      <c r="R19">
        <v>115000</v>
      </c>
      <c r="T19">
        <f t="shared" si="5"/>
        <v>-470648.3048600005</v>
      </c>
      <c r="U19">
        <f t="shared" si="5"/>
        <v>69735.922140000388</v>
      </c>
      <c r="V19">
        <f t="shared" si="5"/>
        <v>-519112.42500000005</v>
      </c>
      <c r="W19">
        <f t="shared" si="5"/>
        <v>13728.198000000004</v>
      </c>
      <c r="X19">
        <f t="shared" si="5"/>
        <v>-35000</v>
      </c>
      <c r="Y19">
        <f t="shared" si="5"/>
        <v>0</v>
      </c>
    </row>
    <row r="20" spans="1:25" x14ac:dyDescent="0.25">
      <c r="A20" s="107"/>
      <c r="B20" s="107"/>
      <c r="C20" s="107"/>
      <c r="D20">
        <v>2024</v>
      </c>
      <c r="E20">
        <f t="shared" si="3"/>
        <v>1676826.8289999999</v>
      </c>
      <c r="F20">
        <f t="shared" si="4"/>
        <v>1263672.429</v>
      </c>
      <c r="G20">
        <f t="shared" si="4"/>
        <v>85256</v>
      </c>
      <c r="H20">
        <f t="shared" si="4"/>
        <v>177898.40000000002</v>
      </c>
      <c r="I20">
        <f t="shared" si="4"/>
        <v>150000</v>
      </c>
      <c r="J20" s="107"/>
      <c r="K20" s="107"/>
      <c r="N20">
        <v>4871897.96</v>
      </c>
      <c r="O20">
        <v>4277103.57</v>
      </c>
      <c r="P20">
        <v>263036.09999999998</v>
      </c>
      <c r="Q20">
        <v>214718.61</v>
      </c>
      <c r="R20">
        <v>117039.67999999999</v>
      </c>
      <c r="T20">
        <f t="shared" si="5"/>
        <v>2244835.0069999993</v>
      </c>
      <c r="U20">
        <f t="shared" si="5"/>
        <v>2119873.517</v>
      </c>
      <c r="V20">
        <f t="shared" si="5"/>
        <v>150588.39999999997</v>
      </c>
      <c r="W20">
        <f t="shared" si="5"/>
        <v>7333.4099999999744</v>
      </c>
      <c r="X20">
        <f t="shared" si="5"/>
        <v>-32960.320000000007</v>
      </c>
      <c r="Y20">
        <f t="shared" si="5"/>
        <v>0</v>
      </c>
    </row>
    <row r="21" spans="1:25" x14ac:dyDescent="0.25">
      <c r="A21" s="107"/>
      <c r="B21" s="107"/>
      <c r="C21" s="107"/>
      <c r="D21">
        <v>2025</v>
      </c>
      <c r="E21">
        <f t="shared" si="3"/>
        <v>1334955</v>
      </c>
      <c r="F21">
        <f t="shared" si="4"/>
        <v>1000558.3999999999</v>
      </c>
      <c r="G21">
        <f t="shared" si="4"/>
        <v>29355.5</v>
      </c>
      <c r="H21">
        <f t="shared" si="4"/>
        <v>155041.1</v>
      </c>
      <c r="I21">
        <f t="shared" si="4"/>
        <v>150000</v>
      </c>
      <c r="J21" s="107"/>
      <c r="K21" s="107"/>
      <c r="N21">
        <v>1888189.13</v>
      </c>
      <c r="O21">
        <v>1473133.12</v>
      </c>
      <c r="P21">
        <v>79005.399999999994</v>
      </c>
      <c r="Q21">
        <v>221050.61</v>
      </c>
      <c r="R21">
        <v>115000</v>
      </c>
      <c r="T21">
        <f t="shared" si="5"/>
        <v>211362.30099999998</v>
      </c>
      <c r="U21">
        <f t="shared" si="5"/>
        <v>209460.69100000011</v>
      </c>
      <c r="V21">
        <f t="shared" si="5"/>
        <v>-6250.6000000000058</v>
      </c>
      <c r="W21">
        <f t="shared" si="5"/>
        <v>43152.209999999963</v>
      </c>
      <c r="X21">
        <f t="shared" si="5"/>
        <v>-35000</v>
      </c>
      <c r="Y21">
        <f t="shared" si="5"/>
        <v>0</v>
      </c>
    </row>
    <row r="22" spans="1:25" x14ac:dyDescent="0.25">
      <c r="A22" s="107" t="s">
        <v>39</v>
      </c>
      <c r="B22" s="107" t="s">
        <v>1263</v>
      </c>
      <c r="C22" s="107" t="s">
        <v>41</v>
      </c>
      <c r="D22" t="s">
        <v>8</v>
      </c>
      <c r="E22">
        <f>F22+G22+H22+I22</f>
        <v>229277.37199999997</v>
      </c>
      <c r="F22">
        <f>SUM(F23:F27)</f>
        <v>179045.81999999998</v>
      </c>
      <c r="G22">
        <f>SUM(G23:G27)</f>
        <v>0</v>
      </c>
      <c r="H22">
        <f>SUM(H23:H27)</f>
        <v>50231.552000000003</v>
      </c>
      <c r="I22">
        <f>SUM(I23:I27)</f>
        <v>0</v>
      </c>
      <c r="J22" s="107" t="s">
        <v>1264</v>
      </c>
      <c r="K22" s="107" t="s">
        <v>1265</v>
      </c>
      <c r="L22" s="107" t="s">
        <v>1266</v>
      </c>
      <c r="M22" s="107"/>
      <c r="N22" s="107"/>
      <c r="O22" s="107"/>
    </row>
    <row r="23" spans="1:25" x14ac:dyDescent="0.25">
      <c r="A23" s="107"/>
      <c r="B23" s="107"/>
      <c r="C23" s="107"/>
      <c r="D23">
        <v>2021</v>
      </c>
      <c r="E23">
        <f t="shared" ref="E23:E26" si="6">SUM(F23:I23)</f>
        <v>61749.37</v>
      </c>
      <c r="F23">
        <f t="shared" ref="F23:I27" si="7">F29+F35</f>
        <v>45400.37</v>
      </c>
      <c r="G23">
        <f>G29+G35</f>
        <v>0</v>
      </c>
      <c r="H23">
        <f>H29+H35</f>
        <v>16349</v>
      </c>
      <c r="I23">
        <f>I29+I35</f>
        <v>0</v>
      </c>
      <c r="J23" s="107"/>
      <c r="K23" s="107"/>
      <c r="L23">
        <f>F23+F41+F155+F167+F191+F197+F203+F215+F227+F239+F263+F275+F287+F305+F401+F407+F413+F461+F521+F551+F593+F749+F755+F761+F767+F773+F779+N539+F785</f>
        <v>2003954.6709799997</v>
      </c>
      <c r="M23">
        <f>G23+G41+G155+G167+G191+G197+G203+G215+G227+G239+G263+G275+G287+G305+G401+G407+G413+G461+G521+G551+G593+G749+G755+G761+G767+G773+G779+O539+G785</f>
        <v>1299199.6000000001</v>
      </c>
      <c r="N23">
        <f>H23+H41+H155+H167+H191+H197+H203+H215+H227+H239+H263+H275+H287+H305+H401+H407+H413+H461+H521+H551+H593+H749+H755+H761+H767+H773+H779+P539+H785</f>
        <v>226216.72182894737</v>
      </c>
      <c r="O23">
        <f>I23+I41+I155+I167+I191+I197+I203+I215+I227+I239+I263+I275+I287+I305+I401+I407+I413+I461+I521+I551+I593+I749+I755+I761+I767+I773+I779+Q539+I785</f>
        <v>160000</v>
      </c>
    </row>
    <row r="24" spans="1:25" x14ac:dyDescent="0.25">
      <c r="A24" s="107"/>
      <c r="B24" s="107"/>
      <c r="C24" s="107"/>
      <c r="D24">
        <v>2022</v>
      </c>
      <c r="E24">
        <f t="shared" si="6"/>
        <v>130546.10199999998</v>
      </c>
      <c r="F24">
        <f t="shared" si="7"/>
        <v>105322.84999999999</v>
      </c>
      <c r="G24">
        <f t="shared" si="7"/>
        <v>0</v>
      </c>
      <c r="H24">
        <f t="shared" si="7"/>
        <v>25223.252</v>
      </c>
      <c r="I24">
        <f t="shared" si="7"/>
        <v>0</v>
      </c>
      <c r="J24" s="107"/>
      <c r="K24" s="107"/>
      <c r="L24">
        <f t="shared" ref="L24:L27" si="8">F24+F42+F156+F168+F192+F198+F204+F216+F228+F240+F264+F276+F288+F306+F402+F408+F414+F462+F522+F552+F594+F750+F756+F762+F768+F774+F780+F540+F786</f>
        <v>7036722.9889599998</v>
      </c>
      <c r="M24">
        <f t="shared" ref="M24:M27" si="9">G24+G42+G156+G168+G192+G198+G204+G216+G228+G240+G264+G276+G288+G306+G402+G408+G414+G462+G522+G552+G594+G750+G756+G762+G768+G774+G780+G540</f>
        <v>2146049.9765900001</v>
      </c>
      <c r="N24">
        <f t="shared" ref="N24:N25" si="10">H24+H42+H156+H168+H192+H198+H204+H216+H228+H240+H264+H276+H288+H306+H402+H408+H414+H462+H522+H552+H594+H750+H756+H762+H768+H774+H780+H540+H786</f>
        <v>536153.80200000003</v>
      </c>
      <c r="O24">
        <f t="shared" ref="O24:O27" si="11">I24+I42+I156+I168+I192+I198+I204+I216+I228+I240+I264+I276+I288+I306+I402+I408+I414+I462+I522+I552+I594+I750+I756+I762+I768+I774+I780+I540</f>
        <v>185895.53</v>
      </c>
    </row>
    <row r="25" spans="1:25" x14ac:dyDescent="0.25">
      <c r="A25" s="107"/>
      <c r="B25" s="107"/>
      <c r="C25" s="107"/>
      <c r="D25">
        <v>2023</v>
      </c>
      <c r="E25">
        <f t="shared" si="6"/>
        <v>29415.3</v>
      </c>
      <c r="F25">
        <f t="shared" si="7"/>
        <v>24539.3</v>
      </c>
      <c r="G25">
        <f t="shared" si="7"/>
        <v>0</v>
      </c>
      <c r="H25">
        <f t="shared" si="7"/>
        <v>4876</v>
      </c>
      <c r="I25">
        <f t="shared" si="7"/>
        <v>0</v>
      </c>
      <c r="J25" s="107"/>
      <c r="K25" s="107"/>
      <c r="L25">
        <f t="shared" si="8"/>
        <v>4256374.4160000002</v>
      </c>
      <c r="M25">
        <f t="shared" si="9"/>
        <v>2054065.75474</v>
      </c>
      <c r="N25">
        <f t="shared" si="10"/>
        <v>614738.85905263154</v>
      </c>
      <c r="O25">
        <f t="shared" si="11"/>
        <v>150000</v>
      </c>
    </row>
    <row r="26" spans="1:25" x14ac:dyDescent="0.25">
      <c r="A26" s="107"/>
      <c r="B26" s="107"/>
      <c r="C26" s="107"/>
      <c r="D26">
        <v>2024</v>
      </c>
      <c r="E26">
        <f t="shared" si="6"/>
        <v>7566.6</v>
      </c>
      <c r="F26">
        <f t="shared" si="7"/>
        <v>3783.3</v>
      </c>
      <c r="G26">
        <f t="shared" si="7"/>
        <v>0</v>
      </c>
      <c r="H26">
        <f t="shared" si="7"/>
        <v>3783.3</v>
      </c>
      <c r="I26">
        <f t="shared" si="7"/>
        <v>0</v>
      </c>
      <c r="J26" s="107"/>
      <c r="K26" s="107"/>
      <c r="L26">
        <f t="shared" si="8"/>
        <v>3170729.25868</v>
      </c>
      <c r="M26">
        <f t="shared" si="9"/>
        <v>572588.277</v>
      </c>
      <c r="N26">
        <f t="shared" ref="N26:N27" si="12">H26+H44+H158+H170+H194+H200+H206+H218+H230+H242+H266+H278+H290+H308+H404+H410+H416+H464+H524+H554+H596+H752+H758+H764+H770+H776+H782+H542</f>
        <v>257920.28000000003</v>
      </c>
      <c r="O26">
        <f t="shared" si="11"/>
        <v>150000</v>
      </c>
    </row>
    <row r="27" spans="1:25" x14ac:dyDescent="0.25">
      <c r="A27" s="107"/>
      <c r="B27" s="107"/>
      <c r="C27" s="107"/>
      <c r="D27">
        <v>2025</v>
      </c>
      <c r="E27">
        <v>0</v>
      </c>
      <c r="F27">
        <f t="shared" si="7"/>
        <v>0</v>
      </c>
      <c r="G27">
        <f t="shared" si="7"/>
        <v>0</v>
      </c>
      <c r="H27">
        <f t="shared" si="7"/>
        <v>0</v>
      </c>
      <c r="I27">
        <f t="shared" si="7"/>
        <v>0</v>
      </c>
      <c r="J27" s="107"/>
      <c r="K27" s="107"/>
      <c r="L27">
        <f t="shared" si="8"/>
        <v>1204505.4999999998</v>
      </c>
      <c r="M27">
        <f t="shared" si="9"/>
        <v>29355.5</v>
      </c>
      <c r="N27">
        <f t="shared" si="12"/>
        <v>156966.80000000002</v>
      </c>
      <c r="O27">
        <f t="shared" si="11"/>
        <v>150000</v>
      </c>
    </row>
    <row r="28" spans="1:25" x14ac:dyDescent="0.25">
      <c r="A28" s="107" t="s">
        <v>1267</v>
      </c>
      <c r="B28" s="107" t="s">
        <v>1268</v>
      </c>
      <c r="C28" s="107" t="s">
        <v>41</v>
      </c>
      <c r="D28" t="s">
        <v>8</v>
      </c>
      <c r="E28">
        <f>F28+G28+H28+I28</f>
        <v>229277.37199999997</v>
      </c>
      <c r="F28">
        <f>SUM(F29:F33)</f>
        <v>179045.81999999998</v>
      </c>
      <c r="G28">
        <f>SUM(G29:G33)</f>
        <v>0</v>
      </c>
      <c r="H28">
        <f>SUM(H29:H33)</f>
        <v>50231.552000000003</v>
      </c>
      <c r="I28">
        <f>SUM(I29:I33)</f>
        <v>0</v>
      </c>
      <c r="J28" s="107" t="s">
        <v>1269</v>
      </c>
      <c r="K28" s="107" t="s">
        <v>1265</v>
      </c>
    </row>
    <row r="29" spans="1:25" x14ac:dyDescent="0.25">
      <c r="A29" s="107"/>
      <c r="B29" s="107"/>
      <c r="C29" s="107"/>
      <c r="D29">
        <v>2021</v>
      </c>
      <c r="E29">
        <f t="shared" ref="E29:E32" si="13">SUM(F29:I29)</f>
        <v>61749.37</v>
      </c>
      <c r="F29">
        <v>45400.37</v>
      </c>
      <c r="G29">
        <v>0</v>
      </c>
      <c r="H29">
        <v>16349</v>
      </c>
      <c r="I29">
        <v>0</v>
      </c>
      <c r="J29" s="107"/>
      <c r="K29" s="107"/>
    </row>
    <row r="30" spans="1:25" x14ac:dyDescent="0.25">
      <c r="A30" s="107"/>
      <c r="B30" s="107"/>
      <c r="C30" s="107"/>
      <c r="D30">
        <v>2022</v>
      </c>
      <c r="E30">
        <f t="shared" si="13"/>
        <v>130546.10199999998</v>
      </c>
      <c r="F30">
        <f>122744.59-17421.74</f>
        <v>105322.84999999999</v>
      </c>
      <c r="G30">
        <v>0</v>
      </c>
      <c r="H30">
        <v>25223.252</v>
      </c>
      <c r="I30">
        <v>0</v>
      </c>
      <c r="J30" s="107"/>
      <c r="K30" s="107"/>
    </row>
    <row r="31" spans="1:25" x14ac:dyDescent="0.25">
      <c r="A31" s="107"/>
      <c r="B31" s="107"/>
      <c r="C31" s="107"/>
      <c r="D31">
        <v>2023</v>
      </c>
      <c r="E31">
        <f t="shared" si="13"/>
        <v>29415.3</v>
      </c>
      <c r="F31">
        <f>24539.3</f>
        <v>24539.3</v>
      </c>
      <c r="G31">
        <v>0</v>
      </c>
      <c r="H31">
        <v>4876</v>
      </c>
      <c r="I31">
        <v>0</v>
      </c>
      <c r="J31" s="107"/>
      <c r="K31" s="107"/>
    </row>
    <row r="32" spans="1:25" x14ac:dyDescent="0.25">
      <c r="A32" s="107"/>
      <c r="B32" s="107"/>
      <c r="C32" s="107"/>
      <c r="D32">
        <v>2024</v>
      </c>
      <c r="E32">
        <f t="shared" si="13"/>
        <v>7566.6</v>
      </c>
      <c r="F32">
        <v>3783.3</v>
      </c>
      <c r="G32">
        <v>0</v>
      </c>
      <c r="H32">
        <v>3783.3</v>
      </c>
      <c r="I32">
        <v>0</v>
      </c>
      <c r="J32" s="107"/>
      <c r="K32" s="107"/>
    </row>
    <row r="33" spans="1:23" x14ac:dyDescent="0.25">
      <c r="A33" s="107"/>
      <c r="B33" s="107"/>
      <c r="C33" s="107"/>
      <c r="D33">
        <v>2025</v>
      </c>
      <c r="E33">
        <v>0</v>
      </c>
      <c r="F33">
        <v>0</v>
      </c>
      <c r="G33">
        <v>0</v>
      </c>
      <c r="H33">
        <v>0</v>
      </c>
      <c r="I33">
        <v>0</v>
      </c>
      <c r="J33" s="107"/>
      <c r="K33" s="107"/>
    </row>
    <row r="34" spans="1:23" x14ac:dyDescent="0.25">
      <c r="A34" s="107" t="s">
        <v>1270</v>
      </c>
      <c r="B34" s="107" t="s">
        <v>1271</v>
      </c>
      <c r="C34" s="107" t="s">
        <v>1169</v>
      </c>
      <c r="D34" t="s">
        <v>8</v>
      </c>
      <c r="E34">
        <f t="shared" ref="E34:E40" si="14">F34+G34+H34+I34</f>
        <v>0</v>
      </c>
      <c r="F34">
        <f>F35+F36+F37+F38+F39</f>
        <v>0</v>
      </c>
      <c r="G34">
        <f>G35+G36+G37+G38+G39</f>
        <v>0</v>
      </c>
      <c r="H34">
        <f>H35+H36+H37+H38+H39</f>
        <v>0</v>
      </c>
      <c r="I34">
        <f>I35+I36+I37+I38+I39</f>
        <v>0</v>
      </c>
      <c r="J34" s="107" t="s">
        <v>1272</v>
      </c>
      <c r="K34" s="107" t="s">
        <v>1273</v>
      </c>
    </row>
    <row r="35" spans="1:23" x14ac:dyDescent="0.25">
      <c r="A35" s="107"/>
      <c r="B35" s="107"/>
      <c r="C35" s="107"/>
      <c r="D35">
        <v>2021</v>
      </c>
      <c r="E35">
        <f t="shared" si="14"/>
        <v>0</v>
      </c>
      <c r="F35">
        <v>0</v>
      </c>
      <c r="G35">
        <v>0</v>
      </c>
      <c r="H35">
        <v>0</v>
      </c>
      <c r="I35">
        <v>0</v>
      </c>
      <c r="J35" s="107"/>
      <c r="K35" s="107"/>
    </row>
    <row r="36" spans="1:23" x14ac:dyDescent="0.25">
      <c r="A36" s="107"/>
      <c r="B36" s="107"/>
      <c r="C36" s="107"/>
      <c r="D36">
        <v>2022</v>
      </c>
      <c r="E36">
        <f t="shared" si="14"/>
        <v>0</v>
      </c>
      <c r="F36">
        <v>0</v>
      </c>
      <c r="G36">
        <v>0</v>
      </c>
      <c r="J36" s="107"/>
      <c r="K36" s="107"/>
    </row>
    <row r="37" spans="1:23" x14ac:dyDescent="0.25">
      <c r="A37" s="107"/>
      <c r="B37" s="107"/>
      <c r="C37" s="107"/>
      <c r="D37">
        <v>2023</v>
      </c>
      <c r="E37">
        <f t="shared" si="14"/>
        <v>0</v>
      </c>
      <c r="F37">
        <v>0</v>
      </c>
      <c r="G37">
        <v>0</v>
      </c>
      <c r="J37" s="107"/>
      <c r="K37" s="107"/>
    </row>
    <row r="38" spans="1:23" x14ac:dyDescent="0.25">
      <c r="A38" s="107"/>
      <c r="B38" s="107"/>
      <c r="C38" s="107"/>
      <c r="D38">
        <v>2024</v>
      </c>
      <c r="E38">
        <f t="shared" si="14"/>
        <v>0</v>
      </c>
      <c r="F38">
        <v>0</v>
      </c>
      <c r="G38">
        <v>0</v>
      </c>
      <c r="J38" s="107"/>
      <c r="K38" s="107"/>
    </row>
    <row r="39" spans="1:23" x14ac:dyDescent="0.25">
      <c r="A39" s="107"/>
      <c r="B39" s="107"/>
      <c r="C39" s="107"/>
      <c r="D39">
        <v>2025</v>
      </c>
      <c r="E39">
        <f t="shared" si="14"/>
        <v>0</v>
      </c>
      <c r="J39" s="107"/>
      <c r="K39" s="107"/>
    </row>
    <row r="40" spans="1:23" x14ac:dyDescent="0.25">
      <c r="A40" s="107" t="s">
        <v>23</v>
      </c>
      <c r="B40" s="107" t="s">
        <v>1274</v>
      </c>
      <c r="C40" s="107" t="s">
        <v>14</v>
      </c>
      <c r="D40" t="s">
        <v>8</v>
      </c>
      <c r="E40">
        <f t="shared" si="14"/>
        <v>3281034.05186</v>
      </c>
      <c r="F40">
        <f>F41+F42+F43+F44+F45</f>
        <v>2497235.9658599999</v>
      </c>
      <c r="G40">
        <f>G41+G42+G43+G44+G45</f>
        <v>783021.4</v>
      </c>
      <c r="H40">
        <f>H41+H42+H43+H44+H45</f>
        <v>776.68600000000004</v>
      </c>
      <c r="I40">
        <f>I41+I42+I43+I44+I45</f>
        <v>0</v>
      </c>
      <c r="J40" s="107" t="s">
        <v>1275</v>
      </c>
      <c r="K40" s="107" t="s">
        <v>1276</v>
      </c>
      <c r="M40">
        <v>4910755.47</v>
      </c>
      <c r="N40">
        <v>4910755.47</v>
      </c>
      <c r="O40" t="s">
        <v>1277</v>
      </c>
      <c r="P40" t="s">
        <v>1277</v>
      </c>
      <c r="Q40" t="s">
        <v>1277</v>
      </c>
      <c r="R40">
        <f t="shared" ref="R40:W45" si="15">M40-E40</f>
        <v>1629721.4181399997</v>
      </c>
      <c r="S40">
        <f t="shared" si="15"/>
        <v>2413519.5041399999</v>
      </c>
      <c r="T40" t="e">
        <f>O40-G40</f>
        <v>#VALUE!</v>
      </c>
      <c r="U40" t="e">
        <f t="shared" si="15"/>
        <v>#VALUE!</v>
      </c>
      <c r="V40" t="e">
        <f t="shared" si="15"/>
        <v>#VALUE!</v>
      </c>
      <c r="W40" t="e">
        <f t="shared" si="15"/>
        <v>#VALUE!</v>
      </c>
    </row>
    <row r="41" spans="1:23" x14ac:dyDescent="0.25">
      <c r="A41" s="107"/>
      <c r="B41" s="107"/>
      <c r="C41" s="107"/>
      <c r="D41">
        <v>2021</v>
      </c>
      <c r="E41">
        <f t="shared" ref="E41:E45" si="16">SUM(F41:I41)</f>
        <v>270328.09999999998</v>
      </c>
      <c r="F41">
        <f t="shared" ref="F41:I45" si="17">F47+F53+F59+F65+F71+F77+F83+F89+F95+F101+F107+F113+F119+F125+F131+F137+F143+F149</f>
        <v>270328.09999999998</v>
      </c>
      <c r="G41">
        <f t="shared" ref="G41:I41" si="18">G47+G53+G59+G65+G71+G77+G83+G89+G95+G101+G107+G113+G119+G125+G131+G137+G143+G149</f>
        <v>0</v>
      </c>
      <c r="H41">
        <f t="shared" si="18"/>
        <v>0</v>
      </c>
      <c r="I41">
        <f t="shared" si="18"/>
        <v>0</v>
      </c>
      <c r="J41" s="107"/>
      <c r="K41" s="107"/>
      <c r="M41">
        <v>270328.09999999998</v>
      </c>
      <c r="N41">
        <v>270328.09999999998</v>
      </c>
      <c r="O41" t="s">
        <v>1277</v>
      </c>
      <c r="P41" t="s">
        <v>1277</v>
      </c>
      <c r="Q41" t="s">
        <v>1277</v>
      </c>
      <c r="R41">
        <f t="shared" si="15"/>
        <v>0</v>
      </c>
      <c r="S41">
        <f t="shared" si="15"/>
        <v>0</v>
      </c>
      <c r="T41" t="e">
        <f t="shared" si="15"/>
        <v>#VALUE!</v>
      </c>
      <c r="U41" t="e">
        <f t="shared" si="15"/>
        <v>#VALUE!</v>
      </c>
      <c r="V41" t="e">
        <f t="shared" si="15"/>
        <v>#VALUE!</v>
      </c>
      <c r="W41">
        <f t="shared" si="15"/>
        <v>0</v>
      </c>
    </row>
    <row r="42" spans="1:23" x14ac:dyDescent="0.25">
      <c r="A42" s="107"/>
      <c r="B42" s="107"/>
      <c r="C42" s="107"/>
      <c r="D42">
        <v>2022</v>
      </c>
      <c r="E42">
        <f t="shared" si="16"/>
        <v>1820125.2268600001</v>
      </c>
      <c r="F42">
        <f t="shared" si="17"/>
        <v>1036327.14086</v>
      </c>
      <c r="G42">
        <f t="shared" si="17"/>
        <v>783021.4</v>
      </c>
      <c r="H42">
        <f t="shared" si="17"/>
        <v>776.68600000000004</v>
      </c>
      <c r="I42">
        <f t="shared" si="17"/>
        <v>0</v>
      </c>
      <c r="J42" s="107"/>
      <c r="K42" s="107"/>
      <c r="M42">
        <v>1911692.08</v>
      </c>
      <c r="N42">
        <v>1911692.08</v>
      </c>
      <c r="O42" t="s">
        <v>1277</v>
      </c>
      <c r="P42" t="s">
        <v>1277</v>
      </c>
      <c r="Q42" t="s">
        <v>1277</v>
      </c>
      <c r="R42">
        <f t="shared" si="15"/>
        <v>91566.853140000021</v>
      </c>
      <c r="S42">
        <f t="shared" si="15"/>
        <v>875364.93914000003</v>
      </c>
      <c r="T42" t="e">
        <f t="shared" si="15"/>
        <v>#VALUE!</v>
      </c>
      <c r="U42" t="e">
        <f t="shared" si="15"/>
        <v>#VALUE!</v>
      </c>
      <c r="V42" t="e">
        <f t="shared" si="15"/>
        <v>#VALUE!</v>
      </c>
      <c r="W42">
        <f t="shared" si="15"/>
        <v>91566.853140000021</v>
      </c>
    </row>
    <row r="43" spans="1:23" x14ac:dyDescent="0.25">
      <c r="A43" s="107"/>
      <c r="B43" s="107"/>
      <c r="C43" s="107"/>
      <c r="D43">
        <v>2023</v>
      </c>
      <c r="E43">
        <f t="shared" si="16"/>
        <v>846340.95600000001</v>
      </c>
      <c r="F43">
        <f t="shared" si="17"/>
        <v>846340.95600000001</v>
      </c>
      <c r="G43">
        <f t="shared" si="17"/>
        <v>0</v>
      </c>
      <c r="H43">
        <f t="shared" si="17"/>
        <v>0</v>
      </c>
      <c r="I43">
        <f t="shared" si="17"/>
        <v>0</v>
      </c>
      <c r="J43" s="107"/>
      <c r="K43" s="107"/>
      <c r="M43">
        <v>2677746.33</v>
      </c>
      <c r="N43">
        <v>2677746.33</v>
      </c>
      <c r="O43" t="s">
        <v>1277</v>
      </c>
      <c r="P43" t="s">
        <v>1277</v>
      </c>
      <c r="Q43" t="s">
        <v>1277</v>
      </c>
      <c r="R43">
        <f t="shared" si="15"/>
        <v>1831405.3740000001</v>
      </c>
      <c r="S43">
        <f t="shared" si="15"/>
        <v>1831405.3740000001</v>
      </c>
      <c r="T43" t="e">
        <f t="shared" si="15"/>
        <v>#VALUE!</v>
      </c>
      <c r="U43" t="e">
        <f t="shared" si="15"/>
        <v>#VALUE!</v>
      </c>
      <c r="V43" t="e">
        <f t="shared" si="15"/>
        <v>#VALUE!</v>
      </c>
      <c r="W43">
        <f t="shared" si="15"/>
        <v>1831405.3740000001</v>
      </c>
    </row>
    <row r="44" spans="1:23" x14ac:dyDescent="0.25">
      <c r="A44" s="107"/>
      <c r="B44" s="107"/>
      <c r="C44" s="107"/>
      <c r="D44">
        <v>2024</v>
      </c>
      <c r="E44">
        <f t="shared" si="16"/>
        <v>293461.72899999999</v>
      </c>
      <c r="F44">
        <f t="shared" si="17"/>
        <v>293461.72899999999</v>
      </c>
      <c r="G44">
        <f t="shared" si="17"/>
        <v>0</v>
      </c>
      <c r="H44">
        <f t="shared" si="17"/>
        <v>0</v>
      </c>
      <c r="I44">
        <f t="shared" si="17"/>
        <v>0</v>
      </c>
      <c r="J44" s="107"/>
      <c r="K44" s="107"/>
      <c r="M44">
        <v>50988.959999999999</v>
      </c>
      <c r="N44">
        <v>50988.959999999999</v>
      </c>
      <c r="O44" t="s">
        <v>1277</v>
      </c>
      <c r="P44" t="s">
        <v>1277</v>
      </c>
      <c r="Q44" t="s">
        <v>1277</v>
      </c>
      <c r="R44">
        <f t="shared" si="15"/>
        <v>-242472.769</v>
      </c>
      <c r="S44">
        <f t="shared" si="15"/>
        <v>-242472.769</v>
      </c>
      <c r="T44" t="e">
        <f t="shared" si="15"/>
        <v>#VALUE!</v>
      </c>
      <c r="U44" t="e">
        <f t="shared" si="15"/>
        <v>#VALUE!</v>
      </c>
      <c r="V44" t="e">
        <f t="shared" si="15"/>
        <v>#VALUE!</v>
      </c>
      <c r="W44">
        <f t="shared" si="15"/>
        <v>-242472.769</v>
      </c>
    </row>
    <row r="45" spans="1:23" x14ac:dyDescent="0.25">
      <c r="A45" s="107"/>
      <c r="B45" s="107"/>
      <c r="C45" s="107"/>
      <c r="D45">
        <v>2025</v>
      </c>
      <c r="E45">
        <f t="shared" si="16"/>
        <v>50778.04</v>
      </c>
      <c r="F45">
        <f t="shared" si="17"/>
        <v>50778.04</v>
      </c>
      <c r="G45">
        <f t="shared" si="17"/>
        <v>0</v>
      </c>
      <c r="H45">
        <f t="shared" si="17"/>
        <v>0</v>
      </c>
      <c r="I45">
        <f t="shared" si="17"/>
        <v>0</v>
      </c>
      <c r="J45" s="107"/>
      <c r="K45" s="107"/>
      <c r="M45" t="s">
        <v>1277</v>
      </c>
      <c r="R45" t="e">
        <f t="shared" si="15"/>
        <v>#VALUE!</v>
      </c>
      <c r="S45">
        <f t="shared" si="15"/>
        <v>-50778.04</v>
      </c>
      <c r="T45">
        <f t="shared" si="15"/>
        <v>0</v>
      </c>
      <c r="U45">
        <f t="shared" si="15"/>
        <v>0</v>
      </c>
      <c r="V45">
        <f t="shared" si="15"/>
        <v>0</v>
      </c>
      <c r="W45" t="e">
        <f t="shared" si="15"/>
        <v>#VALUE!</v>
      </c>
    </row>
    <row r="46" spans="1:23" x14ac:dyDescent="0.25">
      <c r="A46" s="107" t="s">
        <v>27</v>
      </c>
      <c r="B46" s="107" t="s">
        <v>1278</v>
      </c>
      <c r="C46" s="107" t="s">
        <v>14</v>
      </c>
      <c r="D46" t="s">
        <v>8</v>
      </c>
      <c r="E46">
        <f>F46+G46+H46+I46</f>
        <v>0</v>
      </c>
      <c r="F46">
        <f>SUM(F47:F51)</f>
        <v>0</v>
      </c>
      <c r="G46">
        <f>SUM(G47:G51)</f>
        <v>0</v>
      </c>
      <c r="H46">
        <f>SUM(H47:H51)</f>
        <v>0</v>
      </c>
      <c r="I46">
        <f>SUM(I47:I51)</f>
        <v>0</v>
      </c>
      <c r="J46" s="107" t="s">
        <v>1279</v>
      </c>
      <c r="K46" s="107" t="s">
        <v>1265</v>
      </c>
    </row>
    <row r="47" spans="1:23" x14ac:dyDescent="0.25">
      <c r="A47" s="107"/>
      <c r="B47" s="107"/>
      <c r="C47" s="107"/>
      <c r="D47">
        <v>2021</v>
      </c>
      <c r="E47">
        <f t="shared" ref="E47:E51" si="19">SUM(F47:I47)</f>
        <v>0</v>
      </c>
      <c r="F47">
        <f t="shared" ref="F47:F51" si="20">2000-2000</f>
        <v>0</v>
      </c>
      <c r="G47">
        <v>0</v>
      </c>
      <c r="H47">
        <f t="shared" ref="H47:H51" si="21">100-100</f>
        <v>0</v>
      </c>
      <c r="I47">
        <v>0</v>
      </c>
      <c r="J47" s="107"/>
      <c r="K47" s="107"/>
    </row>
    <row r="48" spans="1:23" x14ac:dyDescent="0.25">
      <c r="A48" s="107"/>
      <c r="B48" s="107"/>
      <c r="C48" s="107"/>
      <c r="D48">
        <v>2022</v>
      </c>
      <c r="E48">
        <f t="shared" si="19"/>
        <v>0</v>
      </c>
      <c r="F48">
        <f t="shared" si="20"/>
        <v>0</v>
      </c>
      <c r="G48">
        <v>0</v>
      </c>
      <c r="H48">
        <f t="shared" si="21"/>
        <v>0</v>
      </c>
      <c r="I48">
        <v>0</v>
      </c>
      <c r="J48" s="107"/>
      <c r="K48" s="107"/>
    </row>
    <row r="49" spans="1:11" x14ac:dyDescent="0.25">
      <c r="A49" s="107"/>
      <c r="B49" s="107"/>
      <c r="C49" s="107"/>
      <c r="D49">
        <v>2023</v>
      </c>
      <c r="E49">
        <f t="shared" si="19"/>
        <v>0</v>
      </c>
      <c r="F49">
        <f t="shared" si="20"/>
        <v>0</v>
      </c>
      <c r="G49">
        <v>0</v>
      </c>
      <c r="H49">
        <f t="shared" si="21"/>
        <v>0</v>
      </c>
      <c r="I49">
        <v>0</v>
      </c>
      <c r="J49" s="107"/>
      <c r="K49" s="107"/>
    </row>
    <row r="50" spans="1:11" x14ac:dyDescent="0.25">
      <c r="A50" s="107"/>
      <c r="B50" s="107"/>
      <c r="C50" s="107"/>
      <c r="D50">
        <v>2024</v>
      </c>
      <c r="E50">
        <f t="shared" si="19"/>
        <v>0</v>
      </c>
      <c r="F50">
        <f t="shared" si="20"/>
        <v>0</v>
      </c>
      <c r="G50">
        <v>0</v>
      </c>
      <c r="H50">
        <f t="shared" si="21"/>
        <v>0</v>
      </c>
      <c r="I50">
        <v>0</v>
      </c>
      <c r="J50" s="107"/>
      <c r="K50" s="107"/>
    </row>
    <row r="51" spans="1:11" x14ac:dyDescent="0.25">
      <c r="A51" s="107"/>
      <c r="B51" s="107"/>
      <c r="C51" s="107"/>
      <c r="D51">
        <v>2025</v>
      </c>
      <c r="E51">
        <f t="shared" si="19"/>
        <v>0</v>
      </c>
      <c r="F51">
        <f t="shared" si="20"/>
        <v>0</v>
      </c>
      <c r="G51">
        <v>0</v>
      </c>
      <c r="H51">
        <f t="shared" si="21"/>
        <v>0</v>
      </c>
      <c r="I51">
        <v>0</v>
      </c>
      <c r="J51" s="107"/>
      <c r="K51" s="107"/>
    </row>
    <row r="52" spans="1:11" x14ac:dyDescent="0.25">
      <c r="A52" s="107" t="s">
        <v>491</v>
      </c>
      <c r="B52" s="107" t="s">
        <v>1280</v>
      </c>
      <c r="C52" s="107">
        <v>2021</v>
      </c>
      <c r="D52" t="s">
        <v>8</v>
      </c>
      <c r="E52">
        <f t="shared" ref="E52:E115" si="22">F52+G52+H52+I52</f>
        <v>224710</v>
      </c>
      <c r="F52">
        <f>F53+F54+F55+F56+F57</f>
        <v>224710</v>
      </c>
      <c r="G52">
        <f>G53+G54+G55+G56+G57</f>
        <v>0</v>
      </c>
      <c r="H52">
        <f>H53+H54+H55+H56+H57</f>
        <v>0</v>
      </c>
      <c r="I52">
        <f>I53+I54+I55+I56+I57</f>
        <v>0</v>
      </c>
      <c r="J52" s="107" t="s">
        <v>1281</v>
      </c>
      <c r="K52" s="107" t="s">
        <v>1282</v>
      </c>
    </row>
    <row r="53" spans="1:11" x14ac:dyDescent="0.25">
      <c r="A53" s="107"/>
      <c r="B53" s="107"/>
      <c r="C53" s="107"/>
      <c r="D53">
        <v>2021</v>
      </c>
      <c r="E53">
        <f t="shared" si="22"/>
        <v>216301.1</v>
      </c>
      <c r="F53">
        <v>216301.1</v>
      </c>
      <c r="G53">
        <v>0</v>
      </c>
      <c r="H53">
        <v>0</v>
      </c>
      <c r="I53">
        <v>0</v>
      </c>
      <c r="J53" s="107"/>
      <c r="K53" s="107"/>
    </row>
    <row r="54" spans="1:11" x14ac:dyDescent="0.25">
      <c r="A54" s="107"/>
      <c r="B54" s="107"/>
      <c r="C54" s="107"/>
      <c r="D54">
        <v>2022</v>
      </c>
      <c r="E54">
        <f t="shared" si="22"/>
        <v>8408.9</v>
      </c>
      <c r="F54">
        <v>8408.9</v>
      </c>
      <c r="G54">
        <v>0</v>
      </c>
      <c r="H54">
        <v>0</v>
      </c>
      <c r="I54">
        <v>0</v>
      </c>
      <c r="J54" s="107"/>
      <c r="K54" s="107"/>
    </row>
    <row r="55" spans="1:11" x14ac:dyDescent="0.25">
      <c r="A55" s="107"/>
      <c r="B55" s="107"/>
      <c r="C55" s="107"/>
      <c r="D55">
        <v>2023</v>
      </c>
      <c r="E55">
        <f t="shared" si="22"/>
        <v>0</v>
      </c>
      <c r="F55">
        <v>0</v>
      </c>
      <c r="G55">
        <v>0</v>
      </c>
      <c r="H55">
        <v>0</v>
      </c>
      <c r="I55">
        <v>0</v>
      </c>
      <c r="J55" s="107"/>
      <c r="K55" s="107"/>
    </row>
    <row r="56" spans="1:11" x14ac:dyDescent="0.25">
      <c r="A56" s="107"/>
      <c r="B56" s="107"/>
      <c r="C56" s="107"/>
      <c r="D56">
        <v>2024</v>
      </c>
      <c r="E56">
        <f t="shared" si="22"/>
        <v>0</v>
      </c>
      <c r="F56">
        <v>0</v>
      </c>
      <c r="G56">
        <v>0</v>
      </c>
      <c r="H56">
        <v>0</v>
      </c>
      <c r="I56">
        <v>0</v>
      </c>
      <c r="J56" s="107"/>
      <c r="K56" s="107"/>
    </row>
    <row r="57" spans="1:11" x14ac:dyDescent="0.25">
      <c r="A57" s="107"/>
      <c r="B57" s="107"/>
      <c r="C57" s="107"/>
      <c r="D57">
        <v>2025</v>
      </c>
      <c r="E57">
        <f t="shared" si="22"/>
        <v>0</v>
      </c>
      <c r="H57">
        <v>0</v>
      </c>
      <c r="I57">
        <v>0</v>
      </c>
      <c r="J57" s="107"/>
      <c r="K57" s="107"/>
    </row>
    <row r="58" spans="1:11" x14ac:dyDescent="0.25">
      <c r="A58" s="107" t="s">
        <v>1283</v>
      </c>
      <c r="B58" s="107" t="s">
        <v>1284</v>
      </c>
      <c r="C58" s="107" t="s">
        <v>19</v>
      </c>
      <c r="D58" t="s">
        <v>8</v>
      </c>
      <c r="E58">
        <f t="shared" si="22"/>
        <v>880382.69200000004</v>
      </c>
      <c r="F58">
        <f>F59+F60+F61+F62+F63</f>
        <v>880382.69200000004</v>
      </c>
      <c r="G58">
        <f>G59+G60+G61+G62+G63</f>
        <v>0</v>
      </c>
      <c r="H58">
        <f>H59+H60+H61+H62+H63</f>
        <v>0</v>
      </c>
      <c r="I58">
        <f>I59+I60+I61+I62+I63</f>
        <v>0</v>
      </c>
      <c r="J58" s="107" t="s">
        <v>1285</v>
      </c>
      <c r="K58" s="107" t="s">
        <v>1286</v>
      </c>
    </row>
    <row r="59" spans="1:11" x14ac:dyDescent="0.25">
      <c r="A59" s="107"/>
      <c r="B59" s="107"/>
      <c r="C59" s="107"/>
      <c r="D59">
        <v>2021</v>
      </c>
      <c r="E59">
        <f t="shared" si="22"/>
        <v>0</v>
      </c>
      <c r="F59">
        <v>0</v>
      </c>
      <c r="G59">
        <v>0</v>
      </c>
      <c r="H59">
        <v>0</v>
      </c>
      <c r="I59">
        <v>0</v>
      </c>
      <c r="J59" s="107"/>
      <c r="K59" s="107"/>
    </row>
    <row r="60" spans="1:11" x14ac:dyDescent="0.25">
      <c r="A60" s="107"/>
      <c r="B60" s="107"/>
      <c r="C60" s="107"/>
      <c r="D60">
        <v>2022</v>
      </c>
      <c r="E60">
        <f t="shared" si="22"/>
        <v>250570.12599999999</v>
      </c>
      <c r="F60">
        <f>151185.8+320043.3-24336.6-23902.4-148142.686-17777.288-6500</f>
        <v>250570.12599999999</v>
      </c>
      <c r="G60">
        <v>0</v>
      </c>
      <c r="H60">
        <v>0</v>
      </c>
      <c r="I60">
        <v>0</v>
      </c>
      <c r="J60" s="107"/>
      <c r="K60" s="107"/>
    </row>
    <row r="61" spans="1:11" x14ac:dyDescent="0.25">
      <c r="A61" s="107"/>
      <c r="B61" s="107"/>
      <c r="C61" s="107"/>
      <c r="D61">
        <v>2023</v>
      </c>
      <c r="E61">
        <f t="shared" si="22"/>
        <v>387128.87699999998</v>
      </c>
      <c r="F61">
        <f>387128.877</f>
        <v>387128.87699999998</v>
      </c>
      <c r="G61">
        <v>0</v>
      </c>
      <c r="H61">
        <v>0</v>
      </c>
      <c r="I61">
        <v>0</v>
      </c>
      <c r="J61" s="107"/>
      <c r="K61" s="107"/>
    </row>
    <row r="62" spans="1:11" x14ac:dyDescent="0.25">
      <c r="A62" s="107"/>
      <c r="B62" s="107"/>
      <c r="C62" s="107"/>
      <c r="D62">
        <v>2024</v>
      </c>
      <c r="E62">
        <f t="shared" si="22"/>
        <v>242683.68900000001</v>
      </c>
      <c r="F62">
        <v>242683.68900000001</v>
      </c>
      <c r="G62">
        <v>0</v>
      </c>
      <c r="H62">
        <v>0</v>
      </c>
      <c r="I62">
        <v>0</v>
      </c>
      <c r="J62" s="107"/>
      <c r="K62" s="107"/>
    </row>
    <row r="63" spans="1:11" x14ac:dyDescent="0.25">
      <c r="A63" s="107"/>
      <c r="B63" s="107"/>
      <c r="C63" s="107"/>
      <c r="D63">
        <v>2025</v>
      </c>
      <c r="E63">
        <f t="shared" si="22"/>
        <v>0</v>
      </c>
      <c r="F63">
        <v>0</v>
      </c>
      <c r="G63">
        <v>0</v>
      </c>
      <c r="H63">
        <v>0</v>
      </c>
      <c r="I63">
        <v>0</v>
      </c>
      <c r="J63" s="107"/>
      <c r="K63" s="107"/>
    </row>
    <row r="64" spans="1:11" x14ac:dyDescent="0.25">
      <c r="A64" s="107" t="s">
        <v>1287</v>
      </c>
      <c r="B64" s="107" t="s">
        <v>1288</v>
      </c>
      <c r="C64" s="107" t="s">
        <v>124</v>
      </c>
      <c r="D64" t="s">
        <v>8</v>
      </c>
      <c r="E64">
        <f t="shared" si="22"/>
        <v>227911.66</v>
      </c>
      <c r="F64">
        <f>F65+F66+F67+F68+F69</f>
        <v>227911.66</v>
      </c>
      <c r="G64">
        <f>G65+G66+G67+G68+G69</f>
        <v>0</v>
      </c>
      <c r="H64">
        <f>H65+H66+H67+H68+H69</f>
        <v>0</v>
      </c>
      <c r="I64">
        <f>I65+I66+I67+I68+I69</f>
        <v>0</v>
      </c>
      <c r="J64" s="107" t="s">
        <v>1289</v>
      </c>
      <c r="K64" s="107" t="s">
        <v>1286</v>
      </c>
    </row>
    <row r="65" spans="1:11" x14ac:dyDescent="0.25">
      <c r="A65" s="107"/>
      <c r="B65" s="107"/>
      <c r="C65" s="107"/>
      <c r="D65">
        <v>2021</v>
      </c>
      <c r="E65">
        <f t="shared" si="22"/>
        <v>39539.9</v>
      </c>
      <c r="F65">
        <v>39539.9</v>
      </c>
      <c r="G65">
        <v>0</v>
      </c>
      <c r="H65">
        <v>0</v>
      </c>
      <c r="I65">
        <v>0</v>
      </c>
      <c r="J65" s="107"/>
      <c r="K65" s="107"/>
    </row>
    <row r="66" spans="1:11" x14ac:dyDescent="0.25">
      <c r="A66" s="107"/>
      <c r="B66" s="107"/>
      <c r="C66" s="107"/>
      <c r="D66">
        <v>2022</v>
      </c>
      <c r="E66">
        <f t="shared" si="22"/>
        <v>48562.94</v>
      </c>
      <c r="F66">
        <f>46952.94+1610</f>
        <v>48562.94</v>
      </c>
      <c r="G66">
        <v>0</v>
      </c>
      <c r="H66">
        <v>0</v>
      </c>
      <c r="I66">
        <v>0</v>
      </c>
      <c r="J66" s="107"/>
      <c r="K66" s="107"/>
    </row>
    <row r="67" spans="1:11" x14ac:dyDescent="0.25">
      <c r="A67" s="107"/>
      <c r="B67" s="107"/>
      <c r="C67" s="107"/>
      <c r="D67">
        <v>2023</v>
      </c>
      <c r="E67">
        <f t="shared" si="22"/>
        <v>46602.94</v>
      </c>
      <c r="F67">
        <v>46602.94</v>
      </c>
      <c r="G67">
        <v>0</v>
      </c>
      <c r="H67">
        <v>0</v>
      </c>
      <c r="I67">
        <v>0</v>
      </c>
      <c r="J67" s="107"/>
      <c r="K67" s="107"/>
    </row>
    <row r="68" spans="1:11" x14ac:dyDescent="0.25">
      <c r="A68" s="107"/>
      <c r="B68" s="107"/>
      <c r="C68" s="107"/>
      <c r="D68">
        <v>2024</v>
      </c>
      <c r="E68">
        <f t="shared" si="22"/>
        <v>46602.94</v>
      </c>
      <c r="F68">
        <v>46602.94</v>
      </c>
      <c r="G68">
        <v>0</v>
      </c>
      <c r="H68">
        <v>0</v>
      </c>
      <c r="I68">
        <v>0</v>
      </c>
      <c r="J68" s="107"/>
      <c r="K68" s="107"/>
    </row>
    <row r="69" spans="1:11" ht="18.75" customHeight="1" x14ac:dyDescent="0.25">
      <c r="A69" s="107"/>
      <c r="B69" s="107"/>
      <c r="C69" s="107"/>
      <c r="D69">
        <v>2025</v>
      </c>
      <c r="E69">
        <f t="shared" si="22"/>
        <v>46602.94</v>
      </c>
      <c r="F69">
        <v>46602.94</v>
      </c>
      <c r="G69">
        <v>0</v>
      </c>
      <c r="H69">
        <v>0</v>
      </c>
      <c r="I69">
        <v>0</v>
      </c>
      <c r="J69" s="107"/>
      <c r="K69" s="107"/>
    </row>
    <row r="70" spans="1:11" x14ac:dyDescent="0.25">
      <c r="A70" s="107" t="s">
        <v>1290</v>
      </c>
      <c r="B70" s="107" t="s">
        <v>1291</v>
      </c>
      <c r="C70" s="107" t="s">
        <v>19</v>
      </c>
      <c r="D70" t="s">
        <v>8</v>
      </c>
      <c r="E70">
        <f t="shared" si="22"/>
        <v>0</v>
      </c>
      <c r="F70">
        <f>F71+F72+F73+F74+F75</f>
        <v>0</v>
      </c>
      <c r="G70">
        <f>G71+G72+G73+G74+G75</f>
        <v>0</v>
      </c>
      <c r="H70">
        <f>H71+H72+H73+H74+H75</f>
        <v>0</v>
      </c>
      <c r="I70">
        <f>I71+I72+I73+I74+I75</f>
        <v>0</v>
      </c>
      <c r="J70" s="107" t="s">
        <v>1292</v>
      </c>
      <c r="K70" s="107" t="s">
        <v>1286</v>
      </c>
    </row>
    <row r="71" spans="1:11" x14ac:dyDescent="0.25">
      <c r="A71" s="107"/>
      <c r="B71" s="107"/>
      <c r="C71" s="107"/>
      <c r="D71">
        <v>2021</v>
      </c>
      <c r="E71">
        <f t="shared" si="22"/>
        <v>0</v>
      </c>
      <c r="F71">
        <v>0</v>
      </c>
      <c r="G71">
        <v>0</v>
      </c>
      <c r="H71">
        <v>0</v>
      </c>
      <c r="I71">
        <v>0</v>
      </c>
      <c r="J71" s="107"/>
      <c r="K71" s="107"/>
    </row>
    <row r="72" spans="1:11" x14ac:dyDescent="0.25">
      <c r="A72" s="107"/>
      <c r="B72" s="107"/>
      <c r="C72" s="107"/>
      <c r="D72">
        <v>2022</v>
      </c>
      <c r="E72">
        <f t="shared" si="22"/>
        <v>0</v>
      </c>
      <c r="F72">
        <v>0</v>
      </c>
      <c r="G72">
        <v>0</v>
      </c>
      <c r="H72">
        <v>0</v>
      </c>
      <c r="I72">
        <v>0</v>
      </c>
      <c r="J72" s="107"/>
      <c r="K72" s="107"/>
    </row>
    <row r="73" spans="1:11" x14ac:dyDescent="0.25">
      <c r="A73" s="107"/>
      <c r="B73" s="107"/>
      <c r="C73" s="107"/>
      <c r="D73">
        <v>2023</v>
      </c>
      <c r="E73">
        <f t="shared" si="22"/>
        <v>0</v>
      </c>
      <c r="F73">
        <v>0</v>
      </c>
      <c r="G73">
        <v>0</v>
      </c>
      <c r="H73">
        <v>0</v>
      </c>
      <c r="I73">
        <v>0</v>
      </c>
      <c r="J73" s="107"/>
      <c r="K73" s="107"/>
    </row>
    <row r="74" spans="1:11" x14ac:dyDescent="0.25">
      <c r="A74" s="107"/>
      <c r="B74" s="107"/>
      <c r="C74" s="107"/>
      <c r="D74">
        <v>2024</v>
      </c>
      <c r="E74">
        <f t="shared" si="22"/>
        <v>0</v>
      </c>
      <c r="F74">
        <v>0</v>
      </c>
      <c r="G74">
        <v>0</v>
      </c>
      <c r="H74">
        <v>0</v>
      </c>
      <c r="I74">
        <v>0</v>
      </c>
      <c r="J74" s="107"/>
      <c r="K74" s="107"/>
    </row>
    <row r="75" spans="1:11" x14ac:dyDescent="0.25">
      <c r="A75" s="107"/>
      <c r="B75" s="107"/>
      <c r="C75" s="107"/>
      <c r="D75">
        <v>2025</v>
      </c>
      <c r="E75">
        <f t="shared" si="22"/>
        <v>0</v>
      </c>
      <c r="F75">
        <v>0</v>
      </c>
      <c r="G75">
        <v>0</v>
      </c>
      <c r="H75">
        <v>0</v>
      </c>
      <c r="I75">
        <v>0</v>
      </c>
      <c r="J75" s="107"/>
      <c r="K75" s="107"/>
    </row>
    <row r="76" spans="1:11" x14ac:dyDescent="0.25">
      <c r="A76" s="107" t="s">
        <v>1293</v>
      </c>
      <c r="B76" s="107" t="s">
        <v>1294</v>
      </c>
      <c r="C76" s="107" t="s">
        <v>19</v>
      </c>
      <c r="D76" t="s">
        <v>8</v>
      </c>
      <c r="E76">
        <f t="shared" si="22"/>
        <v>4.0000000008149073E-2</v>
      </c>
      <c r="F76">
        <f>F77+F78+F79+F80+F81</f>
        <v>4.0000000008149073E-2</v>
      </c>
      <c r="G76">
        <f>G77+G78+G79+G80+G81</f>
        <v>0</v>
      </c>
      <c r="H76">
        <f>H77+H78+H79+H80+H81</f>
        <v>0</v>
      </c>
      <c r="I76">
        <f>I77+I78+I79+I80+I81</f>
        <v>0</v>
      </c>
      <c r="J76" s="107" t="s">
        <v>1295</v>
      </c>
      <c r="K76" s="107" t="s">
        <v>1286</v>
      </c>
    </row>
    <row r="77" spans="1:11" x14ac:dyDescent="0.25">
      <c r="A77" s="107"/>
      <c r="B77" s="107"/>
      <c r="C77" s="107"/>
      <c r="D77">
        <v>2021</v>
      </c>
      <c r="E77">
        <f t="shared" si="22"/>
        <v>0</v>
      </c>
      <c r="F77">
        <v>0</v>
      </c>
      <c r="G77">
        <v>0</v>
      </c>
      <c r="H77">
        <v>0</v>
      </c>
      <c r="I77">
        <v>0</v>
      </c>
      <c r="J77" s="107"/>
      <c r="K77" s="107"/>
    </row>
    <row r="78" spans="1:11" x14ac:dyDescent="0.25">
      <c r="A78" s="107"/>
      <c r="B78" s="107"/>
      <c r="C78" s="107"/>
      <c r="D78">
        <v>2022</v>
      </c>
      <c r="E78">
        <f t="shared" si="22"/>
        <v>0</v>
      </c>
      <c r="G78">
        <v>0</v>
      </c>
      <c r="H78">
        <v>0</v>
      </c>
      <c r="I78">
        <v>0</v>
      </c>
      <c r="J78" s="107"/>
      <c r="K78" s="107"/>
    </row>
    <row r="79" spans="1:11" x14ac:dyDescent="0.25">
      <c r="A79" s="107"/>
      <c r="B79" s="107"/>
      <c r="C79" s="107"/>
      <c r="D79">
        <v>2023</v>
      </c>
      <c r="E79">
        <f t="shared" si="22"/>
        <v>4.0000000008149073E-2</v>
      </c>
      <c r="F79">
        <f>158197.04-158197</f>
        <v>4.0000000008149073E-2</v>
      </c>
      <c r="G79">
        <v>0</v>
      </c>
      <c r="H79">
        <v>0</v>
      </c>
      <c r="I79">
        <v>0</v>
      </c>
      <c r="J79" s="107"/>
      <c r="K79" s="107"/>
    </row>
    <row r="80" spans="1:11" x14ac:dyDescent="0.25">
      <c r="A80" s="107"/>
      <c r="B80" s="107"/>
      <c r="C80" s="107"/>
      <c r="D80">
        <v>2024</v>
      </c>
      <c r="E80">
        <f t="shared" si="22"/>
        <v>0</v>
      </c>
      <c r="F80">
        <v>0</v>
      </c>
      <c r="G80">
        <v>0</v>
      </c>
      <c r="H80">
        <v>0</v>
      </c>
      <c r="I80">
        <v>0</v>
      </c>
      <c r="J80" s="107"/>
      <c r="K80" s="107"/>
    </row>
    <row r="81" spans="1:11" x14ac:dyDescent="0.25">
      <c r="A81" s="107"/>
      <c r="B81" s="107"/>
      <c r="C81" s="107"/>
      <c r="D81">
        <v>2025</v>
      </c>
      <c r="E81">
        <f t="shared" si="22"/>
        <v>0</v>
      </c>
      <c r="F81">
        <v>0</v>
      </c>
      <c r="G81">
        <v>0</v>
      </c>
      <c r="H81">
        <v>0</v>
      </c>
      <c r="I81">
        <v>0</v>
      </c>
      <c r="J81" s="107"/>
      <c r="K81" s="107"/>
    </row>
    <row r="82" spans="1:11" x14ac:dyDescent="0.25">
      <c r="A82" s="107" t="s">
        <v>1296</v>
      </c>
      <c r="B82" s="107" t="s">
        <v>1297</v>
      </c>
      <c r="C82" s="107" t="s">
        <v>19</v>
      </c>
      <c r="D82" t="s">
        <v>8</v>
      </c>
      <c r="E82">
        <f t="shared" si="22"/>
        <v>210003.7</v>
      </c>
      <c r="F82">
        <f>F83+F84+F85+F86+F87</f>
        <v>210003.7</v>
      </c>
      <c r="G82">
        <f>G83+G84+G85+G86+G87</f>
        <v>0</v>
      </c>
      <c r="H82">
        <f>H83+H84+H85+H86+H87</f>
        <v>0</v>
      </c>
      <c r="I82">
        <f>I83+I84+I85+I86+I87</f>
        <v>0</v>
      </c>
      <c r="J82" s="107" t="s">
        <v>1298</v>
      </c>
      <c r="K82" s="107" t="s">
        <v>1286</v>
      </c>
    </row>
    <row r="83" spans="1:11" x14ac:dyDescent="0.25">
      <c r="A83" s="107"/>
      <c r="B83" s="107"/>
      <c r="C83" s="107"/>
      <c r="D83">
        <v>2021</v>
      </c>
      <c r="E83">
        <f t="shared" si="22"/>
        <v>0</v>
      </c>
      <c r="F83">
        <v>0</v>
      </c>
      <c r="G83">
        <v>0</v>
      </c>
      <c r="H83">
        <v>0</v>
      </c>
      <c r="I83">
        <v>0</v>
      </c>
      <c r="J83" s="107"/>
      <c r="K83" s="107"/>
    </row>
    <row r="84" spans="1:11" x14ac:dyDescent="0.25">
      <c r="A84" s="107"/>
      <c r="B84" s="107"/>
      <c r="C84" s="107"/>
      <c r="D84">
        <v>2022</v>
      </c>
      <c r="E84">
        <f t="shared" si="22"/>
        <v>210003.7</v>
      </c>
      <c r="F84">
        <f>342216.1+206783.9-338996.3</f>
        <v>210003.7</v>
      </c>
      <c r="G84">
        <v>0</v>
      </c>
      <c r="H84">
        <v>0</v>
      </c>
      <c r="I84">
        <v>0</v>
      </c>
      <c r="J84" s="107"/>
      <c r="K84" s="107"/>
    </row>
    <row r="85" spans="1:11" x14ac:dyDescent="0.25">
      <c r="A85" s="107"/>
      <c r="B85" s="107"/>
      <c r="C85" s="107"/>
      <c r="D85">
        <v>2023</v>
      </c>
      <c r="E85">
        <f t="shared" si="22"/>
        <v>0</v>
      </c>
      <c r="F85">
        <v>0</v>
      </c>
      <c r="G85">
        <v>0</v>
      </c>
      <c r="H85">
        <v>0</v>
      </c>
      <c r="I85">
        <v>0</v>
      </c>
      <c r="J85" s="107"/>
      <c r="K85" s="107"/>
    </row>
    <row r="86" spans="1:11" x14ac:dyDescent="0.25">
      <c r="A86" s="107"/>
      <c r="B86" s="107"/>
      <c r="C86" s="107"/>
      <c r="D86">
        <v>2024</v>
      </c>
      <c r="E86">
        <f t="shared" si="22"/>
        <v>0</v>
      </c>
      <c r="F86">
        <v>0</v>
      </c>
      <c r="G86">
        <v>0</v>
      </c>
      <c r="H86">
        <v>0</v>
      </c>
      <c r="I86">
        <v>0</v>
      </c>
      <c r="J86" s="107"/>
      <c r="K86" s="107"/>
    </row>
    <row r="87" spans="1:11" x14ac:dyDescent="0.25">
      <c r="A87" s="107"/>
      <c r="B87" s="107"/>
      <c r="C87" s="107"/>
      <c r="D87">
        <v>2025</v>
      </c>
      <c r="E87">
        <f t="shared" si="22"/>
        <v>0</v>
      </c>
      <c r="F87">
        <v>0</v>
      </c>
      <c r="G87">
        <v>0</v>
      </c>
      <c r="H87">
        <v>0</v>
      </c>
      <c r="I87">
        <v>0</v>
      </c>
      <c r="J87" s="107"/>
      <c r="K87" s="107"/>
    </row>
    <row r="88" spans="1:11" x14ac:dyDescent="0.25">
      <c r="A88" s="107" t="s">
        <v>1299</v>
      </c>
      <c r="B88" s="107" t="s">
        <v>1300</v>
      </c>
      <c r="C88" s="107" t="s">
        <v>19</v>
      </c>
      <c r="D88" t="s">
        <v>8</v>
      </c>
      <c r="E88">
        <f t="shared" si="22"/>
        <v>10001.905999999988</v>
      </c>
      <c r="F88">
        <f>F89+F90+F91+F92+F93</f>
        <v>10001.905999999988</v>
      </c>
      <c r="G88">
        <f>G89+G90+G91+G92+G93</f>
        <v>0</v>
      </c>
      <c r="H88">
        <f>H89+H90+H91+H92+H93</f>
        <v>0</v>
      </c>
      <c r="I88">
        <f>I89+I90+I91+I92+I93</f>
        <v>0</v>
      </c>
      <c r="J88" s="107" t="s">
        <v>1301</v>
      </c>
      <c r="K88" s="107" t="s">
        <v>1286</v>
      </c>
    </row>
    <row r="89" spans="1:11" x14ac:dyDescent="0.25">
      <c r="A89" s="107"/>
      <c r="B89" s="107"/>
      <c r="C89" s="107"/>
      <c r="D89">
        <v>2021</v>
      </c>
      <c r="E89">
        <f t="shared" si="22"/>
        <v>0</v>
      </c>
      <c r="F89">
        <v>0</v>
      </c>
      <c r="G89">
        <v>0</v>
      </c>
      <c r="H89">
        <v>0</v>
      </c>
      <c r="I89">
        <v>0</v>
      </c>
      <c r="J89" s="107"/>
      <c r="K89" s="107"/>
    </row>
    <row r="90" spans="1:11" x14ac:dyDescent="0.25">
      <c r="A90" s="107"/>
      <c r="B90" s="107"/>
      <c r="C90" s="107"/>
      <c r="D90">
        <v>2022</v>
      </c>
      <c r="E90">
        <f t="shared" si="22"/>
        <v>10001.905999999988</v>
      </c>
      <c r="F90">
        <f>49319.22+148142.686-187460</f>
        <v>10001.905999999988</v>
      </c>
      <c r="G90">
        <v>0</v>
      </c>
      <c r="H90">
        <v>0</v>
      </c>
      <c r="I90">
        <v>0</v>
      </c>
      <c r="J90" s="107"/>
      <c r="K90" s="107"/>
    </row>
    <row r="91" spans="1:11" x14ac:dyDescent="0.25">
      <c r="A91" s="107"/>
      <c r="B91" s="107"/>
      <c r="C91" s="107"/>
      <c r="D91">
        <v>2023</v>
      </c>
      <c r="E91">
        <f t="shared" si="22"/>
        <v>0</v>
      </c>
      <c r="F91">
        <v>0</v>
      </c>
      <c r="G91">
        <v>0</v>
      </c>
      <c r="H91">
        <v>0</v>
      </c>
      <c r="I91">
        <v>0</v>
      </c>
      <c r="J91" s="107"/>
      <c r="K91" s="107"/>
    </row>
    <row r="92" spans="1:11" x14ac:dyDescent="0.25">
      <c r="A92" s="107"/>
      <c r="B92" s="107"/>
      <c r="C92" s="107"/>
      <c r="D92">
        <v>2024</v>
      </c>
      <c r="E92">
        <f t="shared" si="22"/>
        <v>0</v>
      </c>
      <c r="F92">
        <v>0</v>
      </c>
      <c r="G92">
        <v>0</v>
      </c>
      <c r="H92">
        <v>0</v>
      </c>
      <c r="I92">
        <v>0</v>
      </c>
      <c r="J92" s="107"/>
      <c r="K92" s="107"/>
    </row>
    <row r="93" spans="1:11" x14ac:dyDescent="0.25">
      <c r="A93" s="107"/>
      <c r="B93" s="107"/>
      <c r="C93" s="107"/>
      <c r="D93">
        <v>2025</v>
      </c>
      <c r="E93">
        <f t="shared" si="22"/>
        <v>0</v>
      </c>
      <c r="F93">
        <v>0</v>
      </c>
      <c r="G93">
        <v>0</v>
      </c>
      <c r="H93">
        <v>0</v>
      </c>
      <c r="I93">
        <v>0</v>
      </c>
      <c r="J93" s="107"/>
      <c r="K93" s="107"/>
    </row>
    <row r="94" spans="1:11" x14ac:dyDescent="0.25">
      <c r="A94" s="107" t="s">
        <v>1302</v>
      </c>
      <c r="B94" s="107" t="s">
        <v>1303</v>
      </c>
      <c r="C94" s="107" t="s">
        <v>19</v>
      </c>
      <c r="D94" t="s">
        <v>8</v>
      </c>
      <c r="E94">
        <f t="shared" si="22"/>
        <v>0</v>
      </c>
      <c r="F94">
        <f>F95+F96+F97+F98+F99</f>
        <v>0</v>
      </c>
      <c r="G94">
        <f>G95+G96+G97+G98+G99</f>
        <v>0</v>
      </c>
      <c r="H94">
        <f>H95+H96+H97+H98+H99</f>
        <v>0</v>
      </c>
      <c r="I94">
        <f>I95+I96+I97+I98+I99</f>
        <v>0</v>
      </c>
      <c r="J94" s="107" t="s">
        <v>1304</v>
      </c>
      <c r="K94" s="107" t="s">
        <v>1286</v>
      </c>
    </row>
    <row r="95" spans="1:11" x14ac:dyDescent="0.25">
      <c r="A95" s="107"/>
      <c r="B95" s="107"/>
      <c r="C95" s="107"/>
      <c r="D95">
        <v>2021</v>
      </c>
      <c r="E95">
        <f t="shared" si="22"/>
        <v>0</v>
      </c>
      <c r="F95">
        <v>0</v>
      </c>
      <c r="G95">
        <v>0</v>
      </c>
      <c r="H95">
        <v>0</v>
      </c>
      <c r="I95">
        <v>0</v>
      </c>
      <c r="J95" s="107"/>
      <c r="K95" s="107"/>
    </row>
    <row r="96" spans="1:11" x14ac:dyDescent="0.25">
      <c r="A96" s="107"/>
      <c r="B96" s="107"/>
      <c r="C96" s="107"/>
      <c r="D96">
        <v>2022</v>
      </c>
      <c r="E96">
        <f t="shared" si="22"/>
        <v>0</v>
      </c>
      <c r="F96">
        <v>0</v>
      </c>
      <c r="G96">
        <v>0</v>
      </c>
      <c r="H96">
        <v>0</v>
      </c>
      <c r="I96">
        <v>0</v>
      </c>
      <c r="J96" s="107"/>
      <c r="K96" s="107"/>
    </row>
    <row r="97" spans="1:11" x14ac:dyDescent="0.25">
      <c r="A97" s="107"/>
      <c r="B97" s="107"/>
      <c r="C97" s="107"/>
      <c r="D97">
        <v>2023</v>
      </c>
      <c r="E97">
        <f t="shared" si="22"/>
        <v>0</v>
      </c>
      <c r="F97">
        <v>0</v>
      </c>
      <c r="G97">
        <v>0</v>
      </c>
      <c r="H97">
        <v>0</v>
      </c>
      <c r="I97">
        <v>0</v>
      </c>
      <c r="J97" s="107"/>
      <c r="K97" s="107"/>
    </row>
    <row r="98" spans="1:11" x14ac:dyDescent="0.25">
      <c r="A98" s="107"/>
      <c r="B98" s="107"/>
      <c r="C98" s="107"/>
      <c r="D98">
        <v>2024</v>
      </c>
      <c r="E98">
        <f t="shared" si="22"/>
        <v>0</v>
      </c>
      <c r="F98">
        <v>0</v>
      </c>
      <c r="G98">
        <v>0</v>
      </c>
      <c r="H98">
        <v>0</v>
      </c>
      <c r="I98">
        <v>0</v>
      </c>
      <c r="J98" s="107"/>
      <c r="K98" s="107"/>
    </row>
    <row r="99" spans="1:11" x14ac:dyDescent="0.25">
      <c r="A99" s="107"/>
      <c r="B99" s="107"/>
      <c r="C99" s="107"/>
      <c r="D99">
        <v>2025</v>
      </c>
      <c r="E99">
        <f t="shared" si="22"/>
        <v>0</v>
      </c>
      <c r="F99">
        <v>0</v>
      </c>
      <c r="G99">
        <v>0</v>
      </c>
      <c r="H99">
        <v>0</v>
      </c>
      <c r="I99">
        <v>0</v>
      </c>
      <c r="J99" s="107"/>
      <c r="K99" s="107"/>
    </row>
    <row r="100" spans="1:11" x14ac:dyDescent="0.25">
      <c r="A100" s="107" t="s">
        <v>1305</v>
      </c>
      <c r="B100" s="107" t="s">
        <v>1306</v>
      </c>
      <c r="C100" s="107">
        <v>2021</v>
      </c>
      <c r="D100" t="s">
        <v>8</v>
      </c>
      <c r="E100">
        <f t="shared" si="22"/>
        <v>0</v>
      </c>
      <c r="F100">
        <f>F101+F102+F103+F104+F105</f>
        <v>0</v>
      </c>
      <c r="G100">
        <f>G101+G102+G103+G104+G105</f>
        <v>0</v>
      </c>
      <c r="H100">
        <f>H101+H102+H103+H104+H105</f>
        <v>0</v>
      </c>
      <c r="I100">
        <f>I101+I102+I103+I104+I105</f>
        <v>0</v>
      </c>
      <c r="J100" s="107" t="s">
        <v>1307</v>
      </c>
      <c r="K100" s="107" t="s">
        <v>1282</v>
      </c>
    </row>
    <row r="101" spans="1:11" x14ac:dyDescent="0.25">
      <c r="A101" s="107"/>
      <c r="B101" s="107"/>
      <c r="C101" s="107"/>
      <c r="D101">
        <v>2021</v>
      </c>
      <c r="E101">
        <f t="shared" si="22"/>
        <v>0</v>
      </c>
      <c r="F101">
        <v>0</v>
      </c>
      <c r="G101">
        <v>0</v>
      </c>
      <c r="H101">
        <v>0</v>
      </c>
      <c r="I101">
        <v>0</v>
      </c>
      <c r="J101" s="107"/>
      <c r="K101" s="107"/>
    </row>
    <row r="102" spans="1:11" x14ac:dyDescent="0.25">
      <c r="A102" s="107"/>
      <c r="B102" s="107"/>
      <c r="C102" s="107"/>
      <c r="D102">
        <v>2022</v>
      </c>
      <c r="E102">
        <f t="shared" si="22"/>
        <v>0</v>
      </c>
      <c r="F102">
        <v>0</v>
      </c>
      <c r="G102">
        <v>0</v>
      </c>
      <c r="H102">
        <v>0</v>
      </c>
      <c r="I102">
        <v>0</v>
      </c>
      <c r="J102" s="107"/>
      <c r="K102" s="107"/>
    </row>
    <row r="103" spans="1:11" x14ac:dyDescent="0.25">
      <c r="A103" s="107"/>
      <c r="B103" s="107"/>
      <c r="C103" s="107"/>
      <c r="D103">
        <v>2023</v>
      </c>
      <c r="E103">
        <f t="shared" si="22"/>
        <v>0</v>
      </c>
      <c r="F103">
        <v>0</v>
      </c>
      <c r="G103">
        <v>0</v>
      </c>
      <c r="H103">
        <v>0</v>
      </c>
      <c r="I103">
        <v>0</v>
      </c>
      <c r="J103" s="107"/>
      <c r="K103" s="107"/>
    </row>
    <row r="104" spans="1:11" x14ac:dyDescent="0.25">
      <c r="A104" s="107"/>
      <c r="B104" s="107"/>
      <c r="C104" s="107"/>
      <c r="D104">
        <v>2024</v>
      </c>
      <c r="E104">
        <f t="shared" si="22"/>
        <v>0</v>
      </c>
      <c r="F104">
        <v>0</v>
      </c>
      <c r="G104">
        <v>0</v>
      </c>
      <c r="H104">
        <v>0</v>
      </c>
      <c r="I104">
        <v>0</v>
      </c>
      <c r="J104" s="107"/>
      <c r="K104" s="107"/>
    </row>
    <row r="105" spans="1:11" x14ac:dyDescent="0.25">
      <c r="A105" s="107"/>
      <c r="B105" s="107"/>
      <c r="C105" s="107"/>
      <c r="D105">
        <v>2025</v>
      </c>
      <c r="E105">
        <f t="shared" si="22"/>
        <v>0</v>
      </c>
      <c r="F105">
        <v>0</v>
      </c>
      <c r="G105">
        <v>0</v>
      </c>
      <c r="H105">
        <v>0</v>
      </c>
      <c r="I105">
        <v>0</v>
      </c>
      <c r="J105" s="107"/>
      <c r="K105" s="107"/>
    </row>
    <row r="106" spans="1:11" x14ac:dyDescent="0.25">
      <c r="A106" s="107" t="s">
        <v>1308</v>
      </c>
      <c r="B106" s="107" t="s">
        <v>1309</v>
      </c>
      <c r="C106" s="107">
        <v>2021</v>
      </c>
      <c r="D106" t="s">
        <v>8</v>
      </c>
      <c r="E106">
        <f t="shared" si="22"/>
        <v>14487.1</v>
      </c>
      <c r="F106">
        <f>F107+F108</f>
        <v>14487.1</v>
      </c>
      <c r="G106">
        <v>0</v>
      </c>
      <c r="H106">
        <v>0</v>
      </c>
      <c r="I106">
        <v>0</v>
      </c>
      <c r="J106" s="107" t="s">
        <v>1310</v>
      </c>
      <c r="K106" s="107" t="s">
        <v>1311</v>
      </c>
    </row>
    <row r="107" spans="1:11" x14ac:dyDescent="0.25">
      <c r="A107" s="107"/>
      <c r="B107" s="107"/>
      <c r="C107" s="107"/>
      <c r="D107">
        <v>2021</v>
      </c>
      <c r="E107">
        <f t="shared" si="22"/>
        <v>14487.1</v>
      </c>
      <c r="F107">
        <v>14487.1</v>
      </c>
      <c r="J107" s="107"/>
      <c r="K107" s="107"/>
    </row>
    <row r="108" spans="1:11" x14ac:dyDescent="0.25">
      <c r="A108" s="107"/>
      <c r="B108" s="107"/>
      <c r="C108" s="107"/>
      <c r="D108">
        <v>2022</v>
      </c>
      <c r="E108">
        <f t="shared" si="22"/>
        <v>0</v>
      </c>
      <c r="F108">
        <v>0</v>
      </c>
      <c r="G108">
        <v>0</v>
      </c>
      <c r="H108">
        <v>0</v>
      </c>
      <c r="I108">
        <v>0</v>
      </c>
      <c r="J108" s="107"/>
      <c r="K108" s="107"/>
    </row>
    <row r="109" spans="1:11" x14ac:dyDescent="0.25">
      <c r="A109" s="107"/>
      <c r="B109" s="107"/>
      <c r="C109" s="107"/>
      <c r="D109">
        <v>2023</v>
      </c>
      <c r="E109">
        <f t="shared" si="22"/>
        <v>0</v>
      </c>
      <c r="F109">
        <v>0</v>
      </c>
      <c r="G109">
        <v>0</v>
      </c>
      <c r="H109">
        <v>0</v>
      </c>
      <c r="I109">
        <v>0</v>
      </c>
      <c r="J109" s="107"/>
      <c r="K109" s="107"/>
    </row>
    <row r="110" spans="1:11" x14ac:dyDescent="0.25">
      <c r="A110" s="107"/>
      <c r="B110" s="107"/>
      <c r="C110" s="107"/>
      <c r="D110">
        <v>2024</v>
      </c>
      <c r="E110">
        <f t="shared" si="22"/>
        <v>0</v>
      </c>
      <c r="F110">
        <v>0</v>
      </c>
      <c r="G110">
        <v>0</v>
      </c>
      <c r="H110">
        <v>0</v>
      </c>
      <c r="I110">
        <v>0</v>
      </c>
      <c r="J110" s="107"/>
      <c r="K110" s="107"/>
    </row>
    <row r="111" spans="1:11" x14ac:dyDescent="0.25">
      <c r="A111" s="107"/>
      <c r="B111" s="107"/>
      <c r="C111" s="107"/>
      <c r="D111">
        <v>2025</v>
      </c>
      <c r="E111">
        <f t="shared" si="22"/>
        <v>0</v>
      </c>
      <c r="F111">
        <v>0</v>
      </c>
      <c r="G111">
        <v>0</v>
      </c>
      <c r="H111">
        <v>0</v>
      </c>
      <c r="I111">
        <v>0</v>
      </c>
      <c r="J111" s="107"/>
      <c r="K111" s="107"/>
    </row>
    <row r="112" spans="1:11" x14ac:dyDescent="0.25">
      <c r="A112" s="107" t="s">
        <v>1312</v>
      </c>
      <c r="B112" s="107" t="s">
        <v>1313</v>
      </c>
      <c r="C112" s="107" t="s">
        <v>41</v>
      </c>
      <c r="D112" t="s">
        <v>8</v>
      </c>
      <c r="E112">
        <f t="shared" si="22"/>
        <v>16579.72</v>
      </c>
      <c r="F112">
        <f>F113+F114+F115+F116+F117</f>
        <v>16579.72</v>
      </c>
      <c r="G112">
        <f>G113+G114+G115+G116+G117</f>
        <v>0</v>
      </c>
      <c r="H112">
        <f>H113+H114+H115+H116+H117</f>
        <v>0</v>
      </c>
      <c r="I112">
        <f>I113+I114+I115+I116+I117</f>
        <v>0</v>
      </c>
      <c r="J112" s="107" t="s">
        <v>1314</v>
      </c>
      <c r="K112" s="107" t="s">
        <v>748</v>
      </c>
    </row>
    <row r="113" spans="1:11" x14ac:dyDescent="0.25">
      <c r="A113" s="107"/>
      <c r="B113" s="107"/>
      <c r="C113" s="107"/>
      <c r="D113">
        <v>2021</v>
      </c>
      <c r="E113">
        <f t="shared" si="22"/>
        <v>0</v>
      </c>
      <c r="F113">
        <v>0</v>
      </c>
      <c r="G113">
        <v>0</v>
      </c>
      <c r="H113">
        <v>0</v>
      </c>
      <c r="I113">
        <v>0</v>
      </c>
      <c r="J113" s="107"/>
      <c r="K113" s="107"/>
    </row>
    <row r="114" spans="1:11" x14ac:dyDescent="0.25">
      <c r="A114" s="107"/>
      <c r="B114" s="107"/>
      <c r="C114" s="107"/>
      <c r="D114">
        <v>2022</v>
      </c>
      <c r="E114">
        <f t="shared" si="22"/>
        <v>4054.42</v>
      </c>
      <c r="F114">
        <v>4054.42</v>
      </c>
      <c r="G114">
        <v>0</v>
      </c>
      <c r="H114">
        <v>0</v>
      </c>
      <c r="I114">
        <v>0</v>
      </c>
      <c r="J114" s="107"/>
      <c r="K114" s="107"/>
    </row>
    <row r="115" spans="1:11" x14ac:dyDescent="0.25">
      <c r="A115" s="107"/>
      <c r="B115" s="107"/>
      <c r="C115" s="107"/>
      <c r="D115">
        <v>2023</v>
      </c>
      <c r="E115">
        <f t="shared" si="22"/>
        <v>4175.1000000000004</v>
      </c>
      <c r="F115">
        <v>4175.1000000000004</v>
      </c>
      <c r="G115">
        <v>0</v>
      </c>
      <c r="H115">
        <v>0</v>
      </c>
      <c r="I115">
        <v>0</v>
      </c>
      <c r="J115" s="107"/>
      <c r="K115" s="107"/>
    </row>
    <row r="116" spans="1:11" x14ac:dyDescent="0.25">
      <c r="A116" s="107"/>
      <c r="B116" s="107"/>
      <c r="C116" s="107"/>
      <c r="D116">
        <v>2024</v>
      </c>
      <c r="E116">
        <f t="shared" ref="E116:E123" si="23">F116+G116+H116+I116</f>
        <v>4175.1000000000004</v>
      </c>
      <c r="F116">
        <v>4175.1000000000004</v>
      </c>
      <c r="G116">
        <v>0</v>
      </c>
      <c r="H116">
        <v>0</v>
      </c>
      <c r="I116">
        <v>0</v>
      </c>
      <c r="J116" s="107"/>
      <c r="K116" s="107"/>
    </row>
    <row r="117" spans="1:11" x14ac:dyDescent="0.25">
      <c r="A117" s="107"/>
      <c r="B117" s="107"/>
      <c r="C117" s="107"/>
      <c r="D117">
        <v>2025</v>
      </c>
      <c r="E117">
        <f t="shared" si="23"/>
        <v>4175.1000000000004</v>
      </c>
      <c r="F117">
        <v>4175.1000000000004</v>
      </c>
      <c r="G117">
        <v>0</v>
      </c>
      <c r="H117">
        <v>0</v>
      </c>
      <c r="I117">
        <v>0</v>
      </c>
      <c r="J117" s="107"/>
      <c r="K117" s="107"/>
    </row>
    <row r="118" spans="1:11" x14ac:dyDescent="0.25">
      <c r="A118" s="107" t="s">
        <v>1315</v>
      </c>
      <c r="B118" s="107" t="s">
        <v>1316</v>
      </c>
      <c r="C118" s="107" t="s">
        <v>41</v>
      </c>
      <c r="D118" t="s">
        <v>8</v>
      </c>
      <c r="E118">
        <f t="shared" si="23"/>
        <v>9226.1</v>
      </c>
      <c r="F118">
        <f>F119+F120+F121+F122+F123</f>
        <v>9226.1</v>
      </c>
      <c r="G118">
        <f>G119+G120+G121+G122+G123</f>
        <v>0</v>
      </c>
      <c r="H118">
        <f>H119+H120+H121+H122+H123</f>
        <v>0</v>
      </c>
      <c r="I118">
        <f>I119+I120+I121+I122+I123</f>
        <v>0</v>
      </c>
      <c r="J118" s="107" t="s">
        <v>1317</v>
      </c>
      <c r="K118" s="107" t="s">
        <v>748</v>
      </c>
    </row>
    <row r="119" spans="1:11" x14ac:dyDescent="0.25">
      <c r="A119" s="107"/>
      <c r="B119" s="107"/>
      <c r="C119" s="107"/>
      <c r="D119">
        <v>2021</v>
      </c>
      <c r="E119">
        <f t="shared" si="23"/>
        <v>0</v>
      </c>
      <c r="F119">
        <v>0</v>
      </c>
      <c r="G119">
        <v>0</v>
      </c>
      <c r="H119">
        <v>0</v>
      </c>
      <c r="I119">
        <v>0</v>
      </c>
      <c r="J119" s="107"/>
      <c r="K119" s="107"/>
    </row>
    <row r="120" spans="1:11" x14ac:dyDescent="0.25">
      <c r="A120" s="107"/>
      <c r="B120" s="107"/>
      <c r="C120" s="107"/>
      <c r="D120">
        <v>2022</v>
      </c>
      <c r="E120">
        <f t="shared" si="23"/>
        <v>9226.1</v>
      </c>
      <c r="F120">
        <f>20000-10773.9</f>
        <v>9226.1</v>
      </c>
      <c r="G120">
        <v>0</v>
      </c>
      <c r="H120">
        <v>0</v>
      </c>
      <c r="I120">
        <v>0</v>
      </c>
      <c r="J120" s="107"/>
      <c r="K120" s="107"/>
    </row>
    <row r="121" spans="1:11" x14ac:dyDescent="0.25">
      <c r="A121" s="107"/>
      <c r="B121" s="107"/>
      <c r="C121" s="107"/>
      <c r="D121">
        <v>2023</v>
      </c>
      <c r="E121">
        <f t="shared" si="23"/>
        <v>0</v>
      </c>
      <c r="F121">
        <v>0</v>
      </c>
      <c r="G121">
        <v>0</v>
      </c>
      <c r="H121">
        <v>0</v>
      </c>
      <c r="I121">
        <v>0</v>
      </c>
      <c r="J121" s="107"/>
      <c r="K121" s="107"/>
    </row>
    <row r="122" spans="1:11" x14ac:dyDescent="0.25">
      <c r="A122" s="107"/>
      <c r="B122" s="107"/>
      <c r="C122" s="107"/>
      <c r="D122">
        <v>2024</v>
      </c>
      <c r="E122">
        <f t="shared" si="23"/>
        <v>0</v>
      </c>
      <c r="F122">
        <v>0</v>
      </c>
      <c r="G122">
        <v>0</v>
      </c>
      <c r="H122">
        <v>0</v>
      </c>
      <c r="I122">
        <v>0</v>
      </c>
      <c r="J122" s="107"/>
      <c r="K122" s="107"/>
    </row>
    <row r="123" spans="1:11" x14ac:dyDescent="0.25">
      <c r="A123" s="107"/>
      <c r="B123" s="107"/>
      <c r="C123" s="107"/>
      <c r="D123">
        <v>2025</v>
      </c>
      <c r="E123">
        <f t="shared" si="23"/>
        <v>0</v>
      </c>
      <c r="F123">
        <v>0</v>
      </c>
      <c r="G123">
        <v>0</v>
      </c>
      <c r="H123">
        <v>0</v>
      </c>
      <c r="I123">
        <v>0</v>
      </c>
      <c r="J123" s="107"/>
      <c r="K123" s="107"/>
    </row>
    <row r="124" spans="1:11" x14ac:dyDescent="0.25">
      <c r="A124" s="107" t="s">
        <v>1318</v>
      </c>
      <c r="B124" s="107" t="s">
        <v>1319</v>
      </c>
      <c r="C124" s="107" t="s">
        <v>1169</v>
      </c>
      <c r="D124" t="s">
        <v>8</v>
      </c>
      <c r="E124">
        <f>E125+E126+E127+E128+E129</f>
        <v>627262.67549000005</v>
      </c>
      <c r="F124">
        <f>F125+F126+F127+F128+F129</f>
        <v>627262.67549000005</v>
      </c>
      <c r="G124">
        <f>G125+G126+G127+G128+G129</f>
        <v>0</v>
      </c>
      <c r="H124">
        <f>H125+H126+H127+H128+H129</f>
        <v>0</v>
      </c>
      <c r="I124">
        <f>I125+I126+I127+I128+I129</f>
        <v>0</v>
      </c>
      <c r="J124" s="107" t="s">
        <v>1320</v>
      </c>
      <c r="K124" s="107" t="s">
        <v>1311</v>
      </c>
    </row>
    <row r="125" spans="1:11" x14ac:dyDescent="0.25">
      <c r="A125" s="107"/>
      <c r="B125" s="107"/>
      <c r="C125" s="107"/>
      <c r="D125">
        <v>2021</v>
      </c>
      <c r="E125">
        <v>0</v>
      </c>
      <c r="F125">
        <v>0</v>
      </c>
      <c r="G125">
        <v>0</v>
      </c>
      <c r="H125">
        <v>0</v>
      </c>
      <c r="I125">
        <v>0</v>
      </c>
      <c r="J125" s="107"/>
      <c r="K125" s="107"/>
    </row>
    <row r="126" spans="1:11" x14ac:dyDescent="0.25">
      <c r="A126" s="107"/>
      <c r="B126" s="107"/>
      <c r="C126" s="107"/>
      <c r="D126">
        <v>2022</v>
      </c>
      <c r="E126">
        <f t="shared" ref="E126:E129" si="24">F126+G126+H126+I126</f>
        <v>255319.97649</v>
      </c>
      <c r="F126">
        <f>254804.6+(515376.49/1000)</f>
        <v>255319.97649</v>
      </c>
      <c r="G126">
        <v>0</v>
      </c>
      <c r="H126">
        <v>0</v>
      </c>
      <c r="I126">
        <v>0</v>
      </c>
      <c r="J126" s="107"/>
      <c r="K126" s="107"/>
    </row>
    <row r="127" spans="1:11" x14ac:dyDescent="0.25">
      <c r="A127" s="107"/>
      <c r="B127" s="107"/>
      <c r="C127" s="107"/>
      <c r="D127">
        <v>2023</v>
      </c>
      <c r="E127">
        <f t="shared" si="24"/>
        <v>371942.69900000002</v>
      </c>
      <c r="F127">
        <v>371942.69900000002</v>
      </c>
      <c r="G127">
        <v>0</v>
      </c>
      <c r="H127">
        <v>0</v>
      </c>
      <c r="I127">
        <v>0</v>
      </c>
      <c r="J127" s="107"/>
      <c r="K127" s="107"/>
    </row>
    <row r="128" spans="1:11" x14ac:dyDescent="0.25">
      <c r="A128" s="107"/>
      <c r="B128" s="107"/>
      <c r="C128" s="107"/>
      <c r="D128">
        <v>2024</v>
      </c>
      <c r="E128">
        <v>0</v>
      </c>
      <c r="F128">
        <v>0</v>
      </c>
      <c r="G128">
        <v>0</v>
      </c>
      <c r="H128">
        <v>0</v>
      </c>
      <c r="I128">
        <v>0</v>
      </c>
      <c r="J128" s="107"/>
      <c r="K128" s="107"/>
    </row>
    <row r="129" spans="1:11" x14ac:dyDescent="0.25">
      <c r="A129" s="107"/>
      <c r="B129" s="107"/>
      <c r="C129" s="107"/>
      <c r="D129">
        <v>2025</v>
      </c>
      <c r="E129">
        <f t="shared" si="24"/>
        <v>0</v>
      </c>
      <c r="F129">
        <v>0</v>
      </c>
      <c r="G129">
        <v>0</v>
      </c>
      <c r="H129">
        <v>0</v>
      </c>
      <c r="I129">
        <v>0</v>
      </c>
      <c r="J129" s="107"/>
      <c r="K129" s="107"/>
    </row>
    <row r="130" spans="1:11" x14ac:dyDescent="0.25">
      <c r="A130" s="107" t="s">
        <v>1321</v>
      </c>
      <c r="B130" s="107" t="s">
        <v>1322</v>
      </c>
      <c r="C130" s="107" t="s">
        <v>1169</v>
      </c>
      <c r="D130" t="s">
        <v>8</v>
      </c>
      <c r="E130">
        <f>E131+E132+E133+E134+E135</f>
        <v>243275.2</v>
      </c>
      <c r="F130">
        <f>F131+F132+F133+F134+F135</f>
        <v>243275.2</v>
      </c>
      <c r="G130">
        <f>G131+G132+G133+G134+G135</f>
        <v>0</v>
      </c>
      <c r="H130">
        <f>H131+H132+H133+H134+H135</f>
        <v>0</v>
      </c>
      <c r="I130">
        <f>I131+I132+I133+I134+I135</f>
        <v>0</v>
      </c>
      <c r="J130" s="107" t="s">
        <v>1323</v>
      </c>
      <c r="K130" s="107" t="s">
        <v>1286</v>
      </c>
    </row>
    <row r="131" spans="1:11" x14ac:dyDescent="0.25">
      <c r="A131" s="107"/>
      <c r="B131" s="107"/>
      <c r="C131" s="107"/>
      <c r="D131">
        <v>2021</v>
      </c>
      <c r="E131">
        <f t="shared" ref="E131:E135" si="25">F131+G131+H131+I131</f>
        <v>0</v>
      </c>
      <c r="F131">
        <v>0</v>
      </c>
      <c r="G131">
        <v>0</v>
      </c>
      <c r="H131">
        <v>0</v>
      </c>
      <c r="I131">
        <v>0</v>
      </c>
      <c r="J131" s="107"/>
      <c r="K131" s="107"/>
    </row>
    <row r="132" spans="1:11" x14ac:dyDescent="0.25">
      <c r="A132" s="107"/>
      <c r="B132" s="107"/>
      <c r="C132" s="107"/>
      <c r="D132">
        <v>2022</v>
      </c>
      <c r="E132">
        <f t="shared" si="25"/>
        <v>206783.9</v>
      </c>
      <c r="F132">
        <v>206783.9</v>
      </c>
      <c r="G132">
        <v>0</v>
      </c>
      <c r="H132">
        <v>0</v>
      </c>
      <c r="I132">
        <v>0</v>
      </c>
      <c r="J132" s="107"/>
      <c r="K132" s="107"/>
    </row>
    <row r="133" spans="1:11" x14ac:dyDescent="0.25">
      <c r="A133" s="107"/>
      <c r="B133" s="107"/>
      <c r="C133" s="107"/>
      <c r="D133">
        <v>2023</v>
      </c>
      <c r="E133">
        <f t="shared" si="25"/>
        <v>36491.300000000003</v>
      </c>
      <c r="F133">
        <v>36491.300000000003</v>
      </c>
      <c r="G133">
        <v>0</v>
      </c>
      <c r="H133">
        <v>0</v>
      </c>
      <c r="I133">
        <v>0</v>
      </c>
      <c r="J133" s="107"/>
      <c r="K133" s="107"/>
    </row>
    <row r="134" spans="1:11" x14ac:dyDescent="0.25">
      <c r="A134" s="107"/>
      <c r="B134" s="107"/>
      <c r="C134" s="107"/>
      <c r="D134">
        <v>2024</v>
      </c>
      <c r="E134">
        <v>0</v>
      </c>
      <c r="F134">
        <v>0</v>
      </c>
      <c r="G134">
        <v>0</v>
      </c>
      <c r="H134">
        <v>0</v>
      </c>
      <c r="I134">
        <v>0</v>
      </c>
      <c r="J134" s="107"/>
      <c r="K134" s="107"/>
    </row>
    <row r="135" spans="1:11" x14ac:dyDescent="0.25">
      <c r="A135" s="107"/>
      <c r="B135" s="107"/>
      <c r="C135" s="107"/>
      <c r="D135">
        <v>2025</v>
      </c>
      <c r="E135">
        <f t="shared" si="25"/>
        <v>0</v>
      </c>
      <c r="F135">
        <v>0</v>
      </c>
      <c r="G135">
        <v>0</v>
      </c>
      <c r="H135">
        <v>0</v>
      </c>
      <c r="I135">
        <v>0</v>
      </c>
      <c r="J135" s="107"/>
      <c r="K135" s="107"/>
    </row>
    <row r="136" spans="1:11" x14ac:dyDescent="0.25">
      <c r="A136" s="107" t="s">
        <v>1324</v>
      </c>
      <c r="B136" s="107" t="s">
        <v>1325</v>
      </c>
      <c r="C136" s="107">
        <v>2022</v>
      </c>
      <c r="D136" t="s">
        <v>8</v>
      </c>
      <c r="E136">
        <f>E137+E138+E139+E140+E141</f>
        <v>11504.569999999998</v>
      </c>
      <c r="F136">
        <f>F137+F138+F139+F140+F141</f>
        <v>10727.883999999998</v>
      </c>
      <c r="G136">
        <f>G137+G138+G139+G140+G141</f>
        <v>0</v>
      </c>
      <c r="H136">
        <f>H137+H138+H139+H140+H141</f>
        <v>776.68600000000004</v>
      </c>
      <c r="I136">
        <f>I137+I138+I139+I140+I141</f>
        <v>0</v>
      </c>
      <c r="J136" s="107" t="s">
        <v>1326</v>
      </c>
      <c r="K136" s="107" t="s">
        <v>1265</v>
      </c>
    </row>
    <row r="137" spans="1:11" x14ac:dyDescent="0.25">
      <c r="A137" s="107"/>
      <c r="B137" s="107"/>
      <c r="C137" s="107"/>
      <c r="D137">
        <v>2021</v>
      </c>
      <c r="E137">
        <f t="shared" ref="E137:E141" si="26">F137+G137+H137+I137</f>
        <v>0</v>
      </c>
      <c r="F137">
        <v>0</v>
      </c>
      <c r="G137">
        <v>0</v>
      </c>
      <c r="H137">
        <v>0</v>
      </c>
      <c r="I137">
        <v>0</v>
      </c>
      <c r="J137" s="107"/>
      <c r="K137" s="107"/>
    </row>
    <row r="138" spans="1:11" x14ac:dyDescent="0.25">
      <c r="A138" s="107"/>
      <c r="B138" s="107"/>
      <c r="C138" s="107"/>
      <c r="D138">
        <v>2022</v>
      </c>
      <c r="E138">
        <f t="shared" si="26"/>
        <v>11504.569999999998</v>
      </c>
      <c r="F138">
        <f>49009524/1000-38281.64</f>
        <v>10727.883999999998</v>
      </c>
      <c r="G138">
        <v>0</v>
      </c>
      <c r="H138">
        <v>776.68600000000004</v>
      </c>
      <c r="I138">
        <v>0</v>
      </c>
      <c r="J138" s="107"/>
      <c r="K138" s="107"/>
    </row>
    <row r="139" spans="1:11" x14ac:dyDescent="0.25">
      <c r="A139" s="107"/>
      <c r="B139" s="107"/>
      <c r="C139" s="107"/>
      <c r="D139">
        <v>2023</v>
      </c>
      <c r="E139">
        <f t="shared" si="26"/>
        <v>0</v>
      </c>
      <c r="F139">
        <v>0</v>
      </c>
      <c r="G139">
        <v>0</v>
      </c>
      <c r="H139">
        <v>0</v>
      </c>
      <c r="I139">
        <v>0</v>
      </c>
      <c r="J139" s="107"/>
      <c r="K139" s="107"/>
    </row>
    <row r="140" spans="1:11" x14ac:dyDescent="0.25">
      <c r="A140" s="107"/>
      <c r="B140" s="107"/>
      <c r="C140" s="107"/>
      <c r="D140">
        <v>2024</v>
      </c>
      <c r="E140">
        <v>0</v>
      </c>
      <c r="F140">
        <v>0</v>
      </c>
      <c r="G140">
        <v>0</v>
      </c>
      <c r="H140">
        <v>0</v>
      </c>
      <c r="I140">
        <v>0</v>
      </c>
      <c r="J140" s="107"/>
      <c r="K140" s="107"/>
    </row>
    <row r="141" spans="1:11" x14ac:dyDescent="0.25">
      <c r="A141" s="107"/>
      <c r="B141" s="107"/>
      <c r="C141" s="107"/>
      <c r="D141">
        <v>2025</v>
      </c>
      <c r="E141">
        <f t="shared" si="26"/>
        <v>0</v>
      </c>
      <c r="F141">
        <v>0</v>
      </c>
      <c r="G141">
        <v>0</v>
      </c>
      <c r="H141">
        <v>0</v>
      </c>
      <c r="I141">
        <v>0</v>
      </c>
      <c r="J141" s="107"/>
      <c r="K141" s="107"/>
    </row>
    <row r="142" spans="1:11" x14ac:dyDescent="0.25">
      <c r="A142" s="107" t="s">
        <v>1327</v>
      </c>
      <c r="B142" s="107" t="s">
        <v>1328</v>
      </c>
      <c r="C142" s="107">
        <v>2022</v>
      </c>
      <c r="D142" t="s">
        <v>8</v>
      </c>
      <c r="E142">
        <f>E143+E144+E145+E146+E147</f>
        <v>22667.288369999998</v>
      </c>
      <c r="F142">
        <f>F143+F144+F145+F146+F147</f>
        <v>22667.288369999998</v>
      </c>
      <c r="G142">
        <f>G143+G144+G145+G146+G147</f>
        <v>0</v>
      </c>
      <c r="H142">
        <f>H143+H144+H145+H146+H147</f>
        <v>0</v>
      </c>
      <c r="I142">
        <f>I143+I144+I145+I146+I147</f>
        <v>0</v>
      </c>
      <c r="J142" s="107" t="s">
        <v>1329</v>
      </c>
      <c r="K142" s="107" t="s">
        <v>1286</v>
      </c>
    </row>
    <row r="143" spans="1:11" x14ac:dyDescent="0.25">
      <c r="A143" s="107"/>
      <c r="B143" s="107"/>
      <c r="C143" s="107"/>
      <c r="D143">
        <v>2021</v>
      </c>
      <c r="E143">
        <f t="shared" ref="E143:E147" si="27">F143+G143+H143+I143</f>
        <v>0</v>
      </c>
      <c r="F143">
        <v>0</v>
      </c>
      <c r="G143">
        <v>0</v>
      </c>
      <c r="H143">
        <v>0</v>
      </c>
      <c r="I143">
        <v>0</v>
      </c>
      <c r="J143" s="107"/>
      <c r="K143" s="107"/>
    </row>
    <row r="144" spans="1:11" x14ac:dyDescent="0.25">
      <c r="A144" s="107"/>
      <c r="B144" s="107"/>
      <c r="C144" s="107"/>
      <c r="D144">
        <v>2022</v>
      </c>
      <c r="E144">
        <f t="shared" si="27"/>
        <v>22667.288369999998</v>
      </c>
      <c r="F144">
        <f>(16167288.37/1000)+6500</f>
        <v>22667.288369999998</v>
      </c>
      <c r="G144">
        <v>0</v>
      </c>
      <c r="H144">
        <v>0</v>
      </c>
      <c r="I144">
        <v>0</v>
      </c>
      <c r="J144" s="107"/>
      <c r="K144" s="107"/>
    </row>
    <row r="145" spans="1:11" x14ac:dyDescent="0.25">
      <c r="A145" s="107"/>
      <c r="B145" s="107"/>
      <c r="C145" s="107"/>
      <c r="D145">
        <v>2023</v>
      </c>
      <c r="E145">
        <f t="shared" si="27"/>
        <v>0</v>
      </c>
      <c r="F145">
        <v>0</v>
      </c>
      <c r="G145">
        <v>0</v>
      </c>
      <c r="H145">
        <v>0</v>
      </c>
      <c r="I145">
        <v>0</v>
      </c>
      <c r="J145" s="107"/>
      <c r="K145" s="107"/>
    </row>
    <row r="146" spans="1:11" x14ac:dyDescent="0.25">
      <c r="A146" s="107"/>
      <c r="B146" s="107"/>
      <c r="C146" s="107"/>
      <c r="D146">
        <v>2024</v>
      </c>
      <c r="E146">
        <v>0</v>
      </c>
      <c r="F146">
        <v>0</v>
      </c>
      <c r="G146">
        <v>0</v>
      </c>
      <c r="H146">
        <v>0</v>
      </c>
      <c r="I146">
        <v>0</v>
      </c>
      <c r="J146" s="107"/>
      <c r="K146" s="107"/>
    </row>
    <row r="147" spans="1:11" x14ac:dyDescent="0.25">
      <c r="A147" s="107"/>
      <c r="B147" s="107"/>
      <c r="C147" s="107"/>
      <c r="D147">
        <v>2025</v>
      </c>
      <c r="E147">
        <f t="shared" si="27"/>
        <v>0</v>
      </c>
      <c r="F147">
        <v>0</v>
      </c>
      <c r="G147">
        <v>0</v>
      </c>
      <c r="H147">
        <v>0</v>
      </c>
      <c r="I147">
        <v>0</v>
      </c>
      <c r="J147" s="107"/>
      <c r="K147" s="107"/>
    </row>
    <row r="148" spans="1:11" x14ac:dyDescent="0.25">
      <c r="A148" s="107" t="s">
        <v>1330</v>
      </c>
      <c r="B148" s="107" t="s">
        <v>1331</v>
      </c>
      <c r="C148" s="107" t="s">
        <v>1332</v>
      </c>
      <c r="D148" t="s">
        <v>8</v>
      </c>
      <c r="E148">
        <f>E149+E150+E151+E152+E153</f>
        <v>783021.4</v>
      </c>
      <c r="F148">
        <f>F149+F150+F151+F152+F153</f>
        <v>0</v>
      </c>
      <c r="G148">
        <f>G149+G150+G151+G152+G153</f>
        <v>783021.4</v>
      </c>
      <c r="H148">
        <f>H149+H150+H151+H152+H153</f>
        <v>0</v>
      </c>
      <c r="I148">
        <f>I149+I150+I151+I152+I153</f>
        <v>0</v>
      </c>
      <c r="J148" s="107" t="s">
        <v>1333</v>
      </c>
      <c r="K148" s="107" t="s">
        <v>1286</v>
      </c>
    </row>
    <row r="149" spans="1:11" x14ac:dyDescent="0.25">
      <c r="A149" s="107"/>
      <c r="B149" s="107"/>
      <c r="C149" s="107"/>
      <c r="D149">
        <v>2021</v>
      </c>
      <c r="E149">
        <f t="shared" ref="E149:E153" si="28">F149+G149+H149+I149</f>
        <v>0</v>
      </c>
      <c r="F149">
        <v>0</v>
      </c>
      <c r="G149">
        <v>0</v>
      </c>
      <c r="H149">
        <v>0</v>
      </c>
      <c r="I149">
        <v>0</v>
      </c>
      <c r="J149" s="107"/>
      <c r="K149" s="107"/>
    </row>
    <row r="150" spans="1:11" x14ac:dyDescent="0.25">
      <c r="A150" s="107"/>
      <c r="B150" s="107"/>
      <c r="C150" s="107"/>
      <c r="D150">
        <v>2022</v>
      </c>
      <c r="E150">
        <f t="shared" si="28"/>
        <v>783021.4</v>
      </c>
      <c r="F150">
        <v>0</v>
      </c>
      <c r="G150">
        <f>783021400/1000</f>
        <v>783021.4</v>
      </c>
      <c r="H150">
        <v>0</v>
      </c>
      <c r="I150">
        <v>0</v>
      </c>
      <c r="J150" s="107"/>
      <c r="K150" s="107"/>
    </row>
    <row r="151" spans="1:11" x14ac:dyDescent="0.25">
      <c r="A151" s="107"/>
      <c r="B151" s="107"/>
      <c r="C151" s="107"/>
      <c r="D151">
        <v>2023</v>
      </c>
      <c r="E151">
        <f t="shared" si="28"/>
        <v>0</v>
      </c>
      <c r="F151">
        <v>0</v>
      </c>
      <c r="G151">
        <v>0</v>
      </c>
      <c r="H151">
        <v>0</v>
      </c>
      <c r="I151">
        <v>0</v>
      </c>
      <c r="J151" s="107"/>
      <c r="K151" s="107"/>
    </row>
    <row r="152" spans="1:11" x14ac:dyDescent="0.25">
      <c r="A152" s="107"/>
      <c r="B152" s="107"/>
      <c r="C152" s="107"/>
      <c r="D152">
        <v>2024</v>
      </c>
      <c r="E152">
        <v>0</v>
      </c>
      <c r="F152">
        <v>0</v>
      </c>
      <c r="G152">
        <v>0</v>
      </c>
      <c r="H152">
        <v>0</v>
      </c>
      <c r="I152">
        <v>0</v>
      </c>
      <c r="J152" s="107"/>
      <c r="K152" s="107"/>
    </row>
    <row r="153" spans="1:11" x14ac:dyDescent="0.25">
      <c r="A153" s="107"/>
      <c r="B153" s="107"/>
      <c r="C153" s="107"/>
      <c r="D153">
        <v>2025</v>
      </c>
      <c r="E153">
        <f t="shared" si="28"/>
        <v>0</v>
      </c>
      <c r="F153">
        <v>0</v>
      </c>
      <c r="G153">
        <v>0</v>
      </c>
      <c r="H153">
        <v>0</v>
      </c>
      <c r="I153">
        <v>0</v>
      </c>
      <c r="J153" s="107"/>
      <c r="K153" s="107"/>
    </row>
    <row r="154" spans="1:11" x14ac:dyDescent="0.25">
      <c r="A154" s="107" t="s">
        <v>30</v>
      </c>
      <c r="B154" s="107" t="s">
        <v>1334</v>
      </c>
      <c r="C154" s="107" t="s">
        <v>14</v>
      </c>
      <c r="D154" t="s">
        <v>8</v>
      </c>
      <c r="E154">
        <f>E155+E156+E157+E158+E159</f>
        <v>22562.6</v>
      </c>
      <c r="F154">
        <f>F155+F156+F157+F158+F159</f>
        <v>22562.6</v>
      </c>
      <c r="G154">
        <f>G155+G156+G157+G158+G159</f>
        <v>0</v>
      </c>
      <c r="H154">
        <f>H155+H156+H157+H158+H159</f>
        <v>0</v>
      </c>
      <c r="I154">
        <f>I155+I156+I157+I158+I159</f>
        <v>0</v>
      </c>
      <c r="J154" s="107" t="s">
        <v>1335</v>
      </c>
      <c r="K154" s="107" t="s">
        <v>748</v>
      </c>
    </row>
    <row r="155" spans="1:11" x14ac:dyDescent="0.25">
      <c r="A155" s="107"/>
      <c r="B155" s="107"/>
      <c r="C155" s="107"/>
      <c r="D155">
        <v>2021</v>
      </c>
      <c r="E155">
        <f t="shared" ref="E155:E157" si="29">F155+G155+H155+I155</f>
        <v>2562.6</v>
      </c>
      <c r="F155">
        <f t="shared" ref="F155:H158" si="30">F161</f>
        <v>2562.6</v>
      </c>
      <c r="G155">
        <f>G161</f>
        <v>0</v>
      </c>
      <c r="H155">
        <f>H161</f>
        <v>0</v>
      </c>
      <c r="I155">
        <f>I161</f>
        <v>0</v>
      </c>
      <c r="J155" s="107"/>
      <c r="K155" s="107"/>
    </row>
    <row r="156" spans="1:11" x14ac:dyDescent="0.25">
      <c r="A156" s="107"/>
      <c r="B156" s="107"/>
      <c r="C156" s="107"/>
      <c r="D156">
        <v>2022</v>
      </c>
      <c r="E156">
        <f t="shared" si="29"/>
        <v>5000</v>
      </c>
      <c r="F156">
        <f t="shared" si="30"/>
        <v>5000</v>
      </c>
      <c r="G156">
        <f t="shared" si="30"/>
        <v>0</v>
      </c>
      <c r="H156">
        <f t="shared" si="30"/>
        <v>0</v>
      </c>
      <c r="I156">
        <f>I162+I168</f>
        <v>0</v>
      </c>
      <c r="J156" s="107"/>
      <c r="K156" s="107"/>
    </row>
    <row r="157" spans="1:11" x14ac:dyDescent="0.25">
      <c r="A157" s="107"/>
      <c r="B157" s="107"/>
      <c r="C157" s="107"/>
      <c r="D157">
        <v>2023</v>
      </c>
      <c r="E157">
        <f t="shared" si="29"/>
        <v>5000</v>
      </c>
      <c r="F157">
        <f t="shared" si="30"/>
        <v>5000</v>
      </c>
      <c r="G157">
        <f t="shared" si="30"/>
        <v>0</v>
      </c>
      <c r="H157">
        <f t="shared" si="30"/>
        <v>0</v>
      </c>
      <c r="I157">
        <f t="shared" ref="I157:I158" si="31">I163</f>
        <v>0</v>
      </c>
      <c r="J157" s="107"/>
      <c r="K157" s="107"/>
    </row>
    <row r="158" spans="1:11" x14ac:dyDescent="0.25">
      <c r="A158" s="107"/>
      <c r="B158" s="107"/>
      <c r="C158" s="107"/>
      <c r="D158">
        <v>2024</v>
      </c>
      <c r="E158">
        <f>F158</f>
        <v>5000</v>
      </c>
      <c r="F158">
        <f t="shared" si="30"/>
        <v>5000</v>
      </c>
      <c r="G158">
        <v>0</v>
      </c>
      <c r="H158">
        <v>0</v>
      </c>
      <c r="I158">
        <f t="shared" si="31"/>
        <v>0</v>
      </c>
      <c r="J158" s="107"/>
      <c r="K158" s="107"/>
    </row>
    <row r="159" spans="1:11" x14ac:dyDescent="0.25">
      <c r="A159" s="107"/>
      <c r="B159" s="107"/>
      <c r="C159" s="107"/>
      <c r="D159">
        <v>2025</v>
      </c>
      <c r="E159">
        <f>F159+G159+H159+I159</f>
        <v>5000</v>
      </c>
      <c r="F159">
        <f t="shared" ref="F159:H159" si="32">F165+F171</f>
        <v>5000</v>
      </c>
      <c r="G159">
        <f t="shared" si="32"/>
        <v>0</v>
      </c>
      <c r="H159">
        <f t="shared" si="32"/>
        <v>0</v>
      </c>
      <c r="I159">
        <f>I165+I171</f>
        <v>0</v>
      </c>
      <c r="J159" s="107"/>
      <c r="K159" s="107"/>
    </row>
    <row r="160" spans="1:11" x14ac:dyDescent="0.25">
      <c r="A160" s="107" t="s">
        <v>33</v>
      </c>
      <c r="B160" s="107" t="s">
        <v>1336</v>
      </c>
      <c r="C160" s="107" t="s">
        <v>14</v>
      </c>
      <c r="D160" t="s">
        <v>8</v>
      </c>
      <c r="E160">
        <f>E161+E162+E163+E164+E165</f>
        <v>22562.6</v>
      </c>
      <c r="F160">
        <f>SUM(F161:F165)</f>
        <v>22562.6</v>
      </c>
      <c r="G160">
        <v>0</v>
      </c>
      <c r="H160">
        <v>0</v>
      </c>
      <c r="I160">
        <f>SUM(I161:I165)</f>
        <v>0</v>
      </c>
      <c r="J160" s="107" t="s">
        <v>1337</v>
      </c>
      <c r="K160" s="107" t="s">
        <v>748</v>
      </c>
    </row>
    <row r="161" spans="1:11" x14ac:dyDescent="0.25">
      <c r="A161" s="107"/>
      <c r="B161" s="107"/>
      <c r="C161" s="107"/>
      <c r="D161">
        <v>2021</v>
      </c>
      <c r="E161">
        <v>2562.6</v>
      </c>
      <c r="F161">
        <v>2562.6</v>
      </c>
      <c r="G161">
        <v>0</v>
      </c>
      <c r="H161">
        <v>0</v>
      </c>
      <c r="I161">
        <v>0</v>
      </c>
      <c r="J161" s="107"/>
      <c r="K161" s="107"/>
    </row>
    <row r="162" spans="1:11" x14ac:dyDescent="0.25">
      <c r="A162" s="107"/>
      <c r="B162" s="107"/>
      <c r="C162" s="107"/>
      <c r="D162">
        <v>2022</v>
      </c>
      <c r="E162">
        <v>5000</v>
      </c>
      <c r="F162">
        <v>5000</v>
      </c>
      <c r="G162">
        <v>0</v>
      </c>
      <c r="H162">
        <v>0</v>
      </c>
      <c r="I162">
        <v>0</v>
      </c>
      <c r="J162" s="107"/>
      <c r="K162" s="107"/>
    </row>
    <row r="163" spans="1:11" x14ac:dyDescent="0.25">
      <c r="A163" s="107"/>
      <c r="B163" s="107"/>
      <c r="C163" s="107"/>
      <c r="D163">
        <v>2023</v>
      </c>
      <c r="E163">
        <f t="shared" ref="E163:E165" si="33">F163</f>
        <v>5000</v>
      </c>
      <c r="F163">
        <v>5000</v>
      </c>
      <c r="G163">
        <v>0</v>
      </c>
      <c r="H163">
        <v>0</v>
      </c>
      <c r="I163">
        <v>0</v>
      </c>
      <c r="J163" s="107"/>
      <c r="K163" s="107"/>
    </row>
    <row r="164" spans="1:11" x14ac:dyDescent="0.25">
      <c r="A164" s="107"/>
      <c r="B164" s="107"/>
      <c r="C164" s="107"/>
      <c r="D164">
        <v>2024</v>
      </c>
      <c r="E164">
        <f t="shared" si="33"/>
        <v>5000</v>
      </c>
      <c r="F164">
        <v>5000</v>
      </c>
      <c r="G164">
        <v>0</v>
      </c>
      <c r="H164">
        <v>0</v>
      </c>
      <c r="I164">
        <v>0</v>
      </c>
      <c r="J164" s="107"/>
      <c r="K164" s="107"/>
    </row>
    <row r="165" spans="1:11" x14ac:dyDescent="0.25">
      <c r="A165" s="107"/>
      <c r="B165" s="107"/>
      <c r="C165" s="107"/>
      <c r="D165">
        <v>2025</v>
      </c>
      <c r="E165">
        <f t="shared" si="33"/>
        <v>5000</v>
      </c>
      <c r="F165">
        <v>5000</v>
      </c>
      <c r="G165">
        <v>0</v>
      </c>
      <c r="H165">
        <v>0</v>
      </c>
      <c r="I165">
        <v>0</v>
      </c>
      <c r="J165" s="107"/>
      <c r="K165" s="107"/>
    </row>
    <row r="166" spans="1:11" x14ac:dyDescent="0.25">
      <c r="A166" s="107" t="s">
        <v>1338</v>
      </c>
      <c r="B166" s="107" t="s">
        <v>1339</v>
      </c>
      <c r="C166" s="107" t="s">
        <v>41</v>
      </c>
      <c r="D166" t="s">
        <v>8</v>
      </c>
      <c r="E166">
        <f>E167+E168+E169+E170+E171</f>
        <v>449438.03404</v>
      </c>
      <c r="F166">
        <f>F167+F168+F169+F170+F171</f>
        <v>143307.08233999999</v>
      </c>
      <c r="G166">
        <f>G167+G168+G169+G170+G171</f>
        <v>275748</v>
      </c>
      <c r="H166">
        <f>H167+H168+H169+H170+H171</f>
        <v>30382.951699999998</v>
      </c>
      <c r="I166">
        <f>I167+I168+I169+I170+I171</f>
        <v>0</v>
      </c>
      <c r="J166" s="107" t="s">
        <v>1340</v>
      </c>
      <c r="K166" s="107" t="s">
        <v>1341</v>
      </c>
    </row>
    <row r="167" spans="1:11" x14ac:dyDescent="0.25">
      <c r="A167" s="107"/>
      <c r="B167" s="107"/>
      <c r="C167" s="107"/>
      <c r="D167">
        <v>2021</v>
      </c>
      <c r="E167">
        <f t="shared" ref="E167:E171" si="34">F167+G167+H167+I167</f>
        <v>52467.234039999996</v>
      </c>
      <c r="F167">
        <f t="shared" ref="F167:I171" si="35">F173+F179</f>
        <v>2990.6323400000001</v>
      </c>
      <c r="G167">
        <f t="shared" si="35"/>
        <v>49319.199999999997</v>
      </c>
      <c r="H167">
        <f t="shared" si="35"/>
        <v>157.40170000000001</v>
      </c>
      <c r="I167">
        <f t="shared" si="35"/>
        <v>0</v>
      </c>
      <c r="J167" s="107"/>
      <c r="K167" s="107"/>
    </row>
    <row r="168" spans="1:11" x14ac:dyDescent="0.25">
      <c r="A168" s="107"/>
      <c r="B168" s="107"/>
      <c r="C168" s="107"/>
      <c r="D168">
        <v>2022</v>
      </c>
      <c r="E168">
        <f t="shared" si="34"/>
        <v>99349.99</v>
      </c>
      <c r="F168">
        <f t="shared" si="35"/>
        <v>7885.74</v>
      </c>
      <c r="G168">
        <f t="shared" si="35"/>
        <v>86651.5</v>
      </c>
      <c r="H168">
        <f t="shared" si="35"/>
        <v>4812.75</v>
      </c>
      <c r="I168">
        <f t="shared" si="35"/>
        <v>0</v>
      </c>
      <c r="J168" s="107"/>
      <c r="K168" s="107"/>
    </row>
    <row r="169" spans="1:11" x14ac:dyDescent="0.25">
      <c r="A169" s="107"/>
      <c r="B169" s="107"/>
      <c r="C169" s="107"/>
      <c r="D169">
        <v>2023</v>
      </c>
      <c r="E169">
        <f t="shared" si="34"/>
        <v>174955.51</v>
      </c>
      <c r="F169">
        <f t="shared" si="35"/>
        <v>76389.009999999995</v>
      </c>
      <c r="G169">
        <f t="shared" si="35"/>
        <v>83907.8</v>
      </c>
      <c r="H169">
        <f t="shared" si="35"/>
        <v>14658.7</v>
      </c>
      <c r="I169">
        <f t="shared" si="35"/>
        <v>0</v>
      </c>
      <c r="J169" s="107"/>
      <c r="K169" s="107"/>
    </row>
    <row r="170" spans="1:11" x14ac:dyDescent="0.25">
      <c r="A170" s="107"/>
      <c r="B170" s="107"/>
      <c r="C170" s="107"/>
      <c r="D170">
        <v>2024</v>
      </c>
      <c r="E170">
        <f t="shared" si="34"/>
        <v>122665.3</v>
      </c>
      <c r="F170">
        <f t="shared" si="35"/>
        <v>56041.7</v>
      </c>
      <c r="G170">
        <f t="shared" si="35"/>
        <v>55869.5</v>
      </c>
      <c r="H170">
        <f t="shared" si="35"/>
        <v>10754.1</v>
      </c>
      <c r="I170">
        <f t="shared" si="35"/>
        <v>0</v>
      </c>
      <c r="J170" s="107"/>
      <c r="K170" s="107"/>
    </row>
    <row r="171" spans="1:11" x14ac:dyDescent="0.25">
      <c r="A171" s="107"/>
      <c r="B171" s="107"/>
      <c r="C171" s="107"/>
      <c r="D171">
        <v>2025</v>
      </c>
      <c r="E171">
        <f t="shared" si="34"/>
        <v>0</v>
      </c>
      <c r="F171">
        <f t="shared" si="35"/>
        <v>0</v>
      </c>
      <c r="G171">
        <f t="shared" si="35"/>
        <v>0</v>
      </c>
      <c r="H171">
        <f t="shared" si="35"/>
        <v>0</v>
      </c>
      <c r="I171">
        <f t="shared" si="35"/>
        <v>0</v>
      </c>
      <c r="J171" s="107"/>
      <c r="K171" s="107"/>
    </row>
    <row r="172" spans="1:11" x14ac:dyDescent="0.25">
      <c r="A172" s="107" t="s">
        <v>1342</v>
      </c>
      <c r="B172" s="107" t="s">
        <v>1343</v>
      </c>
      <c r="C172" s="107" t="s">
        <v>124</v>
      </c>
      <c r="D172" t="s">
        <v>8</v>
      </c>
      <c r="E172">
        <f>E173+E174+E175+E176+E177</f>
        <v>151817.22404</v>
      </c>
      <c r="F172">
        <f>F173+F174+F175+F176+F177</f>
        <v>10876.37234</v>
      </c>
      <c r="G172">
        <f>G173+G174+G175+G176+G177</f>
        <v>135970.70000000001</v>
      </c>
      <c r="H172">
        <f>H173+H174+H175+H176+H177</f>
        <v>4970.1517000000003</v>
      </c>
      <c r="I172">
        <f>I173+I174+I175+I176+I177</f>
        <v>0</v>
      </c>
      <c r="J172" s="107" t="s">
        <v>1344</v>
      </c>
      <c r="K172" s="107" t="s">
        <v>1341</v>
      </c>
    </row>
    <row r="173" spans="1:11" x14ac:dyDescent="0.25">
      <c r="A173" s="107"/>
      <c r="B173" s="107"/>
      <c r="C173" s="107"/>
      <c r="D173">
        <v>2021</v>
      </c>
      <c r="E173">
        <f t="shared" ref="E173:E177" si="36">F173+G173+H173+I173</f>
        <v>52467.234039999996</v>
      </c>
      <c r="F173">
        <v>2990.6323400000001</v>
      </c>
      <c r="G173">
        <v>49319.199999999997</v>
      </c>
      <c r="H173">
        <v>157.40170000000001</v>
      </c>
      <c r="I173">
        <v>0</v>
      </c>
      <c r="J173" s="107"/>
      <c r="K173" s="107"/>
    </row>
    <row r="174" spans="1:11" x14ac:dyDescent="0.25">
      <c r="A174" s="107"/>
      <c r="B174" s="107"/>
      <c r="C174" s="107"/>
      <c r="D174">
        <v>2022</v>
      </c>
      <c r="E174">
        <f t="shared" si="36"/>
        <v>99349.99</v>
      </c>
      <c r="F174">
        <v>7885.74</v>
      </c>
      <c r="G174">
        <v>86651.5</v>
      </c>
      <c r="H174">
        <v>4812.75</v>
      </c>
      <c r="I174">
        <v>0</v>
      </c>
      <c r="J174" s="107"/>
      <c r="K174" s="107"/>
    </row>
    <row r="175" spans="1:11" x14ac:dyDescent="0.25">
      <c r="A175" s="107"/>
      <c r="B175" s="107"/>
      <c r="C175" s="107"/>
      <c r="D175">
        <v>2023</v>
      </c>
      <c r="E175">
        <f t="shared" si="36"/>
        <v>0</v>
      </c>
      <c r="F175">
        <v>0</v>
      </c>
      <c r="G175">
        <v>0</v>
      </c>
      <c r="H175">
        <v>0</v>
      </c>
      <c r="I175">
        <v>0</v>
      </c>
      <c r="J175" s="107"/>
      <c r="K175" s="107"/>
    </row>
    <row r="176" spans="1:11" x14ac:dyDescent="0.25">
      <c r="A176" s="107"/>
      <c r="B176" s="107"/>
      <c r="C176" s="107"/>
      <c r="D176">
        <v>2024</v>
      </c>
      <c r="E176">
        <f t="shared" si="36"/>
        <v>0</v>
      </c>
      <c r="F176">
        <v>0</v>
      </c>
      <c r="G176">
        <v>0</v>
      </c>
      <c r="H176">
        <v>0</v>
      </c>
      <c r="I176">
        <v>0</v>
      </c>
      <c r="J176" s="107"/>
      <c r="K176" s="107"/>
    </row>
    <row r="177" spans="1:11" x14ac:dyDescent="0.25">
      <c r="A177" s="107"/>
      <c r="B177" s="107"/>
      <c r="C177" s="107"/>
      <c r="D177">
        <v>2025</v>
      </c>
      <c r="E177">
        <f t="shared" si="36"/>
        <v>0</v>
      </c>
      <c r="F177">
        <v>0</v>
      </c>
      <c r="G177">
        <v>0</v>
      </c>
      <c r="H177">
        <v>0</v>
      </c>
      <c r="I177">
        <v>0</v>
      </c>
      <c r="J177" s="107"/>
      <c r="K177" s="107"/>
    </row>
    <row r="178" spans="1:11" x14ac:dyDescent="0.25">
      <c r="A178" s="107" t="s">
        <v>1345</v>
      </c>
      <c r="B178" s="107" t="s">
        <v>1346</v>
      </c>
      <c r="C178" s="107" t="s">
        <v>1216</v>
      </c>
      <c r="D178" t="s">
        <v>8</v>
      </c>
      <c r="E178">
        <f>E179+E180+E181+E182+E183</f>
        <v>297620.81</v>
      </c>
      <c r="F178">
        <f>F179+F180+F181+F182+F183</f>
        <v>132430.71</v>
      </c>
      <c r="G178">
        <f>G179+G180+G181+G182+G183</f>
        <v>139777.29999999999</v>
      </c>
      <c r="H178">
        <f>H179+H180+H181+H182+H183</f>
        <v>25412.800000000003</v>
      </c>
      <c r="I178">
        <f>I179+I180+I181+I182+I183</f>
        <v>0</v>
      </c>
      <c r="J178" s="107" t="s">
        <v>1347</v>
      </c>
      <c r="K178" s="107" t="s">
        <v>1348</v>
      </c>
    </row>
    <row r="179" spans="1:11" x14ac:dyDescent="0.25">
      <c r="A179" s="107"/>
      <c r="B179" s="107"/>
      <c r="C179" s="107"/>
      <c r="D179">
        <v>2021</v>
      </c>
      <c r="E179">
        <f t="shared" ref="E179:E183" si="37">F179+G179+H179+I179</f>
        <v>0</v>
      </c>
      <c r="F179">
        <v>0</v>
      </c>
      <c r="G179">
        <v>0</v>
      </c>
      <c r="H179">
        <v>0</v>
      </c>
      <c r="I179">
        <v>0</v>
      </c>
      <c r="J179" s="107"/>
      <c r="K179" s="107"/>
    </row>
    <row r="180" spans="1:11" x14ac:dyDescent="0.25">
      <c r="A180" s="107"/>
      <c r="B180" s="107"/>
      <c r="C180" s="107"/>
      <c r="D180">
        <v>2022</v>
      </c>
      <c r="E180">
        <f t="shared" si="37"/>
        <v>0</v>
      </c>
      <c r="F180">
        <v>0</v>
      </c>
      <c r="G180">
        <v>0</v>
      </c>
      <c r="H180">
        <v>0</v>
      </c>
      <c r="I180">
        <v>0</v>
      </c>
      <c r="J180" s="107"/>
      <c r="K180" s="107"/>
    </row>
    <row r="181" spans="1:11" x14ac:dyDescent="0.25">
      <c r="A181" s="107"/>
      <c r="B181" s="107"/>
      <c r="C181" s="107"/>
      <c r="D181">
        <v>2023</v>
      </c>
      <c r="E181">
        <f t="shared" si="37"/>
        <v>174955.51</v>
      </c>
      <c r="F181">
        <v>76389.009999999995</v>
      </c>
      <c r="G181">
        <v>83907.8</v>
      </c>
      <c r="H181">
        <v>14658.7</v>
      </c>
      <c r="I181">
        <v>0</v>
      </c>
      <c r="J181" s="107"/>
      <c r="K181" s="107"/>
    </row>
    <row r="182" spans="1:11" x14ac:dyDescent="0.25">
      <c r="A182" s="107"/>
      <c r="B182" s="107"/>
      <c r="C182" s="107"/>
      <c r="D182">
        <v>2024</v>
      </c>
      <c r="E182">
        <f t="shared" si="37"/>
        <v>122665.3</v>
      </c>
      <c r="F182">
        <v>56041.7</v>
      </c>
      <c r="G182">
        <v>55869.5</v>
      </c>
      <c r="H182">
        <v>10754.1</v>
      </c>
      <c r="I182">
        <v>0</v>
      </c>
      <c r="J182" s="107"/>
      <c r="K182" s="107"/>
    </row>
    <row r="183" spans="1:11" x14ac:dyDescent="0.25">
      <c r="A183" s="107"/>
      <c r="B183" s="107"/>
      <c r="C183" s="107"/>
      <c r="D183">
        <v>2025</v>
      </c>
      <c r="E183">
        <f t="shared" si="37"/>
        <v>0</v>
      </c>
      <c r="F183">
        <v>0</v>
      </c>
      <c r="G183">
        <v>0</v>
      </c>
      <c r="H183">
        <v>0</v>
      </c>
      <c r="I183">
        <v>0</v>
      </c>
      <c r="J183" s="107"/>
      <c r="K183" s="107"/>
    </row>
    <row r="184" spans="1:11" x14ac:dyDescent="0.25">
      <c r="A184" s="107" t="s">
        <v>1349</v>
      </c>
      <c r="B184" s="107" t="s">
        <v>1350</v>
      </c>
      <c r="C184" s="107" t="s">
        <v>14</v>
      </c>
      <c r="D184" t="s">
        <v>8</v>
      </c>
      <c r="E184">
        <f>SUM(E185:E189)</f>
        <v>5779059.1730000004</v>
      </c>
      <c r="F184">
        <f>SUM(F185:F189)</f>
        <v>5098639.3480000002</v>
      </c>
      <c r="G184">
        <f>SUM(G185:G189)</f>
        <v>52285.625</v>
      </c>
      <c r="H184">
        <f>SUM(H185:H189)</f>
        <v>628134.19999999995</v>
      </c>
      <c r="I184">
        <f>SUM(I185:I189)</f>
        <v>0</v>
      </c>
      <c r="J184" s="107" t="s">
        <v>1351</v>
      </c>
      <c r="K184" s="107" t="s">
        <v>1352</v>
      </c>
    </row>
    <row r="185" spans="1:11" x14ac:dyDescent="0.25">
      <c r="A185" s="107"/>
      <c r="B185" s="107"/>
      <c r="C185" s="107"/>
      <c r="D185">
        <v>2021</v>
      </c>
      <c r="E185">
        <f t="shared" ref="E185:E189" si="38">SUM(F185:I185)</f>
        <v>812134.6</v>
      </c>
      <c r="F185">
        <f t="shared" ref="F185:I189" si="39">F191+F197+F203+F209+F215+F221</f>
        <v>684153.6</v>
      </c>
      <c r="G185">
        <f t="shared" ref="G185:I185" si="40">G191+G197+G203+G209+G215+G221</f>
        <v>0</v>
      </c>
      <c r="H185">
        <f t="shared" si="40"/>
        <v>127981</v>
      </c>
      <c r="I185">
        <f t="shared" si="40"/>
        <v>0</v>
      </c>
      <c r="J185" s="107"/>
      <c r="K185" s="107"/>
    </row>
    <row r="186" spans="1:11" x14ac:dyDescent="0.25">
      <c r="A186" s="107"/>
      <c r="B186" s="107"/>
      <c r="C186" s="107"/>
      <c r="D186">
        <v>2022</v>
      </c>
      <c r="E186">
        <f t="shared" si="38"/>
        <v>2851421.4920000001</v>
      </c>
      <c r="F186">
        <f t="shared" si="39"/>
        <v>2670981.767</v>
      </c>
      <c r="G186">
        <f t="shared" si="39"/>
        <v>52285.625</v>
      </c>
      <c r="H186">
        <f t="shared" si="39"/>
        <v>128154.1</v>
      </c>
      <c r="I186">
        <f t="shared" si="39"/>
        <v>0</v>
      </c>
      <c r="J186" s="107"/>
      <c r="K186" s="107"/>
    </row>
    <row r="187" spans="1:11" x14ac:dyDescent="0.25">
      <c r="A187" s="107"/>
      <c r="B187" s="107"/>
      <c r="C187" s="107"/>
      <c r="D187">
        <v>2023</v>
      </c>
      <c r="E187">
        <f t="shared" si="38"/>
        <v>735590.821</v>
      </c>
      <c r="F187">
        <f t="shared" si="39"/>
        <v>611591.12100000004</v>
      </c>
      <c r="G187">
        <f t="shared" si="39"/>
        <v>0</v>
      </c>
      <c r="H187">
        <f t="shared" si="39"/>
        <v>123999.7</v>
      </c>
      <c r="I187">
        <f t="shared" si="39"/>
        <v>0</v>
      </c>
      <c r="J187" s="107"/>
      <c r="K187" s="107"/>
    </row>
    <row r="188" spans="1:11" x14ac:dyDescent="0.25">
      <c r="A188" s="107"/>
      <c r="B188" s="107"/>
      <c r="C188" s="107"/>
      <c r="D188">
        <v>2024</v>
      </c>
      <c r="E188">
        <f t="shared" si="38"/>
        <v>648405.39999999991</v>
      </c>
      <c r="F188">
        <f t="shared" si="39"/>
        <v>524405.69999999995</v>
      </c>
      <c r="G188">
        <f t="shared" si="39"/>
        <v>0</v>
      </c>
      <c r="H188">
        <f t="shared" si="39"/>
        <v>123999.7</v>
      </c>
      <c r="I188">
        <f t="shared" si="39"/>
        <v>0</v>
      </c>
      <c r="J188" s="107"/>
      <c r="K188" s="107"/>
    </row>
    <row r="189" spans="1:11" x14ac:dyDescent="0.25">
      <c r="A189" s="107"/>
      <c r="B189" s="107"/>
      <c r="C189" s="107"/>
      <c r="D189">
        <v>2025</v>
      </c>
      <c r="E189">
        <f t="shared" si="38"/>
        <v>731506.85999999987</v>
      </c>
      <c r="F189">
        <f t="shared" si="39"/>
        <v>607507.15999999992</v>
      </c>
      <c r="G189">
        <f t="shared" si="39"/>
        <v>0</v>
      </c>
      <c r="H189">
        <f t="shared" si="39"/>
        <v>123999.7</v>
      </c>
      <c r="I189">
        <f t="shared" si="39"/>
        <v>0</v>
      </c>
      <c r="J189" s="107"/>
      <c r="K189" s="107"/>
    </row>
    <row r="190" spans="1:11" x14ac:dyDescent="0.25">
      <c r="A190" s="107" t="s">
        <v>1353</v>
      </c>
      <c r="B190" s="107" t="s">
        <v>1354</v>
      </c>
      <c r="C190" s="107" t="s">
        <v>14</v>
      </c>
      <c r="D190" t="s">
        <v>8</v>
      </c>
      <c r="E190">
        <f>SUM(E191:E195)</f>
        <v>768502.9</v>
      </c>
      <c r="F190">
        <f>SUM(F191:F195)</f>
        <v>768502.9</v>
      </c>
      <c r="G190">
        <f>SUM(G191:G195)</f>
        <v>0</v>
      </c>
      <c r="H190">
        <f>SUM(H191:H195)</f>
        <v>0</v>
      </c>
      <c r="I190">
        <f>SUM(I191:I195)</f>
        <v>0</v>
      </c>
      <c r="J190" s="107" t="s">
        <v>1355</v>
      </c>
      <c r="K190" s="107" t="s">
        <v>1356</v>
      </c>
    </row>
    <row r="191" spans="1:11" x14ac:dyDescent="0.25">
      <c r="A191" s="107"/>
      <c r="B191" s="107"/>
      <c r="C191" s="107"/>
      <c r="D191">
        <v>2021</v>
      </c>
      <c r="E191">
        <f t="shared" ref="E191:E195" si="41">F191</f>
        <v>109320.1</v>
      </c>
      <c r="F191">
        <v>109320.1</v>
      </c>
      <c r="G191">
        <v>0</v>
      </c>
      <c r="H191">
        <v>0</v>
      </c>
      <c r="I191">
        <v>0</v>
      </c>
      <c r="J191" s="107"/>
      <c r="K191" s="107"/>
    </row>
    <row r="192" spans="1:11" x14ac:dyDescent="0.25">
      <c r="A192" s="107"/>
      <c r="B192" s="107"/>
      <c r="C192" s="107"/>
      <c r="D192">
        <v>2022</v>
      </c>
      <c r="E192">
        <f t="shared" si="41"/>
        <v>239417.40000000002</v>
      </c>
      <c r="F192">
        <f>132830.7+106586.7</f>
        <v>239417.40000000002</v>
      </c>
      <c r="G192">
        <v>0</v>
      </c>
      <c r="H192">
        <v>0</v>
      </c>
      <c r="I192">
        <v>0</v>
      </c>
      <c r="J192" s="107"/>
      <c r="K192" s="107"/>
    </row>
    <row r="193" spans="1:11" x14ac:dyDescent="0.25">
      <c r="A193" s="107"/>
      <c r="B193" s="107"/>
      <c r="C193" s="107"/>
      <c r="D193">
        <v>2023</v>
      </c>
      <c r="E193">
        <f t="shared" si="41"/>
        <v>141600</v>
      </c>
      <c r="F193">
        <v>141600</v>
      </c>
      <c r="G193">
        <v>0</v>
      </c>
      <c r="H193">
        <v>0</v>
      </c>
      <c r="I193">
        <v>0</v>
      </c>
      <c r="J193" s="107"/>
      <c r="K193" s="107"/>
    </row>
    <row r="194" spans="1:11" x14ac:dyDescent="0.25">
      <c r="A194" s="107"/>
      <c r="B194" s="107"/>
      <c r="C194" s="107"/>
      <c r="D194">
        <v>2024</v>
      </c>
      <c r="E194">
        <f t="shared" si="41"/>
        <v>139045.4</v>
      </c>
      <c r="F194">
        <v>139045.4</v>
      </c>
      <c r="G194">
        <v>0</v>
      </c>
      <c r="H194">
        <v>0</v>
      </c>
      <c r="I194">
        <v>0</v>
      </c>
      <c r="J194" s="107"/>
      <c r="K194" s="107"/>
    </row>
    <row r="195" spans="1:11" x14ac:dyDescent="0.25">
      <c r="A195" s="107"/>
      <c r="B195" s="107"/>
      <c r="C195" s="107"/>
      <c r="D195">
        <v>2025</v>
      </c>
      <c r="E195">
        <f t="shared" si="41"/>
        <v>139120</v>
      </c>
      <c r="F195">
        <v>139120</v>
      </c>
      <c r="G195">
        <v>0</v>
      </c>
      <c r="H195">
        <v>0</v>
      </c>
      <c r="I195">
        <v>0</v>
      </c>
      <c r="J195" s="107"/>
      <c r="K195" s="107"/>
    </row>
    <row r="196" spans="1:11" x14ac:dyDescent="0.25">
      <c r="A196" s="107" t="s">
        <v>1357</v>
      </c>
      <c r="B196" s="107" t="s">
        <v>1358</v>
      </c>
      <c r="C196" s="107" t="s">
        <v>14</v>
      </c>
      <c r="D196" t="s">
        <v>8</v>
      </c>
      <c r="E196">
        <f>SUM(E197:E201)</f>
        <v>1117809.8799999999</v>
      </c>
      <c r="F196">
        <f>SUM(F197:F201)</f>
        <v>492075</v>
      </c>
      <c r="G196">
        <f>SUM(G197:G201)</f>
        <v>0</v>
      </c>
      <c r="H196">
        <f>SUM(H197:H201)</f>
        <v>625734.88</v>
      </c>
      <c r="I196">
        <f>SUM(I197:I201)</f>
        <v>0</v>
      </c>
      <c r="J196" s="107" t="s">
        <v>1359</v>
      </c>
      <c r="K196" s="107" t="s">
        <v>1265</v>
      </c>
    </row>
    <row r="197" spans="1:11" x14ac:dyDescent="0.25">
      <c r="A197" s="107"/>
      <c r="B197" s="107"/>
      <c r="C197" s="107"/>
      <c r="D197">
        <v>2021</v>
      </c>
      <c r="E197">
        <f t="shared" ref="E197:E201" si="42">SUM(F197:I197)</f>
        <v>226396</v>
      </c>
      <c r="F197">
        <f>65610+32805</f>
        <v>98415</v>
      </c>
      <c r="G197">
        <v>0</v>
      </c>
      <c r="H197">
        <v>127981</v>
      </c>
      <c r="I197">
        <v>0</v>
      </c>
      <c r="J197" s="107"/>
      <c r="K197" s="107"/>
    </row>
    <row r="198" spans="1:11" x14ac:dyDescent="0.25">
      <c r="A198" s="107"/>
      <c r="B198" s="107"/>
      <c r="C198" s="107"/>
      <c r="D198">
        <v>2022</v>
      </c>
      <c r="E198">
        <f t="shared" si="42"/>
        <v>224169.78</v>
      </c>
      <c r="F198">
        <v>98415</v>
      </c>
      <c r="G198">
        <v>0</v>
      </c>
      <c r="H198">
        <v>125754.78</v>
      </c>
      <c r="I198">
        <v>0</v>
      </c>
      <c r="J198" s="107"/>
      <c r="K198" s="107"/>
    </row>
    <row r="199" spans="1:11" x14ac:dyDescent="0.25">
      <c r="A199" s="107"/>
      <c r="B199" s="107"/>
      <c r="C199" s="107"/>
      <c r="D199">
        <v>2023</v>
      </c>
      <c r="E199">
        <f t="shared" si="42"/>
        <v>222414.7</v>
      </c>
      <c r="F199">
        <v>98415</v>
      </c>
      <c r="G199">
        <v>0</v>
      </c>
      <c r="H199">
        <v>123999.7</v>
      </c>
      <c r="I199">
        <v>0</v>
      </c>
      <c r="J199" s="107"/>
      <c r="K199" s="107"/>
    </row>
    <row r="200" spans="1:11" x14ac:dyDescent="0.25">
      <c r="A200" s="107"/>
      <c r="B200" s="107"/>
      <c r="C200" s="107"/>
      <c r="D200">
        <v>2024</v>
      </c>
      <c r="E200">
        <f t="shared" si="42"/>
        <v>222414.7</v>
      </c>
      <c r="F200">
        <v>98415</v>
      </c>
      <c r="G200">
        <v>0</v>
      </c>
      <c r="H200">
        <v>123999.7</v>
      </c>
      <c r="I200">
        <v>0</v>
      </c>
      <c r="J200" s="107"/>
      <c r="K200" s="107"/>
    </row>
    <row r="201" spans="1:11" x14ac:dyDescent="0.25">
      <c r="A201" s="107"/>
      <c r="B201" s="107"/>
      <c r="C201" s="107"/>
      <c r="D201">
        <v>2025</v>
      </c>
      <c r="E201">
        <f t="shared" si="42"/>
        <v>222414.7</v>
      </c>
      <c r="F201">
        <v>98415</v>
      </c>
      <c r="G201">
        <v>0</v>
      </c>
      <c r="H201">
        <v>123999.7</v>
      </c>
      <c r="I201">
        <v>0</v>
      </c>
      <c r="J201" s="107"/>
      <c r="K201" s="107"/>
    </row>
    <row r="202" spans="1:11" x14ac:dyDescent="0.25">
      <c r="A202" s="107" t="s">
        <v>1360</v>
      </c>
      <c r="B202" s="107" t="s">
        <v>1361</v>
      </c>
      <c r="C202" s="107" t="s">
        <v>14</v>
      </c>
      <c r="D202" t="s">
        <v>8</v>
      </c>
      <c r="E202">
        <f>SUM(E203:E207)</f>
        <v>3470300.6810000003</v>
      </c>
      <c r="F202">
        <f>SUM(F203:F207)</f>
        <v>3470300.6810000003</v>
      </c>
      <c r="G202">
        <v>0</v>
      </c>
      <c r="H202">
        <v>0</v>
      </c>
      <c r="I202">
        <v>0</v>
      </c>
      <c r="J202" s="107" t="s">
        <v>1362</v>
      </c>
      <c r="K202" s="107" t="s">
        <v>1363</v>
      </c>
    </row>
    <row r="203" spans="1:11" x14ac:dyDescent="0.25">
      <c r="A203" s="107"/>
      <c r="B203" s="107"/>
      <c r="C203" s="107"/>
      <c r="D203">
        <v>2021</v>
      </c>
      <c r="E203">
        <f t="shared" ref="E203:E207" si="43">SUM(F203:I203)</f>
        <v>476418.5</v>
      </c>
      <c r="F203">
        <v>476418.5</v>
      </c>
      <c r="G203">
        <v>0</v>
      </c>
      <c r="H203">
        <v>0</v>
      </c>
      <c r="I203">
        <v>0</v>
      </c>
      <c r="J203" s="107"/>
      <c r="K203" s="107"/>
    </row>
    <row r="204" spans="1:11" x14ac:dyDescent="0.25">
      <c r="A204" s="107"/>
      <c r="B204" s="107"/>
      <c r="C204" s="107"/>
      <c r="D204">
        <v>2022</v>
      </c>
      <c r="E204">
        <f t="shared" si="43"/>
        <v>2212504.6</v>
      </c>
      <c r="F204">
        <v>2212504.6</v>
      </c>
      <c r="G204">
        <v>0</v>
      </c>
      <c r="H204">
        <v>0</v>
      </c>
      <c r="I204">
        <v>0</v>
      </c>
      <c r="J204" s="107"/>
      <c r="K204" s="107"/>
    </row>
    <row r="205" spans="1:11" x14ac:dyDescent="0.25">
      <c r="A205" s="107"/>
      <c r="B205" s="107"/>
      <c r="C205" s="107"/>
      <c r="D205">
        <v>2023</v>
      </c>
      <c r="E205">
        <f t="shared" si="43"/>
        <v>273012.02100000001</v>
      </c>
      <c r="F205">
        <v>273012.02100000001</v>
      </c>
      <c r="G205">
        <v>0</v>
      </c>
      <c r="H205">
        <v>0</v>
      </c>
      <c r="I205">
        <v>0</v>
      </c>
      <c r="J205" s="107"/>
      <c r="K205" s="107"/>
    </row>
    <row r="206" spans="1:11" x14ac:dyDescent="0.25">
      <c r="A206" s="107"/>
      <c r="B206" s="107"/>
      <c r="C206" s="107"/>
      <c r="D206">
        <v>2024</v>
      </c>
      <c r="E206">
        <f t="shared" si="43"/>
        <v>211826.9</v>
      </c>
      <c r="F206">
        <v>211826.9</v>
      </c>
      <c r="G206">
        <v>0</v>
      </c>
      <c r="H206">
        <v>0</v>
      </c>
      <c r="I206">
        <v>0</v>
      </c>
      <c r="J206" s="107"/>
      <c r="K206" s="107"/>
    </row>
    <row r="207" spans="1:11" x14ac:dyDescent="0.25">
      <c r="A207" s="107"/>
      <c r="B207" s="107"/>
      <c r="C207" s="107"/>
      <c r="D207">
        <v>2025</v>
      </c>
      <c r="E207">
        <f t="shared" si="43"/>
        <v>296538.65999999997</v>
      </c>
      <c r="F207">
        <v>296538.65999999997</v>
      </c>
      <c r="G207">
        <v>0</v>
      </c>
      <c r="H207">
        <v>0</v>
      </c>
      <c r="I207">
        <v>0</v>
      </c>
      <c r="J207" s="107"/>
      <c r="K207" s="107"/>
    </row>
    <row r="208" spans="1:11" x14ac:dyDescent="0.25">
      <c r="A208" s="107" t="s">
        <v>1364</v>
      </c>
      <c r="B208" s="107" t="s">
        <v>1365</v>
      </c>
      <c r="C208" s="107">
        <v>2022</v>
      </c>
      <c r="D208" t="s">
        <v>8</v>
      </c>
      <c r="E208">
        <f>SUM(E209:E213)</f>
        <v>327801.59999999998</v>
      </c>
      <c r="F208">
        <f>SUM(F209:F213)</f>
        <v>327801.59999999998</v>
      </c>
      <c r="G208">
        <v>0</v>
      </c>
      <c r="H208">
        <v>0</v>
      </c>
      <c r="I208">
        <v>0</v>
      </c>
      <c r="J208" s="107" t="s">
        <v>1366</v>
      </c>
      <c r="K208" s="107" t="s">
        <v>1251</v>
      </c>
    </row>
    <row r="209" spans="1:11" x14ac:dyDescent="0.25">
      <c r="A209" s="107"/>
      <c r="B209" s="107"/>
      <c r="C209" s="107"/>
      <c r="D209">
        <v>2021</v>
      </c>
      <c r="E209">
        <f t="shared" ref="E209:E213" si="44">SUM(F209:I209)</f>
        <v>0</v>
      </c>
      <c r="F209">
        <v>0</v>
      </c>
      <c r="G209">
        <v>0</v>
      </c>
      <c r="H209">
        <v>0</v>
      </c>
      <c r="I209">
        <v>0</v>
      </c>
      <c r="J209" s="107"/>
      <c r="K209" s="107"/>
    </row>
    <row r="210" spans="1:11" x14ac:dyDescent="0.25">
      <c r="A210" s="107"/>
      <c r="B210" s="107"/>
      <c r="C210" s="107"/>
      <c r="D210">
        <v>2022</v>
      </c>
      <c r="E210">
        <f t="shared" si="44"/>
        <v>80685.600000000006</v>
      </c>
      <c r="F210">
        <v>80685.600000000006</v>
      </c>
      <c r="G210">
        <v>0</v>
      </c>
      <c r="H210">
        <v>0</v>
      </c>
      <c r="I210">
        <v>0</v>
      </c>
      <c r="J210" s="107"/>
      <c r="K210" s="107"/>
    </row>
    <row r="211" spans="1:11" x14ac:dyDescent="0.25">
      <c r="A211" s="107"/>
      <c r="B211" s="107"/>
      <c r="C211" s="107"/>
      <c r="D211">
        <v>2023</v>
      </c>
      <c r="E211">
        <f t="shared" si="44"/>
        <v>98564.1</v>
      </c>
      <c r="F211">
        <v>98564.1</v>
      </c>
      <c r="G211">
        <v>0</v>
      </c>
      <c r="H211">
        <v>0</v>
      </c>
      <c r="I211">
        <v>0</v>
      </c>
      <c r="J211" s="107"/>
      <c r="K211" s="107"/>
    </row>
    <row r="212" spans="1:11" x14ac:dyDescent="0.25">
      <c r="A212" s="107"/>
      <c r="B212" s="107"/>
      <c r="C212" s="107"/>
      <c r="D212">
        <v>2024</v>
      </c>
      <c r="E212">
        <f t="shared" si="44"/>
        <v>75118.399999999994</v>
      </c>
      <c r="F212">
        <v>75118.399999999994</v>
      </c>
      <c r="G212">
        <v>0</v>
      </c>
      <c r="H212">
        <v>0</v>
      </c>
      <c r="I212">
        <v>0</v>
      </c>
      <c r="J212" s="107"/>
      <c r="K212" s="107"/>
    </row>
    <row r="213" spans="1:11" x14ac:dyDescent="0.25">
      <c r="A213" s="107"/>
      <c r="B213" s="107"/>
      <c r="C213" s="107"/>
      <c r="D213">
        <v>2025</v>
      </c>
      <c r="E213">
        <f t="shared" si="44"/>
        <v>73433.5</v>
      </c>
      <c r="F213">
        <v>73433.5</v>
      </c>
      <c r="G213">
        <v>0</v>
      </c>
      <c r="H213">
        <v>0</v>
      </c>
      <c r="I213">
        <v>0</v>
      </c>
      <c r="J213" s="107"/>
      <c r="K213" s="107"/>
    </row>
    <row r="214" spans="1:11" x14ac:dyDescent="0.25">
      <c r="A214" s="107" t="s">
        <v>1367</v>
      </c>
      <c r="B214" s="107" t="s">
        <v>1368</v>
      </c>
      <c r="C214" s="107">
        <v>2022</v>
      </c>
      <c r="D214" t="s">
        <v>8</v>
      </c>
      <c r="E214">
        <f>SUM(E215:E219)</f>
        <v>32399.32</v>
      </c>
      <c r="F214">
        <f>SUM(F215:F219)</f>
        <v>30000</v>
      </c>
      <c r="G214">
        <v>0</v>
      </c>
      <c r="H214">
        <f>SUM(H215:H219)</f>
        <v>2399.3200000000002</v>
      </c>
      <c r="I214">
        <v>0</v>
      </c>
      <c r="J214" s="107" t="s">
        <v>1369</v>
      </c>
      <c r="K214" s="107" t="s">
        <v>1265</v>
      </c>
    </row>
    <row r="215" spans="1:11" x14ac:dyDescent="0.25">
      <c r="A215" s="107"/>
      <c r="B215" s="107"/>
      <c r="C215" s="107"/>
      <c r="D215">
        <v>2021</v>
      </c>
      <c r="E215">
        <f t="shared" ref="E215:E219" si="45">SUM(F215:I215)</f>
        <v>0</v>
      </c>
      <c r="F215">
        <v>0</v>
      </c>
      <c r="G215">
        <v>0</v>
      </c>
      <c r="H215">
        <v>0</v>
      </c>
      <c r="I215">
        <v>0</v>
      </c>
      <c r="J215" s="107"/>
      <c r="K215" s="107"/>
    </row>
    <row r="216" spans="1:11" x14ac:dyDescent="0.25">
      <c r="A216" s="107"/>
      <c r="B216" s="107"/>
      <c r="C216" s="107"/>
      <c r="D216">
        <v>2022</v>
      </c>
      <c r="E216">
        <f t="shared" si="45"/>
        <v>32399.32</v>
      </c>
      <c r="F216">
        <v>30000</v>
      </c>
      <c r="G216">
        <v>0</v>
      </c>
      <c r="H216">
        <v>2399.3200000000002</v>
      </c>
      <c r="I216">
        <v>0</v>
      </c>
      <c r="J216" s="107"/>
      <c r="K216" s="107"/>
    </row>
    <row r="217" spans="1:11" x14ac:dyDescent="0.25">
      <c r="A217" s="107"/>
      <c r="B217" s="107"/>
      <c r="C217" s="107"/>
      <c r="D217">
        <v>2023</v>
      </c>
      <c r="E217">
        <f t="shared" si="45"/>
        <v>0</v>
      </c>
      <c r="F217">
        <v>0</v>
      </c>
      <c r="G217">
        <v>0</v>
      </c>
      <c r="H217">
        <v>0</v>
      </c>
      <c r="I217">
        <v>0</v>
      </c>
      <c r="J217" s="107"/>
      <c r="K217" s="107"/>
    </row>
    <row r="218" spans="1:11" x14ac:dyDescent="0.25">
      <c r="A218" s="107"/>
      <c r="B218" s="107"/>
      <c r="C218" s="107"/>
      <c r="D218">
        <v>2024</v>
      </c>
      <c r="E218">
        <f t="shared" si="45"/>
        <v>0</v>
      </c>
      <c r="F218">
        <v>0</v>
      </c>
      <c r="G218">
        <v>0</v>
      </c>
      <c r="H218">
        <v>0</v>
      </c>
      <c r="I218">
        <v>0</v>
      </c>
      <c r="J218" s="107"/>
      <c r="K218" s="107"/>
    </row>
    <row r="219" spans="1:11" x14ac:dyDescent="0.25">
      <c r="A219" s="107"/>
      <c r="B219" s="107"/>
      <c r="C219" s="107"/>
      <c r="D219">
        <v>2025</v>
      </c>
      <c r="E219">
        <f t="shared" si="45"/>
        <v>0</v>
      </c>
      <c r="F219">
        <v>0</v>
      </c>
      <c r="G219">
        <v>0</v>
      </c>
      <c r="H219">
        <v>0</v>
      </c>
      <c r="I219">
        <v>0</v>
      </c>
      <c r="J219" s="107"/>
      <c r="K219" s="107"/>
    </row>
    <row r="220" spans="1:11" x14ac:dyDescent="0.25">
      <c r="A220" s="107" t="s">
        <v>1370</v>
      </c>
      <c r="B220" s="107" t="s">
        <v>1371</v>
      </c>
      <c r="C220" s="107">
        <v>2022</v>
      </c>
      <c r="D220" t="s">
        <v>8</v>
      </c>
      <c r="E220">
        <f>SUM(E221:E225)</f>
        <v>62244.792000000001</v>
      </c>
      <c r="F220">
        <f>SUM(F221:F225)</f>
        <v>9959.1669999999995</v>
      </c>
      <c r="G220">
        <f t="shared" ref="G220:I226" si="46">SUM(G221:G225)</f>
        <v>52285.625</v>
      </c>
      <c r="H220">
        <f t="shared" si="46"/>
        <v>0</v>
      </c>
      <c r="I220">
        <f t="shared" si="46"/>
        <v>0</v>
      </c>
      <c r="J220" s="107" t="s">
        <v>1372</v>
      </c>
      <c r="K220" s="107" t="s">
        <v>1373</v>
      </c>
    </row>
    <row r="221" spans="1:11" x14ac:dyDescent="0.25">
      <c r="A221" s="107"/>
      <c r="B221" s="107"/>
      <c r="C221" s="107"/>
      <c r="D221">
        <v>2021</v>
      </c>
      <c r="E221">
        <f t="shared" ref="E221:E225" si="47">SUM(F221:I221)</f>
        <v>0</v>
      </c>
      <c r="F221">
        <v>0</v>
      </c>
      <c r="G221">
        <v>0</v>
      </c>
      <c r="H221">
        <v>0</v>
      </c>
      <c r="I221">
        <v>0</v>
      </c>
      <c r="J221" s="107"/>
      <c r="K221" s="107"/>
    </row>
    <row r="222" spans="1:11" x14ac:dyDescent="0.25">
      <c r="A222" s="107"/>
      <c r="B222" s="107"/>
      <c r="C222" s="107"/>
      <c r="D222">
        <v>2022</v>
      </c>
      <c r="E222">
        <f t="shared" si="47"/>
        <v>62244.792000000001</v>
      </c>
      <c r="F222">
        <v>9959.1669999999995</v>
      </c>
      <c r="G222">
        <v>52285.625</v>
      </c>
      <c r="H222">
        <v>0</v>
      </c>
      <c r="I222">
        <v>0</v>
      </c>
      <c r="J222" s="107"/>
      <c r="K222" s="107"/>
    </row>
    <row r="223" spans="1:11" x14ac:dyDescent="0.25">
      <c r="A223" s="107"/>
      <c r="B223" s="107"/>
      <c r="C223" s="107"/>
      <c r="D223">
        <v>2023</v>
      </c>
      <c r="E223">
        <f t="shared" si="47"/>
        <v>0</v>
      </c>
      <c r="F223">
        <v>0</v>
      </c>
      <c r="G223">
        <v>0</v>
      </c>
      <c r="H223">
        <v>0</v>
      </c>
      <c r="I223">
        <v>0</v>
      </c>
      <c r="J223" s="107"/>
      <c r="K223" s="107"/>
    </row>
    <row r="224" spans="1:11" x14ac:dyDescent="0.25">
      <c r="A224" s="107"/>
      <c r="B224" s="107"/>
      <c r="C224" s="107"/>
      <c r="D224">
        <v>2024</v>
      </c>
      <c r="E224">
        <f t="shared" si="47"/>
        <v>0</v>
      </c>
      <c r="F224">
        <v>0</v>
      </c>
      <c r="G224">
        <v>0</v>
      </c>
      <c r="H224">
        <v>0</v>
      </c>
      <c r="I224">
        <v>0</v>
      </c>
      <c r="J224" s="107"/>
      <c r="K224" s="107"/>
    </row>
    <row r="225" spans="1:11" x14ac:dyDescent="0.25">
      <c r="A225" s="107"/>
      <c r="B225" s="107"/>
      <c r="C225" s="107"/>
      <c r="D225">
        <v>2025</v>
      </c>
      <c r="E225">
        <f t="shared" si="47"/>
        <v>0</v>
      </c>
      <c r="F225">
        <v>0</v>
      </c>
      <c r="G225">
        <v>0</v>
      </c>
      <c r="H225">
        <v>0</v>
      </c>
      <c r="I225">
        <v>0</v>
      </c>
      <c r="J225" s="107"/>
      <c r="K225" s="107"/>
    </row>
    <row r="226" spans="1:11" x14ac:dyDescent="0.25">
      <c r="A226" s="107" t="s">
        <v>1374</v>
      </c>
      <c r="B226" s="107" t="s">
        <v>1375</v>
      </c>
      <c r="C226" s="107" t="s">
        <v>14</v>
      </c>
      <c r="D226" t="s">
        <v>8</v>
      </c>
      <c r="E226">
        <f>SUM(E227:E231)</f>
        <v>98655.900000000009</v>
      </c>
      <c r="F226">
        <f>SUM(F227:F231)</f>
        <v>26329.5</v>
      </c>
      <c r="G226">
        <f t="shared" si="46"/>
        <v>72326.399999999994</v>
      </c>
      <c r="H226">
        <f>SUM(H227:H231)</f>
        <v>0</v>
      </c>
      <c r="I226">
        <f>SUM(I227:I231)</f>
        <v>0</v>
      </c>
      <c r="J226" s="107" t="s">
        <v>1376</v>
      </c>
      <c r="K226" s="107" t="s">
        <v>1265</v>
      </c>
    </row>
    <row r="227" spans="1:11" x14ac:dyDescent="0.25">
      <c r="A227" s="107"/>
      <c r="B227" s="107"/>
      <c r="C227" s="107"/>
      <c r="D227">
        <v>2021</v>
      </c>
      <c r="E227">
        <f t="shared" ref="E227:E231" si="48">SUM(F227:I227)</f>
        <v>36980.1</v>
      </c>
      <c r="F227">
        <f t="shared" ref="F227:I231" si="49">F233</f>
        <v>26329.5</v>
      </c>
      <c r="G227">
        <f t="shared" si="49"/>
        <v>10650.6</v>
      </c>
      <c r="H227">
        <f t="shared" si="49"/>
        <v>0</v>
      </c>
      <c r="I227">
        <f t="shared" si="49"/>
        <v>0</v>
      </c>
      <c r="J227" s="107"/>
      <c r="K227" s="107"/>
    </row>
    <row r="228" spans="1:11" x14ac:dyDescent="0.25">
      <c r="A228" s="107"/>
      <c r="B228" s="107"/>
      <c r="C228" s="107"/>
      <c r="D228">
        <v>2022</v>
      </c>
      <c r="E228">
        <f t="shared" si="48"/>
        <v>18426.400000000001</v>
      </c>
      <c r="F228">
        <f t="shared" si="49"/>
        <v>0</v>
      </c>
      <c r="G228">
        <f t="shared" si="49"/>
        <v>18426.400000000001</v>
      </c>
      <c r="H228">
        <f t="shared" si="49"/>
        <v>0</v>
      </c>
      <c r="I228">
        <f t="shared" si="49"/>
        <v>0</v>
      </c>
      <c r="J228" s="107"/>
      <c r="K228" s="107"/>
    </row>
    <row r="229" spans="1:11" x14ac:dyDescent="0.25">
      <c r="A229" s="107"/>
      <c r="B229" s="107"/>
      <c r="C229" s="107"/>
      <c r="D229">
        <v>2023</v>
      </c>
      <c r="E229">
        <f t="shared" si="48"/>
        <v>13776.8</v>
      </c>
      <c r="F229">
        <f t="shared" si="49"/>
        <v>0</v>
      </c>
      <c r="G229">
        <f t="shared" si="49"/>
        <v>13776.8</v>
      </c>
      <c r="H229">
        <f t="shared" si="49"/>
        <v>0</v>
      </c>
      <c r="I229">
        <f t="shared" si="49"/>
        <v>0</v>
      </c>
      <c r="J229" s="107"/>
      <c r="K229" s="107"/>
    </row>
    <row r="230" spans="1:11" x14ac:dyDescent="0.25">
      <c r="A230" s="107"/>
      <c r="B230" s="107"/>
      <c r="C230" s="107"/>
      <c r="D230">
        <v>2024</v>
      </c>
      <c r="E230">
        <f t="shared" si="48"/>
        <v>14538.1</v>
      </c>
      <c r="F230">
        <f t="shared" si="49"/>
        <v>0</v>
      </c>
      <c r="G230">
        <f t="shared" si="49"/>
        <v>14538.1</v>
      </c>
      <c r="H230">
        <f t="shared" si="49"/>
        <v>0</v>
      </c>
      <c r="I230">
        <f t="shared" si="49"/>
        <v>0</v>
      </c>
      <c r="J230" s="107"/>
      <c r="K230" s="107"/>
    </row>
    <row r="231" spans="1:11" ht="23.25" customHeight="1" x14ac:dyDescent="0.25">
      <c r="A231" s="107"/>
      <c r="B231" s="107"/>
      <c r="C231" s="107"/>
      <c r="D231">
        <v>2025</v>
      </c>
      <c r="E231">
        <f t="shared" si="48"/>
        <v>14934.5</v>
      </c>
      <c r="F231">
        <f t="shared" si="49"/>
        <v>0</v>
      </c>
      <c r="G231">
        <f t="shared" si="49"/>
        <v>14934.5</v>
      </c>
      <c r="H231">
        <f t="shared" si="49"/>
        <v>0</v>
      </c>
      <c r="I231">
        <f t="shared" si="49"/>
        <v>0</v>
      </c>
      <c r="J231" s="107"/>
      <c r="K231" s="107"/>
    </row>
    <row r="232" spans="1:11" x14ac:dyDescent="0.25">
      <c r="A232" s="107" t="s">
        <v>1377</v>
      </c>
      <c r="B232" s="107" t="s">
        <v>1378</v>
      </c>
      <c r="C232" s="107" t="s">
        <v>14</v>
      </c>
      <c r="D232" t="s">
        <v>8</v>
      </c>
      <c r="E232">
        <f>SUM(E233:E237)</f>
        <v>98655.900000000009</v>
      </c>
      <c r="F232">
        <f>SUM(F233:F237)</f>
        <v>26329.5</v>
      </c>
      <c r="G232">
        <f>SUM(G233:G237)</f>
        <v>72326.399999999994</v>
      </c>
      <c r="H232">
        <f>SUM(H233:H237)</f>
        <v>0</v>
      </c>
      <c r="I232">
        <f>SUM(I233:I237)</f>
        <v>0</v>
      </c>
      <c r="J232" s="107" t="s">
        <v>1379</v>
      </c>
      <c r="K232" s="107" t="s">
        <v>748</v>
      </c>
    </row>
    <row r="233" spans="1:11" x14ac:dyDescent="0.25">
      <c r="A233" s="107"/>
      <c r="B233" s="107"/>
      <c r="C233" s="107"/>
      <c r="D233">
        <v>2021</v>
      </c>
      <c r="E233">
        <f t="shared" ref="E233:E237" si="50">SUM(F233:I233)</f>
        <v>36980.1</v>
      </c>
      <c r="F233">
        <v>26329.5</v>
      </c>
      <c r="G233">
        <f>9582.2+1068.4</f>
        <v>10650.6</v>
      </c>
      <c r="H233">
        <v>0</v>
      </c>
      <c r="I233">
        <v>0</v>
      </c>
      <c r="J233" s="107"/>
      <c r="K233" s="107"/>
    </row>
    <row r="234" spans="1:11" x14ac:dyDescent="0.25">
      <c r="A234" s="107"/>
      <c r="B234" s="107"/>
      <c r="C234" s="107"/>
      <c r="D234">
        <v>2022</v>
      </c>
      <c r="E234">
        <f t="shared" si="50"/>
        <v>18426.400000000001</v>
      </c>
      <c r="F234">
        <f>33262.35-33262.35</f>
        <v>0</v>
      </c>
      <c r="G234">
        <v>18426.400000000001</v>
      </c>
      <c r="H234">
        <v>0</v>
      </c>
      <c r="I234">
        <v>0</v>
      </c>
      <c r="J234" s="107"/>
      <c r="K234" s="107"/>
    </row>
    <row r="235" spans="1:11" x14ac:dyDescent="0.25">
      <c r="A235" s="107"/>
      <c r="B235" s="107"/>
      <c r="C235" s="107"/>
      <c r="D235">
        <v>2023</v>
      </c>
      <c r="E235">
        <f t="shared" si="50"/>
        <v>13776.8</v>
      </c>
      <c r="F235">
        <v>0</v>
      </c>
      <c r="G235">
        <v>13776.8</v>
      </c>
      <c r="H235">
        <v>0</v>
      </c>
      <c r="I235">
        <v>0</v>
      </c>
      <c r="J235" s="107"/>
      <c r="K235" s="107"/>
    </row>
    <row r="236" spans="1:11" x14ac:dyDescent="0.25">
      <c r="A236" s="107"/>
      <c r="B236" s="107"/>
      <c r="C236" s="107"/>
      <c r="D236">
        <v>2024</v>
      </c>
      <c r="E236">
        <f t="shared" si="50"/>
        <v>14538.1</v>
      </c>
      <c r="F236">
        <v>0</v>
      </c>
      <c r="G236">
        <v>14538.1</v>
      </c>
      <c r="H236">
        <v>0</v>
      </c>
      <c r="I236">
        <v>0</v>
      </c>
      <c r="J236" s="107"/>
      <c r="K236" s="107"/>
    </row>
    <row r="237" spans="1:11" x14ac:dyDescent="0.25">
      <c r="A237" s="107"/>
      <c r="B237" s="107"/>
      <c r="C237" s="107"/>
      <c r="D237">
        <v>2025</v>
      </c>
      <c r="E237">
        <f t="shared" si="50"/>
        <v>14934.5</v>
      </c>
      <c r="F237">
        <v>0</v>
      </c>
      <c r="G237">
        <v>14934.5</v>
      </c>
      <c r="H237">
        <v>0</v>
      </c>
      <c r="I237">
        <v>0</v>
      </c>
      <c r="J237" s="107"/>
      <c r="K237" s="107"/>
    </row>
    <row r="238" spans="1:11" x14ac:dyDescent="0.25">
      <c r="A238" s="107" t="s">
        <v>1380</v>
      </c>
      <c r="B238" s="107" t="s">
        <v>1381</v>
      </c>
      <c r="C238" s="107" t="s">
        <v>14</v>
      </c>
      <c r="D238" t="s">
        <v>8</v>
      </c>
      <c r="E238">
        <f>SUM(E239:E243)</f>
        <v>1286020.5239999997</v>
      </c>
      <c r="F238">
        <f>SUM(F239:F243)</f>
        <v>264274.55</v>
      </c>
      <c r="G238">
        <f>SUM(G239:G243)</f>
        <v>71956.2</v>
      </c>
      <c r="H238">
        <f>SUM(H239:H243)</f>
        <v>199789.774</v>
      </c>
      <c r="I238">
        <f>SUM(I239:I243)</f>
        <v>750000</v>
      </c>
      <c r="J238" s="107" t="s">
        <v>1382</v>
      </c>
      <c r="K238" s="107" t="s">
        <v>1383</v>
      </c>
    </row>
    <row r="239" spans="1:11" x14ac:dyDescent="0.25">
      <c r="A239" s="107"/>
      <c r="B239" s="107"/>
      <c r="C239" s="107"/>
      <c r="D239">
        <v>2021</v>
      </c>
      <c r="E239">
        <f t="shared" ref="E239:E243" si="51">SUM(F239:I239)</f>
        <v>233791.8</v>
      </c>
      <c r="F239">
        <f>F245+F251</f>
        <v>38504.5</v>
      </c>
      <c r="G239">
        <f>G245+G251</f>
        <v>14287.3</v>
      </c>
      <c r="H239">
        <f>H245+H251</f>
        <v>31000</v>
      </c>
      <c r="I239">
        <f>I245+I251</f>
        <v>150000</v>
      </c>
      <c r="J239" s="107"/>
      <c r="K239" s="107"/>
    </row>
    <row r="240" spans="1:11" x14ac:dyDescent="0.25">
      <c r="A240" s="107"/>
      <c r="B240" s="107"/>
      <c r="C240" s="107"/>
      <c r="D240">
        <v>2022</v>
      </c>
      <c r="E240">
        <f t="shared" si="51"/>
        <v>273791.02399999998</v>
      </c>
      <c r="F240">
        <f t="shared" ref="F240:I243" si="52">F246+F252+F258</f>
        <v>61791.65</v>
      </c>
      <c r="G240">
        <f t="shared" si="52"/>
        <v>13636.4</v>
      </c>
      <c r="H240">
        <f t="shared" si="52"/>
        <v>48362.974000000002</v>
      </c>
      <c r="I240">
        <f t="shared" si="52"/>
        <v>150000</v>
      </c>
      <c r="J240" s="107"/>
      <c r="K240" s="107"/>
    </row>
    <row r="241" spans="1:11" x14ac:dyDescent="0.25">
      <c r="A241" s="107"/>
      <c r="B241" s="107"/>
      <c r="C241" s="107"/>
      <c r="D241">
        <v>2023</v>
      </c>
      <c r="E241">
        <f t="shared" si="51"/>
        <v>284801.59999999998</v>
      </c>
      <c r="F241">
        <f t="shared" si="52"/>
        <v>68037.399999999994</v>
      </c>
      <c r="G241">
        <f t="shared" si="52"/>
        <v>14763.1</v>
      </c>
      <c r="H241">
        <f t="shared" si="52"/>
        <v>52001.1</v>
      </c>
      <c r="I241">
        <f t="shared" si="52"/>
        <v>150000</v>
      </c>
      <c r="J241" s="107"/>
      <c r="K241" s="107"/>
    </row>
    <row r="242" spans="1:11" x14ac:dyDescent="0.25">
      <c r="A242" s="107"/>
      <c r="B242" s="107"/>
      <c r="C242" s="107"/>
      <c r="D242">
        <v>2024</v>
      </c>
      <c r="E242">
        <f t="shared" si="51"/>
        <v>253275.1</v>
      </c>
      <c r="F242">
        <f t="shared" si="52"/>
        <v>51042.400000000001</v>
      </c>
      <c r="G242">
        <f t="shared" si="52"/>
        <v>14848.4</v>
      </c>
      <c r="H242">
        <f t="shared" si="52"/>
        <v>37384.300000000003</v>
      </c>
      <c r="I242">
        <f t="shared" si="52"/>
        <v>150000</v>
      </c>
      <c r="J242" s="107"/>
      <c r="K242" s="107"/>
    </row>
    <row r="243" spans="1:11" x14ac:dyDescent="0.25">
      <c r="A243" s="107"/>
      <c r="B243" s="107"/>
      <c r="C243" s="107"/>
      <c r="D243">
        <v>2025</v>
      </c>
      <c r="E243">
        <f t="shared" si="51"/>
        <v>240361</v>
      </c>
      <c r="F243">
        <f t="shared" si="52"/>
        <v>44898.6</v>
      </c>
      <c r="G243">
        <f t="shared" si="52"/>
        <v>14421</v>
      </c>
      <c r="H243">
        <f t="shared" si="52"/>
        <v>31041.4</v>
      </c>
      <c r="I243">
        <f t="shared" si="52"/>
        <v>150000</v>
      </c>
      <c r="J243" s="107"/>
      <c r="K243" s="107"/>
    </row>
    <row r="244" spans="1:11" x14ac:dyDescent="0.25">
      <c r="A244" s="107" t="s">
        <v>1384</v>
      </c>
      <c r="B244" s="107" t="s">
        <v>1385</v>
      </c>
      <c r="C244" s="107" t="s">
        <v>14</v>
      </c>
      <c r="D244" t="s">
        <v>8</v>
      </c>
      <c r="E244">
        <f>SUM(E245:E249)</f>
        <v>1147493.774</v>
      </c>
      <c r="F244">
        <f>SUM(F245:F249)</f>
        <v>192500</v>
      </c>
      <c r="G244">
        <f>SUM(G245:G249)</f>
        <v>71956.2</v>
      </c>
      <c r="H244">
        <f>SUM(H245:H249)</f>
        <v>133037.57399999999</v>
      </c>
      <c r="I244">
        <f>SUM(I245:I249)</f>
        <v>750000</v>
      </c>
      <c r="J244" s="107" t="s">
        <v>1386</v>
      </c>
      <c r="K244" s="107" t="s">
        <v>1383</v>
      </c>
    </row>
    <row r="245" spans="1:11" x14ac:dyDescent="0.25">
      <c r="A245" s="107"/>
      <c r="B245" s="107"/>
      <c r="C245" s="107"/>
      <c r="D245">
        <v>2021</v>
      </c>
      <c r="E245">
        <f t="shared" ref="E245:E249" si="53">SUM(F245:I245)</f>
        <v>233787.3</v>
      </c>
      <c r="F245">
        <v>38500</v>
      </c>
      <c r="G245">
        <v>14287.3</v>
      </c>
      <c r="H245">
        <v>31000</v>
      </c>
      <c r="I245">
        <v>150000</v>
      </c>
      <c r="J245" s="107"/>
      <c r="K245" s="107"/>
    </row>
    <row r="246" spans="1:11" x14ac:dyDescent="0.25">
      <c r="A246" s="107"/>
      <c r="B246" s="107"/>
      <c r="C246" s="107"/>
      <c r="D246">
        <v>2022</v>
      </c>
      <c r="E246">
        <f t="shared" si="53"/>
        <v>229878.174</v>
      </c>
      <c r="F246">
        <v>38500</v>
      </c>
      <c r="G246">
        <v>13636.4</v>
      </c>
      <c r="H246">
        <v>27741.774000000001</v>
      </c>
      <c r="I246">
        <v>150000</v>
      </c>
      <c r="J246" s="107"/>
      <c r="K246" s="107"/>
    </row>
    <row r="247" spans="1:11" x14ac:dyDescent="0.25">
      <c r="A247" s="107"/>
      <c r="B247" s="107"/>
      <c r="C247" s="107"/>
      <c r="D247">
        <v>2023</v>
      </c>
      <c r="E247">
        <f t="shared" si="53"/>
        <v>228068.2</v>
      </c>
      <c r="F247">
        <v>38500</v>
      </c>
      <c r="G247">
        <v>14763.1</v>
      </c>
      <c r="H247">
        <v>24805.1</v>
      </c>
      <c r="I247">
        <v>150000</v>
      </c>
      <c r="J247" s="107"/>
      <c r="K247" s="107"/>
    </row>
    <row r="248" spans="1:11" x14ac:dyDescent="0.25">
      <c r="A248" s="107"/>
      <c r="B248" s="107"/>
      <c r="C248" s="107"/>
      <c r="D248">
        <v>2024</v>
      </c>
      <c r="E248">
        <f t="shared" si="53"/>
        <v>228193.3</v>
      </c>
      <c r="F248">
        <v>38500</v>
      </c>
      <c r="G248">
        <v>14848.4</v>
      </c>
      <c r="H248">
        <v>24844.9</v>
      </c>
      <c r="I248">
        <v>150000</v>
      </c>
      <c r="J248" s="107"/>
      <c r="K248" s="107"/>
    </row>
    <row r="249" spans="1:11" x14ac:dyDescent="0.25">
      <c r="A249" s="107"/>
      <c r="B249" s="107"/>
      <c r="C249" s="107"/>
      <c r="D249">
        <v>2025</v>
      </c>
      <c r="E249">
        <f t="shared" si="53"/>
        <v>227566.8</v>
      </c>
      <c r="F249">
        <v>38500</v>
      </c>
      <c r="G249">
        <v>14421</v>
      </c>
      <c r="H249">
        <v>24645.8</v>
      </c>
      <c r="I249">
        <v>150000</v>
      </c>
      <c r="J249" s="107"/>
      <c r="K249" s="107"/>
    </row>
    <row r="250" spans="1:11" x14ac:dyDescent="0.25">
      <c r="A250" s="107" t="s">
        <v>1387</v>
      </c>
      <c r="B250" s="107" t="s">
        <v>1388</v>
      </c>
      <c r="C250" s="107" t="s">
        <v>14</v>
      </c>
      <c r="D250" t="s">
        <v>8</v>
      </c>
      <c r="E250">
        <f>SUM(E251:E255)</f>
        <v>16.5</v>
      </c>
      <c r="F250">
        <f>SUM(F251:F255)</f>
        <v>16.5</v>
      </c>
      <c r="G250">
        <f>SUM(G251:G255)</f>
        <v>0</v>
      </c>
      <c r="H250">
        <f>SUM(H251:H255)</f>
        <v>0</v>
      </c>
      <c r="I250">
        <f>SUM(I251:I255)</f>
        <v>0</v>
      </c>
      <c r="J250" s="107" t="s">
        <v>1389</v>
      </c>
      <c r="K250" s="107" t="s">
        <v>748</v>
      </c>
    </row>
    <row r="251" spans="1:11" x14ac:dyDescent="0.25">
      <c r="A251" s="107"/>
      <c r="B251" s="107"/>
      <c r="C251" s="107"/>
      <c r="D251">
        <v>2021</v>
      </c>
      <c r="E251">
        <f t="shared" ref="E251:E255" si="54">SUM(F251:I251)</f>
        <v>4.5</v>
      </c>
      <c r="F251">
        <v>4.5</v>
      </c>
      <c r="G251">
        <v>0</v>
      </c>
      <c r="H251">
        <v>0</v>
      </c>
      <c r="I251">
        <v>0</v>
      </c>
      <c r="J251" s="107"/>
      <c r="K251" s="107"/>
    </row>
    <row r="252" spans="1:11" x14ac:dyDescent="0.25">
      <c r="A252" s="107"/>
      <c r="B252" s="107"/>
      <c r="C252" s="107"/>
      <c r="D252">
        <v>2022</v>
      </c>
      <c r="E252">
        <f t="shared" si="54"/>
        <v>3</v>
      </c>
      <c r="F252">
        <v>3</v>
      </c>
      <c r="G252">
        <v>0</v>
      </c>
      <c r="H252">
        <v>0</v>
      </c>
      <c r="I252">
        <v>0</v>
      </c>
      <c r="J252" s="107"/>
      <c r="K252" s="107"/>
    </row>
    <row r="253" spans="1:11" x14ac:dyDescent="0.25">
      <c r="A253" s="107"/>
      <c r="B253" s="107"/>
      <c r="C253" s="107"/>
      <c r="D253">
        <v>2023</v>
      </c>
      <c r="E253">
        <f t="shared" si="54"/>
        <v>3</v>
      </c>
      <c r="F253">
        <v>3</v>
      </c>
      <c r="G253">
        <v>0</v>
      </c>
      <c r="H253">
        <v>0</v>
      </c>
      <c r="I253">
        <v>0</v>
      </c>
      <c r="J253" s="107"/>
      <c r="K253" s="107"/>
    </row>
    <row r="254" spans="1:11" x14ac:dyDescent="0.25">
      <c r="A254" s="107"/>
      <c r="B254" s="107"/>
      <c r="C254" s="107"/>
      <c r="D254">
        <v>2024</v>
      </c>
      <c r="E254">
        <f t="shared" si="54"/>
        <v>3</v>
      </c>
      <c r="F254">
        <v>3</v>
      </c>
      <c r="G254">
        <v>0</v>
      </c>
      <c r="H254">
        <v>0</v>
      </c>
      <c r="I254">
        <v>0</v>
      </c>
      <c r="J254" s="107"/>
      <c r="K254" s="107"/>
    </row>
    <row r="255" spans="1:11" x14ac:dyDescent="0.25">
      <c r="A255" s="107"/>
      <c r="B255" s="107"/>
      <c r="C255" s="107"/>
      <c r="D255">
        <v>2025</v>
      </c>
      <c r="E255">
        <f t="shared" si="54"/>
        <v>3</v>
      </c>
      <c r="F255">
        <v>3</v>
      </c>
      <c r="G255">
        <v>0</v>
      </c>
      <c r="H255">
        <v>0</v>
      </c>
      <c r="I255">
        <v>0</v>
      </c>
      <c r="J255" s="107"/>
      <c r="K255" s="107"/>
    </row>
    <row r="256" spans="1:11" x14ac:dyDescent="0.25">
      <c r="A256" s="107" t="s">
        <v>1390</v>
      </c>
      <c r="B256" s="107" t="s">
        <v>1391</v>
      </c>
      <c r="C256" s="107" t="s">
        <v>14</v>
      </c>
      <c r="D256" t="s">
        <v>8</v>
      </c>
      <c r="E256">
        <f>SUM(E257:E261)</f>
        <v>138510.25</v>
      </c>
      <c r="F256">
        <f>SUM(F257:F261)</f>
        <v>71758.05</v>
      </c>
      <c r="G256">
        <f>SUM(G257:G261)</f>
        <v>0</v>
      </c>
      <c r="H256">
        <f>SUM(H257:H261)</f>
        <v>66752.2</v>
      </c>
      <c r="I256">
        <f>SUM(I257:I261)</f>
        <v>0</v>
      </c>
      <c r="J256" s="107" t="s">
        <v>1392</v>
      </c>
      <c r="K256" s="107" t="s">
        <v>1383</v>
      </c>
    </row>
    <row r="257" spans="1:11" x14ac:dyDescent="0.25">
      <c r="A257" s="107"/>
      <c r="B257" s="107"/>
      <c r="C257" s="107"/>
      <c r="D257">
        <v>2021</v>
      </c>
      <c r="E257">
        <f t="shared" ref="E257:E261" si="55">F257+G257+H257+I257</f>
        <v>0</v>
      </c>
      <c r="F257">
        <v>0</v>
      </c>
      <c r="G257">
        <v>0</v>
      </c>
      <c r="H257">
        <v>0</v>
      </c>
      <c r="I257">
        <v>0</v>
      </c>
      <c r="J257" s="107"/>
      <c r="K257" s="107"/>
    </row>
    <row r="258" spans="1:11" x14ac:dyDescent="0.25">
      <c r="A258" s="107"/>
      <c r="B258" s="107"/>
      <c r="C258" s="107"/>
      <c r="D258">
        <v>2022</v>
      </c>
      <c r="E258">
        <f t="shared" si="55"/>
        <v>43909.850000000006</v>
      </c>
      <c r="F258">
        <v>23288.65</v>
      </c>
      <c r="G258">
        <v>0</v>
      </c>
      <c r="H258">
        <v>20621.2</v>
      </c>
      <c r="I258">
        <v>0</v>
      </c>
      <c r="J258" s="107"/>
      <c r="K258" s="107"/>
    </row>
    <row r="259" spans="1:11" x14ac:dyDescent="0.25">
      <c r="A259" s="107"/>
      <c r="B259" s="107"/>
      <c r="C259" s="107"/>
      <c r="D259">
        <v>2023</v>
      </c>
      <c r="E259">
        <f t="shared" si="55"/>
        <v>56730.400000000001</v>
      </c>
      <c r="F259">
        <v>29534.400000000001</v>
      </c>
      <c r="G259">
        <v>0</v>
      </c>
      <c r="H259">
        <v>27196</v>
      </c>
      <c r="I259">
        <v>0</v>
      </c>
      <c r="J259" s="107"/>
      <c r="K259" s="107"/>
    </row>
    <row r="260" spans="1:11" x14ac:dyDescent="0.25">
      <c r="A260" s="107"/>
      <c r="B260" s="107"/>
      <c r="C260" s="107"/>
      <c r="D260">
        <v>2024</v>
      </c>
      <c r="E260">
        <f t="shared" si="55"/>
        <v>25078.799999999999</v>
      </c>
      <c r="F260">
        <v>12539.4</v>
      </c>
      <c r="G260">
        <v>0</v>
      </c>
      <c r="H260">
        <v>12539.4</v>
      </c>
      <c r="I260">
        <v>0</v>
      </c>
      <c r="J260" s="107"/>
      <c r="K260" s="107"/>
    </row>
    <row r="261" spans="1:11" x14ac:dyDescent="0.25">
      <c r="A261" s="107"/>
      <c r="B261" s="107"/>
      <c r="C261" s="107"/>
      <c r="D261">
        <v>2025</v>
      </c>
      <c r="E261">
        <f t="shared" si="55"/>
        <v>12791.2</v>
      </c>
      <c r="F261">
        <v>6395.6</v>
      </c>
      <c r="G261">
        <v>0</v>
      </c>
      <c r="H261">
        <v>6395.6</v>
      </c>
      <c r="I261">
        <v>0</v>
      </c>
      <c r="J261" s="107"/>
      <c r="K261" s="107"/>
    </row>
    <row r="262" spans="1:11" x14ac:dyDescent="0.25">
      <c r="A262" s="107" t="s">
        <v>1393</v>
      </c>
      <c r="B262" s="107" t="s">
        <v>1394</v>
      </c>
      <c r="C262" s="107" t="s">
        <v>14</v>
      </c>
      <c r="D262" t="s">
        <v>8</v>
      </c>
      <c r="E262">
        <f>E263+E264+E265+E266+E267</f>
        <v>399568</v>
      </c>
      <c r="F262">
        <f>SUM(F263:F267)</f>
        <v>399568</v>
      </c>
      <c r="G262">
        <f>SUM(G263:G267)</f>
        <v>0</v>
      </c>
      <c r="H262">
        <f>SUM(H263:H267)</f>
        <v>0</v>
      </c>
      <c r="I262">
        <f>SUM(I263:I267)</f>
        <v>0</v>
      </c>
      <c r="J262" s="107" t="s">
        <v>1395</v>
      </c>
      <c r="K262" s="107" t="s">
        <v>1383</v>
      </c>
    </row>
    <row r="263" spans="1:11" x14ac:dyDescent="0.25">
      <c r="A263" s="107"/>
      <c r="B263" s="107"/>
      <c r="C263" s="107"/>
      <c r="D263">
        <v>2021</v>
      </c>
      <c r="E263">
        <f t="shared" ref="E263:E267" si="56">F263</f>
        <v>48269.8</v>
      </c>
      <c r="F263">
        <f t="shared" ref="F263:F267" si="57">F269</f>
        <v>48269.8</v>
      </c>
      <c r="G263">
        <v>0</v>
      </c>
      <c r="H263">
        <v>0</v>
      </c>
      <c r="I263">
        <v>0</v>
      </c>
      <c r="J263" s="107"/>
      <c r="K263" s="107"/>
    </row>
    <row r="264" spans="1:11" x14ac:dyDescent="0.25">
      <c r="A264" s="107"/>
      <c r="B264" s="107"/>
      <c r="C264" s="107"/>
      <c r="D264">
        <v>2022</v>
      </c>
      <c r="E264">
        <f t="shared" si="56"/>
        <v>74174.399999999994</v>
      </c>
      <c r="F264">
        <f t="shared" si="57"/>
        <v>74174.399999999994</v>
      </c>
      <c r="G264">
        <v>0</v>
      </c>
      <c r="H264">
        <v>0</v>
      </c>
      <c r="I264">
        <v>0</v>
      </c>
      <c r="J264" s="107"/>
      <c r="K264" s="107"/>
    </row>
    <row r="265" spans="1:11" x14ac:dyDescent="0.25">
      <c r="A265" s="107"/>
      <c r="B265" s="107"/>
      <c r="C265" s="107"/>
      <c r="D265">
        <v>2023</v>
      </c>
      <c r="E265">
        <f t="shared" si="56"/>
        <v>92374.6</v>
      </c>
      <c r="F265">
        <f t="shared" si="57"/>
        <v>92374.6</v>
      </c>
      <c r="G265">
        <v>0</v>
      </c>
      <c r="H265">
        <v>0</v>
      </c>
      <c r="I265">
        <v>0</v>
      </c>
      <c r="J265" s="107"/>
      <c r="K265" s="107"/>
    </row>
    <row r="266" spans="1:11" x14ac:dyDescent="0.25">
      <c r="A266" s="107"/>
      <c r="B266" s="107"/>
      <c r="C266" s="107"/>
      <c r="D266">
        <v>2024</v>
      </c>
      <c r="E266">
        <f t="shared" si="56"/>
        <v>92374.6</v>
      </c>
      <c r="F266">
        <f t="shared" si="57"/>
        <v>92374.6</v>
      </c>
      <c r="G266">
        <v>0</v>
      </c>
      <c r="H266">
        <v>0</v>
      </c>
      <c r="I266">
        <v>0</v>
      </c>
      <c r="J266" s="107"/>
      <c r="K266" s="107"/>
    </row>
    <row r="267" spans="1:11" x14ac:dyDescent="0.25">
      <c r="A267" s="107"/>
      <c r="B267" s="107"/>
      <c r="C267" s="107"/>
      <c r="D267">
        <v>2025</v>
      </c>
      <c r="E267">
        <f t="shared" si="56"/>
        <v>92374.6</v>
      </c>
      <c r="F267">
        <f t="shared" si="57"/>
        <v>92374.6</v>
      </c>
      <c r="G267">
        <v>0</v>
      </c>
      <c r="H267">
        <v>0</v>
      </c>
      <c r="I267">
        <v>0</v>
      </c>
      <c r="J267" s="107"/>
      <c r="K267" s="107"/>
    </row>
    <row r="268" spans="1:11" x14ac:dyDescent="0.25">
      <c r="A268" s="107" t="s">
        <v>1396</v>
      </c>
      <c r="B268" s="107" t="s">
        <v>1397</v>
      </c>
      <c r="C268" s="107" t="s">
        <v>14</v>
      </c>
      <c r="D268" t="s">
        <v>8</v>
      </c>
      <c r="E268">
        <f>E269+E270+E271+E272+E273</f>
        <v>399568</v>
      </c>
      <c r="F268">
        <f>SUM(F269:F273)</f>
        <v>399568</v>
      </c>
      <c r="G268">
        <f>SUM(G269:G273)</f>
        <v>0</v>
      </c>
      <c r="H268">
        <f>SUM(H269:H273)</f>
        <v>0</v>
      </c>
      <c r="I268">
        <f>SUM(I269:I273)</f>
        <v>0</v>
      </c>
      <c r="J268" s="107" t="s">
        <v>1398</v>
      </c>
      <c r="K268" s="107" t="s">
        <v>1383</v>
      </c>
    </row>
    <row r="269" spans="1:11" x14ac:dyDescent="0.25">
      <c r="A269" s="107"/>
      <c r="B269" s="107"/>
      <c r="C269" s="107"/>
      <c r="D269">
        <v>2021</v>
      </c>
      <c r="E269">
        <f t="shared" ref="E269:E273" si="58">F269+G269+H269+I269</f>
        <v>48269.8</v>
      </c>
      <c r="F269">
        <v>48269.8</v>
      </c>
      <c r="G269">
        <v>0</v>
      </c>
      <c r="H269">
        <v>0</v>
      </c>
      <c r="I269">
        <v>0</v>
      </c>
      <c r="J269" s="107"/>
      <c r="K269" s="107"/>
    </row>
    <row r="270" spans="1:11" x14ac:dyDescent="0.25">
      <c r="A270" s="107"/>
      <c r="B270" s="107"/>
      <c r="C270" s="107"/>
      <c r="D270">
        <v>2022</v>
      </c>
      <c r="E270">
        <f t="shared" si="58"/>
        <v>74174.399999999994</v>
      </c>
      <c r="F270">
        <v>74174.399999999994</v>
      </c>
      <c r="G270">
        <v>0</v>
      </c>
      <c r="H270">
        <v>0</v>
      </c>
      <c r="I270">
        <v>0</v>
      </c>
      <c r="J270" s="107"/>
      <c r="K270" s="107"/>
    </row>
    <row r="271" spans="1:11" x14ac:dyDescent="0.25">
      <c r="A271" s="107"/>
      <c r="B271" s="107"/>
      <c r="C271" s="107"/>
      <c r="D271">
        <v>2023</v>
      </c>
      <c r="E271">
        <f t="shared" si="58"/>
        <v>92374.6</v>
      </c>
      <c r="F271">
        <v>92374.6</v>
      </c>
      <c r="G271">
        <v>0</v>
      </c>
      <c r="H271">
        <v>0</v>
      </c>
      <c r="I271">
        <v>0</v>
      </c>
      <c r="J271" s="107"/>
      <c r="K271" s="107"/>
    </row>
    <row r="272" spans="1:11" x14ac:dyDescent="0.25">
      <c r="A272" s="107"/>
      <c r="B272" s="107"/>
      <c r="C272" s="107"/>
      <c r="D272">
        <v>2024</v>
      </c>
      <c r="E272">
        <f t="shared" si="58"/>
        <v>92374.6</v>
      </c>
      <c r="F272">
        <v>92374.6</v>
      </c>
      <c r="G272">
        <v>0</v>
      </c>
      <c r="H272">
        <v>0</v>
      </c>
      <c r="I272">
        <v>0</v>
      </c>
      <c r="J272" s="107"/>
      <c r="K272" s="107"/>
    </row>
    <row r="273" spans="1:11" x14ac:dyDescent="0.25">
      <c r="A273" s="107"/>
      <c r="B273" s="107"/>
      <c r="C273" s="107"/>
      <c r="D273">
        <v>2025</v>
      </c>
      <c r="E273">
        <f t="shared" si="58"/>
        <v>92374.6</v>
      </c>
      <c r="F273">
        <v>92374.6</v>
      </c>
      <c r="G273">
        <v>0</v>
      </c>
      <c r="H273">
        <v>0</v>
      </c>
      <c r="I273">
        <v>0</v>
      </c>
      <c r="J273" s="107"/>
      <c r="K273" s="107"/>
    </row>
    <row r="274" spans="1:11" x14ac:dyDescent="0.25">
      <c r="A274" s="107" t="s">
        <v>1399</v>
      </c>
      <c r="B274" s="107" t="s">
        <v>1400</v>
      </c>
      <c r="C274" s="107" t="s">
        <v>14</v>
      </c>
      <c r="D274" t="s">
        <v>8</v>
      </c>
      <c r="E274">
        <f>SUM(E275:E279)</f>
        <v>68023.989999999991</v>
      </c>
      <c r="F274">
        <f>SUM(F275:F279)</f>
        <v>54827.99</v>
      </c>
      <c r="G274">
        <f>SUM(G275:G279)</f>
        <v>0</v>
      </c>
      <c r="H274">
        <f>SUM(H275:H279)</f>
        <v>13196</v>
      </c>
      <c r="I274">
        <f>SUM(I275:I279)</f>
        <v>0</v>
      </c>
      <c r="J274" s="107" t="s">
        <v>1401</v>
      </c>
      <c r="K274" s="107" t="s">
        <v>1383</v>
      </c>
    </row>
    <row r="275" spans="1:11" x14ac:dyDescent="0.25">
      <c r="A275" s="107"/>
      <c r="B275" s="107"/>
      <c r="C275" s="107"/>
      <c r="D275">
        <v>2021</v>
      </c>
      <c r="E275">
        <v>0</v>
      </c>
      <c r="F275">
        <f t="shared" ref="F275:F276" si="59">F281</f>
        <v>0</v>
      </c>
      <c r="G275">
        <v>0</v>
      </c>
      <c r="H275">
        <f t="shared" ref="H275:H276" si="60">H281</f>
        <v>0</v>
      </c>
      <c r="I275">
        <v>0</v>
      </c>
      <c r="J275" s="107"/>
      <c r="K275" s="107"/>
    </row>
    <row r="276" spans="1:11" x14ac:dyDescent="0.25">
      <c r="A276" s="107"/>
      <c r="B276" s="107"/>
      <c r="C276" s="107"/>
      <c r="D276">
        <v>2022</v>
      </c>
      <c r="E276">
        <f t="shared" ref="E276:E277" si="61">SUM(F276:I276)</f>
        <v>68023.989999999991</v>
      </c>
      <c r="F276">
        <f t="shared" si="59"/>
        <v>54827.99</v>
      </c>
      <c r="G276">
        <f>G282</f>
        <v>0</v>
      </c>
      <c r="H276">
        <f t="shared" si="60"/>
        <v>13196</v>
      </c>
      <c r="I276">
        <f>I282</f>
        <v>0</v>
      </c>
      <c r="J276" s="107"/>
      <c r="K276" s="107"/>
    </row>
    <row r="277" spans="1:11" x14ac:dyDescent="0.25">
      <c r="A277" s="107"/>
      <c r="B277" s="107"/>
      <c r="C277" s="107"/>
      <c r="D277">
        <v>2023</v>
      </c>
      <c r="E277">
        <f t="shared" si="61"/>
        <v>0</v>
      </c>
      <c r="F277">
        <v>0</v>
      </c>
      <c r="G277">
        <v>0</v>
      </c>
      <c r="H277">
        <v>0</v>
      </c>
      <c r="I277">
        <v>0</v>
      </c>
      <c r="J277" s="107"/>
      <c r="K277" s="107"/>
    </row>
    <row r="278" spans="1:11" x14ac:dyDescent="0.25">
      <c r="A278" s="107"/>
      <c r="B278" s="107"/>
      <c r="C278" s="107"/>
      <c r="D278">
        <v>2024</v>
      </c>
      <c r="E278">
        <v>0</v>
      </c>
      <c r="F278">
        <v>0</v>
      </c>
      <c r="G278">
        <v>0</v>
      </c>
      <c r="H278">
        <v>0</v>
      </c>
      <c r="I278">
        <v>0</v>
      </c>
      <c r="J278" s="107"/>
      <c r="K278" s="107"/>
    </row>
    <row r="279" spans="1:11" x14ac:dyDescent="0.25">
      <c r="A279" s="107"/>
      <c r="B279" s="107"/>
      <c r="C279" s="107"/>
      <c r="D279">
        <v>2025</v>
      </c>
      <c r="E279">
        <v>0</v>
      </c>
      <c r="F279">
        <v>0</v>
      </c>
      <c r="G279">
        <v>0</v>
      </c>
      <c r="H279">
        <v>0</v>
      </c>
      <c r="I279">
        <v>0</v>
      </c>
      <c r="J279" s="107"/>
      <c r="K279" s="107"/>
    </row>
    <row r="280" spans="1:11" x14ac:dyDescent="0.25">
      <c r="A280" s="107" t="s">
        <v>1402</v>
      </c>
      <c r="B280" s="107" t="s">
        <v>1403</v>
      </c>
      <c r="C280" s="107" t="s">
        <v>14</v>
      </c>
      <c r="D280" t="s">
        <v>8</v>
      </c>
      <c r="E280">
        <f>E281+E282+E283+E284+E285</f>
        <v>68023.989999999991</v>
      </c>
      <c r="F280">
        <f>SUM(F281:F285)</f>
        <v>54827.99</v>
      </c>
      <c r="G280">
        <f>SUM(G281:G285)</f>
        <v>0</v>
      </c>
      <c r="H280">
        <f>SUM(H281:H285)</f>
        <v>13196</v>
      </c>
      <c r="I280">
        <f>SUM(I281:I285)</f>
        <v>0</v>
      </c>
      <c r="J280" s="107" t="s">
        <v>1404</v>
      </c>
      <c r="K280" s="107" t="s">
        <v>1383</v>
      </c>
    </row>
    <row r="281" spans="1:11" x14ac:dyDescent="0.25">
      <c r="A281" s="107"/>
      <c r="B281" s="107"/>
      <c r="C281" s="107"/>
      <c r="D281">
        <v>2021</v>
      </c>
      <c r="E281">
        <v>0</v>
      </c>
      <c r="F281">
        <v>0</v>
      </c>
      <c r="G281">
        <v>0</v>
      </c>
      <c r="H281">
        <v>0</v>
      </c>
      <c r="I281">
        <v>0</v>
      </c>
      <c r="J281" s="107"/>
      <c r="K281" s="107"/>
    </row>
    <row r="282" spans="1:11" x14ac:dyDescent="0.25">
      <c r="A282" s="107"/>
      <c r="B282" s="107"/>
      <c r="C282" s="107"/>
      <c r="D282">
        <v>2022</v>
      </c>
      <c r="E282">
        <f t="shared" ref="E282:E283" si="62">SUM(F282:I282)</f>
        <v>68023.989999999991</v>
      </c>
      <c r="F282">
        <v>54827.99</v>
      </c>
      <c r="G282">
        <v>0</v>
      </c>
      <c r="H282">
        <v>13196</v>
      </c>
      <c r="I282">
        <v>0</v>
      </c>
      <c r="J282" s="107"/>
      <c r="K282" s="107"/>
    </row>
    <row r="283" spans="1:11" x14ac:dyDescent="0.25">
      <c r="A283" s="107"/>
      <c r="B283" s="107"/>
      <c r="C283" s="107"/>
      <c r="D283">
        <v>2023</v>
      </c>
      <c r="E283">
        <f t="shared" si="62"/>
        <v>0</v>
      </c>
      <c r="F283">
        <v>0</v>
      </c>
      <c r="G283">
        <v>0</v>
      </c>
      <c r="H283">
        <v>0</v>
      </c>
      <c r="I283">
        <v>0</v>
      </c>
      <c r="J283" s="107"/>
      <c r="K283" s="107"/>
    </row>
    <row r="284" spans="1:11" x14ac:dyDescent="0.25">
      <c r="A284" s="107"/>
      <c r="B284" s="107"/>
      <c r="C284" s="107"/>
      <c r="D284">
        <v>2024</v>
      </c>
      <c r="E284">
        <v>0</v>
      </c>
      <c r="F284">
        <v>0</v>
      </c>
      <c r="G284">
        <v>0</v>
      </c>
      <c r="H284">
        <v>0</v>
      </c>
      <c r="I284">
        <v>0</v>
      </c>
      <c r="J284" s="107"/>
      <c r="K284" s="107"/>
    </row>
    <row r="285" spans="1:11" x14ac:dyDescent="0.25">
      <c r="A285" s="107"/>
      <c r="B285" s="107"/>
      <c r="C285" s="107"/>
      <c r="D285">
        <v>2025</v>
      </c>
      <c r="E285">
        <v>0</v>
      </c>
      <c r="F285">
        <v>0</v>
      </c>
      <c r="G285">
        <v>0</v>
      </c>
      <c r="H285">
        <v>0</v>
      </c>
      <c r="I285">
        <v>0</v>
      </c>
      <c r="J285" s="107"/>
      <c r="K285" s="107"/>
    </row>
    <row r="286" spans="1:11" x14ac:dyDescent="0.25">
      <c r="A286" s="107" t="s">
        <v>1405</v>
      </c>
      <c r="B286" s="107" t="s">
        <v>1406</v>
      </c>
      <c r="C286" s="107" t="s">
        <v>1332</v>
      </c>
      <c r="D286" t="s">
        <v>8</v>
      </c>
      <c r="E286">
        <f>F286+G286+H286+I286</f>
        <v>1430960.8499999999</v>
      </c>
      <c r="F286">
        <f>SUM(F287:F291)</f>
        <v>1409577.2</v>
      </c>
      <c r="G286">
        <f>SUM(G287:G291)</f>
        <v>0</v>
      </c>
      <c r="H286">
        <f>SUM(H287:H291)</f>
        <v>21383.65</v>
      </c>
      <c r="I286">
        <f>SUM(I287:I291)</f>
        <v>0</v>
      </c>
      <c r="J286" s="107" t="s">
        <v>1407</v>
      </c>
      <c r="K286" s="107" t="s">
        <v>1265</v>
      </c>
    </row>
    <row r="287" spans="1:11" x14ac:dyDescent="0.25">
      <c r="A287" s="107"/>
      <c r="B287" s="107"/>
      <c r="C287" s="107"/>
      <c r="D287">
        <v>2021</v>
      </c>
      <c r="E287">
        <v>0</v>
      </c>
      <c r="F287">
        <f t="shared" ref="F287:I291" si="63">F293+F299</f>
        <v>0</v>
      </c>
      <c r="G287">
        <f t="shared" ref="G287:I287" si="64">G293+G299</f>
        <v>0</v>
      </c>
      <c r="H287">
        <f t="shared" si="64"/>
        <v>0</v>
      </c>
      <c r="I287">
        <f t="shared" si="64"/>
        <v>0</v>
      </c>
      <c r="J287" s="107"/>
      <c r="K287" s="107"/>
    </row>
    <row r="288" spans="1:11" x14ac:dyDescent="0.25">
      <c r="A288" s="107"/>
      <c r="B288" s="107"/>
      <c r="C288" s="107"/>
      <c r="D288">
        <v>2022</v>
      </c>
      <c r="E288">
        <f t="shared" ref="E288:E291" si="65">SUM(F288:I288)</f>
        <v>554427.04999999993</v>
      </c>
      <c r="F288">
        <f t="shared" si="63"/>
        <v>546870.1</v>
      </c>
      <c r="G288">
        <f t="shared" si="63"/>
        <v>0</v>
      </c>
      <c r="H288">
        <f t="shared" si="63"/>
        <v>7556.95</v>
      </c>
      <c r="I288">
        <f t="shared" si="63"/>
        <v>0</v>
      </c>
      <c r="J288" s="107"/>
      <c r="K288" s="107"/>
    </row>
    <row r="289" spans="1:11" x14ac:dyDescent="0.25">
      <c r="A289" s="107"/>
      <c r="B289" s="107"/>
      <c r="C289" s="107"/>
      <c r="D289">
        <v>2023</v>
      </c>
      <c r="E289">
        <f t="shared" si="65"/>
        <v>436993.8</v>
      </c>
      <c r="F289">
        <f t="shared" si="63"/>
        <v>425144.1</v>
      </c>
      <c r="G289">
        <f t="shared" si="63"/>
        <v>0</v>
      </c>
      <c r="H289">
        <f t="shared" si="63"/>
        <v>11849.7</v>
      </c>
      <c r="I289">
        <f t="shared" si="63"/>
        <v>0</v>
      </c>
      <c r="J289" s="107"/>
      <c r="K289" s="107"/>
    </row>
    <row r="290" spans="1:11" x14ac:dyDescent="0.25">
      <c r="A290" s="107"/>
      <c r="B290" s="107"/>
      <c r="C290" s="107"/>
      <c r="D290">
        <v>2024</v>
      </c>
      <c r="E290">
        <f t="shared" si="65"/>
        <v>239540</v>
      </c>
      <c r="F290">
        <f t="shared" si="63"/>
        <v>237563</v>
      </c>
      <c r="G290">
        <f t="shared" si="63"/>
        <v>0</v>
      </c>
      <c r="H290">
        <f t="shared" si="63"/>
        <v>1977</v>
      </c>
      <c r="I290">
        <f t="shared" si="63"/>
        <v>0</v>
      </c>
      <c r="J290" s="107"/>
      <c r="K290" s="107"/>
    </row>
    <row r="291" spans="1:11" x14ac:dyDescent="0.25">
      <c r="A291" s="107"/>
      <c r="B291" s="107"/>
      <c r="C291" s="107"/>
      <c r="D291">
        <v>2025</v>
      </c>
      <c r="E291">
        <f t="shared" si="65"/>
        <v>200000</v>
      </c>
      <c r="F291">
        <f t="shared" si="63"/>
        <v>200000</v>
      </c>
      <c r="G291">
        <f t="shared" si="63"/>
        <v>0</v>
      </c>
      <c r="H291">
        <f t="shared" si="63"/>
        <v>0</v>
      </c>
      <c r="I291">
        <f t="shared" si="63"/>
        <v>0</v>
      </c>
      <c r="J291" s="107"/>
      <c r="K291" s="107"/>
    </row>
    <row r="292" spans="1:11" x14ac:dyDescent="0.25">
      <c r="A292" s="107" t="s">
        <v>1408</v>
      </c>
      <c r="B292" s="107" t="s">
        <v>1409</v>
      </c>
      <c r="C292" s="107" t="s">
        <v>1332</v>
      </c>
      <c r="D292" t="s">
        <v>8</v>
      </c>
      <c r="E292">
        <f>E293+E294+E295+E296+E297</f>
        <v>1003288.05</v>
      </c>
      <c r="F292">
        <f>SUM(F293:F297)</f>
        <v>1003288.05</v>
      </c>
      <c r="G292">
        <f>SUM(G293:G297)</f>
        <v>0</v>
      </c>
      <c r="H292">
        <f>SUM(H293:H297)</f>
        <v>0</v>
      </c>
      <c r="I292">
        <f>SUM(I293:I297)</f>
        <v>0</v>
      </c>
      <c r="J292" s="107" t="s">
        <v>1410</v>
      </c>
      <c r="K292" s="107" t="s">
        <v>748</v>
      </c>
    </row>
    <row r="293" spans="1:11" x14ac:dyDescent="0.25">
      <c r="A293" s="107"/>
      <c r="B293" s="107"/>
      <c r="C293" s="107"/>
      <c r="D293">
        <v>2021</v>
      </c>
      <c r="E293">
        <v>0</v>
      </c>
      <c r="F293">
        <v>0</v>
      </c>
      <c r="G293">
        <v>0</v>
      </c>
      <c r="I293">
        <v>0</v>
      </c>
      <c r="J293" s="107"/>
      <c r="K293" s="107"/>
    </row>
    <row r="294" spans="1:11" x14ac:dyDescent="0.25">
      <c r="A294" s="107"/>
      <c r="B294" s="107"/>
      <c r="C294" s="107"/>
      <c r="D294">
        <v>2022</v>
      </c>
      <c r="E294">
        <f>F294</f>
        <v>403288.05</v>
      </c>
      <c r="F294">
        <f>500000-123000+26288.05</f>
        <v>403288.05</v>
      </c>
      <c r="G294">
        <v>0</v>
      </c>
      <c r="H294">
        <v>0</v>
      </c>
      <c r="I294">
        <v>0</v>
      </c>
      <c r="J294" s="107"/>
      <c r="K294" s="107"/>
    </row>
    <row r="295" spans="1:11" x14ac:dyDescent="0.25">
      <c r="A295" s="107"/>
      <c r="B295" s="107"/>
      <c r="C295" s="107"/>
      <c r="D295">
        <v>2023</v>
      </c>
      <c r="E295">
        <f t="shared" ref="E295:E297" si="66">SUM(F295:I295)</f>
        <v>200000</v>
      </c>
      <c r="F295">
        <v>200000</v>
      </c>
      <c r="G295">
        <v>0</v>
      </c>
      <c r="H295">
        <v>0</v>
      </c>
      <c r="I295">
        <v>0</v>
      </c>
      <c r="J295" s="107"/>
      <c r="K295" s="107"/>
    </row>
    <row r="296" spans="1:11" x14ac:dyDescent="0.25">
      <c r="A296" s="107"/>
      <c r="B296" s="107"/>
      <c r="C296" s="107"/>
      <c r="D296">
        <v>2024</v>
      </c>
      <c r="E296">
        <f t="shared" si="66"/>
        <v>200000</v>
      </c>
      <c r="F296">
        <v>200000</v>
      </c>
      <c r="G296">
        <v>0</v>
      </c>
      <c r="H296">
        <v>0</v>
      </c>
      <c r="I296">
        <v>0</v>
      </c>
      <c r="J296" s="107"/>
      <c r="K296" s="107"/>
    </row>
    <row r="297" spans="1:11" x14ac:dyDescent="0.25">
      <c r="A297" s="107"/>
      <c r="B297" s="107"/>
      <c r="C297" s="107"/>
      <c r="D297">
        <v>2025</v>
      </c>
      <c r="E297">
        <f t="shared" si="66"/>
        <v>200000</v>
      </c>
      <c r="F297">
        <v>200000</v>
      </c>
      <c r="G297">
        <v>0</v>
      </c>
      <c r="H297">
        <v>0</v>
      </c>
      <c r="I297">
        <v>0</v>
      </c>
      <c r="J297" s="107"/>
      <c r="K297" s="107"/>
    </row>
    <row r="298" spans="1:11" x14ac:dyDescent="0.25">
      <c r="A298" s="107" t="s">
        <v>1411</v>
      </c>
      <c r="B298" s="107" t="s">
        <v>1412</v>
      </c>
      <c r="C298" s="107"/>
      <c r="D298" t="s">
        <v>8</v>
      </c>
      <c r="E298">
        <f>SUM(E299:E303)</f>
        <v>427672.80000000005</v>
      </c>
      <c r="F298">
        <f t="shared" ref="F298:I298" si="67">SUM(F299:F303)</f>
        <v>406289.15</v>
      </c>
      <c r="G298">
        <f t="shared" si="67"/>
        <v>0</v>
      </c>
      <c r="H298">
        <f t="shared" si="67"/>
        <v>21383.65</v>
      </c>
      <c r="I298">
        <f t="shared" si="67"/>
        <v>0</v>
      </c>
      <c r="J298" s="107" t="s">
        <v>1413</v>
      </c>
      <c r="K298" s="107" t="s">
        <v>1265</v>
      </c>
    </row>
    <row r="299" spans="1:11" x14ac:dyDescent="0.25">
      <c r="A299" s="107"/>
      <c r="B299" s="107"/>
      <c r="C299" s="107"/>
      <c r="D299">
        <v>2021</v>
      </c>
      <c r="E299">
        <f t="shared" ref="E299:E303" si="68">F299+G299+H299+I299</f>
        <v>0</v>
      </c>
      <c r="F299">
        <v>0</v>
      </c>
      <c r="G299">
        <v>0</v>
      </c>
      <c r="H299">
        <v>0</v>
      </c>
      <c r="I299">
        <v>0</v>
      </c>
      <c r="J299" s="107"/>
      <c r="K299" s="107"/>
    </row>
    <row r="300" spans="1:11" x14ac:dyDescent="0.25">
      <c r="A300" s="107"/>
      <c r="B300" s="107"/>
      <c r="C300" s="107"/>
      <c r="D300">
        <v>2022</v>
      </c>
      <c r="E300">
        <f t="shared" si="68"/>
        <v>151139</v>
      </c>
      <c r="F300">
        <f>143582050/1000</f>
        <v>143582.04999999999</v>
      </c>
      <c r="G300">
        <v>0</v>
      </c>
      <c r="H300">
        <v>7556.95</v>
      </c>
      <c r="I300">
        <v>0</v>
      </c>
      <c r="J300" s="107"/>
      <c r="K300" s="107"/>
    </row>
    <row r="301" spans="1:11" x14ac:dyDescent="0.25">
      <c r="A301" s="107"/>
      <c r="B301" s="107"/>
      <c r="C301" s="107"/>
      <c r="D301">
        <v>2023</v>
      </c>
      <c r="E301">
        <f t="shared" si="68"/>
        <v>236993.80000000002</v>
      </c>
      <c r="F301">
        <v>225144.1</v>
      </c>
      <c r="G301">
        <v>0</v>
      </c>
      <c r="H301">
        <v>11849.7</v>
      </c>
      <c r="I301">
        <v>0</v>
      </c>
      <c r="J301" s="107"/>
      <c r="K301" s="107"/>
    </row>
    <row r="302" spans="1:11" x14ac:dyDescent="0.25">
      <c r="A302" s="107"/>
      <c r="B302" s="107"/>
      <c r="C302" s="107"/>
      <c r="D302">
        <v>2024</v>
      </c>
      <c r="E302">
        <f t="shared" si="68"/>
        <v>39540</v>
      </c>
      <c r="F302">
        <v>37563</v>
      </c>
      <c r="G302">
        <v>0</v>
      </c>
      <c r="H302">
        <v>1977</v>
      </c>
      <c r="I302">
        <v>0</v>
      </c>
      <c r="J302" s="107"/>
      <c r="K302" s="107"/>
    </row>
    <row r="303" spans="1:11" x14ac:dyDescent="0.25">
      <c r="A303" s="107"/>
      <c r="B303" s="107"/>
      <c r="C303" s="107"/>
      <c r="D303">
        <v>2025</v>
      </c>
      <c r="E303">
        <f t="shared" si="68"/>
        <v>0</v>
      </c>
      <c r="F303">
        <v>0</v>
      </c>
      <c r="G303">
        <v>0</v>
      </c>
      <c r="H303">
        <v>0</v>
      </c>
      <c r="I303">
        <v>0</v>
      </c>
      <c r="J303" s="107"/>
      <c r="K303" s="107"/>
    </row>
    <row r="304" spans="1:11" x14ac:dyDescent="0.25">
      <c r="A304" s="107" t="s">
        <v>1414</v>
      </c>
      <c r="B304" s="107" t="s">
        <v>1415</v>
      </c>
      <c r="C304" s="107" t="s">
        <v>1332</v>
      </c>
      <c r="D304" t="s">
        <v>8</v>
      </c>
      <c r="E304">
        <f>SUM(E305:E309)</f>
        <v>0</v>
      </c>
      <c r="F304">
        <f>SUM(F305:F309)</f>
        <v>0</v>
      </c>
      <c r="G304">
        <f>SUM(G305:G309)</f>
        <v>0</v>
      </c>
      <c r="H304">
        <f>SUM(H305:H309)</f>
        <v>0</v>
      </c>
      <c r="I304">
        <f>SUM(I305:I309)</f>
        <v>0</v>
      </c>
      <c r="J304" s="107" t="s">
        <v>1416</v>
      </c>
      <c r="K304" s="107" t="s">
        <v>748</v>
      </c>
    </row>
    <row r="305" spans="1:11" x14ac:dyDescent="0.25">
      <c r="A305" s="107"/>
      <c r="B305" s="107"/>
      <c r="C305" s="107"/>
      <c r="D305">
        <v>2021</v>
      </c>
      <c r="E305">
        <v>0</v>
      </c>
      <c r="F305">
        <v>0</v>
      </c>
      <c r="G305">
        <v>0</v>
      </c>
      <c r="H305">
        <v>0</v>
      </c>
      <c r="I305">
        <v>0</v>
      </c>
      <c r="J305" s="107"/>
      <c r="K305" s="107"/>
    </row>
    <row r="306" spans="1:11" x14ac:dyDescent="0.25">
      <c r="A306" s="107"/>
      <c r="B306" s="107"/>
      <c r="C306" s="107"/>
      <c r="D306">
        <v>2022</v>
      </c>
      <c r="E306">
        <f t="shared" ref="E306:E308" si="69">SUM(F306:I306)</f>
        <v>0</v>
      </c>
      <c r="F306">
        <f t="shared" ref="F306:F308" si="70">F312</f>
        <v>0</v>
      </c>
      <c r="G306">
        <v>0</v>
      </c>
      <c r="H306">
        <v>0</v>
      </c>
      <c r="I306">
        <v>0</v>
      </c>
      <c r="J306" s="107"/>
      <c r="K306" s="107"/>
    </row>
    <row r="307" spans="1:11" x14ac:dyDescent="0.25">
      <c r="A307" s="107"/>
      <c r="B307" s="107"/>
      <c r="C307" s="107"/>
      <c r="D307">
        <v>2023</v>
      </c>
      <c r="E307">
        <f t="shared" si="69"/>
        <v>0</v>
      </c>
      <c r="F307">
        <f t="shared" si="70"/>
        <v>0</v>
      </c>
      <c r="G307">
        <v>0</v>
      </c>
      <c r="H307">
        <v>0</v>
      </c>
      <c r="I307">
        <v>0</v>
      </c>
      <c r="J307" s="107"/>
      <c r="K307" s="107"/>
    </row>
    <row r="308" spans="1:11" x14ac:dyDescent="0.25">
      <c r="A308" s="107"/>
      <c r="B308" s="107"/>
      <c r="C308" s="107"/>
      <c r="D308">
        <v>2024</v>
      </c>
      <c r="E308">
        <f t="shared" si="69"/>
        <v>0</v>
      </c>
      <c r="F308">
        <f t="shared" si="70"/>
        <v>0</v>
      </c>
      <c r="G308">
        <v>0</v>
      </c>
      <c r="H308">
        <v>0</v>
      </c>
      <c r="I308">
        <v>0</v>
      </c>
      <c r="J308" s="107"/>
      <c r="K308" s="107"/>
    </row>
    <row r="309" spans="1:11" x14ac:dyDescent="0.25">
      <c r="A309" s="107"/>
      <c r="B309" s="107"/>
      <c r="C309" s="107"/>
      <c r="D309">
        <v>2025</v>
      </c>
      <c r="E309">
        <v>0</v>
      </c>
      <c r="F309">
        <v>0</v>
      </c>
      <c r="G309">
        <v>0</v>
      </c>
      <c r="H309">
        <v>0</v>
      </c>
      <c r="I309">
        <v>0</v>
      </c>
      <c r="J309" s="107"/>
      <c r="K309" s="107"/>
    </row>
    <row r="310" spans="1:11" x14ac:dyDescent="0.25">
      <c r="A310" s="107" t="s">
        <v>1417</v>
      </c>
      <c r="B310" s="107" t="s">
        <v>1418</v>
      </c>
      <c r="C310" s="107" t="s">
        <v>1113</v>
      </c>
      <c r="D310" t="s">
        <v>8</v>
      </c>
      <c r="E310">
        <f>SUM(E311:E315)</f>
        <v>0</v>
      </c>
      <c r="F310">
        <f>SUM(F311:F315)</f>
        <v>0</v>
      </c>
      <c r="G310">
        <f>SUM(G311:G315)</f>
        <v>0</v>
      </c>
      <c r="H310">
        <f>SUM(H311:H315)</f>
        <v>0</v>
      </c>
      <c r="I310">
        <f>SUM(I311:I315)</f>
        <v>0</v>
      </c>
      <c r="J310" s="107" t="s">
        <v>1419</v>
      </c>
      <c r="K310" s="107" t="s">
        <v>748</v>
      </c>
    </row>
    <row r="311" spans="1:11" x14ac:dyDescent="0.25">
      <c r="A311" s="107"/>
      <c r="B311" s="107"/>
      <c r="C311" s="107"/>
      <c r="D311">
        <v>2021</v>
      </c>
      <c r="E311">
        <f t="shared" ref="E311:E312" si="71">F311</f>
        <v>0</v>
      </c>
      <c r="F311">
        <v>0</v>
      </c>
      <c r="G311">
        <v>0</v>
      </c>
      <c r="I311">
        <v>0</v>
      </c>
      <c r="J311" s="107"/>
      <c r="K311" s="107"/>
    </row>
    <row r="312" spans="1:11" x14ac:dyDescent="0.25">
      <c r="A312" s="107"/>
      <c r="B312" s="107"/>
      <c r="C312" s="107"/>
      <c r="D312">
        <v>2022</v>
      </c>
      <c r="E312">
        <f t="shared" si="71"/>
        <v>0</v>
      </c>
      <c r="F312">
        <f>172603.46-172603.46</f>
        <v>0</v>
      </c>
      <c r="G312">
        <v>0</v>
      </c>
      <c r="H312">
        <v>0</v>
      </c>
      <c r="I312">
        <v>0</v>
      </c>
      <c r="J312" s="107"/>
      <c r="K312" s="107"/>
    </row>
    <row r="313" spans="1:11" x14ac:dyDescent="0.25">
      <c r="A313" s="107"/>
      <c r="B313" s="107"/>
      <c r="C313" s="107"/>
      <c r="D313">
        <v>2023</v>
      </c>
      <c r="E313">
        <f t="shared" ref="E313:E314" si="72">SUM(F313:I313)</f>
        <v>0</v>
      </c>
      <c r="F313">
        <v>0</v>
      </c>
      <c r="G313">
        <v>0</v>
      </c>
      <c r="H313">
        <v>0</v>
      </c>
      <c r="I313">
        <v>0</v>
      </c>
      <c r="J313" s="107"/>
      <c r="K313" s="107"/>
    </row>
    <row r="314" spans="1:11" x14ac:dyDescent="0.25">
      <c r="A314" s="107"/>
      <c r="B314" s="107"/>
      <c r="C314" s="107"/>
      <c r="D314">
        <v>2024</v>
      </c>
      <c r="E314">
        <f t="shared" si="72"/>
        <v>0</v>
      </c>
      <c r="F314">
        <v>0</v>
      </c>
      <c r="G314">
        <v>0</v>
      </c>
      <c r="H314">
        <v>0</v>
      </c>
      <c r="I314">
        <v>0</v>
      </c>
      <c r="J314" s="107"/>
      <c r="K314" s="107"/>
    </row>
    <row r="315" spans="1:11" x14ac:dyDescent="0.25">
      <c r="A315" s="107"/>
      <c r="B315" s="107"/>
      <c r="C315" s="107"/>
      <c r="D315">
        <v>2025</v>
      </c>
      <c r="E315">
        <v>0</v>
      </c>
      <c r="F315">
        <v>0</v>
      </c>
      <c r="G315">
        <v>0</v>
      </c>
      <c r="H315">
        <v>0</v>
      </c>
      <c r="I315">
        <v>0</v>
      </c>
      <c r="J315" s="107"/>
      <c r="K315" s="107"/>
    </row>
    <row r="316" spans="1:11" x14ac:dyDescent="0.25">
      <c r="A316" s="107" t="s">
        <v>1420</v>
      </c>
      <c r="B316" s="107" t="s">
        <v>1421</v>
      </c>
      <c r="C316" s="107">
        <v>2023</v>
      </c>
      <c r="D316" t="s">
        <v>8</v>
      </c>
      <c r="E316">
        <f>SUM(E317:E321)</f>
        <v>0</v>
      </c>
      <c r="F316">
        <f>SUM(F317:F321)</f>
        <v>0</v>
      </c>
      <c r="G316">
        <f t="shared" ref="G316:I316" si="73">SUM(G317:G321)</f>
        <v>0</v>
      </c>
      <c r="H316">
        <f t="shared" si="73"/>
        <v>0</v>
      </c>
      <c r="I316">
        <f t="shared" si="73"/>
        <v>0</v>
      </c>
      <c r="J316" s="107" t="s">
        <v>1422</v>
      </c>
      <c r="K316" s="107" t="s">
        <v>1265</v>
      </c>
    </row>
    <row r="317" spans="1:11" x14ac:dyDescent="0.25">
      <c r="A317" s="107"/>
      <c r="B317" s="107"/>
      <c r="C317" s="107"/>
      <c r="D317">
        <v>2021</v>
      </c>
      <c r="E317">
        <f t="shared" ref="E317:E321" si="74">F317+G317+H317+I317</f>
        <v>0</v>
      </c>
      <c r="F317">
        <f t="shared" ref="F317:I321" si="75">F323</f>
        <v>0</v>
      </c>
      <c r="G317">
        <f t="shared" ref="G317:I317" si="76">G323</f>
        <v>0</v>
      </c>
      <c r="H317">
        <f t="shared" si="76"/>
        <v>0</v>
      </c>
      <c r="I317">
        <f t="shared" si="76"/>
        <v>0</v>
      </c>
      <c r="J317" s="107"/>
      <c r="K317" s="107"/>
    </row>
    <row r="318" spans="1:11" x14ac:dyDescent="0.25">
      <c r="A318" s="107"/>
      <c r="B318" s="107"/>
      <c r="C318" s="107"/>
      <c r="D318">
        <v>2022</v>
      </c>
      <c r="E318">
        <f t="shared" si="74"/>
        <v>0</v>
      </c>
      <c r="F318">
        <f t="shared" si="75"/>
        <v>0</v>
      </c>
      <c r="G318">
        <f t="shared" si="75"/>
        <v>0</v>
      </c>
      <c r="H318">
        <f t="shared" si="75"/>
        <v>0</v>
      </c>
      <c r="I318">
        <f t="shared" si="75"/>
        <v>0</v>
      </c>
      <c r="J318" s="107"/>
      <c r="K318" s="107"/>
    </row>
    <row r="319" spans="1:11" x14ac:dyDescent="0.25">
      <c r="A319" s="107"/>
      <c r="B319" s="107"/>
      <c r="C319" s="107"/>
      <c r="D319">
        <v>2023</v>
      </c>
      <c r="E319">
        <f t="shared" si="74"/>
        <v>0</v>
      </c>
      <c r="F319">
        <f t="shared" si="75"/>
        <v>0</v>
      </c>
      <c r="G319">
        <f t="shared" si="75"/>
        <v>0</v>
      </c>
      <c r="H319">
        <f>H325</f>
        <v>0</v>
      </c>
      <c r="I319">
        <f t="shared" si="75"/>
        <v>0</v>
      </c>
      <c r="J319" s="107"/>
      <c r="K319" s="107"/>
    </row>
    <row r="320" spans="1:11" x14ac:dyDescent="0.25">
      <c r="A320" s="107"/>
      <c r="B320" s="107"/>
      <c r="C320" s="107"/>
      <c r="D320">
        <v>2024</v>
      </c>
      <c r="E320">
        <f t="shared" si="74"/>
        <v>0</v>
      </c>
      <c r="F320">
        <f t="shared" si="75"/>
        <v>0</v>
      </c>
      <c r="G320">
        <f t="shared" si="75"/>
        <v>0</v>
      </c>
      <c r="H320">
        <f t="shared" si="75"/>
        <v>0</v>
      </c>
      <c r="I320">
        <f t="shared" si="75"/>
        <v>0</v>
      </c>
      <c r="J320" s="107"/>
      <c r="K320" s="107"/>
    </row>
    <row r="321" spans="1:11" x14ac:dyDescent="0.25">
      <c r="A321" s="107"/>
      <c r="B321" s="107"/>
      <c r="C321" s="107"/>
      <c r="D321">
        <v>2025</v>
      </c>
      <c r="E321">
        <f t="shared" si="74"/>
        <v>0</v>
      </c>
      <c r="F321">
        <f t="shared" si="75"/>
        <v>0</v>
      </c>
      <c r="G321">
        <f t="shared" si="75"/>
        <v>0</v>
      </c>
      <c r="H321">
        <f t="shared" si="75"/>
        <v>0</v>
      </c>
      <c r="I321">
        <f t="shared" si="75"/>
        <v>0</v>
      </c>
      <c r="J321" s="107"/>
      <c r="K321" s="107"/>
    </row>
    <row r="322" spans="1:11" x14ac:dyDescent="0.25">
      <c r="A322" s="107" t="s">
        <v>1423</v>
      </c>
      <c r="B322" s="107" t="s">
        <v>1424</v>
      </c>
      <c r="C322" s="107">
        <v>2023</v>
      </c>
      <c r="D322" t="s">
        <v>8</v>
      </c>
      <c r="E322">
        <f>SUM(E323:E327)</f>
        <v>0</v>
      </c>
      <c r="F322">
        <f>SUM(F323:F327)</f>
        <v>0</v>
      </c>
      <c r="G322">
        <f>SUM(G323:G327)</f>
        <v>0</v>
      </c>
      <c r="H322">
        <f>SUM(H323:H327)</f>
        <v>0</v>
      </c>
      <c r="I322">
        <f>SUM(I323:I327)</f>
        <v>0</v>
      </c>
      <c r="J322" s="107" t="s">
        <v>1425</v>
      </c>
      <c r="K322" s="107" t="s">
        <v>1265</v>
      </c>
    </row>
    <row r="323" spans="1:11" x14ac:dyDescent="0.25">
      <c r="A323" s="107"/>
      <c r="B323" s="107"/>
      <c r="C323" s="107"/>
      <c r="D323">
        <v>2021</v>
      </c>
      <c r="E323">
        <f t="shared" ref="E323:E324" si="77">F323</f>
        <v>0</v>
      </c>
      <c r="F323">
        <v>0</v>
      </c>
      <c r="G323">
        <v>0</v>
      </c>
      <c r="H323">
        <v>0</v>
      </c>
      <c r="I323">
        <v>0</v>
      </c>
      <c r="J323" s="107"/>
      <c r="K323" s="107"/>
    </row>
    <row r="324" spans="1:11" x14ac:dyDescent="0.25">
      <c r="A324" s="107"/>
      <c r="B324" s="107"/>
      <c r="C324" s="107"/>
      <c r="D324">
        <v>2022</v>
      </c>
      <c r="E324">
        <f t="shared" si="77"/>
        <v>0</v>
      </c>
      <c r="F324">
        <v>0</v>
      </c>
      <c r="G324">
        <v>0</v>
      </c>
      <c r="H324">
        <v>0</v>
      </c>
      <c r="I324">
        <v>0</v>
      </c>
      <c r="J324" s="107"/>
      <c r="K324" s="107"/>
    </row>
    <row r="325" spans="1:11" x14ac:dyDescent="0.25">
      <c r="A325" s="107"/>
      <c r="B325" s="107"/>
      <c r="C325" s="107"/>
      <c r="D325">
        <v>2023</v>
      </c>
      <c r="E325">
        <f t="shared" ref="E325:E326" si="78">SUM(F325:I325)</f>
        <v>0</v>
      </c>
      <c r="F325">
        <v>0</v>
      </c>
      <c r="G325">
        <v>0</v>
      </c>
      <c r="H325">
        <v>0</v>
      </c>
      <c r="I325">
        <v>0</v>
      </c>
      <c r="J325" s="107"/>
      <c r="K325" s="107"/>
    </row>
    <row r="326" spans="1:11" x14ac:dyDescent="0.25">
      <c r="A326" s="107"/>
      <c r="B326" s="107"/>
      <c r="C326" s="107"/>
      <c r="D326">
        <v>2024</v>
      </c>
      <c r="E326">
        <f t="shared" si="78"/>
        <v>0</v>
      </c>
      <c r="F326">
        <v>0</v>
      </c>
      <c r="G326">
        <v>0</v>
      </c>
      <c r="H326">
        <v>0</v>
      </c>
      <c r="I326">
        <v>0</v>
      </c>
      <c r="J326" s="107"/>
      <c r="K326" s="107"/>
    </row>
    <row r="327" spans="1:11" x14ac:dyDescent="0.25">
      <c r="A327" s="107"/>
      <c r="B327" s="107"/>
      <c r="C327" s="107"/>
      <c r="D327">
        <v>2025</v>
      </c>
      <c r="E327">
        <v>0</v>
      </c>
      <c r="F327">
        <v>0</v>
      </c>
      <c r="G327">
        <v>0</v>
      </c>
      <c r="H327">
        <v>0</v>
      </c>
      <c r="I327">
        <v>0</v>
      </c>
      <c r="J327" s="107"/>
      <c r="K327" s="107"/>
    </row>
    <row r="328" spans="1:11" x14ac:dyDescent="0.25">
      <c r="A328" s="107" t="s">
        <v>1426</v>
      </c>
      <c r="B328" s="107" t="s">
        <v>1427</v>
      </c>
      <c r="C328" s="107">
        <v>2022</v>
      </c>
      <c r="D328" t="s">
        <v>8</v>
      </c>
      <c r="E328">
        <f>SUM(E329:E333)</f>
        <v>13301.166000000001</v>
      </c>
      <c r="F328">
        <f>SUM(F329:F333)</f>
        <v>13301.166000000001</v>
      </c>
      <c r="G328">
        <f t="shared" ref="G328:I328" si="79">SUM(G329:G333)</f>
        <v>0</v>
      </c>
      <c r="H328">
        <f t="shared" si="79"/>
        <v>0</v>
      </c>
      <c r="I328">
        <f t="shared" si="79"/>
        <v>0</v>
      </c>
      <c r="J328" s="107" t="s">
        <v>1428</v>
      </c>
      <c r="K328" s="107" t="s">
        <v>1429</v>
      </c>
    </row>
    <row r="329" spans="1:11" x14ac:dyDescent="0.25">
      <c r="A329" s="107"/>
      <c r="B329" s="107"/>
      <c r="C329" s="107"/>
      <c r="D329">
        <v>2021</v>
      </c>
      <c r="E329">
        <f t="shared" ref="E329:E333" si="80">SUM(F329:I329)</f>
        <v>0</v>
      </c>
      <c r="F329">
        <f t="shared" ref="F329:I333" si="81">F341+F335</f>
        <v>0</v>
      </c>
      <c r="G329">
        <f t="shared" ref="G329:I329" si="82">G341+G335</f>
        <v>0</v>
      </c>
      <c r="H329">
        <f t="shared" si="82"/>
        <v>0</v>
      </c>
      <c r="I329">
        <f t="shared" si="82"/>
        <v>0</v>
      </c>
      <c r="J329" s="107"/>
      <c r="K329" s="107"/>
    </row>
    <row r="330" spans="1:11" x14ac:dyDescent="0.25">
      <c r="A330" s="107"/>
      <c r="B330" s="107"/>
      <c r="C330" s="107"/>
      <c r="D330">
        <v>2022</v>
      </c>
      <c r="E330">
        <f t="shared" si="80"/>
        <v>5487.6</v>
      </c>
      <c r="F330">
        <f t="shared" si="81"/>
        <v>5487.6</v>
      </c>
      <c r="G330">
        <f t="shared" si="81"/>
        <v>0</v>
      </c>
      <c r="H330">
        <f t="shared" si="81"/>
        <v>0</v>
      </c>
      <c r="I330">
        <f t="shared" si="81"/>
        <v>0</v>
      </c>
      <c r="J330" s="107"/>
      <c r="K330" s="107"/>
    </row>
    <row r="331" spans="1:11" x14ac:dyDescent="0.25">
      <c r="A331" s="107"/>
      <c r="B331" s="107"/>
      <c r="C331" s="107"/>
      <c r="D331">
        <v>2023</v>
      </c>
      <c r="E331">
        <f t="shared" si="80"/>
        <v>7813.5659999999998</v>
      </c>
      <c r="F331">
        <f t="shared" si="81"/>
        <v>7813.5659999999998</v>
      </c>
      <c r="G331">
        <f t="shared" si="81"/>
        <v>0</v>
      </c>
      <c r="H331">
        <f t="shared" si="81"/>
        <v>0</v>
      </c>
      <c r="I331">
        <f t="shared" si="81"/>
        <v>0</v>
      </c>
      <c r="J331" s="107"/>
      <c r="K331" s="107"/>
    </row>
    <row r="332" spans="1:11" x14ac:dyDescent="0.25">
      <c r="A332" s="107"/>
      <c r="B332" s="107"/>
      <c r="C332" s="107"/>
      <c r="D332">
        <v>2024</v>
      </c>
      <c r="E332">
        <f t="shared" si="80"/>
        <v>0</v>
      </c>
      <c r="F332">
        <f t="shared" si="81"/>
        <v>0</v>
      </c>
      <c r="G332">
        <f t="shared" si="81"/>
        <v>0</v>
      </c>
      <c r="H332">
        <f t="shared" si="81"/>
        <v>0</v>
      </c>
      <c r="I332">
        <f t="shared" si="81"/>
        <v>0</v>
      </c>
      <c r="J332" s="107"/>
      <c r="K332" s="107"/>
    </row>
    <row r="333" spans="1:11" x14ac:dyDescent="0.25">
      <c r="A333" s="107"/>
      <c r="B333" s="107"/>
      <c r="C333" s="107"/>
      <c r="D333">
        <v>2025</v>
      </c>
      <c r="E333">
        <f t="shared" si="80"/>
        <v>0</v>
      </c>
      <c r="F333">
        <f t="shared" si="81"/>
        <v>0</v>
      </c>
      <c r="G333">
        <f t="shared" si="81"/>
        <v>0</v>
      </c>
      <c r="H333">
        <f t="shared" si="81"/>
        <v>0</v>
      </c>
      <c r="I333">
        <f t="shared" si="81"/>
        <v>0</v>
      </c>
      <c r="J333" s="107"/>
      <c r="K333" s="107"/>
    </row>
    <row r="334" spans="1:11" x14ac:dyDescent="0.25">
      <c r="A334" s="107" t="s">
        <v>1430</v>
      </c>
      <c r="B334" s="107" t="s">
        <v>1431</v>
      </c>
      <c r="C334" s="107">
        <v>2022</v>
      </c>
      <c r="D334" t="s">
        <v>8</v>
      </c>
      <c r="E334">
        <f>SUM(E335:E339)</f>
        <v>5487.6</v>
      </c>
      <c r="F334">
        <f>SUM(F335:F339)</f>
        <v>5487.6</v>
      </c>
      <c r="G334">
        <f>SUM(G335:G339)</f>
        <v>0</v>
      </c>
      <c r="H334">
        <f>SUM(H335:H339)</f>
        <v>0</v>
      </c>
      <c r="I334">
        <f>SUM(I335:I339)</f>
        <v>0</v>
      </c>
      <c r="J334" s="107" t="s">
        <v>1432</v>
      </c>
      <c r="K334" s="107" t="s">
        <v>1429</v>
      </c>
    </row>
    <row r="335" spans="1:11" x14ac:dyDescent="0.25">
      <c r="A335" s="107"/>
      <c r="B335" s="107"/>
      <c r="C335" s="107"/>
      <c r="D335">
        <v>2021</v>
      </c>
      <c r="E335">
        <f t="shared" ref="E335:E336" si="83">F335</f>
        <v>0</v>
      </c>
      <c r="F335">
        <v>0</v>
      </c>
      <c r="G335">
        <v>0</v>
      </c>
      <c r="H335">
        <v>0</v>
      </c>
      <c r="I335">
        <v>0</v>
      </c>
      <c r="J335" s="107"/>
      <c r="K335" s="107"/>
    </row>
    <row r="336" spans="1:11" x14ac:dyDescent="0.25">
      <c r="A336" s="107"/>
      <c r="B336" s="107"/>
      <c r="C336" s="107"/>
      <c r="D336">
        <v>2022</v>
      </c>
      <c r="E336">
        <f t="shared" si="83"/>
        <v>5487.6</v>
      </c>
      <c r="F336">
        <v>5487.6</v>
      </c>
      <c r="G336">
        <v>0</v>
      </c>
      <c r="H336">
        <v>0</v>
      </c>
      <c r="I336">
        <v>0</v>
      </c>
      <c r="J336" s="107"/>
      <c r="K336" s="107"/>
    </row>
    <row r="337" spans="1:11" x14ac:dyDescent="0.25">
      <c r="A337" s="107"/>
      <c r="B337" s="107"/>
      <c r="C337" s="107"/>
      <c r="D337">
        <v>2023</v>
      </c>
      <c r="E337">
        <f t="shared" ref="E337:E338" si="84">SUM(F337:I337)</f>
        <v>0</v>
      </c>
      <c r="F337">
        <v>0</v>
      </c>
      <c r="G337">
        <v>0</v>
      </c>
      <c r="H337">
        <v>0</v>
      </c>
      <c r="I337">
        <v>0</v>
      </c>
      <c r="J337" s="107"/>
      <c r="K337" s="107"/>
    </row>
    <row r="338" spans="1:11" x14ac:dyDescent="0.25">
      <c r="A338" s="107"/>
      <c r="B338" s="107"/>
      <c r="C338" s="107"/>
      <c r="D338">
        <v>2024</v>
      </c>
      <c r="E338">
        <f t="shared" si="84"/>
        <v>0</v>
      </c>
      <c r="F338">
        <v>0</v>
      </c>
      <c r="G338">
        <v>0</v>
      </c>
      <c r="H338">
        <v>0</v>
      </c>
      <c r="I338">
        <v>0</v>
      </c>
      <c r="J338" s="107"/>
      <c r="K338" s="107"/>
    </row>
    <row r="339" spans="1:11" ht="24.75" customHeight="1" x14ac:dyDescent="0.25">
      <c r="A339" s="107"/>
      <c r="B339" s="107"/>
      <c r="C339" s="107"/>
      <c r="D339">
        <v>2025</v>
      </c>
      <c r="E339">
        <v>0</v>
      </c>
      <c r="F339">
        <v>0</v>
      </c>
      <c r="G339">
        <v>0</v>
      </c>
      <c r="H339">
        <v>0</v>
      </c>
      <c r="I339">
        <v>0</v>
      </c>
      <c r="J339" s="107"/>
      <c r="K339" s="107"/>
    </row>
    <row r="340" spans="1:11" x14ac:dyDescent="0.25">
      <c r="A340" s="107" t="s">
        <v>1433</v>
      </c>
      <c r="B340" s="107" t="s">
        <v>1434</v>
      </c>
      <c r="C340" s="107">
        <v>2023</v>
      </c>
      <c r="D340" t="s">
        <v>8</v>
      </c>
      <c r="E340">
        <f>SUM(E341:E345)</f>
        <v>7813.5659999999998</v>
      </c>
      <c r="F340">
        <f>SUM(F341:F345)</f>
        <v>7813.5659999999998</v>
      </c>
      <c r="G340">
        <f>SUM(G341:G345)</f>
        <v>0</v>
      </c>
      <c r="H340">
        <f>SUM(H341:H345)</f>
        <v>0</v>
      </c>
      <c r="I340">
        <f>SUM(I341:I345)</f>
        <v>0</v>
      </c>
      <c r="J340" s="107" t="s">
        <v>1435</v>
      </c>
      <c r="K340" s="107" t="s">
        <v>1429</v>
      </c>
    </row>
    <row r="341" spans="1:11" x14ac:dyDescent="0.25">
      <c r="A341" s="107"/>
      <c r="B341" s="107"/>
      <c r="C341" s="107"/>
      <c r="D341">
        <v>2021</v>
      </c>
      <c r="E341">
        <f t="shared" ref="E341:E342" si="85">F341</f>
        <v>0</v>
      </c>
      <c r="F341">
        <v>0</v>
      </c>
      <c r="G341">
        <v>0</v>
      </c>
      <c r="H341">
        <v>0</v>
      </c>
      <c r="I341">
        <v>0</v>
      </c>
      <c r="J341" s="107"/>
      <c r="K341" s="107"/>
    </row>
    <row r="342" spans="1:11" x14ac:dyDescent="0.25">
      <c r="A342" s="107"/>
      <c r="B342" s="107"/>
      <c r="C342" s="107"/>
      <c r="D342">
        <v>2022</v>
      </c>
      <c r="E342">
        <f t="shared" si="85"/>
        <v>0</v>
      </c>
      <c r="F342">
        <v>0</v>
      </c>
      <c r="G342">
        <v>0</v>
      </c>
      <c r="H342">
        <v>0</v>
      </c>
      <c r="I342">
        <v>0</v>
      </c>
      <c r="J342" s="107"/>
      <c r="K342" s="107"/>
    </row>
    <row r="343" spans="1:11" x14ac:dyDescent="0.25">
      <c r="A343" s="107"/>
      <c r="B343" s="107"/>
      <c r="C343" s="107"/>
      <c r="D343">
        <v>2023</v>
      </c>
      <c r="E343">
        <f t="shared" ref="E343:E344" si="86">SUM(F343:I343)</f>
        <v>7813.5659999999998</v>
      </c>
      <c r="F343">
        <v>7813.5659999999998</v>
      </c>
      <c r="G343">
        <v>0</v>
      </c>
      <c r="H343">
        <v>0</v>
      </c>
      <c r="I343">
        <v>0</v>
      </c>
      <c r="J343" s="107"/>
      <c r="K343" s="107"/>
    </row>
    <row r="344" spans="1:11" x14ac:dyDescent="0.25">
      <c r="A344" s="107"/>
      <c r="B344" s="107"/>
      <c r="C344" s="107"/>
      <c r="D344">
        <v>2024</v>
      </c>
      <c r="E344">
        <f t="shared" si="86"/>
        <v>0</v>
      </c>
      <c r="F344">
        <v>0</v>
      </c>
      <c r="G344">
        <v>0</v>
      </c>
      <c r="H344">
        <v>0</v>
      </c>
      <c r="I344">
        <v>0</v>
      </c>
      <c r="J344" s="107"/>
      <c r="K344" s="107"/>
    </row>
    <row r="345" spans="1:11" ht="43.5" customHeight="1" x14ac:dyDescent="0.25">
      <c r="A345" s="107"/>
      <c r="B345" s="107"/>
      <c r="C345" s="107"/>
      <c r="D345">
        <v>2025</v>
      </c>
      <c r="E345">
        <v>0</v>
      </c>
      <c r="F345">
        <v>0</v>
      </c>
      <c r="G345">
        <v>0</v>
      </c>
      <c r="H345">
        <v>0</v>
      </c>
      <c r="I345">
        <v>0</v>
      </c>
      <c r="J345" s="107"/>
      <c r="K345" s="107"/>
    </row>
    <row r="346" spans="1:11" x14ac:dyDescent="0.25">
      <c r="A346" s="107">
        <v>2</v>
      </c>
      <c r="B346" s="107" t="s">
        <v>1436</v>
      </c>
      <c r="C346" s="107" t="s">
        <v>14</v>
      </c>
      <c r="D346" t="s">
        <v>8</v>
      </c>
      <c r="E346">
        <f>SUM(E347:E351)</f>
        <v>11580490.72711158</v>
      </c>
      <c r="F346">
        <f>SUM(F347:F351)</f>
        <v>7132716.0476899995</v>
      </c>
      <c r="G346">
        <f>SUM(G347:G351)</f>
        <v>1247002.2</v>
      </c>
      <c r="H346">
        <f>SUM(H347:H351)</f>
        <v>3186738.5394215793</v>
      </c>
      <c r="I346">
        <f>SUM(I347:I351)</f>
        <v>14033.94</v>
      </c>
      <c r="J346" s="107"/>
      <c r="K346" s="107" t="s">
        <v>1437</v>
      </c>
    </row>
    <row r="347" spans="1:11" x14ac:dyDescent="0.25">
      <c r="A347" s="107"/>
      <c r="B347" s="107"/>
      <c r="C347" s="107"/>
      <c r="D347">
        <v>2021</v>
      </c>
      <c r="E347">
        <f t="shared" ref="E347:E351" si="87">SUM(F347:I347)</f>
        <v>1841268.8810089475</v>
      </c>
      <c r="F347">
        <f t="shared" ref="F347:I351" si="88">F353+F377+F395+F449+F461+F509+F521+F539+F551+F581</f>
        <v>912024.42864000006</v>
      </c>
      <c r="G347">
        <f t="shared" si="88"/>
        <v>695000</v>
      </c>
      <c r="H347">
        <f t="shared" si="88"/>
        <v>234244.45236894739</v>
      </c>
      <c r="I347">
        <f t="shared" si="88"/>
        <v>0</v>
      </c>
      <c r="J347" s="107"/>
      <c r="K347" s="107"/>
    </row>
    <row r="348" spans="1:11" x14ac:dyDescent="0.25">
      <c r="A348" s="107"/>
      <c r="B348" s="107"/>
      <c r="C348" s="107"/>
      <c r="D348">
        <v>2022</v>
      </c>
      <c r="E348">
        <f t="shared" si="87"/>
        <v>2751390.3420899999</v>
      </c>
      <c r="F348">
        <f t="shared" si="88"/>
        <v>2004744.40209</v>
      </c>
      <c r="G348">
        <f t="shared" si="88"/>
        <v>0</v>
      </c>
      <c r="H348">
        <f t="shared" si="88"/>
        <v>732612.00000000012</v>
      </c>
      <c r="I348">
        <f t="shared" si="88"/>
        <v>14033.94</v>
      </c>
      <c r="J348" s="107"/>
      <c r="K348" s="107"/>
    </row>
    <row r="349" spans="1:11" x14ac:dyDescent="0.25">
      <c r="A349" s="107"/>
      <c r="B349" s="107"/>
      <c r="C349" s="107"/>
      <c r="D349">
        <v>2023</v>
      </c>
      <c r="E349">
        <f t="shared" si="87"/>
        <v>2684948.2060426315</v>
      </c>
      <c r="F349">
        <f t="shared" si="88"/>
        <v>1501790.1989899999</v>
      </c>
      <c r="G349">
        <f t="shared" si="88"/>
        <v>343053.7</v>
      </c>
      <c r="H349">
        <f t="shared" si="88"/>
        <v>840104.30705263163</v>
      </c>
      <c r="I349">
        <f t="shared" si="88"/>
        <v>0</v>
      </c>
      <c r="J349" s="107"/>
      <c r="K349" s="107"/>
    </row>
    <row r="350" spans="1:11" x14ac:dyDescent="0.25">
      <c r="A350" s="107"/>
      <c r="B350" s="107"/>
      <c r="C350" s="107"/>
      <c r="D350">
        <v>2024</v>
      </c>
      <c r="E350">
        <f t="shared" si="87"/>
        <v>2361222.23275</v>
      </c>
      <c r="F350">
        <f t="shared" si="88"/>
        <v>1411121.55275</v>
      </c>
      <c r="G350">
        <f t="shared" si="88"/>
        <v>208948.5</v>
      </c>
      <c r="H350">
        <f t="shared" si="88"/>
        <v>741152.18</v>
      </c>
      <c r="I350">
        <f t="shared" si="88"/>
        <v>0</v>
      </c>
      <c r="J350" s="107"/>
      <c r="K350" s="107"/>
    </row>
    <row r="351" spans="1:11" x14ac:dyDescent="0.25">
      <c r="A351" s="107"/>
      <c r="B351" s="107"/>
      <c r="C351" s="107"/>
      <c r="D351">
        <v>2025</v>
      </c>
      <c r="E351">
        <f t="shared" si="87"/>
        <v>1941661.0652199998</v>
      </c>
      <c r="F351">
        <f t="shared" si="88"/>
        <v>1303035.4652199999</v>
      </c>
      <c r="G351">
        <f t="shared" si="88"/>
        <v>0</v>
      </c>
      <c r="H351">
        <f t="shared" si="88"/>
        <v>638625.6</v>
      </c>
      <c r="I351">
        <f t="shared" si="88"/>
        <v>0</v>
      </c>
      <c r="J351" s="107"/>
      <c r="K351" s="107"/>
    </row>
    <row r="352" spans="1:11" x14ac:dyDescent="0.25">
      <c r="A352" s="107" t="s">
        <v>84</v>
      </c>
      <c r="B352" s="107" t="s">
        <v>1438</v>
      </c>
      <c r="C352" s="107" t="s">
        <v>1216</v>
      </c>
      <c r="D352" t="s">
        <v>8</v>
      </c>
      <c r="E352">
        <f>SUM(E353:E357)</f>
        <v>2428124.8640000001</v>
      </c>
      <c r="F352">
        <f>SUM(F353:F357)</f>
        <v>1369716.6639999999</v>
      </c>
      <c r="G352">
        <f>SUM(G353:G357)</f>
        <v>552002.19999999995</v>
      </c>
      <c r="H352">
        <f>SUM(H353:H357)</f>
        <v>506406</v>
      </c>
      <c r="I352">
        <f>SUM(I353:I357)</f>
        <v>0</v>
      </c>
      <c r="J352" s="107" t="s">
        <v>1439</v>
      </c>
      <c r="K352" s="107" t="s">
        <v>1440</v>
      </c>
    </row>
    <row r="353" spans="1:11" ht="16.5" customHeight="1" x14ac:dyDescent="0.25">
      <c r="A353" s="107"/>
      <c r="B353" s="107"/>
      <c r="C353" s="107"/>
      <c r="D353">
        <v>2021</v>
      </c>
      <c r="E353">
        <f t="shared" ref="E353:E357" si="89">SUM(F353:I353)</f>
        <v>0</v>
      </c>
      <c r="F353">
        <f t="shared" ref="F353:I357" si="90">F359+F365</f>
        <v>0</v>
      </c>
      <c r="G353">
        <f t="shared" si="90"/>
        <v>0</v>
      </c>
      <c r="H353">
        <f t="shared" si="90"/>
        <v>0</v>
      </c>
      <c r="I353">
        <f t="shared" si="90"/>
        <v>0</v>
      </c>
      <c r="J353" s="107"/>
      <c r="K353" s="107"/>
    </row>
    <row r="354" spans="1:11" ht="18" customHeight="1" x14ac:dyDescent="0.25">
      <c r="A354" s="107"/>
      <c r="B354" s="107"/>
      <c r="C354" s="107"/>
      <c r="D354">
        <v>2022</v>
      </c>
      <c r="E354">
        <f t="shared" si="89"/>
        <v>0</v>
      </c>
      <c r="F354">
        <f t="shared" si="90"/>
        <v>0</v>
      </c>
      <c r="G354">
        <f t="shared" si="90"/>
        <v>0</v>
      </c>
      <c r="H354">
        <f t="shared" si="90"/>
        <v>0</v>
      </c>
      <c r="I354">
        <f t="shared" si="90"/>
        <v>0</v>
      </c>
      <c r="J354" s="107"/>
      <c r="K354" s="107"/>
    </row>
    <row r="355" spans="1:11" ht="16.5" customHeight="1" x14ac:dyDescent="0.25">
      <c r="A355" s="107"/>
      <c r="B355" s="107"/>
      <c r="C355" s="107"/>
      <c r="D355">
        <v>2023</v>
      </c>
      <c r="E355">
        <f t="shared" si="89"/>
        <v>1025636.226</v>
      </c>
      <c r="F355">
        <f>F361+F367+F373</f>
        <v>488379.52600000001</v>
      </c>
      <c r="G355">
        <f t="shared" ref="G355:G356" si="91">G361+G367+G373</f>
        <v>343053.7</v>
      </c>
      <c r="H355">
        <f t="shared" ref="H355:H356" si="92">H361+H367+H373</f>
        <v>194203</v>
      </c>
      <c r="I355">
        <f t="shared" si="90"/>
        <v>0</v>
      </c>
      <c r="J355" s="107"/>
      <c r="K355" s="107"/>
    </row>
    <row r="356" spans="1:11" ht="23.25" customHeight="1" x14ac:dyDescent="0.25">
      <c r="A356" s="107"/>
      <c r="B356" s="107"/>
      <c r="C356" s="107"/>
      <c r="D356">
        <v>2024</v>
      </c>
      <c r="E356">
        <f t="shared" si="89"/>
        <v>832488.63800000004</v>
      </c>
      <c r="F356">
        <f>F362+F368</f>
        <v>447337.13799999998</v>
      </c>
      <c r="G356">
        <f t="shared" si="91"/>
        <v>208948.5</v>
      </c>
      <c r="H356">
        <f t="shared" si="92"/>
        <v>176203</v>
      </c>
      <c r="I356">
        <f t="shared" si="90"/>
        <v>0</v>
      </c>
      <c r="J356" s="107"/>
      <c r="K356" s="107"/>
    </row>
    <row r="357" spans="1:11" ht="114" customHeight="1" x14ac:dyDescent="0.25">
      <c r="A357" s="107"/>
      <c r="B357" s="107"/>
      <c r="C357" s="107"/>
      <c r="D357">
        <v>2025</v>
      </c>
      <c r="E357">
        <f t="shared" si="89"/>
        <v>570000</v>
      </c>
      <c r="F357">
        <f t="shared" si="90"/>
        <v>434000</v>
      </c>
      <c r="G357">
        <f t="shared" si="90"/>
        <v>0</v>
      </c>
      <c r="H357">
        <f t="shared" si="90"/>
        <v>136000</v>
      </c>
      <c r="I357">
        <f t="shared" si="90"/>
        <v>0</v>
      </c>
      <c r="J357" s="107"/>
      <c r="K357" s="107"/>
    </row>
    <row r="358" spans="1:11" x14ac:dyDescent="0.25">
      <c r="A358" s="107" t="s">
        <v>86</v>
      </c>
      <c r="B358" s="107" t="s">
        <v>1441</v>
      </c>
      <c r="C358" s="107" t="s">
        <v>1216</v>
      </c>
      <c r="D358" t="s">
        <v>8</v>
      </c>
      <c r="E358">
        <f>F358+G358+H358+I358</f>
        <v>1710000</v>
      </c>
      <c r="F358">
        <f>SUM(F359:F363)</f>
        <v>1302000</v>
      </c>
      <c r="G358">
        <f t="shared" ref="G358:I370" si="93">SUM(G359:G363)</f>
        <v>0</v>
      </c>
      <c r="H358">
        <f t="shared" si="93"/>
        <v>408000</v>
      </c>
      <c r="I358">
        <f t="shared" si="93"/>
        <v>0</v>
      </c>
      <c r="J358" s="107" t="s">
        <v>1442</v>
      </c>
      <c r="K358" s="107" t="s">
        <v>1440</v>
      </c>
    </row>
    <row r="359" spans="1:11" x14ac:dyDescent="0.25">
      <c r="A359" s="107"/>
      <c r="B359" s="107"/>
      <c r="C359" s="107"/>
      <c r="D359">
        <v>2021</v>
      </c>
      <c r="E359">
        <v>0</v>
      </c>
      <c r="F359">
        <v>0</v>
      </c>
      <c r="G359">
        <v>0</v>
      </c>
      <c r="H359">
        <v>0</v>
      </c>
      <c r="I359">
        <v>0</v>
      </c>
      <c r="J359" s="107"/>
      <c r="K359" s="107"/>
    </row>
    <row r="360" spans="1:11" x14ac:dyDescent="0.25">
      <c r="A360" s="107"/>
      <c r="B360" s="107"/>
      <c r="C360" s="107"/>
      <c r="D360">
        <v>2022</v>
      </c>
      <c r="E360">
        <v>0</v>
      </c>
      <c r="F360">
        <v>0</v>
      </c>
      <c r="G360">
        <v>0</v>
      </c>
      <c r="H360">
        <v>0</v>
      </c>
      <c r="I360">
        <v>0</v>
      </c>
      <c r="J360" s="107"/>
      <c r="K360" s="107"/>
    </row>
    <row r="361" spans="1:11" x14ac:dyDescent="0.25">
      <c r="A361" s="107"/>
      <c r="B361" s="107"/>
      <c r="C361" s="107"/>
      <c r="D361">
        <v>2023</v>
      </c>
      <c r="E361">
        <f t="shared" ref="E361:E363" si="94">F361+G361+H361+I361</f>
        <v>570000</v>
      </c>
      <c r="F361">
        <v>434000</v>
      </c>
      <c r="G361">
        <v>0</v>
      </c>
      <c r="H361">
        <v>136000</v>
      </c>
      <c r="I361">
        <v>0</v>
      </c>
      <c r="J361" s="107"/>
      <c r="K361" s="107"/>
    </row>
    <row r="362" spans="1:11" x14ac:dyDescent="0.25">
      <c r="A362" s="107"/>
      <c r="B362" s="107"/>
      <c r="C362" s="107"/>
      <c r="D362">
        <v>2024</v>
      </c>
      <c r="E362">
        <f t="shared" si="94"/>
        <v>570000</v>
      </c>
      <c r="F362">
        <v>434000</v>
      </c>
      <c r="G362">
        <v>0</v>
      </c>
      <c r="H362">
        <v>136000</v>
      </c>
      <c r="I362">
        <v>0</v>
      </c>
      <c r="J362" s="107"/>
      <c r="K362" s="107"/>
    </row>
    <row r="363" spans="1:11" ht="39" customHeight="1" x14ac:dyDescent="0.25">
      <c r="A363" s="107"/>
      <c r="B363" s="107"/>
      <c r="C363" s="107"/>
      <c r="D363">
        <v>2025</v>
      </c>
      <c r="E363">
        <f t="shared" si="94"/>
        <v>570000</v>
      </c>
      <c r="F363">
        <v>434000</v>
      </c>
      <c r="G363">
        <v>0</v>
      </c>
      <c r="H363">
        <v>136000</v>
      </c>
      <c r="I363">
        <v>0</v>
      </c>
      <c r="J363" s="107"/>
      <c r="K363" s="107"/>
    </row>
    <row r="364" spans="1:11" x14ac:dyDescent="0.25">
      <c r="A364" s="107" t="s">
        <v>855</v>
      </c>
      <c r="B364" s="107" t="s">
        <v>1443</v>
      </c>
      <c r="C364" s="107" t="s">
        <v>1216</v>
      </c>
      <c r="D364" t="s">
        <v>8</v>
      </c>
      <c r="E364">
        <f>SUM(E365:E369)</f>
        <v>502748.73800000001</v>
      </c>
      <c r="F364">
        <f>SUM(F365:F369)</f>
        <v>25340.538</v>
      </c>
      <c r="G364">
        <f t="shared" si="93"/>
        <v>397002.2</v>
      </c>
      <c r="H364">
        <f>SUM(H365:H369)</f>
        <v>80406</v>
      </c>
      <c r="I364">
        <f>SUM(I365:I369)</f>
        <v>0</v>
      </c>
      <c r="J364" s="107" t="s">
        <v>1444</v>
      </c>
      <c r="K364" s="107" t="s">
        <v>1440</v>
      </c>
    </row>
    <row r="365" spans="1:11" x14ac:dyDescent="0.25">
      <c r="A365" s="107"/>
      <c r="B365" s="107"/>
      <c r="C365" s="107"/>
      <c r="D365">
        <v>2021</v>
      </c>
      <c r="E365">
        <f t="shared" ref="E365:E369" si="95">SUM(F365:I365)</f>
        <v>0</v>
      </c>
      <c r="F365">
        <v>0</v>
      </c>
      <c r="G365">
        <v>0</v>
      </c>
      <c r="H365">
        <v>0</v>
      </c>
      <c r="I365">
        <v>0</v>
      </c>
      <c r="J365" s="107"/>
      <c r="K365" s="107"/>
    </row>
    <row r="366" spans="1:11" x14ac:dyDescent="0.25">
      <c r="A366" s="107"/>
      <c r="B366" s="107"/>
      <c r="C366" s="107"/>
      <c r="D366">
        <v>2022</v>
      </c>
      <c r="E366">
        <f t="shared" si="95"/>
        <v>0</v>
      </c>
      <c r="F366">
        <v>0</v>
      </c>
      <c r="G366">
        <v>0</v>
      </c>
      <c r="H366">
        <v>0</v>
      </c>
      <c r="I366">
        <v>0</v>
      </c>
      <c r="J366" s="107"/>
      <c r="K366" s="107"/>
    </row>
    <row r="367" spans="1:11" x14ac:dyDescent="0.25">
      <c r="A367" s="107"/>
      <c r="B367" s="107"/>
      <c r="C367" s="107"/>
      <c r="D367">
        <v>2023</v>
      </c>
      <c r="E367">
        <f t="shared" si="95"/>
        <v>240260.1</v>
      </c>
      <c r="F367">
        <v>12003.4</v>
      </c>
      <c r="G367">
        <v>188053.7</v>
      </c>
      <c r="H367">
        <v>40203</v>
      </c>
      <c r="I367">
        <v>0</v>
      </c>
      <c r="J367" s="107"/>
      <c r="K367" s="107"/>
    </row>
    <row r="368" spans="1:11" x14ac:dyDescent="0.25">
      <c r="A368" s="107"/>
      <c r="B368" s="107"/>
      <c r="C368" s="107"/>
      <c r="D368">
        <v>2024</v>
      </c>
      <c r="E368">
        <f t="shared" si="95"/>
        <v>262488.63800000004</v>
      </c>
      <c r="F368">
        <v>13337.138000000001</v>
      </c>
      <c r="G368">
        <v>208948.5</v>
      </c>
      <c r="H368">
        <v>40203</v>
      </c>
      <c r="I368">
        <v>0</v>
      </c>
      <c r="J368" s="107"/>
      <c r="K368" s="107"/>
    </row>
    <row r="369" spans="1:11" ht="42.75" customHeight="1" x14ac:dyDescent="0.25">
      <c r="A369" s="107"/>
      <c r="B369" s="107"/>
      <c r="C369" s="107"/>
      <c r="D369">
        <v>2025</v>
      </c>
      <c r="E369">
        <f t="shared" si="95"/>
        <v>0</v>
      </c>
      <c r="F369">
        <v>0</v>
      </c>
      <c r="G369">
        <v>0</v>
      </c>
      <c r="H369">
        <v>0</v>
      </c>
      <c r="I369">
        <v>0</v>
      </c>
      <c r="J369" s="107"/>
      <c r="K369" s="107"/>
    </row>
    <row r="370" spans="1:11" x14ac:dyDescent="0.25">
      <c r="A370" s="107" t="s">
        <v>1445</v>
      </c>
      <c r="B370" s="107" t="s">
        <v>1446</v>
      </c>
      <c r="C370" s="107" t="s">
        <v>1216</v>
      </c>
      <c r="D370" t="s">
        <v>8</v>
      </c>
      <c r="E370">
        <f>SUM(E371:E375)</f>
        <v>215376.12599999999</v>
      </c>
      <c r="F370">
        <f>SUM(F371:F375)</f>
        <v>42376.125999999997</v>
      </c>
      <c r="G370">
        <f t="shared" si="93"/>
        <v>155000</v>
      </c>
      <c r="H370">
        <f>SUM(H371:H375)</f>
        <v>18000</v>
      </c>
      <c r="I370">
        <f>SUM(I371:I375)</f>
        <v>0</v>
      </c>
      <c r="J370" s="107"/>
      <c r="K370" s="107" t="s">
        <v>1440</v>
      </c>
    </row>
    <row r="371" spans="1:11" x14ac:dyDescent="0.25">
      <c r="A371" s="107"/>
      <c r="B371" s="107"/>
      <c r="C371" s="107"/>
      <c r="D371">
        <v>2021</v>
      </c>
      <c r="E371">
        <f t="shared" ref="E371:E375" si="96">SUM(F371:I371)</f>
        <v>0</v>
      </c>
      <c r="F371">
        <v>0</v>
      </c>
      <c r="G371">
        <v>0</v>
      </c>
      <c r="H371">
        <v>0</v>
      </c>
      <c r="I371">
        <v>0</v>
      </c>
      <c r="J371" s="107"/>
      <c r="K371" s="107"/>
    </row>
    <row r="372" spans="1:11" x14ac:dyDescent="0.25">
      <c r="A372" s="107"/>
      <c r="B372" s="107"/>
      <c r="C372" s="107"/>
      <c r="D372">
        <v>2022</v>
      </c>
      <c r="E372">
        <f t="shared" si="96"/>
        <v>0</v>
      </c>
      <c r="F372">
        <v>0</v>
      </c>
      <c r="G372">
        <v>0</v>
      </c>
      <c r="H372">
        <v>0</v>
      </c>
      <c r="I372">
        <v>0</v>
      </c>
      <c r="J372" s="107"/>
      <c r="K372" s="107"/>
    </row>
    <row r="373" spans="1:11" x14ac:dyDescent="0.25">
      <c r="A373" s="107"/>
      <c r="B373" s="107"/>
      <c r="C373" s="107"/>
      <c r="D373">
        <v>2023</v>
      </c>
      <c r="E373">
        <f t="shared" si="96"/>
        <v>215376.12599999999</v>
      </c>
      <c r="F373">
        <v>42376.125999999997</v>
      </c>
      <c r="G373">
        <v>155000</v>
      </c>
      <c r="H373">
        <v>18000</v>
      </c>
      <c r="I373">
        <v>0</v>
      </c>
      <c r="J373" s="107"/>
      <c r="K373" s="107"/>
    </row>
    <row r="374" spans="1:11" x14ac:dyDescent="0.25">
      <c r="A374" s="107"/>
      <c r="B374" s="107"/>
      <c r="C374" s="107"/>
      <c r="D374">
        <v>2024</v>
      </c>
      <c r="E374">
        <f t="shared" si="96"/>
        <v>0</v>
      </c>
      <c r="F374">
        <v>0</v>
      </c>
      <c r="G374">
        <v>0</v>
      </c>
      <c r="H374">
        <v>0</v>
      </c>
      <c r="I374">
        <v>0</v>
      </c>
      <c r="J374" s="107"/>
      <c r="K374" s="107"/>
    </row>
    <row r="375" spans="1:11" ht="44.25" customHeight="1" x14ac:dyDescent="0.25">
      <c r="A375" s="107"/>
      <c r="B375" s="107"/>
      <c r="C375" s="107"/>
      <c r="D375">
        <v>2025</v>
      </c>
      <c r="E375">
        <f t="shared" si="96"/>
        <v>0</v>
      </c>
      <c r="F375">
        <v>0</v>
      </c>
      <c r="G375">
        <v>0</v>
      </c>
      <c r="H375">
        <v>0</v>
      </c>
      <c r="I375">
        <v>0</v>
      </c>
      <c r="J375" s="107"/>
      <c r="K375" s="107"/>
    </row>
    <row r="376" spans="1:11" ht="15" customHeight="1" x14ac:dyDescent="0.25">
      <c r="A376" s="107" t="s">
        <v>56</v>
      </c>
      <c r="B376" s="107" t="s">
        <v>1447</v>
      </c>
      <c r="C376" s="107" t="s">
        <v>1113</v>
      </c>
      <c r="D376" t="s">
        <v>8</v>
      </c>
      <c r="E376">
        <f>E377+E378+E379+E380+E381</f>
        <v>96317.980500000005</v>
      </c>
      <c r="F376">
        <f>F377+F378+F379+F380+F381</f>
        <v>96317.980500000005</v>
      </c>
      <c r="G376">
        <f>G377+G378+G379+G380+G381</f>
        <v>0</v>
      </c>
      <c r="H376">
        <f>H377+H378+H379+H380+H381</f>
        <v>0</v>
      </c>
      <c r="I376">
        <f>I377+I378+I379+I380+I381</f>
        <v>0</v>
      </c>
      <c r="J376" s="107" t="s">
        <v>1448</v>
      </c>
      <c r="K376" s="107" t="s">
        <v>1449</v>
      </c>
    </row>
    <row r="377" spans="1:11" x14ac:dyDescent="0.25">
      <c r="A377" s="107"/>
      <c r="B377" s="107"/>
      <c r="C377" s="107"/>
      <c r="D377">
        <v>2021</v>
      </c>
      <c r="E377">
        <f t="shared" ref="E377:E381" si="97">F377+G377+H377+I377</f>
        <v>0</v>
      </c>
      <c r="F377">
        <f t="shared" ref="F377:I381" si="98">F383</f>
        <v>0</v>
      </c>
      <c r="G377">
        <f t="shared" si="98"/>
        <v>0</v>
      </c>
      <c r="H377">
        <f t="shared" si="98"/>
        <v>0</v>
      </c>
      <c r="I377">
        <f t="shared" si="98"/>
        <v>0</v>
      </c>
      <c r="J377" s="107"/>
      <c r="K377" s="107"/>
    </row>
    <row r="378" spans="1:11" x14ac:dyDescent="0.25">
      <c r="A378" s="107"/>
      <c r="B378" s="107"/>
      <c r="C378" s="107"/>
      <c r="D378">
        <v>2022</v>
      </c>
      <c r="E378">
        <f t="shared" si="97"/>
        <v>96317.980500000005</v>
      </c>
      <c r="F378">
        <f>F384+F390</f>
        <v>96317.980500000005</v>
      </c>
      <c r="G378">
        <f t="shared" si="98"/>
        <v>0</v>
      </c>
      <c r="H378">
        <f t="shared" si="98"/>
        <v>0</v>
      </c>
      <c r="I378">
        <f t="shared" si="98"/>
        <v>0</v>
      </c>
      <c r="J378" s="107"/>
      <c r="K378" s="107"/>
    </row>
    <row r="379" spans="1:11" x14ac:dyDescent="0.25">
      <c r="A379" s="107"/>
      <c r="B379" s="107"/>
      <c r="C379" s="107"/>
      <c r="D379">
        <v>2023</v>
      </c>
      <c r="E379">
        <f t="shared" si="97"/>
        <v>0</v>
      </c>
      <c r="F379">
        <f t="shared" si="98"/>
        <v>0</v>
      </c>
      <c r="G379">
        <f t="shared" si="98"/>
        <v>0</v>
      </c>
      <c r="H379">
        <f t="shared" si="98"/>
        <v>0</v>
      </c>
      <c r="I379">
        <f t="shared" si="98"/>
        <v>0</v>
      </c>
      <c r="J379" s="107"/>
      <c r="K379" s="107"/>
    </row>
    <row r="380" spans="1:11" x14ac:dyDescent="0.25">
      <c r="A380" s="107"/>
      <c r="B380" s="107"/>
      <c r="C380" s="107"/>
      <c r="D380">
        <v>2024</v>
      </c>
      <c r="E380">
        <f t="shared" si="97"/>
        <v>0</v>
      </c>
      <c r="F380">
        <f t="shared" si="98"/>
        <v>0</v>
      </c>
      <c r="G380">
        <f t="shared" si="98"/>
        <v>0</v>
      </c>
      <c r="H380">
        <f t="shared" si="98"/>
        <v>0</v>
      </c>
      <c r="I380">
        <f t="shared" si="98"/>
        <v>0</v>
      </c>
      <c r="J380" s="107"/>
      <c r="K380" s="107"/>
    </row>
    <row r="381" spans="1:11" x14ac:dyDescent="0.25">
      <c r="A381" s="107"/>
      <c r="B381" s="107"/>
      <c r="C381" s="107"/>
      <c r="D381">
        <v>2025</v>
      </c>
      <c r="E381">
        <f t="shared" si="97"/>
        <v>0</v>
      </c>
      <c r="F381">
        <f t="shared" si="98"/>
        <v>0</v>
      </c>
      <c r="G381">
        <f t="shared" si="98"/>
        <v>0</v>
      </c>
      <c r="H381">
        <f t="shared" si="98"/>
        <v>0</v>
      </c>
      <c r="I381">
        <f t="shared" si="98"/>
        <v>0</v>
      </c>
      <c r="J381" s="107"/>
      <c r="K381" s="107"/>
    </row>
    <row r="382" spans="1:11" ht="15" customHeight="1" x14ac:dyDescent="0.25">
      <c r="A382" s="107" t="s">
        <v>60</v>
      </c>
      <c r="B382" s="107" t="s">
        <v>1450</v>
      </c>
      <c r="C382" s="107" t="s">
        <v>1125</v>
      </c>
      <c r="D382" t="s">
        <v>8</v>
      </c>
      <c r="E382">
        <f>E383+E384+E385+E386+E387</f>
        <v>0</v>
      </c>
      <c r="F382">
        <f>F383+F384+F385+F386+F387</f>
        <v>0</v>
      </c>
      <c r="G382">
        <f>G383+G384+G385+G386+G387</f>
        <v>0</v>
      </c>
      <c r="H382">
        <f>H383+H384+H385+H386+H387</f>
        <v>0</v>
      </c>
      <c r="I382">
        <f>I383+I384+I385+I386+I387</f>
        <v>0</v>
      </c>
      <c r="J382" s="107" t="s">
        <v>1451</v>
      </c>
      <c r="K382" s="107" t="s">
        <v>1452</v>
      </c>
    </row>
    <row r="383" spans="1:11" x14ac:dyDescent="0.25">
      <c r="A383" s="107"/>
      <c r="B383" s="107"/>
      <c r="C383" s="107"/>
      <c r="D383">
        <v>2021</v>
      </c>
      <c r="E383">
        <f t="shared" ref="E383:E387" si="99">F383+G383+H383+I383</f>
        <v>0</v>
      </c>
      <c r="F383">
        <v>0</v>
      </c>
      <c r="G383">
        <v>0</v>
      </c>
      <c r="H383">
        <v>0</v>
      </c>
      <c r="I383">
        <v>0</v>
      </c>
      <c r="J383" s="107"/>
      <c r="K383" s="107"/>
    </row>
    <row r="384" spans="1:11" x14ac:dyDescent="0.25">
      <c r="A384" s="107"/>
      <c r="B384" s="107"/>
      <c r="C384" s="107"/>
      <c r="D384">
        <v>2022</v>
      </c>
      <c r="E384">
        <f t="shared" si="99"/>
        <v>0</v>
      </c>
      <c r="F384">
        <v>0</v>
      </c>
      <c r="G384">
        <v>0</v>
      </c>
      <c r="H384">
        <v>0</v>
      </c>
      <c r="I384">
        <v>0</v>
      </c>
      <c r="J384" s="107"/>
      <c r="K384" s="107"/>
    </row>
    <row r="385" spans="1:11" x14ac:dyDescent="0.25">
      <c r="A385" s="107"/>
      <c r="B385" s="107"/>
      <c r="C385" s="107"/>
      <c r="D385">
        <v>2023</v>
      </c>
      <c r="E385">
        <f t="shared" si="99"/>
        <v>0</v>
      </c>
      <c r="F385">
        <v>0</v>
      </c>
      <c r="G385">
        <v>0</v>
      </c>
      <c r="H385">
        <v>0</v>
      </c>
      <c r="I385">
        <v>0</v>
      </c>
      <c r="J385" s="107"/>
      <c r="K385" s="107"/>
    </row>
    <row r="386" spans="1:11" x14ac:dyDescent="0.25">
      <c r="A386" s="107"/>
      <c r="B386" s="107"/>
      <c r="C386" s="107"/>
      <c r="D386">
        <v>2024</v>
      </c>
      <c r="E386">
        <f t="shared" si="99"/>
        <v>0</v>
      </c>
      <c r="F386">
        <v>0</v>
      </c>
      <c r="G386">
        <v>0</v>
      </c>
      <c r="H386">
        <v>0</v>
      </c>
      <c r="I386">
        <v>0</v>
      </c>
      <c r="J386" s="107"/>
      <c r="K386" s="107"/>
    </row>
    <row r="387" spans="1:11" x14ac:dyDescent="0.25">
      <c r="A387" s="107"/>
      <c r="B387" s="107"/>
      <c r="C387" s="107"/>
      <c r="D387">
        <v>2025</v>
      </c>
      <c r="E387">
        <f t="shared" si="99"/>
        <v>0</v>
      </c>
      <c r="F387">
        <v>0</v>
      </c>
      <c r="G387">
        <v>0</v>
      </c>
      <c r="H387">
        <v>0</v>
      </c>
      <c r="I387">
        <v>0</v>
      </c>
      <c r="J387" s="107"/>
      <c r="K387" s="107"/>
    </row>
    <row r="388" spans="1:11" x14ac:dyDescent="0.25">
      <c r="A388" s="107" t="s">
        <v>63</v>
      </c>
      <c r="B388" s="107" t="s">
        <v>1453</v>
      </c>
      <c r="C388" s="107" t="s">
        <v>1113</v>
      </c>
      <c r="D388" t="s">
        <v>8</v>
      </c>
      <c r="E388">
        <f>E389+E390+E391+E392+E393</f>
        <v>96317.980500000005</v>
      </c>
      <c r="F388">
        <f>F389+F390+F391+F392+F393</f>
        <v>96317.980500000005</v>
      </c>
      <c r="G388">
        <f>G389+G390+G391+G392+G393</f>
        <v>0</v>
      </c>
      <c r="H388">
        <f>H389+H390+H391+H392+H393</f>
        <v>0</v>
      </c>
      <c r="I388">
        <f>I389+I390+I391+I392+I393</f>
        <v>0</v>
      </c>
      <c r="J388" s="107" t="s">
        <v>1454</v>
      </c>
      <c r="K388" s="107" t="s">
        <v>1455</v>
      </c>
    </row>
    <row r="389" spans="1:11" x14ac:dyDescent="0.25">
      <c r="A389" s="107"/>
      <c r="B389" s="107"/>
      <c r="C389" s="107"/>
      <c r="D389">
        <v>2021</v>
      </c>
      <c r="E389">
        <f t="shared" ref="E389:E393" si="100">F389+G389+H389+I389</f>
        <v>0</v>
      </c>
      <c r="F389">
        <v>0</v>
      </c>
      <c r="G389">
        <v>0</v>
      </c>
      <c r="H389">
        <v>0</v>
      </c>
      <c r="I389">
        <v>0</v>
      </c>
      <c r="J389" s="107"/>
      <c r="K389" s="107"/>
    </row>
    <row r="390" spans="1:11" x14ac:dyDescent="0.25">
      <c r="A390" s="107"/>
      <c r="B390" s="107"/>
      <c r="C390" s="107"/>
      <c r="D390">
        <v>2022</v>
      </c>
      <c r="E390">
        <f t="shared" si="100"/>
        <v>96317.980500000005</v>
      </c>
      <c r="F390">
        <v>96317.980500000005</v>
      </c>
      <c r="G390">
        <v>0</v>
      </c>
      <c r="H390">
        <v>0</v>
      </c>
      <c r="I390">
        <v>0</v>
      </c>
      <c r="J390" s="107"/>
      <c r="K390" s="107"/>
    </row>
    <row r="391" spans="1:11" x14ac:dyDescent="0.25">
      <c r="A391" s="107"/>
      <c r="B391" s="107"/>
      <c r="C391" s="107"/>
      <c r="D391">
        <v>2023</v>
      </c>
      <c r="E391">
        <f t="shared" si="100"/>
        <v>0</v>
      </c>
      <c r="F391">
        <v>0</v>
      </c>
      <c r="G391">
        <v>0</v>
      </c>
      <c r="H391">
        <v>0</v>
      </c>
      <c r="I391">
        <v>0</v>
      </c>
      <c r="J391" s="107"/>
      <c r="K391" s="107"/>
    </row>
    <row r="392" spans="1:11" x14ac:dyDescent="0.25">
      <c r="A392" s="107"/>
      <c r="B392" s="107"/>
      <c r="C392" s="107"/>
      <c r="D392">
        <v>2024</v>
      </c>
      <c r="E392">
        <f t="shared" si="100"/>
        <v>0</v>
      </c>
      <c r="F392">
        <v>0</v>
      </c>
      <c r="G392">
        <v>0</v>
      </c>
      <c r="H392">
        <v>0</v>
      </c>
      <c r="I392">
        <v>0</v>
      </c>
      <c r="J392" s="107"/>
      <c r="K392" s="107"/>
    </row>
    <row r="393" spans="1:11" x14ac:dyDescent="0.25">
      <c r="A393" s="107"/>
      <c r="B393" s="107"/>
      <c r="C393" s="107"/>
      <c r="D393">
        <v>2025</v>
      </c>
      <c r="E393">
        <f t="shared" si="100"/>
        <v>0</v>
      </c>
      <c r="F393">
        <v>0</v>
      </c>
      <c r="G393">
        <v>0</v>
      </c>
      <c r="H393">
        <v>0</v>
      </c>
      <c r="I393">
        <v>0</v>
      </c>
      <c r="J393" s="107"/>
      <c r="K393" s="107"/>
    </row>
    <row r="394" spans="1:11" x14ac:dyDescent="0.25">
      <c r="A394" s="107" t="s">
        <v>78</v>
      </c>
      <c r="B394" s="107" t="s">
        <v>1456</v>
      </c>
      <c r="C394" s="107" t="s">
        <v>14</v>
      </c>
      <c r="D394" t="s">
        <v>8</v>
      </c>
      <c r="E394">
        <f>SUM(E395:E399)</f>
        <v>1275140.4350000001</v>
      </c>
      <c r="F394">
        <f>SUM(F395:F399)</f>
        <v>1275140.4350000001</v>
      </c>
      <c r="G394">
        <f>SUM(G395:G399)</f>
        <v>0</v>
      </c>
      <c r="H394">
        <f>SUM(H395:H399)</f>
        <v>0</v>
      </c>
      <c r="I394">
        <f>SUM(I395:I399)</f>
        <v>0</v>
      </c>
      <c r="J394" s="107" t="s">
        <v>1457</v>
      </c>
      <c r="K394" s="107" t="s">
        <v>1458</v>
      </c>
    </row>
    <row r="395" spans="1:11" x14ac:dyDescent="0.25">
      <c r="A395" s="107"/>
      <c r="B395" s="107"/>
      <c r="C395" s="107"/>
      <c r="D395">
        <v>2021</v>
      </c>
      <c r="E395">
        <f t="shared" ref="E395:E399" si="101">SUM(F395:I395)</f>
        <v>145108.59999999998</v>
      </c>
      <c r="F395">
        <f t="shared" ref="F395:F396" si="102">F401+F407+F413+F419+F425+F431</f>
        <v>145108.59999999998</v>
      </c>
      <c r="G395">
        <f t="shared" ref="G395:I399" si="103">G401+G407+G413+G419</f>
        <v>0</v>
      </c>
      <c r="H395">
        <f t="shared" si="103"/>
        <v>0</v>
      </c>
      <c r="I395">
        <f t="shared" si="103"/>
        <v>0</v>
      </c>
      <c r="J395" s="107"/>
      <c r="K395" s="107"/>
    </row>
    <row r="396" spans="1:11" x14ac:dyDescent="0.25">
      <c r="A396" s="107"/>
      <c r="B396" s="107"/>
      <c r="C396" s="107"/>
      <c r="D396">
        <v>2022</v>
      </c>
      <c r="E396">
        <f t="shared" si="101"/>
        <v>220302</v>
      </c>
      <c r="F396">
        <f t="shared" si="102"/>
        <v>220302</v>
      </c>
      <c r="G396">
        <f t="shared" si="103"/>
        <v>0</v>
      </c>
      <c r="H396">
        <f t="shared" si="103"/>
        <v>0</v>
      </c>
      <c r="I396">
        <f t="shared" si="103"/>
        <v>0</v>
      </c>
      <c r="J396" s="107"/>
      <c r="K396" s="107"/>
    </row>
    <row r="397" spans="1:11" x14ac:dyDescent="0.25">
      <c r="A397" s="107"/>
      <c r="B397" s="107"/>
      <c r="C397" s="107"/>
      <c r="D397">
        <v>2023</v>
      </c>
      <c r="E397">
        <f t="shared" si="101"/>
        <v>309597.14500000002</v>
      </c>
      <c r="F397">
        <f>F403+F409+F415+F421+F427+F433+F439+F445</f>
        <v>309597.14500000002</v>
      </c>
      <c r="G397">
        <f t="shared" si="103"/>
        <v>0</v>
      </c>
      <c r="H397">
        <f t="shared" si="103"/>
        <v>0</v>
      </c>
      <c r="I397">
        <f t="shared" si="103"/>
        <v>0</v>
      </c>
      <c r="J397" s="107"/>
      <c r="K397" s="107"/>
    </row>
    <row r="398" spans="1:11" x14ac:dyDescent="0.25">
      <c r="A398" s="107"/>
      <c r="B398" s="107"/>
      <c r="C398" s="107"/>
      <c r="D398">
        <v>2024</v>
      </c>
      <c r="E398">
        <f t="shared" si="101"/>
        <v>300014.84500000003</v>
      </c>
      <c r="F398">
        <f t="shared" ref="F398:F399" si="104">F404+F410+F416+F422+F428+F434</f>
        <v>300014.84500000003</v>
      </c>
      <c r="G398">
        <f t="shared" si="103"/>
        <v>0</v>
      </c>
      <c r="H398">
        <f t="shared" si="103"/>
        <v>0</v>
      </c>
      <c r="I398">
        <f t="shared" si="103"/>
        <v>0</v>
      </c>
      <c r="J398" s="107"/>
      <c r="K398" s="107"/>
    </row>
    <row r="399" spans="1:11" x14ac:dyDescent="0.25">
      <c r="A399" s="107"/>
      <c r="B399" s="107"/>
      <c r="C399" s="107"/>
      <c r="D399">
        <v>2025</v>
      </c>
      <c r="E399">
        <f t="shared" si="101"/>
        <v>300117.84500000003</v>
      </c>
      <c r="F399">
        <f t="shared" si="104"/>
        <v>300117.84500000003</v>
      </c>
      <c r="G399">
        <f t="shared" si="103"/>
        <v>0</v>
      </c>
      <c r="H399">
        <f t="shared" si="103"/>
        <v>0</v>
      </c>
      <c r="I399">
        <f t="shared" si="103"/>
        <v>0</v>
      </c>
      <c r="J399" s="107"/>
      <c r="K399" s="107"/>
    </row>
    <row r="400" spans="1:11" x14ac:dyDescent="0.25">
      <c r="A400" s="107" t="s">
        <v>81</v>
      </c>
      <c r="B400" s="107" t="s">
        <v>1459</v>
      </c>
      <c r="C400" s="107" t="s">
        <v>14</v>
      </c>
      <c r="D400" t="s">
        <v>8</v>
      </c>
      <c r="E400">
        <f>SUM(E401:E405)</f>
        <v>466861.9</v>
      </c>
      <c r="F400">
        <f>SUM(F401:F405)</f>
        <v>466861.9</v>
      </c>
      <c r="G400">
        <f>SUM(G401:G405)</f>
        <v>0</v>
      </c>
      <c r="H400">
        <f>SUM(H401:H405)</f>
        <v>0</v>
      </c>
      <c r="I400">
        <f>SUM(I401:I405)</f>
        <v>0</v>
      </c>
      <c r="J400" s="107" t="s">
        <v>1460</v>
      </c>
      <c r="K400" s="107" t="s">
        <v>748</v>
      </c>
    </row>
    <row r="401" spans="1:11" x14ac:dyDescent="0.25">
      <c r="A401" s="107"/>
      <c r="B401" s="107"/>
      <c r="C401" s="107"/>
      <c r="D401">
        <v>2021</v>
      </c>
      <c r="E401">
        <f t="shared" ref="E401:E411" si="105">SUM(F401:I401)</f>
        <v>65927.7</v>
      </c>
      <c r="F401">
        <v>65927.7</v>
      </c>
      <c r="G401">
        <v>0</v>
      </c>
      <c r="H401">
        <v>0</v>
      </c>
      <c r="I401">
        <v>0</v>
      </c>
      <c r="J401" s="107"/>
      <c r="K401" s="107"/>
    </row>
    <row r="402" spans="1:11" x14ac:dyDescent="0.25">
      <c r="A402" s="107"/>
      <c r="B402" s="107"/>
      <c r="C402" s="107"/>
      <c r="D402">
        <v>2022</v>
      </c>
      <c r="E402">
        <f t="shared" si="105"/>
        <v>94501.1</v>
      </c>
      <c r="F402">
        <v>94501.1</v>
      </c>
      <c r="G402">
        <v>0</v>
      </c>
      <c r="H402">
        <v>0</v>
      </c>
      <c r="I402">
        <v>0</v>
      </c>
      <c r="J402" s="107"/>
      <c r="K402" s="107"/>
    </row>
    <row r="403" spans="1:11" x14ac:dyDescent="0.25">
      <c r="A403" s="107"/>
      <c r="B403" s="107"/>
      <c r="C403" s="107"/>
      <c r="D403">
        <v>2023</v>
      </c>
      <c r="E403">
        <f t="shared" si="105"/>
        <v>102231.7</v>
      </c>
      <c r="F403">
        <v>102231.7</v>
      </c>
      <c r="G403">
        <v>0</v>
      </c>
      <c r="H403">
        <v>0</v>
      </c>
      <c r="I403">
        <v>0</v>
      </c>
      <c r="J403" s="107"/>
      <c r="K403" s="107"/>
    </row>
    <row r="404" spans="1:11" x14ac:dyDescent="0.25">
      <c r="A404" s="107"/>
      <c r="B404" s="107"/>
      <c r="C404" s="107"/>
      <c r="D404">
        <v>2024</v>
      </c>
      <c r="E404">
        <f t="shared" si="105"/>
        <v>102100.7</v>
      </c>
      <c r="F404">
        <v>102100.7</v>
      </c>
      <c r="G404">
        <v>0</v>
      </c>
      <c r="H404">
        <v>0</v>
      </c>
      <c r="I404">
        <v>0</v>
      </c>
      <c r="J404" s="107"/>
      <c r="K404" s="107"/>
    </row>
    <row r="405" spans="1:11" x14ac:dyDescent="0.25">
      <c r="A405" s="107"/>
      <c r="B405" s="107"/>
      <c r="C405" s="107"/>
      <c r="D405">
        <v>2025</v>
      </c>
      <c r="E405">
        <f t="shared" si="105"/>
        <v>102100.7</v>
      </c>
      <c r="F405">
        <v>102100.7</v>
      </c>
      <c r="G405">
        <v>0</v>
      </c>
      <c r="H405">
        <v>0</v>
      </c>
      <c r="I405">
        <v>0</v>
      </c>
      <c r="J405" s="107"/>
      <c r="K405" s="107"/>
    </row>
    <row r="406" spans="1:11" x14ac:dyDescent="0.25">
      <c r="A406" s="107" t="s">
        <v>540</v>
      </c>
      <c r="B406" s="107" t="s">
        <v>1461</v>
      </c>
      <c r="C406" s="107">
        <v>2021</v>
      </c>
      <c r="D406" t="s">
        <v>8</v>
      </c>
      <c r="E406">
        <f>SUM(E407:E411)</f>
        <v>5732.9</v>
      </c>
      <c r="F406">
        <f>F407+F408+F409+F410+F411</f>
        <v>5732.9</v>
      </c>
      <c r="G406">
        <f>G407+G408+G409+G410+G411</f>
        <v>0</v>
      </c>
      <c r="H406">
        <f>H407+H408+H409+H410+H411</f>
        <v>0</v>
      </c>
      <c r="I406">
        <f>I407+I408+I409+I410+I411</f>
        <v>0</v>
      </c>
      <c r="J406" s="107" t="s">
        <v>1462</v>
      </c>
      <c r="K406" s="107" t="s">
        <v>1463</v>
      </c>
    </row>
    <row r="407" spans="1:11" x14ac:dyDescent="0.25">
      <c r="A407" s="107"/>
      <c r="B407" s="107"/>
      <c r="C407" s="107"/>
      <c r="D407">
        <v>2021</v>
      </c>
      <c r="E407">
        <f t="shared" si="105"/>
        <v>395.5</v>
      </c>
      <c r="F407">
        <v>395.5</v>
      </c>
      <c r="G407">
        <v>0</v>
      </c>
      <c r="H407">
        <v>0</v>
      </c>
      <c r="I407">
        <v>0</v>
      </c>
      <c r="J407" s="107"/>
      <c r="K407" s="107"/>
    </row>
    <row r="408" spans="1:11" x14ac:dyDescent="0.25">
      <c r="A408" s="107"/>
      <c r="B408" s="107"/>
      <c r="C408" s="107"/>
      <c r="D408">
        <v>2022</v>
      </c>
      <c r="E408">
        <f t="shared" si="105"/>
        <v>1850</v>
      </c>
      <c r="F408">
        <v>1850</v>
      </c>
      <c r="G408">
        <v>0</v>
      </c>
      <c r="H408">
        <v>0</v>
      </c>
      <c r="I408">
        <v>0</v>
      </c>
      <c r="J408" s="107"/>
      <c r="K408" s="107"/>
    </row>
    <row r="409" spans="1:11" x14ac:dyDescent="0.25">
      <c r="A409" s="107"/>
      <c r="B409" s="107"/>
      <c r="C409" s="107"/>
      <c r="D409">
        <v>2023</v>
      </c>
      <c r="E409">
        <f t="shared" si="105"/>
        <v>1269.4000000000001</v>
      </c>
      <c r="F409">
        <v>1269.4000000000001</v>
      </c>
      <c r="G409">
        <v>0</v>
      </c>
      <c r="H409">
        <v>0</v>
      </c>
      <c r="I409">
        <v>0</v>
      </c>
      <c r="J409" s="107"/>
      <c r="K409" s="107"/>
    </row>
    <row r="410" spans="1:11" x14ac:dyDescent="0.25">
      <c r="A410" s="107"/>
      <c r="B410" s="107"/>
      <c r="C410" s="107"/>
      <c r="D410">
        <v>2024</v>
      </c>
      <c r="E410">
        <f t="shared" si="105"/>
        <v>1058</v>
      </c>
      <c r="F410">
        <v>1058</v>
      </c>
      <c r="G410">
        <v>0</v>
      </c>
      <c r="H410">
        <v>0</v>
      </c>
      <c r="I410">
        <v>0</v>
      </c>
      <c r="J410" s="107"/>
      <c r="K410" s="107"/>
    </row>
    <row r="411" spans="1:11" x14ac:dyDescent="0.25">
      <c r="A411" s="107"/>
      <c r="B411" s="107"/>
      <c r="C411" s="107"/>
      <c r="D411">
        <v>2025</v>
      </c>
      <c r="E411">
        <f t="shared" si="105"/>
        <v>1160</v>
      </c>
      <c r="F411">
        <v>1160</v>
      </c>
      <c r="G411">
        <v>0</v>
      </c>
      <c r="H411">
        <v>0</v>
      </c>
      <c r="I411">
        <v>0</v>
      </c>
      <c r="J411" s="107"/>
      <c r="K411" s="107"/>
    </row>
    <row r="412" spans="1:11" x14ac:dyDescent="0.25">
      <c r="A412" s="107" t="s">
        <v>1464</v>
      </c>
      <c r="B412" s="107" t="s">
        <v>176</v>
      </c>
      <c r="C412" s="107" t="s">
        <v>14</v>
      </c>
      <c r="D412" t="s">
        <v>8</v>
      </c>
      <c r="E412">
        <f>SUM(E413:E417)</f>
        <v>617237.30000000005</v>
      </c>
      <c r="F412">
        <f>SUM(F413:F417)</f>
        <v>617237.30000000005</v>
      </c>
      <c r="G412">
        <f>SUM(G413:G417)</f>
        <v>0</v>
      </c>
      <c r="H412">
        <f>SUM(H413:H417)</f>
        <v>0</v>
      </c>
      <c r="I412">
        <f>SUM(I413:I417)</f>
        <v>0</v>
      </c>
      <c r="J412" s="107" t="s">
        <v>1465</v>
      </c>
      <c r="K412" s="107" t="s">
        <v>1466</v>
      </c>
    </row>
    <row r="413" spans="1:11" x14ac:dyDescent="0.25">
      <c r="A413" s="107"/>
      <c r="B413" s="107"/>
      <c r="C413" s="107"/>
      <c r="D413">
        <v>2021</v>
      </c>
      <c r="E413">
        <f t="shared" ref="E413:E417" si="106">SUM(F413:I413)</f>
        <v>78785.399999999994</v>
      </c>
      <c r="F413">
        <v>78785.399999999994</v>
      </c>
      <c r="G413">
        <v>0</v>
      </c>
      <c r="H413">
        <v>0</v>
      </c>
      <c r="I413">
        <v>0</v>
      </c>
      <c r="J413" s="107"/>
      <c r="K413" s="107"/>
    </row>
    <row r="414" spans="1:11" x14ac:dyDescent="0.25">
      <c r="A414" s="107"/>
      <c r="B414" s="107"/>
      <c r="C414" s="107"/>
      <c r="D414">
        <v>2022</v>
      </c>
      <c r="E414">
        <f t="shared" si="106"/>
        <v>123950.9</v>
      </c>
      <c r="F414">
        <v>123950.9</v>
      </c>
      <c r="G414">
        <v>0</v>
      </c>
      <c r="H414">
        <v>0</v>
      </c>
      <c r="I414">
        <v>0</v>
      </c>
      <c r="J414" s="107"/>
      <c r="K414" s="107"/>
    </row>
    <row r="415" spans="1:11" x14ac:dyDescent="0.25">
      <c r="A415" s="107"/>
      <c r="B415" s="107"/>
      <c r="C415" s="107"/>
      <c r="D415">
        <v>2023</v>
      </c>
      <c r="E415">
        <f t="shared" si="106"/>
        <v>139438.6</v>
      </c>
      <c r="F415">
        <v>139438.6</v>
      </c>
      <c r="G415">
        <v>0</v>
      </c>
      <c r="H415">
        <v>0</v>
      </c>
      <c r="I415">
        <v>0</v>
      </c>
      <c r="J415" s="107"/>
      <c r="K415" s="107"/>
    </row>
    <row r="416" spans="1:11" x14ac:dyDescent="0.25">
      <c r="A416" s="107"/>
      <c r="B416" s="107"/>
      <c r="C416" s="107"/>
      <c r="D416">
        <v>2024</v>
      </c>
      <c r="E416">
        <f t="shared" si="106"/>
        <v>137530.70000000001</v>
      </c>
      <c r="F416">
        <v>137530.70000000001</v>
      </c>
      <c r="G416">
        <v>0</v>
      </c>
      <c r="H416">
        <v>0</v>
      </c>
      <c r="I416">
        <v>0</v>
      </c>
      <c r="J416" s="107"/>
      <c r="K416" s="107"/>
    </row>
    <row r="417" spans="1:11" ht="24" customHeight="1" x14ac:dyDescent="0.25">
      <c r="A417" s="107"/>
      <c r="B417" s="107"/>
      <c r="C417" s="107"/>
      <c r="D417">
        <v>2025</v>
      </c>
      <c r="E417">
        <f t="shared" si="106"/>
        <v>137531.70000000001</v>
      </c>
      <c r="F417">
        <v>137531.70000000001</v>
      </c>
      <c r="G417">
        <v>0</v>
      </c>
      <c r="H417">
        <v>0</v>
      </c>
      <c r="I417">
        <v>0</v>
      </c>
      <c r="J417" s="107"/>
      <c r="K417" s="107"/>
    </row>
    <row r="418" spans="1:11" x14ac:dyDescent="0.25">
      <c r="A418" s="107" t="s">
        <v>1467</v>
      </c>
      <c r="B418" s="107" t="s">
        <v>1468</v>
      </c>
      <c r="C418" s="107" t="s">
        <v>1125</v>
      </c>
      <c r="D418" t="s">
        <v>8</v>
      </c>
      <c r="E418">
        <f>SUM(E419:E423)</f>
        <v>178308.33499999999</v>
      </c>
      <c r="F418">
        <f>SUM(F419:F423)</f>
        <v>178308.33499999999</v>
      </c>
      <c r="G418">
        <f>SUM(G419:G423)</f>
        <v>0</v>
      </c>
      <c r="H418">
        <f>SUM(H419:H423)</f>
        <v>0</v>
      </c>
      <c r="I418">
        <f>SUM(I419:I423)</f>
        <v>0</v>
      </c>
      <c r="J418" s="107" t="s">
        <v>1469</v>
      </c>
      <c r="K418" s="107" t="s">
        <v>1470</v>
      </c>
    </row>
    <row r="419" spans="1:11" x14ac:dyDescent="0.25">
      <c r="A419" s="107"/>
      <c r="B419" s="107"/>
      <c r="C419" s="107"/>
      <c r="D419">
        <v>2021</v>
      </c>
      <c r="E419">
        <f t="shared" ref="E419:E421" si="107">SUM(F419:I419)</f>
        <v>0</v>
      </c>
      <c r="F419">
        <v>0</v>
      </c>
      <c r="G419">
        <v>0</v>
      </c>
      <c r="H419">
        <v>0</v>
      </c>
      <c r="I419">
        <v>0</v>
      </c>
      <c r="J419" s="107"/>
      <c r="K419" s="107"/>
    </row>
    <row r="420" spans="1:11" x14ac:dyDescent="0.25">
      <c r="A420" s="107"/>
      <c r="B420" s="107"/>
      <c r="C420" s="107"/>
      <c r="D420">
        <v>2022</v>
      </c>
      <c r="E420">
        <f t="shared" si="107"/>
        <v>0</v>
      </c>
      <c r="F420">
        <v>0</v>
      </c>
      <c r="G420">
        <v>0</v>
      </c>
      <c r="H420">
        <v>0</v>
      </c>
      <c r="I420">
        <v>0</v>
      </c>
      <c r="J420" s="107"/>
      <c r="K420" s="107"/>
    </row>
    <row r="421" spans="1:11" ht="15.75" customHeight="1" x14ac:dyDescent="0.25">
      <c r="A421" s="107"/>
      <c r="B421" s="107"/>
      <c r="C421" s="107"/>
      <c r="D421">
        <v>2023</v>
      </c>
      <c r="E421">
        <f t="shared" si="107"/>
        <v>59657.445</v>
      </c>
      <c r="F421">
        <v>59657.445</v>
      </c>
      <c r="G421">
        <v>0</v>
      </c>
      <c r="H421">
        <v>0</v>
      </c>
      <c r="I421">
        <v>0</v>
      </c>
      <c r="J421" s="107"/>
      <c r="K421" s="107"/>
    </row>
    <row r="422" spans="1:11" ht="20.25" customHeight="1" x14ac:dyDescent="0.25">
      <c r="A422" s="107"/>
      <c r="B422" s="107"/>
      <c r="C422" s="107"/>
      <c r="D422">
        <v>2024</v>
      </c>
      <c r="E422">
        <f>F422</f>
        <v>59325.445</v>
      </c>
      <c r="F422">
        <v>59325.445</v>
      </c>
      <c r="G422">
        <v>0</v>
      </c>
      <c r="H422">
        <v>0</v>
      </c>
      <c r="I422">
        <v>0</v>
      </c>
      <c r="J422" s="107"/>
      <c r="K422" s="107"/>
    </row>
    <row r="423" spans="1:11" ht="20.25" customHeight="1" x14ac:dyDescent="0.25">
      <c r="A423" s="107"/>
      <c r="B423" s="107"/>
      <c r="C423" s="107"/>
      <c r="D423">
        <v>2025</v>
      </c>
      <c r="E423">
        <f>SUM(F423:I423)</f>
        <v>59325.445</v>
      </c>
      <c r="F423">
        <v>59325.445</v>
      </c>
      <c r="G423">
        <v>0</v>
      </c>
      <c r="H423">
        <v>0</v>
      </c>
      <c r="I423">
        <v>0</v>
      </c>
      <c r="J423" s="107"/>
      <c r="K423" s="107"/>
    </row>
    <row r="424" spans="1:11" x14ac:dyDescent="0.25">
      <c r="A424" s="107" t="s">
        <v>1471</v>
      </c>
      <c r="B424" s="107" t="s">
        <v>1472</v>
      </c>
      <c r="C424" s="107" t="s">
        <v>1125</v>
      </c>
      <c r="D424" t="s">
        <v>8</v>
      </c>
      <c r="E424">
        <f>SUM(E425:E429)</f>
        <v>0</v>
      </c>
      <c r="F424">
        <f>SUM(F425:F429)</f>
        <v>0</v>
      </c>
      <c r="G424">
        <f>SUM(G425:G429)</f>
        <v>0</v>
      </c>
      <c r="H424">
        <f>SUM(H425:H429)</f>
        <v>0</v>
      </c>
      <c r="I424">
        <f>SUM(I425:I429)</f>
        <v>0</v>
      </c>
      <c r="J424" s="107" t="s">
        <v>1472</v>
      </c>
      <c r="K424" s="107" t="s">
        <v>1470</v>
      </c>
    </row>
    <row r="425" spans="1:11" x14ac:dyDescent="0.25">
      <c r="A425" s="107"/>
      <c r="B425" s="107"/>
      <c r="C425" s="107"/>
      <c r="D425">
        <v>2021</v>
      </c>
      <c r="E425">
        <f t="shared" ref="E425:E426" si="108">SUM(F425:I425)</f>
        <v>0</v>
      </c>
      <c r="F425">
        <v>0</v>
      </c>
      <c r="G425">
        <v>0</v>
      </c>
      <c r="H425">
        <v>0</v>
      </c>
      <c r="I425">
        <v>0</v>
      </c>
      <c r="J425" s="107"/>
      <c r="K425" s="107"/>
    </row>
    <row r="426" spans="1:11" x14ac:dyDescent="0.25">
      <c r="A426" s="107"/>
      <c r="B426" s="107"/>
      <c r="C426" s="107"/>
      <c r="D426">
        <v>2022</v>
      </c>
      <c r="E426">
        <f t="shared" si="108"/>
        <v>0</v>
      </c>
      <c r="F426">
        <v>0</v>
      </c>
      <c r="G426">
        <v>0</v>
      </c>
      <c r="H426">
        <v>0</v>
      </c>
      <c r="I426">
        <v>0</v>
      </c>
      <c r="J426" s="107"/>
      <c r="K426" s="107"/>
    </row>
    <row r="427" spans="1:11" x14ac:dyDescent="0.25">
      <c r="A427" s="107"/>
      <c r="B427" s="107"/>
      <c r="C427" s="107"/>
      <c r="D427">
        <v>2023</v>
      </c>
      <c r="E427">
        <v>0</v>
      </c>
      <c r="F427">
        <v>0</v>
      </c>
      <c r="G427">
        <v>0</v>
      </c>
      <c r="H427">
        <v>0</v>
      </c>
      <c r="I427">
        <v>0</v>
      </c>
      <c r="J427" s="107"/>
      <c r="K427" s="107"/>
    </row>
    <row r="428" spans="1:11" x14ac:dyDescent="0.25">
      <c r="A428" s="107"/>
      <c r="B428" s="107"/>
      <c r="C428" s="107"/>
      <c r="D428">
        <v>2024</v>
      </c>
      <c r="E428">
        <f>F428</f>
        <v>0</v>
      </c>
      <c r="F428">
        <v>0</v>
      </c>
      <c r="G428">
        <v>0</v>
      </c>
      <c r="H428">
        <v>0</v>
      </c>
      <c r="I428">
        <v>0</v>
      </c>
      <c r="J428" s="107"/>
      <c r="K428" s="107"/>
    </row>
    <row r="429" spans="1:11" x14ac:dyDescent="0.25">
      <c r="A429" s="107"/>
      <c r="B429" s="107"/>
      <c r="C429" s="107"/>
      <c r="D429">
        <v>2025</v>
      </c>
      <c r="E429">
        <f>SUM(F429:I429)</f>
        <v>0</v>
      </c>
      <c r="F429">
        <v>0</v>
      </c>
      <c r="G429">
        <v>0</v>
      </c>
      <c r="H429">
        <v>0</v>
      </c>
      <c r="I429">
        <v>0</v>
      </c>
      <c r="J429" s="107"/>
      <c r="K429" s="107"/>
    </row>
    <row r="430" spans="1:11" x14ac:dyDescent="0.25">
      <c r="A430" s="107" t="s">
        <v>1473</v>
      </c>
      <c r="B430" s="107" t="s">
        <v>1474</v>
      </c>
      <c r="C430" s="107" t="s">
        <v>1125</v>
      </c>
      <c r="D430" t="s">
        <v>8</v>
      </c>
      <c r="E430">
        <f>SUM(E431:E435)</f>
        <v>0</v>
      </c>
      <c r="F430">
        <f>SUM(F431:F435)</f>
        <v>0</v>
      </c>
      <c r="G430">
        <f>SUM(G431:G435)</f>
        <v>0</v>
      </c>
      <c r="H430">
        <f>SUM(H431:H435)</f>
        <v>0</v>
      </c>
      <c r="I430">
        <f>SUM(I431:I435)</f>
        <v>0</v>
      </c>
      <c r="J430" s="107" t="s">
        <v>1474</v>
      </c>
      <c r="K430" s="107" t="s">
        <v>1470</v>
      </c>
    </row>
    <row r="431" spans="1:11" x14ac:dyDescent="0.25">
      <c r="A431" s="107"/>
      <c r="B431" s="107"/>
      <c r="C431" s="107"/>
      <c r="D431">
        <v>2021</v>
      </c>
      <c r="E431">
        <f t="shared" ref="E431:E432" si="109">SUM(F431:I431)</f>
        <v>0</v>
      </c>
      <c r="F431">
        <v>0</v>
      </c>
      <c r="G431">
        <v>0</v>
      </c>
      <c r="H431">
        <v>0</v>
      </c>
      <c r="I431">
        <v>0</v>
      </c>
      <c r="J431" s="107"/>
      <c r="K431" s="107"/>
    </row>
    <row r="432" spans="1:11" x14ac:dyDescent="0.25">
      <c r="A432" s="107"/>
      <c r="B432" s="107"/>
      <c r="C432" s="107"/>
      <c r="D432">
        <v>2022</v>
      </c>
      <c r="E432">
        <f t="shared" si="109"/>
        <v>0</v>
      </c>
      <c r="F432">
        <v>0</v>
      </c>
      <c r="G432">
        <v>0</v>
      </c>
      <c r="H432">
        <v>0</v>
      </c>
      <c r="I432">
        <v>0</v>
      </c>
      <c r="J432" s="107"/>
      <c r="K432" s="107"/>
    </row>
    <row r="433" spans="1:11" x14ac:dyDescent="0.25">
      <c r="A433" s="107"/>
      <c r="B433" s="107"/>
      <c r="C433" s="107"/>
      <c r="D433">
        <v>2023</v>
      </c>
      <c r="E433">
        <v>0</v>
      </c>
      <c r="F433">
        <v>0</v>
      </c>
      <c r="G433">
        <v>0</v>
      </c>
      <c r="H433">
        <v>0</v>
      </c>
      <c r="I433">
        <v>0</v>
      </c>
      <c r="J433" s="107"/>
      <c r="K433" s="107"/>
    </row>
    <row r="434" spans="1:11" x14ac:dyDescent="0.25">
      <c r="A434" s="107"/>
      <c r="B434" s="107"/>
      <c r="C434" s="107"/>
      <c r="D434">
        <v>2024</v>
      </c>
      <c r="E434">
        <f>F434</f>
        <v>0</v>
      </c>
      <c r="F434">
        <v>0</v>
      </c>
      <c r="G434">
        <v>0</v>
      </c>
      <c r="H434">
        <v>0</v>
      </c>
      <c r="I434">
        <v>0</v>
      </c>
      <c r="J434" s="107"/>
      <c r="K434" s="107"/>
    </row>
    <row r="435" spans="1:11" ht="14.25" customHeight="1" x14ac:dyDescent="0.25">
      <c r="A435" s="107"/>
      <c r="B435" s="107"/>
      <c r="C435" s="107"/>
      <c r="D435">
        <v>2025</v>
      </c>
      <c r="E435">
        <f>SUM(F435:I435)</f>
        <v>0</v>
      </c>
      <c r="F435">
        <v>0</v>
      </c>
      <c r="G435">
        <v>0</v>
      </c>
      <c r="H435">
        <v>0</v>
      </c>
      <c r="I435">
        <v>0</v>
      </c>
      <c r="J435" s="107"/>
      <c r="K435" s="107"/>
    </row>
    <row r="436" spans="1:11" x14ac:dyDescent="0.25">
      <c r="A436" s="107" t="s">
        <v>1475</v>
      </c>
      <c r="B436" s="107" t="s">
        <v>1476</v>
      </c>
      <c r="C436" s="107" t="s">
        <v>1125</v>
      </c>
      <c r="D436" t="s">
        <v>8</v>
      </c>
      <c r="E436">
        <f>SUM(E437:E441)</f>
        <v>4000</v>
      </c>
      <c r="F436">
        <f>SUM(F437:F441)</f>
        <v>4000</v>
      </c>
      <c r="G436">
        <f>SUM(G437:G441)</f>
        <v>0</v>
      </c>
      <c r="H436">
        <f>SUM(H437:H441)</f>
        <v>0</v>
      </c>
      <c r="I436">
        <f>SUM(I437:I441)</f>
        <v>0</v>
      </c>
      <c r="J436" s="107" t="s">
        <v>1476</v>
      </c>
      <c r="K436" s="107" t="s">
        <v>1470</v>
      </c>
    </row>
    <row r="437" spans="1:11" x14ac:dyDescent="0.25">
      <c r="A437" s="107"/>
      <c r="B437" s="107"/>
      <c r="C437" s="107"/>
      <c r="D437">
        <v>2021</v>
      </c>
      <c r="E437">
        <f t="shared" ref="E437:E439" si="110">SUM(F437:I437)</f>
        <v>0</v>
      </c>
      <c r="F437">
        <v>0</v>
      </c>
      <c r="G437">
        <v>0</v>
      </c>
      <c r="H437">
        <v>0</v>
      </c>
      <c r="I437">
        <v>0</v>
      </c>
      <c r="J437" s="107"/>
      <c r="K437" s="107"/>
    </row>
    <row r="438" spans="1:11" x14ac:dyDescent="0.25">
      <c r="A438" s="107"/>
      <c r="B438" s="107"/>
      <c r="C438" s="107"/>
      <c r="D438">
        <v>2022</v>
      </c>
      <c r="E438">
        <f t="shared" si="110"/>
        <v>0</v>
      </c>
      <c r="F438">
        <v>0</v>
      </c>
      <c r="G438">
        <v>0</v>
      </c>
      <c r="H438">
        <v>0</v>
      </c>
      <c r="I438">
        <v>0</v>
      </c>
      <c r="J438" s="107"/>
      <c r="K438" s="107"/>
    </row>
    <row r="439" spans="1:11" x14ac:dyDescent="0.25">
      <c r="A439" s="107"/>
      <c r="B439" s="107"/>
      <c r="C439" s="107"/>
      <c r="D439">
        <v>2023</v>
      </c>
      <c r="E439">
        <f t="shared" si="110"/>
        <v>4000</v>
      </c>
      <c r="F439">
        <v>4000</v>
      </c>
      <c r="G439">
        <v>0</v>
      </c>
      <c r="H439">
        <v>0</v>
      </c>
      <c r="I439">
        <v>0</v>
      </c>
      <c r="J439" s="107"/>
      <c r="K439" s="107"/>
    </row>
    <row r="440" spans="1:11" x14ac:dyDescent="0.25">
      <c r="A440" s="107"/>
      <c r="B440" s="107"/>
      <c r="C440" s="107"/>
      <c r="D440">
        <v>2024</v>
      </c>
      <c r="E440">
        <f>F440</f>
        <v>0</v>
      </c>
      <c r="F440">
        <v>0</v>
      </c>
      <c r="G440">
        <v>0</v>
      </c>
      <c r="H440">
        <v>0</v>
      </c>
      <c r="I440">
        <v>0</v>
      </c>
      <c r="J440" s="107"/>
      <c r="K440" s="107"/>
    </row>
    <row r="441" spans="1:11" x14ac:dyDescent="0.25">
      <c r="A441" s="107"/>
      <c r="B441" s="107"/>
      <c r="C441" s="107"/>
      <c r="D441">
        <v>2025</v>
      </c>
      <c r="E441">
        <f>SUM(F441:I441)</f>
        <v>0</v>
      </c>
      <c r="F441">
        <v>0</v>
      </c>
      <c r="G441">
        <v>0</v>
      </c>
      <c r="H441">
        <v>0</v>
      </c>
      <c r="I441">
        <v>0</v>
      </c>
      <c r="J441" s="107"/>
      <c r="K441" s="107"/>
    </row>
    <row r="442" spans="1:11" x14ac:dyDescent="0.25">
      <c r="A442" s="107" t="s">
        <v>1477</v>
      </c>
      <c r="B442" s="107" t="s">
        <v>1478</v>
      </c>
      <c r="C442" s="107" t="s">
        <v>1125</v>
      </c>
      <c r="D442" t="s">
        <v>8</v>
      </c>
      <c r="E442">
        <f>SUM(E443:E447)</f>
        <v>3000</v>
      </c>
      <c r="F442">
        <f>SUM(F443:F447)</f>
        <v>3000</v>
      </c>
      <c r="G442">
        <f>SUM(G443:G447)</f>
        <v>0</v>
      </c>
      <c r="H442">
        <f>SUM(H443:H447)</f>
        <v>0</v>
      </c>
      <c r="I442">
        <f>SUM(I443:I447)</f>
        <v>0</v>
      </c>
      <c r="J442" s="107" t="s">
        <v>1478</v>
      </c>
      <c r="K442" s="107" t="s">
        <v>1470</v>
      </c>
    </row>
    <row r="443" spans="1:11" x14ac:dyDescent="0.25">
      <c r="A443" s="107"/>
      <c r="B443" s="107"/>
      <c r="C443" s="107"/>
      <c r="D443">
        <v>2021</v>
      </c>
      <c r="E443">
        <f t="shared" ref="E443:E445" si="111">SUM(F443:I443)</f>
        <v>0</v>
      </c>
      <c r="F443">
        <v>0</v>
      </c>
      <c r="G443">
        <v>0</v>
      </c>
      <c r="H443">
        <v>0</v>
      </c>
      <c r="I443">
        <v>0</v>
      </c>
      <c r="J443" s="107"/>
      <c r="K443" s="107"/>
    </row>
    <row r="444" spans="1:11" x14ac:dyDescent="0.25">
      <c r="A444" s="107"/>
      <c r="B444" s="107"/>
      <c r="C444" s="107"/>
      <c r="D444">
        <v>2022</v>
      </c>
      <c r="E444">
        <f t="shared" si="111"/>
        <v>0</v>
      </c>
      <c r="F444">
        <v>0</v>
      </c>
      <c r="G444">
        <v>0</v>
      </c>
      <c r="H444">
        <v>0</v>
      </c>
      <c r="I444">
        <v>0</v>
      </c>
      <c r="J444" s="107"/>
      <c r="K444" s="107"/>
    </row>
    <row r="445" spans="1:11" x14ac:dyDescent="0.25">
      <c r="A445" s="107"/>
      <c r="B445" s="107"/>
      <c r="C445" s="107"/>
      <c r="D445">
        <v>2023</v>
      </c>
      <c r="E445">
        <f t="shared" si="111"/>
        <v>3000</v>
      </c>
      <c r="F445">
        <v>3000</v>
      </c>
      <c r="G445">
        <v>0</v>
      </c>
      <c r="H445">
        <v>0</v>
      </c>
      <c r="I445">
        <v>0</v>
      </c>
      <c r="J445" s="107"/>
      <c r="K445" s="107"/>
    </row>
    <row r="446" spans="1:11" x14ac:dyDescent="0.25">
      <c r="A446" s="107"/>
      <c r="B446" s="107"/>
      <c r="C446" s="107"/>
      <c r="D446">
        <v>2024</v>
      </c>
      <c r="E446">
        <f>F446</f>
        <v>0</v>
      </c>
      <c r="F446">
        <v>0</v>
      </c>
      <c r="G446">
        <v>0</v>
      </c>
      <c r="H446">
        <v>0</v>
      </c>
      <c r="I446">
        <v>0</v>
      </c>
      <c r="J446" s="107"/>
      <c r="K446" s="107"/>
    </row>
    <row r="447" spans="1:11" x14ac:dyDescent="0.25">
      <c r="A447" s="107"/>
      <c r="B447" s="107"/>
      <c r="C447" s="107"/>
      <c r="D447">
        <v>2025</v>
      </c>
      <c r="E447">
        <f>SUM(F447:I447)</f>
        <v>0</v>
      </c>
      <c r="F447">
        <v>0</v>
      </c>
      <c r="G447">
        <v>0</v>
      </c>
      <c r="H447">
        <v>0</v>
      </c>
      <c r="I447">
        <v>0</v>
      </c>
      <c r="J447" s="107"/>
      <c r="K447" s="107"/>
    </row>
    <row r="448" spans="1:11" ht="15" customHeight="1" x14ac:dyDescent="0.25">
      <c r="A448" s="107" t="s">
        <v>1479</v>
      </c>
      <c r="B448" s="107" t="s">
        <v>1480</v>
      </c>
      <c r="C448" s="107" t="s">
        <v>14</v>
      </c>
      <c r="D448" t="s">
        <v>8</v>
      </c>
      <c r="E448">
        <f>SUM(E449:E453)</f>
        <v>4182902.7828100007</v>
      </c>
      <c r="F448">
        <f>SUM(F449:F453)</f>
        <v>2091451.4328099999</v>
      </c>
      <c r="G448">
        <f>SUM(G449:G453)</f>
        <v>0</v>
      </c>
      <c r="H448">
        <f>SUM(H449:H453)</f>
        <v>2091451.35</v>
      </c>
      <c r="I448">
        <f>SUM(I449:I453)</f>
        <v>0</v>
      </c>
      <c r="J448" s="107" t="s">
        <v>1481</v>
      </c>
      <c r="K448" s="107" t="s">
        <v>1482</v>
      </c>
    </row>
    <row r="449" spans="1:11" x14ac:dyDescent="0.25">
      <c r="A449" s="107"/>
      <c r="B449" s="107"/>
      <c r="C449" s="107"/>
      <c r="D449">
        <v>2021</v>
      </c>
      <c r="E449">
        <f t="shared" ref="E449:E453" si="112">SUM(F449:I449)</f>
        <v>407824.4</v>
      </c>
      <c r="F449">
        <f t="shared" ref="F449:F453" si="113">F455</f>
        <v>203912.2</v>
      </c>
      <c r="G449">
        <f t="shared" ref="G449:I453" si="114">G455</f>
        <v>0</v>
      </c>
      <c r="H449">
        <f t="shared" si="114"/>
        <v>203912.2</v>
      </c>
      <c r="I449">
        <f t="shared" si="114"/>
        <v>0</v>
      </c>
      <c r="J449" s="107"/>
      <c r="K449" s="107"/>
    </row>
    <row r="450" spans="1:11" x14ac:dyDescent="0.25">
      <c r="A450" s="107"/>
      <c r="B450" s="107"/>
      <c r="C450" s="107"/>
      <c r="D450">
        <v>2022</v>
      </c>
      <c r="E450">
        <f t="shared" si="112"/>
        <v>888360.95</v>
      </c>
      <c r="F450">
        <f t="shared" si="113"/>
        <v>444180.5</v>
      </c>
      <c r="G450">
        <f t="shared" si="114"/>
        <v>0</v>
      </c>
      <c r="H450">
        <f t="shared" si="114"/>
        <v>444180.45</v>
      </c>
      <c r="I450">
        <f t="shared" si="114"/>
        <v>0</v>
      </c>
      <c r="J450" s="107"/>
      <c r="K450" s="107"/>
    </row>
    <row r="451" spans="1:11" x14ac:dyDescent="0.25">
      <c r="A451" s="107"/>
      <c r="B451" s="107"/>
      <c r="C451" s="107"/>
      <c r="D451">
        <v>2023</v>
      </c>
      <c r="E451">
        <f t="shared" si="112"/>
        <v>915463.01884000003</v>
      </c>
      <c r="F451">
        <f t="shared" si="113"/>
        <v>457731.51883999998</v>
      </c>
      <c r="G451">
        <f t="shared" si="114"/>
        <v>0</v>
      </c>
      <c r="H451">
        <f t="shared" si="114"/>
        <v>457731.5</v>
      </c>
      <c r="I451">
        <f t="shared" si="114"/>
        <v>0</v>
      </c>
      <c r="J451" s="107"/>
      <c r="K451" s="107"/>
    </row>
    <row r="452" spans="1:11" x14ac:dyDescent="0.25">
      <c r="A452" s="107"/>
      <c r="B452" s="107"/>
      <c r="C452" s="107"/>
      <c r="D452">
        <v>2024</v>
      </c>
      <c r="E452">
        <f t="shared" si="112"/>
        <v>969854.62675000005</v>
      </c>
      <c r="F452">
        <f t="shared" si="113"/>
        <v>484927.32675000001</v>
      </c>
      <c r="G452">
        <f t="shared" si="114"/>
        <v>0</v>
      </c>
      <c r="H452">
        <f t="shared" si="114"/>
        <v>484927.3</v>
      </c>
      <c r="I452">
        <f t="shared" si="114"/>
        <v>0</v>
      </c>
      <c r="J452" s="107"/>
      <c r="K452" s="107"/>
    </row>
    <row r="453" spans="1:11" ht="33" customHeight="1" x14ac:dyDescent="0.25">
      <c r="A453" s="107"/>
      <c r="B453" s="107"/>
      <c r="C453" s="107"/>
      <c r="D453">
        <v>2025</v>
      </c>
      <c r="E453">
        <f t="shared" si="112"/>
        <v>1001399.7872200001</v>
      </c>
      <c r="F453">
        <f t="shared" si="113"/>
        <v>500699.88721999998</v>
      </c>
      <c r="G453">
        <f t="shared" si="114"/>
        <v>0</v>
      </c>
      <c r="H453">
        <f t="shared" si="114"/>
        <v>500699.9</v>
      </c>
      <c r="I453">
        <f t="shared" si="114"/>
        <v>0</v>
      </c>
      <c r="J453" s="107"/>
      <c r="K453" s="107"/>
    </row>
    <row r="454" spans="1:11" x14ac:dyDescent="0.25">
      <c r="A454" s="107" t="s">
        <v>1483</v>
      </c>
      <c r="B454" s="107" t="s">
        <v>1484</v>
      </c>
      <c r="C454" s="107" t="s">
        <v>14</v>
      </c>
      <c r="D454" t="s">
        <v>8</v>
      </c>
      <c r="E454">
        <f>SUM(E455:E459)</f>
        <v>4182902.7828100007</v>
      </c>
      <c r="F454">
        <f>SUM(F455:F459)</f>
        <v>2091451.4328099999</v>
      </c>
      <c r="G454">
        <f>SUM(G455:G459)</f>
        <v>0</v>
      </c>
      <c r="H454">
        <f>SUM(H455:H459)</f>
        <v>2091451.35</v>
      </c>
      <c r="I454">
        <f>SUM(I455:I459)</f>
        <v>0</v>
      </c>
      <c r="J454" s="107" t="s">
        <v>1485</v>
      </c>
      <c r="K454" s="107" t="s">
        <v>1482</v>
      </c>
    </row>
    <row r="455" spans="1:11" x14ac:dyDescent="0.25">
      <c r="A455" s="107"/>
      <c r="B455" s="107"/>
      <c r="C455" s="107"/>
      <c r="D455">
        <v>2021</v>
      </c>
      <c r="E455">
        <f t="shared" ref="E455:E459" si="115">SUM(F455:I455)</f>
        <v>407824.4</v>
      </c>
      <c r="F455">
        <v>203912.2</v>
      </c>
      <c r="G455">
        <v>0</v>
      </c>
      <c r="H455">
        <v>203912.2</v>
      </c>
      <c r="I455">
        <v>0</v>
      </c>
      <c r="J455" s="107"/>
      <c r="K455" s="107"/>
    </row>
    <row r="456" spans="1:11" ht="38.25" customHeight="1" x14ac:dyDescent="0.25">
      <c r="A456" s="107"/>
      <c r="B456" s="107"/>
      <c r="C456" s="107"/>
      <c r="D456">
        <v>2022</v>
      </c>
      <c r="E456">
        <f t="shared" si="115"/>
        <v>888360.95</v>
      </c>
      <c r="F456">
        <v>444180.5</v>
      </c>
      <c r="G456">
        <v>0</v>
      </c>
      <c r="H456">
        <v>444180.45</v>
      </c>
      <c r="I456">
        <v>0</v>
      </c>
      <c r="J456" s="107"/>
      <c r="K456" s="107"/>
    </row>
    <row r="457" spans="1:11" ht="26.25" customHeight="1" x14ac:dyDescent="0.25">
      <c r="A457" s="107"/>
      <c r="B457" s="107"/>
      <c r="C457" s="107"/>
      <c r="D457">
        <v>2023</v>
      </c>
      <c r="E457">
        <f t="shared" si="115"/>
        <v>915463.01884000003</v>
      </c>
      <c r="F457">
        <v>457731.51883999998</v>
      </c>
      <c r="G457">
        <v>0</v>
      </c>
      <c r="H457">
        <v>457731.5</v>
      </c>
      <c r="I457">
        <v>0</v>
      </c>
      <c r="J457" s="107"/>
      <c r="K457" s="107"/>
    </row>
    <row r="458" spans="1:11" ht="21.75" customHeight="1" x14ac:dyDescent="0.25">
      <c r="A458" s="107"/>
      <c r="B458" s="107"/>
      <c r="C458" s="107"/>
      <c r="D458">
        <v>2024</v>
      </c>
      <c r="E458">
        <f t="shared" si="115"/>
        <v>969854.62675000005</v>
      </c>
      <c r="F458">
        <v>484927.32675000001</v>
      </c>
      <c r="G458">
        <v>0</v>
      </c>
      <c r="H458">
        <v>484927.3</v>
      </c>
      <c r="I458">
        <v>0</v>
      </c>
      <c r="J458" s="107"/>
      <c r="K458" s="107"/>
    </row>
    <row r="459" spans="1:11" ht="39" customHeight="1" x14ac:dyDescent="0.25">
      <c r="A459" s="107"/>
      <c r="B459" s="107"/>
      <c r="C459" s="107"/>
      <c r="D459">
        <v>2025</v>
      </c>
      <c r="E459">
        <f t="shared" si="115"/>
        <v>1001399.7872200001</v>
      </c>
      <c r="F459">
        <v>500699.88721999998</v>
      </c>
      <c r="G459">
        <v>0</v>
      </c>
      <c r="H459">
        <v>500699.9</v>
      </c>
      <c r="I459">
        <v>0</v>
      </c>
      <c r="J459" s="107"/>
      <c r="K459" s="107"/>
    </row>
    <row r="460" spans="1:11" ht="19.5" customHeight="1" x14ac:dyDescent="0.25">
      <c r="A460" s="107" t="s">
        <v>1486</v>
      </c>
      <c r="B460" s="107" t="s">
        <v>1487</v>
      </c>
      <c r="C460" s="107" t="s">
        <v>14</v>
      </c>
      <c r="D460" t="s">
        <v>8</v>
      </c>
      <c r="E460">
        <f>SUM(E461:E465)</f>
        <v>1497875.7057615789</v>
      </c>
      <c r="F460">
        <f>SUM(F461:F465)</f>
        <v>944057.95495999977</v>
      </c>
      <c r="G460">
        <f>SUM(G461:G465)</f>
        <v>0</v>
      </c>
      <c r="H460">
        <f>SUM(H461:H465)</f>
        <v>553817.75080157898</v>
      </c>
      <c r="I460">
        <f>SUM(I461:I465)</f>
        <v>0</v>
      </c>
      <c r="J460" s="107" t="s">
        <v>1488</v>
      </c>
      <c r="K460" s="107" t="s">
        <v>1265</v>
      </c>
    </row>
    <row r="461" spans="1:11" x14ac:dyDescent="0.25">
      <c r="A461" s="107"/>
      <c r="B461" s="107"/>
      <c r="C461" s="107"/>
      <c r="D461">
        <v>2021</v>
      </c>
      <c r="E461">
        <f t="shared" ref="E461:E465" si="116">F461+H461</f>
        <v>277140.77270894736</v>
      </c>
      <c r="F461">
        <f t="shared" ref="F461:G465" si="117">F467+F473+F479+F485+F491+F497+F503</f>
        <v>249610.99896</v>
      </c>
      <c r="G461">
        <f>G467+G473+G479+G485+G491+G497+G503</f>
        <v>0</v>
      </c>
      <c r="H461">
        <f t="shared" ref="H461:H465" si="118">H467+H473+H479+H485+H491+H497+H503</f>
        <v>27529.77374894738</v>
      </c>
      <c r="I461">
        <f t="shared" ref="I461:I465" si="119">I467+I473+I479+I485+I491+I497</f>
        <v>0</v>
      </c>
      <c r="J461" s="107"/>
      <c r="K461" s="107"/>
    </row>
    <row r="462" spans="1:11" x14ac:dyDescent="0.25">
      <c r="A462" s="107"/>
      <c r="B462" s="107"/>
      <c r="C462" s="107"/>
      <c r="D462">
        <v>2022</v>
      </c>
      <c r="E462">
        <f t="shared" si="116"/>
        <v>578307.26</v>
      </c>
      <c r="F462">
        <f t="shared" si="117"/>
        <v>322136.67</v>
      </c>
      <c r="G462">
        <f t="shared" si="117"/>
        <v>0</v>
      </c>
      <c r="H462">
        <f t="shared" si="118"/>
        <v>256170.59</v>
      </c>
      <c r="I462">
        <f t="shared" si="119"/>
        <v>0</v>
      </c>
      <c r="J462" s="107"/>
      <c r="K462" s="107"/>
    </row>
    <row r="463" spans="1:11" x14ac:dyDescent="0.25">
      <c r="A463" s="107"/>
      <c r="B463" s="107"/>
      <c r="C463" s="107"/>
      <c r="D463">
        <v>2023</v>
      </c>
      <c r="E463">
        <f t="shared" si="116"/>
        <v>376679.18305263156</v>
      </c>
      <c r="F463">
        <f t="shared" si="117"/>
        <v>188509.37599999999</v>
      </c>
      <c r="G463">
        <f t="shared" si="117"/>
        <v>0</v>
      </c>
      <c r="H463">
        <f t="shared" si="118"/>
        <v>188169.8070526316</v>
      </c>
      <c r="I463">
        <f t="shared" si="119"/>
        <v>0</v>
      </c>
      <c r="J463" s="107"/>
      <c r="K463" s="107"/>
    </row>
    <row r="464" spans="1:11" x14ac:dyDescent="0.25">
      <c r="A464" s="107"/>
      <c r="B464" s="107"/>
      <c r="C464" s="107"/>
      <c r="D464">
        <v>2024</v>
      </c>
      <c r="E464">
        <f t="shared" si="116"/>
        <v>227234.58999999997</v>
      </c>
      <c r="F464">
        <f t="shared" si="117"/>
        <v>147212.71</v>
      </c>
      <c r="G464">
        <f t="shared" si="117"/>
        <v>0</v>
      </c>
      <c r="H464">
        <f t="shared" si="118"/>
        <v>80021.87999999999</v>
      </c>
      <c r="I464">
        <f t="shared" si="119"/>
        <v>0</v>
      </c>
      <c r="J464" s="107"/>
      <c r="K464" s="107"/>
    </row>
    <row r="465" spans="1:11" ht="41.25" customHeight="1" x14ac:dyDescent="0.25">
      <c r="A465" s="107"/>
      <c r="B465" s="107"/>
      <c r="C465" s="107"/>
      <c r="D465">
        <v>2025</v>
      </c>
      <c r="E465">
        <f t="shared" si="116"/>
        <v>38513.899999999994</v>
      </c>
      <c r="F465">
        <f t="shared" si="117"/>
        <v>36588.199999999997</v>
      </c>
      <c r="G465">
        <f t="shared" si="117"/>
        <v>0</v>
      </c>
      <c r="H465">
        <f t="shared" si="118"/>
        <v>1925.7</v>
      </c>
      <c r="I465">
        <f t="shared" si="119"/>
        <v>0</v>
      </c>
      <c r="J465" s="107"/>
      <c r="K465" s="107"/>
    </row>
    <row r="466" spans="1:11" x14ac:dyDescent="0.25">
      <c r="A466" s="107" t="s">
        <v>1489</v>
      </c>
      <c r="B466" s="107" t="s">
        <v>1490</v>
      </c>
      <c r="C466" s="107" t="s">
        <v>41</v>
      </c>
      <c r="D466" t="s">
        <v>8</v>
      </c>
      <c r="E466">
        <f>E467+E468+E469+E470+E471</f>
        <v>222707.79355789477</v>
      </c>
      <c r="F466">
        <f>F467+F468+F469+F470+F471</f>
        <v>211572.39688000001</v>
      </c>
      <c r="G466">
        <f>G467+G468+G469+G470+G471</f>
        <v>0</v>
      </c>
      <c r="H466">
        <f>H467+H468+H469+H470+H471</f>
        <v>11135.396677894736</v>
      </c>
      <c r="I466">
        <f>I467+I468+I469+I470+I471</f>
        <v>0</v>
      </c>
      <c r="J466" s="107" t="s">
        <v>1491</v>
      </c>
      <c r="K466" s="107" t="s">
        <v>1492</v>
      </c>
    </row>
    <row r="467" spans="1:11" x14ac:dyDescent="0.25">
      <c r="A467" s="107"/>
      <c r="B467" s="107"/>
      <c r="C467" s="107"/>
      <c r="D467">
        <v>2021</v>
      </c>
      <c r="E467">
        <f t="shared" ref="E467:E471" si="120">F467+H467</f>
        <v>24611.333557894737</v>
      </c>
      <c r="F467">
        <v>23380.766879999999</v>
      </c>
      <c r="G467">
        <v>0</v>
      </c>
      <c r="H467">
        <v>1230.5666778947368</v>
      </c>
      <c r="I467">
        <v>0</v>
      </c>
      <c r="J467" s="107"/>
      <c r="K467" s="107"/>
    </row>
    <row r="468" spans="1:11" x14ac:dyDescent="0.25">
      <c r="A468" s="107"/>
      <c r="B468" s="107"/>
      <c r="C468" s="107"/>
      <c r="D468">
        <v>2022</v>
      </c>
      <c r="E468">
        <f t="shared" si="120"/>
        <v>120922.6</v>
      </c>
      <c r="F468">
        <v>114876.47</v>
      </c>
      <c r="G468">
        <v>0</v>
      </c>
      <c r="H468">
        <v>6046.13</v>
      </c>
      <c r="I468">
        <v>0</v>
      </c>
      <c r="J468" s="107"/>
      <c r="K468" s="107"/>
    </row>
    <row r="469" spans="1:11" x14ac:dyDescent="0.25">
      <c r="A469" s="107"/>
      <c r="B469" s="107"/>
      <c r="C469" s="107"/>
      <c r="D469">
        <v>2023</v>
      </c>
      <c r="E469">
        <f t="shared" si="120"/>
        <v>37867.439999999995</v>
      </c>
      <c r="F469">
        <v>35974.06</v>
      </c>
      <c r="G469">
        <v>0</v>
      </c>
      <c r="H469">
        <v>1893.38</v>
      </c>
      <c r="I469">
        <v>0</v>
      </c>
      <c r="J469" s="107"/>
      <c r="K469" s="107"/>
    </row>
    <row r="470" spans="1:11" x14ac:dyDescent="0.25">
      <c r="A470" s="107"/>
      <c r="B470" s="107"/>
      <c r="C470" s="107"/>
      <c r="D470">
        <v>2024</v>
      </c>
      <c r="E470">
        <f t="shared" si="120"/>
        <v>39306.42</v>
      </c>
      <c r="F470">
        <v>37341.1</v>
      </c>
      <c r="G470">
        <v>0</v>
      </c>
      <c r="H470">
        <v>1965.32</v>
      </c>
      <c r="I470">
        <v>0</v>
      </c>
      <c r="J470" s="107"/>
      <c r="K470" s="107"/>
    </row>
    <row r="471" spans="1:11" x14ac:dyDescent="0.25">
      <c r="A471" s="107"/>
      <c r="B471" s="107"/>
      <c r="C471" s="107"/>
      <c r="D471">
        <v>2025</v>
      </c>
      <c r="E471">
        <f t="shared" si="120"/>
        <v>0</v>
      </c>
      <c r="F471">
        <v>0</v>
      </c>
      <c r="G471">
        <v>0</v>
      </c>
      <c r="H471">
        <v>0</v>
      </c>
      <c r="I471">
        <v>0</v>
      </c>
      <c r="J471" s="107"/>
      <c r="K471" s="107"/>
    </row>
    <row r="472" spans="1:11" x14ac:dyDescent="0.25">
      <c r="A472" s="107" t="s">
        <v>1493</v>
      </c>
      <c r="B472" s="107" t="s">
        <v>203</v>
      </c>
      <c r="C472" s="107" t="s">
        <v>41</v>
      </c>
      <c r="D472" t="s">
        <v>8</v>
      </c>
      <c r="E472">
        <f>E473+E474+E475+E476+E477</f>
        <v>160892.6</v>
      </c>
      <c r="F472">
        <f>F473+F474+F475+F476+F477</f>
        <v>152848</v>
      </c>
      <c r="G472">
        <f>G473+G474+G475+G476+G477</f>
        <v>0</v>
      </c>
      <c r="H472">
        <f>H473+H474+H475+H476+H477</f>
        <v>8044.6</v>
      </c>
      <c r="I472">
        <v>0</v>
      </c>
      <c r="J472" s="107" t="s">
        <v>1494</v>
      </c>
      <c r="K472" s="107" t="s">
        <v>1495</v>
      </c>
    </row>
    <row r="473" spans="1:11" x14ac:dyDescent="0.25">
      <c r="A473" s="107"/>
      <c r="B473" s="107"/>
      <c r="C473" s="107"/>
      <c r="D473">
        <v>2021</v>
      </c>
      <c r="E473">
        <f t="shared" ref="E473:E477" si="121">F473+H473</f>
        <v>45601.3</v>
      </c>
      <c r="F473">
        <v>43321.3</v>
      </c>
      <c r="G473">
        <v>0</v>
      </c>
      <c r="H473">
        <v>2280</v>
      </c>
      <c r="I473">
        <v>0</v>
      </c>
      <c r="J473" s="107"/>
      <c r="K473" s="107"/>
    </row>
    <row r="474" spans="1:11" ht="21" customHeight="1" x14ac:dyDescent="0.25">
      <c r="A474" s="107"/>
      <c r="B474" s="107"/>
      <c r="C474" s="107"/>
      <c r="D474">
        <v>2022</v>
      </c>
      <c r="E474">
        <f t="shared" si="121"/>
        <v>36708</v>
      </c>
      <c r="F474">
        <v>34872.6</v>
      </c>
      <c r="G474">
        <v>0</v>
      </c>
      <c r="H474">
        <v>1835.4</v>
      </c>
      <c r="I474">
        <v>0</v>
      </c>
      <c r="J474" s="107"/>
      <c r="K474" s="107"/>
    </row>
    <row r="475" spans="1:11" x14ac:dyDescent="0.25">
      <c r="A475" s="107"/>
      <c r="B475" s="107"/>
      <c r="C475" s="107"/>
      <c r="D475">
        <v>2023</v>
      </c>
      <c r="E475">
        <f t="shared" si="121"/>
        <v>54855.200000000004</v>
      </c>
      <c r="F475">
        <v>52112.4</v>
      </c>
      <c r="G475">
        <v>0</v>
      </c>
      <c r="H475">
        <v>2742.8</v>
      </c>
      <c r="I475">
        <v>0</v>
      </c>
      <c r="J475" s="107"/>
      <c r="K475" s="107"/>
    </row>
    <row r="476" spans="1:11" x14ac:dyDescent="0.25">
      <c r="A476" s="107"/>
      <c r="B476" s="107"/>
      <c r="C476" s="107"/>
      <c r="D476">
        <v>2024</v>
      </c>
      <c r="E476">
        <f t="shared" si="121"/>
        <v>23728.100000000002</v>
      </c>
      <c r="F476">
        <v>22541.7</v>
      </c>
      <c r="G476">
        <v>0</v>
      </c>
      <c r="H476">
        <v>1186.4000000000001</v>
      </c>
      <c r="I476">
        <v>0</v>
      </c>
      <c r="J476" s="107"/>
      <c r="K476" s="107"/>
    </row>
    <row r="477" spans="1:11" x14ac:dyDescent="0.25">
      <c r="A477" s="107"/>
      <c r="B477" s="107"/>
      <c r="C477" s="107"/>
      <c r="D477">
        <v>2025</v>
      </c>
      <c r="E477">
        <f t="shared" si="121"/>
        <v>0</v>
      </c>
      <c r="F477">
        <v>0</v>
      </c>
      <c r="G477">
        <v>0</v>
      </c>
      <c r="H477">
        <v>0</v>
      </c>
      <c r="I477">
        <v>0</v>
      </c>
      <c r="J477" s="107"/>
      <c r="K477" s="107"/>
    </row>
    <row r="478" spans="1:11" x14ac:dyDescent="0.25">
      <c r="A478" s="107" t="s">
        <v>1496</v>
      </c>
      <c r="B478" s="107" t="s">
        <v>282</v>
      </c>
      <c r="C478" s="107" t="s">
        <v>41</v>
      </c>
      <c r="D478" t="s">
        <v>8</v>
      </c>
      <c r="E478">
        <f>E479+E480+E481+E482+E483</f>
        <v>233144.51976</v>
      </c>
      <c r="F478">
        <f>F479+F480+F481+F482+F483</f>
        <v>221487.29577000003</v>
      </c>
      <c r="G478">
        <f>G479+G480+G481+G482+G483</f>
        <v>0</v>
      </c>
      <c r="H478">
        <f>H479+H480+H481+H482+H483</f>
        <v>11657.22399</v>
      </c>
      <c r="I478">
        <f>I479+I480+I481+I482+I483</f>
        <v>0</v>
      </c>
      <c r="J478" s="107" t="s">
        <v>1497</v>
      </c>
      <c r="K478" s="107" t="s">
        <v>1498</v>
      </c>
    </row>
    <row r="479" spans="1:11" x14ac:dyDescent="0.25">
      <c r="A479" s="107"/>
      <c r="B479" s="107"/>
      <c r="C479" s="107"/>
      <c r="D479">
        <v>2021</v>
      </c>
      <c r="E479">
        <f t="shared" ref="E479:E483" si="122">F479+H479</f>
        <v>5851.67976</v>
      </c>
      <c r="F479">
        <v>5559.0957699999999</v>
      </c>
      <c r="G479">
        <v>0</v>
      </c>
      <c r="H479">
        <v>292.58399000000009</v>
      </c>
      <c r="I479">
        <v>0</v>
      </c>
      <c r="J479" s="107"/>
      <c r="K479" s="107"/>
    </row>
    <row r="480" spans="1:11" ht="21" customHeight="1" x14ac:dyDescent="0.25">
      <c r="A480" s="107"/>
      <c r="B480" s="107"/>
      <c r="C480" s="107"/>
      <c r="D480">
        <v>2022</v>
      </c>
      <c r="E480">
        <f t="shared" si="122"/>
        <v>116432.74</v>
      </c>
      <c r="F480">
        <v>110611.1</v>
      </c>
      <c r="G480">
        <v>0</v>
      </c>
      <c r="H480">
        <v>5821.64</v>
      </c>
      <c r="I480">
        <v>0</v>
      </c>
      <c r="J480" s="107"/>
      <c r="K480" s="107"/>
    </row>
    <row r="481" spans="1:11" x14ac:dyDescent="0.25">
      <c r="A481" s="107"/>
      <c r="B481" s="107"/>
      <c r="C481" s="107"/>
      <c r="D481">
        <v>2023</v>
      </c>
      <c r="E481">
        <f t="shared" si="122"/>
        <v>57447.8</v>
      </c>
      <c r="F481">
        <v>54575.4</v>
      </c>
      <c r="G481">
        <v>0</v>
      </c>
      <c r="H481">
        <v>2872.4</v>
      </c>
      <c r="I481">
        <v>0</v>
      </c>
      <c r="J481" s="107"/>
      <c r="K481" s="107"/>
    </row>
    <row r="482" spans="1:11" x14ac:dyDescent="0.25">
      <c r="A482" s="107"/>
      <c r="B482" s="107"/>
      <c r="C482" s="107"/>
      <c r="D482">
        <v>2024</v>
      </c>
      <c r="E482">
        <f t="shared" si="122"/>
        <v>53412.299999999996</v>
      </c>
      <c r="F482">
        <v>50741.7</v>
      </c>
      <c r="G482">
        <v>0</v>
      </c>
      <c r="H482">
        <v>2670.6</v>
      </c>
      <c r="I482">
        <v>0</v>
      </c>
      <c r="J482" s="107"/>
      <c r="K482" s="107"/>
    </row>
    <row r="483" spans="1:11" x14ac:dyDescent="0.25">
      <c r="A483" s="107"/>
      <c r="B483" s="107"/>
      <c r="C483" s="107"/>
      <c r="D483">
        <v>2025</v>
      </c>
      <c r="E483">
        <f t="shared" si="122"/>
        <v>0</v>
      </c>
      <c r="F483">
        <v>0</v>
      </c>
      <c r="G483">
        <v>0</v>
      </c>
      <c r="H483">
        <v>0</v>
      </c>
      <c r="I483">
        <v>0</v>
      </c>
      <c r="J483" s="107"/>
      <c r="K483" s="107"/>
    </row>
    <row r="484" spans="1:11" x14ac:dyDescent="0.25">
      <c r="A484" s="107" t="s">
        <v>1499</v>
      </c>
      <c r="B484" s="107" t="s">
        <v>211</v>
      </c>
      <c r="C484" s="107" t="s">
        <v>124</v>
      </c>
      <c r="D484" t="s">
        <v>8</v>
      </c>
      <c r="E484">
        <f>E485+E486+E487+E488+E489</f>
        <v>67617.848421052637</v>
      </c>
      <c r="F484">
        <f>F485+F486+F487+F488+F489</f>
        <v>64236.911</v>
      </c>
      <c r="G484">
        <f>G485+G486+G487+G488+G489</f>
        <v>0</v>
      </c>
      <c r="H484">
        <f>H485+H486+H487+H488+H489</f>
        <v>3380.9374210526321</v>
      </c>
      <c r="I484">
        <v>0</v>
      </c>
      <c r="J484" s="107" t="s">
        <v>1500</v>
      </c>
      <c r="K484" s="107" t="s">
        <v>1501</v>
      </c>
    </row>
    <row r="485" spans="1:11" x14ac:dyDescent="0.25">
      <c r="A485" s="107"/>
      <c r="B485" s="107"/>
      <c r="C485" s="107"/>
      <c r="D485">
        <v>2021</v>
      </c>
      <c r="E485">
        <f t="shared" ref="E485:E489" si="123">F485+H485</f>
        <v>35314.748421052631</v>
      </c>
      <c r="F485">
        <v>33549.010999999999</v>
      </c>
      <c r="G485">
        <v>0</v>
      </c>
      <c r="H485">
        <v>1765.7374210526323</v>
      </c>
      <c r="I485">
        <v>0</v>
      </c>
      <c r="J485" s="107"/>
      <c r="K485" s="107"/>
    </row>
    <row r="486" spans="1:11" x14ac:dyDescent="0.25">
      <c r="A486" s="107"/>
      <c r="B486" s="107"/>
      <c r="C486" s="107"/>
      <c r="D486">
        <v>2022</v>
      </c>
      <c r="E486">
        <f t="shared" si="123"/>
        <v>32303.100000000002</v>
      </c>
      <c r="F486">
        <v>30687.9</v>
      </c>
      <c r="G486">
        <v>0</v>
      </c>
      <c r="H486">
        <v>1615.2</v>
      </c>
      <c r="I486">
        <v>0</v>
      </c>
      <c r="J486" s="107"/>
      <c r="K486" s="107"/>
    </row>
    <row r="487" spans="1:11" x14ac:dyDescent="0.25">
      <c r="A487" s="107"/>
      <c r="B487" s="107"/>
      <c r="C487" s="107"/>
      <c r="D487">
        <v>2023</v>
      </c>
      <c r="E487">
        <f t="shared" si="123"/>
        <v>0</v>
      </c>
      <c r="F487">
        <v>0</v>
      </c>
      <c r="G487">
        <v>0</v>
      </c>
      <c r="H487">
        <v>0</v>
      </c>
      <c r="I487">
        <v>0</v>
      </c>
      <c r="J487" s="107"/>
      <c r="K487" s="107"/>
    </row>
    <row r="488" spans="1:11" x14ac:dyDescent="0.25">
      <c r="A488" s="107"/>
      <c r="B488" s="107"/>
      <c r="C488" s="107"/>
      <c r="D488">
        <v>2024</v>
      </c>
      <c r="E488">
        <f t="shared" si="123"/>
        <v>0</v>
      </c>
      <c r="F488">
        <v>0</v>
      </c>
      <c r="G488">
        <v>0</v>
      </c>
      <c r="H488">
        <v>0</v>
      </c>
      <c r="I488">
        <v>0</v>
      </c>
      <c r="J488" s="107"/>
      <c r="K488" s="107"/>
    </row>
    <row r="489" spans="1:11" x14ac:dyDescent="0.25">
      <c r="A489" s="107"/>
      <c r="B489" s="107"/>
      <c r="C489" s="107"/>
      <c r="D489">
        <v>2025</v>
      </c>
      <c r="E489">
        <f t="shared" si="123"/>
        <v>0</v>
      </c>
      <c r="F489">
        <v>0</v>
      </c>
      <c r="G489">
        <v>0</v>
      </c>
      <c r="H489">
        <v>0</v>
      </c>
      <c r="I489">
        <v>0</v>
      </c>
      <c r="J489" s="107"/>
      <c r="K489" s="107"/>
    </row>
    <row r="490" spans="1:11" x14ac:dyDescent="0.25">
      <c r="A490" s="107" t="s">
        <v>1502</v>
      </c>
      <c r="B490" s="107" t="s">
        <v>1503</v>
      </c>
      <c r="C490" s="107" t="s">
        <v>14</v>
      </c>
      <c r="D490" t="s">
        <v>8</v>
      </c>
      <c r="E490">
        <f>E491+E492+E493+E494+E495</f>
        <v>211702.72200263158</v>
      </c>
      <c r="F490">
        <f>F491+F492+F493+F494+F495</f>
        <v>201117.62599999999</v>
      </c>
      <c r="G490">
        <f t="shared" ref="G490:G495" si="124">G491+G492+G493+G494+G495</f>
        <v>0</v>
      </c>
      <c r="H490">
        <f>H491+H492+H493+H494+H495</f>
        <v>10585.096002631581</v>
      </c>
      <c r="I490">
        <f>I491+I492+I493+I494+I495</f>
        <v>0</v>
      </c>
      <c r="J490" s="107" t="s">
        <v>1504</v>
      </c>
      <c r="K490" s="107" t="s">
        <v>1505</v>
      </c>
    </row>
    <row r="491" spans="1:11" x14ac:dyDescent="0.25">
      <c r="A491" s="107"/>
      <c r="B491" s="107"/>
      <c r="C491" s="107"/>
      <c r="D491">
        <v>2021</v>
      </c>
      <c r="E491">
        <f t="shared" ref="E491:E495" si="125">F491+H491</f>
        <v>53689.578949999996</v>
      </c>
      <c r="F491">
        <v>51005.1</v>
      </c>
      <c r="G491">
        <f t="shared" si="124"/>
        <v>0</v>
      </c>
      <c r="H491">
        <v>2684.4789500000002</v>
      </c>
      <c r="I491">
        <v>0</v>
      </c>
      <c r="J491" s="107"/>
      <c r="K491" s="107"/>
    </row>
    <row r="492" spans="1:11" x14ac:dyDescent="0.25">
      <c r="A492" s="107"/>
      <c r="B492" s="107"/>
      <c r="C492" s="107"/>
      <c r="D492">
        <v>2022</v>
      </c>
      <c r="E492">
        <f t="shared" si="125"/>
        <v>32724.799999999999</v>
      </c>
      <c r="F492">
        <v>31088.6</v>
      </c>
      <c r="G492">
        <f t="shared" si="124"/>
        <v>0</v>
      </c>
      <c r="H492">
        <v>1636.2</v>
      </c>
      <c r="I492">
        <v>0</v>
      </c>
      <c r="J492" s="107"/>
      <c r="K492" s="107"/>
    </row>
    <row r="493" spans="1:11" x14ac:dyDescent="0.25">
      <c r="A493" s="107"/>
      <c r="B493" s="107"/>
      <c r="C493" s="107"/>
      <c r="D493">
        <v>2023</v>
      </c>
      <c r="E493">
        <f t="shared" si="125"/>
        <v>48260.543052631583</v>
      </c>
      <c r="F493">
        <v>45847.516000000003</v>
      </c>
      <c r="G493">
        <f t="shared" si="124"/>
        <v>0</v>
      </c>
      <c r="H493">
        <v>2413.0270526315799</v>
      </c>
      <c r="I493">
        <v>0</v>
      </c>
      <c r="J493" s="107"/>
      <c r="K493" s="107"/>
    </row>
    <row r="494" spans="1:11" x14ac:dyDescent="0.25">
      <c r="A494" s="107"/>
      <c r="B494" s="107"/>
      <c r="C494" s="107"/>
      <c r="D494">
        <v>2024</v>
      </c>
      <c r="E494">
        <f t="shared" si="125"/>
        <v>38513.9</v>
      </c>
      <c r="F494">
        <v>36588.21</v>
      </c>
      <c r="G494">
        <f t="shared" si="124"/>
        <v>0</v>
      </c>
      <c r="H494">
        <v>1925.69</v>
      </c>
      <c r="I494">
        <v>0</v>
      </c>
      <c r="J494" s="107"/>
      <c r="K494" s="107"/>
    </row>
    <row r="495" spans="1:11" x14ac:dyDescent="0.25">
      <c r="A495" s="107"/>
      <c r="B495" s="107"/>
      <c r="C495" s="107"/>
      <c r="D495">
        <v>2025</v>
      </c>
      <c r="E495">
        <f t="shared" si="125"/>
        <v>38513.899999999994</v>
      </c>
      <c r="F495">
        <v>36588.199999999997</v>
      </c>
      <c r="G495">
        <f t="shared" si="124"/>
        <v>0</v>
      </c>
      <c r="H495">
        <v>1925.7</v>
      </c>
      <c r="I495">
        <v>0</v>
      </c>
      <c r="J495" s="107"/>
      <c r="K495" s="107"/>
    </row>
    <row r="496" spans="1:11" x14ac:dyDescent="0.25">
      <c r="A496" s="107" t="s">
        <v>1506</v>
      </c>
      <c r="B496" s="107" t="s">
        <v>1507</v>
      </c>
      <c r="C496" s="107">
        <v>2021</v>
      </c>
      <c r="D496" t="s">
        <v>8</v>
      </c>
      <c r="E496">
        <f t="shared" ref="E496:E507" si="126">SUM(F496:I496)</f>
        <v>112072.13202</v>
      </c>
      <c r="F496">
        <f>F497</f>
        <v>92795.725309999994</v>
      </c>
      <c r="G496">
        <f>G497</f>
        <v>0</v>
      </c>
      <c r="H496">
        <f>H497</f>
        <v>19276.40671000001</v>
      </c>
      <c r="I496">
        <f>SUM(I497:I501)</f>
        <v>0</v>
      </c>
      <c r="J496" s="107" t="s">
        <v>1508</v>
      </c>
      <c r="K496" s="107" t="s">
        <v>1509</v>
      </c>
    </row>
    <row r="497" spans="1:11" x14ac:dyDescent="0.25">
      <c r="A497" s="107"/>
      <c r="B497" s="107"/>
      <c r="C497" s="107"/>
      <c r="D497">
        <v>2021</v>
      </c>
      <c r="E497">
        <f t="shared" si="126"/>
        <v>112072.13202</v>
      </c>
      <c r="F497">
        <v>92795.725309999994</v>
      </c>
      <c r="G497">
        <v>0</v>
      </c>
      <c r="H497">
        <v>19276.40671000001</v>
      </c>
      <c r="I497">
        <v>0</v>
      </c>
      <c r="J497" s="107"/>
      <c r="K497" s="107"/>
    </row>
    <row r="498" spans="1:11" x14ac:dyDescent="0.25">
      <c r="A498" s="107"/>
      <c r="B498" s="107"/>
      <c r="C498" s="107"/>
      <c r="D498">
        <v>2022</v>
      </c>
      <c r="E498">
        <f t="shared" si="126"/>
        <v>0</v>
      </c>
      <c r="F498">
        <v>0</v>
      </c>
      <c r="G498">
        <v>0</v>
      </c>
      <c r="H498">
        <v>0</v>
      </c>
      <c r="I498">
        <v>0</v>
      </c>
      <c r="J498" s="107"/>
      <c r="K498" s="107"/>
    </row>
    <row r="499" spans="1:11" x14ac:dyDescent="0.25">
      <c r="A499" s="107"/>
      <c r="B499" s="107"/>
      <c r="C499" s="107"/>
      <c r="D499">
        <v>2023</v>
      </c>
      <c r="E499">
        <f t="shared" si="126"/>
        <v>0</v>
      </c>
      <c r="F499">
        <v>0</v>
      </c>
      <c r="G499">
        <v>0</v>
      </c>
      <c r="H499">
        <v>0</v>
      </c>
      <c r="I499">
        <v>0</v>
      </c>
      <c r="J499" s="107"/>
      <c r="K499" s="107"/>
    </row>
    <row r="500" spans="1:11" x14ac:dyDescent="0.25">
      <c r="A500" s="107"/>
      <c r="B500" s="107"/>
      <c r="C500" s="107"/>
      <c r="D500">
        <v>2024</v>
      </c>
      <c r="E500">
        <f t="shared" si="126"/>
        <v>0</v>
      </c>
      <c r="F500">
        <v>0</v>
      </c>
      <c r="G500">
        <v>0</v>
      </c>
      <c r="H500">
        <v>0</v>
      </c>
      <c r="I500">
        <v>0</v>
      </c>
      <c r="J500" s="107"/>
      <c r="K500" s="107"/>
    </row>
    <row r="501" spans="1:11" x14ac:dyDescent="0.25">
      <c r="A501" s="107"/>
      <c r="B501" s="107"/>
      <c r="C501" s="107"/>
      <c r="D501">
        <v>2025</v>
      </c>
      <c r="E501">
        <f t="shared" si="126"/>
        <v>0</v>
      </c>
      <c r="F501">
        <v>0</v>
      </c>
      <c r="G501">
        <v>0</v>
      </c>
      <c r="H501">
        <v>0</v>
      </c>
      <c r="I501">
        <v>0</v>
      </c>
      <c r="J501" s="107"/>
      <c r="K501" s="107"/>
    </row>
    <row r="502" spans="1:11" x14ac:dyDescent="0.25">
      <c r="A502" s="107" t="s">
        <v>1510</v>
      </c>
      <c r="B502" s="107" t="s">
        <v>1511</v>
      </c>
      <c r="C502" s="107" t="s">
        <v>1332</v>
      </c>
      <c r="D502" t="s">
        <v>8</v>
      </c>
      <c r="E502">
        <f t="shared" si="126"/>
        <v>489738.08999999997</v>
      </c>
      <c r="F502">
        <f>SUM(F503:F507)</f>
        <v>0</v>
      </c>
      <c r="G502">
        <f>SUM(G503:G507)</f>
        <v>0</v>
      </c>
      <c r="H502">
        <f>SUM(H503:H507)</f>
        <v>489738.08999999997</v>
      </c>
      <c r="I502">
        <f>SUM(I503:I507)</f>
        <v>0</v>
      </c>
      <c r="J502" s="107" t="s">
        <v>1512</v>
      </c>
      <c r="K502" s="107" t="s">
        <v>1513</v>
      </c>
    </row>
    <row r="503" spans="1:11" x14ac:dyDescent="0.25">
      <c r="A503" s="107"/>
      <c r="B503" s="107"/>
      <c r="C503" s="107"/>
      <c r="D503">
        <v>2021</v>
      </c>
      <c r="E503">
        <f t="shared" si="126"/>
        <v>0</v>
      </c>
      <c r="F503">
        <v>0</v>
      </c>
      <c r="G503">
        <v>0</v>
      </c>
      <c r="H503">
        <v>0</v>
      </c>
      <c r="I503">
        <v>0</v>
      </c>
      <c r="J503" s="107"/>
      <c r="K503" s="107"/>
    </row>
    <row r="504" spans="1:11" x14ac:dyDescent="0.25">
      <c r="A504" s="107"/>
      <c r="B504" s="107"/>
      <c r="C504" s="107"/>
      <c r="D504">
        <v>2022</v>
      </c>
      <c r="E504">
        <f t="shared" si="126"/>
        <v>239216.02</v>
      </c>
      <c r="F504">
        <v>0</v>
      </c>
      <c r="G504">
        <v>0</v>
      </c>
      <c r="H504">
        <v>239216.02</v>
      </c>
      <c r="I504">
        <v>0</v>
      </c>
      <c r="J504" s="107"/>
      <c r="K504" s="107"/>
    </row>
    <row r="505" spans="1:11" x14ac:dyDescent="0.25">
      <c r="A505" s="107"/>
      <c r="B505" s="107"/>
      <c r="C505" s="107"/>
      <c r="D505">
        <v>2023</v>
      </c>
      <c r="E505">
        <f t="shared" si="126"/>
        <v>178248.2</v>
      </c>
      <c r="F505">
        <v>0</v>
      </c>
      <c r="G505">
        <v>0</v>
      </c>
      <c r="H505">
        <v>178248.2</v>
      </c>
      <c r="I505">
        <v>0</v>
      </c>
      <c r="J505" s="107"/>
      <c r="K505" s="107"/>
    </row>
    <row r="506" spans="1:11" x14ac:dyDescent="0.25">
      <c r="A506" s="107"/>
      <c r="B506" s="107"/>
      <c r="C506" s="107"/>
      <c r="D506">
        <v>2024</v>
      </c>
      <c r="E506">
        <f t="shared" si="126"/>
        <v>72273.87</v>
      </c>
      <c r="F506">
        <v>0</v>
      </c>
      <c r="G506">
        <v>0</v>
      </c>
      <c r="H506">
        <v>72273.87</v>
      </c>
      <c r="I506">
        <v>0</v>
      </c>
      <c r="J506" s="107"/>
      <c r="K506" s="107"/>
    </row>
    <row r="507" spans="1:11" x14ac:dyDescent="0.25">
      <c r="A507" s="107"/>
      <c r="B507" s="107"/>
      <c r="C507" s="107"/>
      <c r="D507">
        <v>2025</v>
      </c>
      <c r="E507">
        <f t="shared" si="126"/>
        <v>0</v>
      </c>
      <c r="F507">
        <v>0</v>
      </c>
      <c r="G507">
        <v>0</v>
      </c>
      <c r="H507">
        <v>0</v>
      </c>
      <c r="I507">
        <v>0</v>
      </c>
      <c r="J507" s="107"/>
      <c r="K507" s="107"/>
    </row>
    <row r="508" spans="1:11" x14ac:dyDescent="0.25">
      <c r="A508" s="107" t="s">
        <v>1514</v>
      </c>
      <c r="B508" s="107" t="s">
        <v>1515</v>
      </c>
      <c r="C508" s="107" t="s">
        <v>1125</v>
      </c>
      <c r="D508" t="s">
        <v>8</v>
      </c>
      <c r="E508">
        <f>E509+E510+E511+E512+E513</f>
        <v>120831.69915</v>
      </c>
      <c r="F508">
        <f>F509+F510+F511+F512+F513</f>
        <v>120831.69915</v>
      </c>
      <c r="G508">
        <f>G509+G510+G511+G512+G513</f>
        <v>0</v>
      </c>
      <c r="H508">
        <f>H509+H510+H511+H512+H513</f>
        <v>0</v>
      </c>
      <c r="I508">
        <f>I509+I510+I511+I512+I513</f>
        <v>0</v>
      </c>
      <c r="J508" s="107" t="s">
        <v>1516</v>
      </c>
      <c r="K508" s="107" t="s">
        <v>1517</v>
      </c>
    </row>
    <row r="509" spans="1:11" x14ac:dyDescent="0.25">
      <c r="A509" s="107"/>
      <c r="B509" s="107"/>
      <c r="C509" s="107"/>
      <c r="D509">
        <v>2021</v>
      </c>
      <c r="E509">
        <f t="shared" ref="E509:E513" si="127">F509+G509+H509+I509</f>
        <v>0</v>
      </c>
      <c r="F509">
        <v>0</v>
      </c>
      <c r="G509">
        <v>0</v>
      </c>
      <c r="H509">
        <v>0</v>
      </c>
      <c r="I509">
        <v>0</v>
      </c>
      <c r="J509" s="107"/>
      <c r="K509" s="107"/>
    </row>
    <row r="510" spans="1:11" x14ac:dyDescent="0.25">
      <c r="A510" s="107"/>
      <c r="B510" s="107"/>
      <c r="C510" s="107"/>
      <c r="D510">
        <v>2022</v>
      </c>
      <c r="E510">
        <f t="shared" si="127"/>
        <v>0</v>
      </c>
      <c r="F510">
        <v>0</v>
      </c>
      <c r="G510">
        <v>0</v>
      </c>
      <c r="H510">
        <v>0</v>
      </c>
      <c r="I510">
        <v>0</v>
      </c>
      <c r="J510" s="107"/>
      <c r="K510" s="107"/>
    </row>
    <row r="511" spans="1:11" x14ac:dyDescent="0.25">
      <c r="A511" s="107"/>
      <c r="B511" s="107"/>
      <c r="C511" s="107"/>
      <c r="D511">
        <v>2023</v>
      </c>
      <c r="E511">
        <f t="shared" si="127"/>
        <v>57572.633150000001</v>
      </c>
      <c r="F511">
        <f t="shared" ref="F511:F513" si="128">F517</f>
        <v>57572.633150000001</v>
      </c>
      <c r="G511">
        <v>0</v>
      </c>
      <c r="H511">
        <v>0</v>
      </c>
      <c r="I511">
        <v>0</v>
      </c>
      <c r="J511" s="107"/>
      <c r="K511" s="107"/>
    </row>
    <row r="512" spans="1:11" x14ac:dyDescent="0.25">
      <c r="A512" s="107"/>
      <c r="B512" s="107"/>
      <c r="C512" s="107"/>
      <c r="D512">
        <v>2024</v>
      </c>
      <c r="E512">
        <f t="shared" si="127"/>
        <v>31629.532999999999</v>
      </c>
      <c r="F512">
        <f t="shared" si="128"/>
        <v>31629.532999999999</v>
      </c>
      <c r="G512">
        <v>0</v>
      </c>
      <c r="H512">
        <v>0</v>
      </c>
      <c r="I512">
        <v>0</v>
      </c>
      <c r="J512" s="107"/>
      <c r="K512" s="107"/>
    </row>
    <row r="513" spans="1:11" x14ac:dyDescent="0.25">
      <c r="A513" s="107"/>
      <c r="B513" s="107"/>
      <c r="C513" s="107"/>
      <c r="D513">
        <v>2025</v>
      </c>
      <c r="E513">
        <f t="shared" si="127"/>
        <v>31629.532999999999</v>
      </c>
      <c r="F513">
        <f t="shared" si="128"/>
        <v>31629.532999999999</v>
      </c>
      <c r="G513">
        <v>0</v>
      </c>
      <c r="H513">
        <v>0</v>
      </c>
      <c r="I513">
        <v>0</v>
      </c>
      <c r="J513" s="107"/>
      <c r="K513" s="107"/>
    </row>
    <row r="514" spans="1:11" ht="19.5" customHeight="1" x14ac:dyDescent="0.25">
      <c r="A514" s="107" t="s">
        <v>1518</v>
      </c>
      <c r="B514" s="107" t="s">
        <v>1519</v>
      </c>
      <c r="C514" s="107" t="s">
        <v>1125</v>
      </c>
      <c r="D514" t="s">
        <v>8</v>
      </c>
      <c r="E514">
        <f>E515+E516+E517+E518+E519</f>
        <v>120831.69915</v>
      </c>
      <c r="F514">
        <f>F515+F516+F517+F518+F519</f>
        <v>120831.69915</v>
      </c>
      <c r="G514">
        <f>G515+G516+G517+G518+G519</f>
        <v>0</v>
      </c>
      <c r="H514">
        <f>H515+H516+H517+H518+H519</f>
        <v>0</v>
      </c>
      <c r="I514">
        <f>I515+I516+I517+I518+I519</f>
        <v>0</v>
      </c>
      <c r="J514" s="107" t="s">
        <v>1520</v>
      </c>
      <c r="K514" s="107" t="s">
        <v>1517</v>
      </c>
    </row>
    <row r="515" spans="1:11" x14ac:dyDescent="0.25">
      <c r="A515" s="107"/>
      <c r="B515" s="107"/>
      <c r="C515" s="107"/>
      <c r="D515">
        <v>2021</v>
      </c>
      <c r="E515">
        <f t="shared" ref="E515:E519" si="129">F515+G515+H515+I515</f>
        <v>0</v>
      </c>
      <c r="F515">
        <v>0</v>
      </c>
      <c r="G515">
        <v>0</v>
      </c>
      <c r="H515">
        <v>0</v>
      </c>
      <c r="I515">
        <v>0</v>
      </c>
      <c r="J515" s="107"/>
      <c r="K515" s="107"/>
    </row>
    <row r="516" spans="1:11" x14ac:dyDescent="0.25">
      <c r="A516" s="107"/>
      <c r="B516" s="107"/>
      <c r="C516" s="107"/>
      <c r="D516">
        <v>2022</v>
      </c>
      <c r="E516">
        <f t="shared" si="129"/>
        <v>0</v>
      </c>
      <c r="F516">
        <v>0</v>
      </c>
      <c r="G516">
        <v>0</v>
      </c>
      <c r="H516">
        <v>0</v>
      </c>
      <c r="I516">
        <v>0</v>
      </c>
      <c r="J516" s="107"/>
      <c r="K516" s="107"/>
    </row>
    <row r="517" spans="1:11" x14ac:dyDescent="0.25">
      <c r="A517" s="107"/>
      <c r="B517" s="107"/>
      <c r="C517" s="107"/>
      <c r="D517">
        <v>2023</v>
      </c>
      <c r="E517">
        <f t="shared" si="129"/>
        <v>57572.633150000001</v>
      </c>
      <c r="F517">
        <v>57572.633150000001</v>
      </c>
      <c r="G517">
        <v>0</v>
      </c>
      <c r="H517">
        <v>0</v>
      </c>
      <c r="I517">
        <v>0</v>
      </c>
      <c r="J517" s="107"/>
      <c r="K517" s="107"/>
    </row>
    <row r="518" spans="1:11" x14ac:dyDescent="0.25">
      <c r="A518" s="107"/>
      <c r="B518" s="107"/>
      <c r="C518" s="107"/>
      <c r="D518">
        <v>2024</v>
      </c>
      <c r="E518">
        <f t="shared" si="129"/>
        <v>31629.532999999999</v>
      </c>
      <c r="F518">
        <v>31629.532999999999</v>
      </c>
      <c r="G518">
        <v>0</v>
      </c>
      <c r="H518">
        <v>0</v>
      </c>
      <c r="I518">
        <v>0</v>
      </c>
      <c r="J518" s="107"/>
      <c r="K518" s="107"/>
    </row>
    <row r="519" spans="1:11" x14ac:dyDescent="0.25">
      <c r="A519" s="107"/>
      <c r="B519" s="107"/>
      <c r="C519" s="107"/>
      <c r="D519">
        <v>2025</v>
      </c>
      <c r="E519">
        <f t="shared" si="129"/>
        <v>31629.532999999999</v>
      </c>
      <c r="F519">
        <v>31629.532999999999</v>
      </c>
      <c r="G519">
        <v>0</v>
      </c>
      <c r="H519">
        <v>0</v>
      </c>
      <c r="I519">
        <v>0</v>
      </c>
      <c r="J519" s="107"/>
      <c r="K519" s="107"/>
    </row>
    <row r="520" spans="1:11" x14ac:dyDescent="0.25">
      <c r="A520" s="107" t="s">
        <v>1521</v>
      </c>
      <c r="B520" s="107" t="s">
        <v>1522</v>
      </c>
      <c r="C520" s="107" t="s">
        <v>14</v>
      </c>
      <c r="D520" t="s">
        <v>8</v>
      </c>
      <c r="E520">
        <f>SUM(E521:E525)</f>
        <v>147855.52175000001</v>
      </c>
      <c r="F520">
        <f>SUM(F521:F525)</f>
        <v>116249.02175000001</v>
      </c>
      <c r="G520">
        <f>SUM(G521:G525)</f>
        <v>0</v>
      </c>
      <c r="H520">
        <f>SUM(H521:H525)</f>
        <v>17572.559999999998</v>
      </c>
      <c r="I520">
        <f>SUM(I521:I525)</f>
        <v>14033.94</v>
      </c>
      <c r="J520" s="107" t="s">
        <v>1523</v>
      </c>
      <c r="K520" s="107" t="s">
        <v>1265</v>
      </c>
    </row>
    <row r="521" spans="1:11" x14ac:dyDescent="0.25">
      <c r="A521" s="107"/>
      <c r="B521" s="107"/>
      <c r="C521" s="107"/>
      <c r="D521">
        <v>2021</v>
      </c>
      <c r="E521">
        <f t="shared" ref="E521:E525" si="130">SUM(F521:I521)</f>
        <v>18268.900000000001</v>
      </c>
      <c r="F521">
        <f t="shared" ref="F521:I525" si="131">F527+F533</f>
        <v>16520.400000000001</v>
      </c>
      <c r="G521">
        <f t="shared" ref="G521:I521" si="132">G527+G533</f>
        <v>0</v>
      </c>
      <c r="H521">
        <f t="shared" si="132"/>
        <v>1748.5</v>
      </c>
      <c r="I521">
        <f t="shared" si="132"/>
        <v>0</v>
      </c>
      <c r="J521" s="107"/>
      <c r="K521" s="107"/>
    </row>
    <row r="522" spans="1:11" x14ac:dyDescent="0.25">
      <c r="A522" s="107"/>
      <c r="B522" s="107"/>
      <c r="C522" s="107"/>
      <c r="D522">
        <v>2022</v>
      </c>
      <c r="E522">
        <f t="shared" si="130"/>
        <v>129586.62175000001</v>
      </c>
      <c r="F522">
        <f t="shared" si="131"/>
        <v>99728.621750000006</v>
      </c>
      <c r="G522">
        <f t="shared" si="131"/>
        <v>0</v>
      </c>
      <c r="H522">
        <f t="shared" si="131"/>
        <v>15824.06</v>
      </c>
      <c r="I522">
        <f t="shared" si="131"/>
        <v>14033.94</v>
      </c>
      <c r="J522" s="107"/>
      <c r="K522" s="107"/>
    </row>
    <row r="523" spans="1:11" x14ac:dyDescent="0.25">
      <c r="A523" s="107"/>
      <c r="B523" s="107"/>
      <c r="C523" s="107"/>
      <c r="D523">
        <v>2023</v>
      </c>
      <c r="E523">
        <f t="shared" si="130"/>
        <v>0</v>
      </c>
      <c r="F523">
        <f t="shared" si="131"/>
        <v>0</v>
      </c>
      <c r="G523">
        <f t="shared" si="131"/>
        <v>0</v>
      </c>
      <c r="H523">
        <f t="shared" si="131"/>
        <v>0</v>
      </c>
      <c r="I523">
        <f t="shared" si="131"/>
        <v>0</v>
      </c>
      <c r="J523" s="107"/>
      <c r="K523" s="107"/>
    </row>
    <row r="524" spans="1:11" x14ac:dyDescent="0.25">
      <c r="A524" s="107"/>
      <c r="B524" s="107"/>
      <c r="C524" s="107"/>
      <c r="D524">
        <v>2024</v>
      </c>
      <c r="E524">
        <f t="shared" si="130"/>
        <v>0</v>
      </c>
      <c r="F524">
        <f t="shared" si="131"/>
        <v>0</v>
      </c>
      <c r="G524">
        <f t="shared" si="131"/>
        <v>0</v>
      </c>
      <c r="H524">
        <f t="shared" si="131"/>
        <v>0</v>
      </c>
      <c r="I524">
        <f t="shared" si="131"/>
        <v>0</v>
      </c>
      <c r="J524" s="107"/>
      <c r="K524" s="107"/>
    </row>
    <row r="525" spans="1:11" x14ac:dyDescent="0.25">
      <c r="A525" s="107"/>
      <c r="B525" s="107"/>
      <c r="C525" s="107"/>
      <c r="D525">
        <v>2025</v>
      </c>
      <c r="E525">
        <f t="shared" si="130"/>
        <v>0</v>
      </c>
      <c r="F525">
        <f t="shared" si="131"/>
        <v>0</v>
      </c>
      <c r="G525">
        <f t="shared" si="131"/>
        <v>0</v>
      </c>
      <c r="H525">
        <f t="shared" si="131"/>
        <v>0</v>
      </c>
      <c r="I525">
        <f t="shared" si="131"/>
        <v>0</v>
      </c>
      <c r="J525" s="107"/>
      <c r="K525" s="107"/>
    </row>
    <row r="526" spans="1:11" x14ac:dyDescent="0.25">
      <c r="A526" s="107" t="s">
        <v>1524</v>
      </c>
      <c r="B526" s="107" t="s">
        <v>1525</v>
      </c>
      <c r="C526" s="107" t="s">
        <v>14</v>
      </c>
      <c r="D526" t="s">
        <v>8</v>
      </c>
      <c r="E526">
        <f>SUM(E527:E531)</f>
        <v>18268.900000000001</v>
      </c>
      <c r="F526">
        <f>SUM(F527:F531)</f>
        <v>16520.400000000001</v>
      </c>
      <c r="G526">
        <f>SUM(G527:G531)</f>
        <v>0</v>
      </c>
      <c r="H526">
        <f>SUM(H527:H531)</f>
        <v>1748.5</v>
      </c>
      <c r="I526">
        <f>SUM(I527:I531)</f>
        <v>0</v>
      </c>
      <c r="J526" s="107" t="s">
        <v>1526</v>
      </c>
      <c r="K526" s="107" t="s">
        <v>1265</v>
      </c>
    </row>
    <row r="527" spans="1:11" x14ac:dyDescent="0.25">
      <c r="A527" s="107"/>
      <c r="B527" s="107"/>
      <c r="C527" s="107"/>
      <c r="D527">
        <v>2021</v>
      </c>
      <c r="E527">
        <f t="shared" ref="E527:E531" si="133">SUM(F527:I527)</f>
        <v>18268.900000000001</v>
      </c>
      <c r="F527">
        <v>16520.400000000001</v>
      </c>
      <c r="G527">
        <v>0</v>
      </c>
      <c r="H527">
        <v>1748.5</v>
      </c>
      <c r="I527">
        <v>0</v>
      </c>
      <c r="J527" s="107"/>
      <c r="K527" s="107"/>
    </row>
    <row r="528" spans="1:11" x14ac:dyDescent="0.25">
      <c r="A528" s="107"/>
      <c r="B528" s="107"/>
      <c r="C528" s="107"/>
      <c r="D528">
        <v>2022</v>
      </c>
      <c r="E528">
        <f t="shared" si="133"/>
        <v>0</v>
      </c>
      <c r="F528">
        <v>0</v>
      </c>
      <c r="G528">
        <v>0</v>
      </c>
      <c r="H528">
        <v>0</v>
      </c>
      <c r="I528">
        <v>0</v>
      </c>
      <c r="J528" s="107"/>
      <c r="K528" s="107"/>
    </row>
    <row r="529" spans="1:18" x14ac:dyDescent="0.25">
      <c r="A529" s="107"/>
      <c r="B529" s="107"/>
      <c r="C529" s="107"/>
      <c r="D529">
        <v>2023</v>
      </c>
      <c r="E529">
        <f t="shared" si="133"/>
        <v>0</v>
      </c>
      <c r="F529">
        <v>0</v>
      </c>
      <c r="G529">
        <v>0</v>
      </c>
      <c r="H529">
        <v>0</v>
      </c>
      <c r="I529">
        <v>0</v>
      </c>
      <c r="J529" s="107"/>
      <c r="K529" s="107"/>
    </row>
    <row r="530" spans="1:18" x14ac:dyDescent="0.25">
      <c r="A530" s="107"/>
      <c r="B530" s="107"/>
      <c r="C530" s="107"/>
      <c r="D530">
        <v>2024</v>
      </c>
      <c r="E530">
        <f t="shared" si="133"/>
        <v>0</v>
      </c>
      <c r="F530">
        <v>0</v>
      </c>
      <c r="G530">
        <v>0</v>
      </c>
      <c r="H530">
        <v>0</v>
      </c>
      <c r="I530">
        <v>0</v>
      </c>
      <c r="J530" s="107"/>
      <c r="K530" s="107"/>
    </row>
    <row r="531" spans="1:18" x14ac:dyDescent="0.25">
      <c r="A531" s="107"/>
      <c r="B531" s="107"/>
      <c r="C531" s="107"/>
      <c r="D531">
        <v>2025</v>
      </c>
      <c r="E531">
        <f t="shared" si="133"/>
        <v>0</v>
      </c>
      <c r="F531">
        <v>0</v>
      </c>
      <c r="G531">
        <v>0</v>
      </c>
      <c r="H531">
        <v>0</v>
      </c>
      <c r="I531">
        <v>0</v>
      </c>
      <c r="J531" s="107"/>
      <c r="K531" s="107"/>
      <c r="N531" s="107"/>
      <c r="O531" s="107"/>
      <c r="P531" s="107"/>
      <c r="Q531" s="107"/>
      <c r="R531" s="107"/>
    </row>
    <row r="532" spans="1:18" x14ac:dyDescent="0.25">
      <c r="A532" s="107" t="s">
        <v>1527</v>
      </c>
      <c r="B532" s="107" t="s">
        <v>1528</v>
      </c>
      <c r="C532" s="107"/>
      <c r="D532" t="s">
        <v>8</v>
      </c>
      <c r="E532">
        <f>SUM(E533:E537)</f>
        <v>129586.62175000001</v>
      </c>
      <c r="F532">
        <f>SUM(F533:F537)</f>
        <v>99728.621750000006</v>
      </c>
      <c r="G532">
        <f>SUM(G533:G537)</f>
        <v>0</v>
      </c>
      <c r="H532">
        <f>SUM(H533:H537)</f>
        <v>15824.06</v>
      </c>
      <c r="I532">
        <f>SUM(I533:I537)</f>
        <v>14033.94</v>
      </c>
      <c r="J532" s="107" t="s">
        <v>1529</v>
      </c>
      <c r="K532" s="107" t="s">
        <v>1265</v>
      </c>
    </row>
    <row r="533" spans="1:18" x14ac:dyDescent="0.25">
      <c r="A533" s="107"/>
      <c r="B533" s="107"/>
      <c r="C533" s="107"/>
      <c r="D533">
        <v>2021</v>
      </c>
      <c r="E533">
        <f t="shared" ref="E533:E537" si="134">SUM(F533:I533)</f>
        <v>0</v>
      </c>
      <c r="F533">
        <v>0</v>
      </c>
      <c r="G533">
        <v>0</v>
      </c>
      <c r="H533">
        <v>0</v>
      </c>
      <c r="I533">
        <v>0</v>
      </c>
      <c r="J533" s="107"/>
      <c r="K533" s="107"/>
    </row>
    <row r="534" spans="1:18" x14ac:dyDescent="0.25">
      <c r="A534" s="107"/>
      <c r="B534" s="107"/>
      <c r="C534" s="107"/>
      <c r="D534">
        <v>2022</v>
      </c>
      <c r="E534">
        <f t="shared" si="134"/>
        <v>129586.62175000001</v>
      </c>
      <c r="F534">
        <f>99728621.75/1000</f>
        <v>99728.621750000006</v>
      </c>
      <c r="G534">
        <v>0</v>
      </c>
      <c r="H534">
        <v>15824.06</v>
      </c>
      <c r="I534">
        <v>14033.94</v>
      </c>
      <c r="J534" s="107"/>
      <c r="K534" s="107"/>
    </row>
    <row r="535" spans="1:18" x14ac:dyDescent="0.25">
      <c r="A535" s="107"/>
      <c r="B535" s="107"/>
      <c r="C535" s="107"/>
      <c r="D535">
        <v>2023</v>
      </c>
      <c r="E535">
        <f t="shared" si="134"/>
        <v>0</v>
      </c>
      <c r="F535">
        <v>0</v>
      </c>
      <c r="G535">
        <v>0</v>
      </c>
      <c r="H535">
        <v>0</v>
      </c>
      <c r="I535">
        <v>0</v>
      </c>
      <c r="J535" s="107"/>
      <c r="K535" s="107"/>
    </row>
    <row r="536" spans="1:18" x14ac:dyDescent="0.25">
      <c r="A536" s="107"/>
      <c r="B536" s="107"/>
      <c r="C536" s="107"/>
      <c r="D536">
        <v>2024</v>
      </c>
      <c r="E536">
        <f t="shared" si="134"/>
        <v>0</v>
      </c>
      <c r="F536">
        <v>0</v>
      </c>
      <c r="G536">
        <v>0</v>
      </c>
      <c r="H536">
        <v>0</v>
      </c>
      <c r="I536">
        <v>0</v>
      </c>
      <c r="J536" s="107"/>
      <c r="K536" s="107"/>
    </row>
    <row r="537" spans="1:18" x14ac:dyDescent="0.25">
      <c r="A537" s="107"/>
      <c r="B537" s="107"/>
      <c r="C537" s="107"/>
      <c r="D537">
        <v>2025</v>
      </c>
      <c r="E537">
        <f t="shared" si="134"/>
        <v>0</v>
      </c>
      <c r="F537">
        <v>0</v>
      </c>
      <c r="G537">
        <v>0</v>
      </c>
      <c r="H537">
        <v>0</v>
      </c>
      <c r="I537">
        <v>0</v>
      </c>
      <c r="J537" s="107"/>
      <c r="K537" s="107"/>
    </row>
    <row r="538" spans="1:18" x14ac:dyDescent="0.25">
      <c r="A538" s="107" t="s">
        <v>1530</v>
      </c>
      <c r="B538" s="107" t="s">
        <v>1531</v>
      </c>
      <c r="C538" s="107" t="s">
        <v>14</v>
      </c>
      <c r="D538" t="s">
        <v>8</v>
      </c>
      <c r="E538">
        <f>E539+E540+E541+E542+E543</f>
        <v>1324705.4249999998</v>
      </c>
      <c r="F538">
        <f>F539+F540+F541+F542+F543</f>
        <v>629705.42500000005</v>
      </c>
      <c r="G538">
        <f>G539+G540+G541+G542+G543</f>
        <v>695000</v>
      </c>
      <c r="H538">
        <f>H539+H540+H541+H542+H543</f>
        <v>0</v>
      </c>
      <c r="I538">
        <f>I539+I540+I541+I542+I543</f>
        <v>0</v>
      </c>
      <c r="J538" s="107" t="s">
        <v>1532</v>
      </c>
      <c r="K538" s="107" t="s">
        <v>1533</v>
      </c>
    </row>
    <row r="539" spans="1:18" x14ac:dyDescent="0.25">
      <c r="A539" s="107"/>
      <c r="B539" s="107"/>
      <c r="C539" s="107"/>
      <c r="D539">
        <v>2021</v>
      </c>
      <c r="E539">
        <f t="shared" ref="E539:E541" si="135">SUM(F539:I539)</f>
        <v>978873.15999999992</v>
      </c>
      <c r="F539">
        <f t="shared" ref="F539:F542" si="136">F545</f>
        <v>283873.15999999997</v>
      </c>
      <c r="G539">
        <f>G545</f>
        <v>695000</v>
      </c>
      <c r="H539">
        <f>H544</f>
        <v>0</v>
      </c>
      <c r="I539">
        <f>I544</f>
        <v>0</v>
      </c>
      <c r="J539" s="107"/>
      <c r="K539" s="107"/>
      <c r="N539">
        <v>225914.2</v>
      </c>
      <c r="O539">
        <v>553100.4</v>
      </c>
      <c r="R539" t="s">
        <v>1534</v>
      </c>
    </row>
    <row r="540" spans="1:18" x14ac:dyDescent="0.25">
      <c r="A540" s="107"/>
      <c r="B540" s="107"/>
      <c r="C540" s="107"/>
      <c r="D540">
        <v>2022</v>
      </c>
      <c r="E540">
        <f t="shared" si="135"/>
        <v>345832.26500000001</v>
      </c>
      <c r="F540">
        <f t="shared" si="136"/>
        <v>345832.26500000001</v>
      </c>
      <c r="G540">
        <v>0</v>
      </c>
      <c r="H540">
        <v>0</v>
      </c>
      <c r="I540">
        <v>0</v>
      </c>
      <c r="J540" s="107"/>
      <c r="K540" s="107"/>
      <c r="N540">
        <v>46462.1</v>
      </c>
      <c r="O540">
        <v>113752</v>
      </c>
      <c r="R540" t="s">
        <v>1535</v>
      </c>
    </row>
    <row r="541" spans="1:18" x14ac:dyDescent="0.25">
      <c r="A541" s="107"/>
      <c r="B541" s="107"/>
      <c r="C541" s="107"/>
      <c r="D541">
        <v>2023</v>
      </c>
      <c r="E541">
        <f t="shared" si="135"/>
        <v>0</v>
      </c>
      <c r="F541">
        <f t="shared" si="136"/>
        <v>0</v>
      </c>
      <c r="G541">
        <f>G546</f>
        <v>0</v>
      </c>
      <c r="H541">
        <v>0</v>
      </c>
      <c r="I541">
        <v>0</v>
      </c>
      <c r="J541" s="107"/>
      <c r="K541" s="107"/>
      <c r="N541">
        <v>11496.9</v>
      </c>
      <c r="O541">
        <v>28147.599999999999</v>
      </c>
      <c r="R541" t="s">
        <v>1536</v>
      </c>
    </row>
    <row r="542" spans="1:18" x14ac:dyDescent="0.25">
      <c r="A542" s="107"/>
      <c r="B542" s="107"/>
      <c r="C542" s="107"/>
      <c r="D542">
        <v>2024</v>
      </c>
      <c r="E542">
        <v>0</v>
      </c>
      <c r="F542">
        <f t="shared" si="136"/>
        <v>0</v>
      </c>
      <c r="G542">
        <v>0</v>
      </c>
      <c r="H542">
        <v>0</v>
      </c>
      <c r="I542">
        <v>0</v>
      </c>
      <c r="J542" s="107"/>
      <c r="K542" s="107"/>
    </row>
    <row r="543" spans="1:18" x14ac:dyDescent="0.25">
      <c r="A543" s="107"/>
      <c r="B543" s="107"/>
      <c r="C543" s="107"/>
      <c r="D543">
        <v>2025</v>
      </c>
      <c r="E543">
        <v>0</v>
      </c>
      <c r="F543">
        <v>0</v>
      </c>
      <c r="G543">
        <v>0</v>
      </c>
      <c r="H543">
        <v>0</v>
      </c>
      <c r="I543">
        <v>0</v>
      </c>
      <c r="J543" s="107"/>
      <c r="K543" s="107"/>
    </row>
    <row r="544" spans="1:18" x14ac:dyDescent="0.25">
      <c r="A544" s="107" t="s">
        <v>1537</v>
      </c>
      <c r="B544" s="107" t="s">
        <v>1538</v>
      </c>
      <c r="C544" s="107" t="s">
        <v>14</v>
      </c>
      <c r="D544" t="s">
        <v>8</v>
      </c>
      <c r="E544">
        <f>E545+E546+E547+E548+E549</f>
        <v>1324705.4249999998</v>
      </c>
      <c r="F544">
        <f>F545+F546+F547+F548+F549</f>
        <v>629705.42500000005</v>
      </c>
      <c r="G544">
        <f>G545+G546+G547+G548+G549</f>
        <v>695000</v>
      </c>
      <c r="H544">
        <f>H545+H546+H547+H548+H549</f>
        <v>0</v>
      </c>
      <c r="I544">
        <f>I545+I546+I547+I548+I549</f>
        <v>0</v>
      </c>
      <c r="J544" s="107" t="s">
        <v>1539</v>
      </c>
      <c r="K544" s="107" t="s">
        <v>1533</v>
      </c>
    </row>
    <row r="545" spans="1:11" x14ac:dyDescent="0.25">
      <c r="A545" s="107"/>
      <c r="B545" s="107"/>
      <c r="C545" s="107"/>
      <c r="D545">
        <v>2021</v>
      </c>
      <c r="E545">
        <f t="shared" ref="E545:E547" si="137">F545+G545</f>
        <v>978873.15999999992</v>
      </c>
      <c r="F545">
        <v>283873.15999999997</v>
      </c>
      <c r="G545">
        <v>695000</v>
      </c>
      <c r="H545">
        <v>0</v>
      </c>
      <c r="I545">
        <v>0</v>
      </c>
      <c r="J545" s="107"/>
      <c r="K545" s="107"/>
    </row>
    <row r="546" spans="1:11" x14ac:dyDescent="0.25">
      <c r="A546" s="107"/>
      <c r="B546" s="107"/>
      <c r="C546" s="107"/>
      <c r="D546">
        <v>2022</v>
      </c>
      <c r="E546">
        <f t="shared" si="137"/>
        <v>345832.26500000001</v>
      </c>
      <c r="F546">
        <f>732680.64-358227.63-28620.745</f>
        <v>345832.26500000001</v>
      </c>
      <c r="G546">
        <v>0</v>
      </c>
      <c r="H546">
        <v>0</v>
      </c>
      <c r="I546">
        <v>0</v>
      </c>
      <c r="J546" s="107"/>
      <c r="K546" s="107"/>
    </row>
    <row r="547" spans="1:11" x14ac:dyDescent="0.25">
      <c r="A547" s="107"/>
      <c r="B547" s="107"/>
      <c r="C547" s="107"/>
      <c r="D547">
        <v>2023</v>
      </c>
      <c r="E547">
        <f t="shared" si="137"/>
        <v>0</v>
      </c>
      <c r="F547">
        <v>0</v>
      </c>
      <c r="G547">
        <v>0</v>
      </c>
      <c r="H547">
        <v>0</v>
      </c>
      <c r="I547">
        <v>0</v>
      </c>
      <c r="J547" s="107"/>
      <c r="K547" s="107"/>
    </row>
    <row r="548" spans="1:11" x14ac:dyDescent="0.25">
      <c r="A548" s="107"/>
      <c r="B548" s="107"/>
      <c r="C548" s="107"/>
      <c r="D548">
        <v>2024</v>
      </c>
      <c r="E548">
        <v>0</v>
      </c>
      <c r="F548">
        <v>0</v>
      </c>
      <c r="G548">
        <v>0</v>
      </c>
      <c r="H548">
        <v>0</v>
      </c>
      <c r="I548">
        <v>0</v>
      </c>
      <c r="J548" s="107"/>
      <c r="K548" s="107"/>
    </row>
    <row r="549" spans="1:11" x14ac:dyDescent="0.25">
      <c r="A549" s="107"/>
      <c r="B549" s="107"/>
      <c r="C549" s="107"/>
      <c r="D549">
        <v>2025</v>
      </c>
      <c r="E549">
        <v>0</v>
      </c>
      <c r="F549">
        <v>0</v>
      </c>
      <c r="G549">
        <v>0</v>
      </c>
      <c r="H549">
        <v>0</v>
      </c>
      <c r="I549">
        <v>0</v>
      </c>
      <c r="J549" s="107"/>
      <c r="K549" s="107"/>
    </row>
    <row r="550" spans="1:11" x14ac:dyDescent="0.25">
      <c r="A550" s="107" t="s">
        <v>1540</v>
      </c>
      <c r="B550" s="107" t="s">
        <v>1541</v>
      </c>
      <c r="C550" s="107" t="s">
        <v>14</v>
      </c>
      <c r="D550" t="s">
        <v>8</v>
      </c>
      <c r="E550">
        <f>E551+E552+E553+E554+E555</f>
        <v>50856.113140000001</v>
      </c>
      <c r="F550">
        <f>F551+F552+F553+F554+F555</f>
        <v>49354.834519999997</v>
      </c>
      <c r="G550">
        <f t="shared" ref="G550:I550" si="138">G551+G552+G553+G554+G555</f>
        <v>0</v>
      </c>
      <c r="H550">
        <f t="shared" si="138"/>
        <v>1501.2786199999998</v>
      </c>
      <c r="I550">
        <f t="shared" si="138"/>
        <v>0</v>
      </c>
      <c r="J550" s="107" t="s">
        <v>1542</v>
      </c>
      <c r="K550" s="107" t="s">
        <v>1543</v>
      </c>
    </row>
    <row r="551" spans="1:11" x14ac:dyDescent="0.25">
      <c r="A551" s="107"/>
      <c r="B551" s="107"/>
      <c r="C551" s="107"/>
      <c r="D551">
        <v>2021</v>
      </c>
      <c r="E551">
        <f t="shared" ref="E551:E552" si="139">E557+E563+E569+E575</f>
        <v>14053.0483</v>
      </c>
      <c r="F551">
        <f t="shared" ref="F551:F552" si="140">F557+F563+F569+F575</f>
        <v>12999.069680000001</v>
      </c>
      <c r="G551">
        <f t="shared" ref="E551:I555" si="141">G557+G563+G569+G575</f>
        <v>0</v>
      </c>
      <c r="H551">
        <f t="shared" si="141"/>
        <v>1053.9786199999999</v>
      </c>
      <c r="I551">
        <f t="shared" si="141"/>
        <v>0</v>
      </c>
      <c r="J551" s="107"/>
      <c r="K551" s="107"/>
    </row>
    <row r="552" spans="1:11" x14ac:dyDescent="0.25">
      <c r="A552" s="107"/>
      <c r="B552" s="107"/>
      <c r="C552" s="107"/>
      <c r="D552">
        <v>2022</v>
      </c>
      <c r="E552">
        <f t="shared" si="139"/>
        <v>36803.064839999999</v>
      </c>
      <c r="F552">
        <f t="shared" si="140"/>
        <v>36355.764839999996</v>
      </c>
      <c r="G552">
        <f t="shared" si="141"/>
        <v>0</v>
      </c>
      <c r="H552">
        <f t="shared" si="141"/>
        <v>447.3</v>
      </c>
      <c r="I552">
        <f t="shared" si="141"/>
        <v>0</v>
      </c>
      <c r="J552" s="107"/>
      <c r="K552" s="107"/>
    </row>
    <row r="553" spans="1:11" x14ac:dyDescent="0.25">
      <c r="A553" s="107"/>
      <c r="B553" s="107"/>
      <c r="C553" s="107"/>
      <c r="D553">
        <v>2023</v>
      </c>
      <c r="E553">
        <f t="shared" si="141"/>
        <v>0</v>
      </c>
      <c r="F553">
        <f t="shared" si="141"/>
        <v>0</v>
      </c>
      <c r="G553">
        <f t="shared" si="141"/>
        <v>0</v>
      </c>
      <c r="H553">
        <f t="shared" si="141"/>
        <v>0</v>
      </c>
      <c r="I553">
        <f t="shared" si="141"/>
        <v>0</v>
      </c>
      <c r="J553" s="107"/>
      <c r="K553" s="107"/>
    </row>
    <row r="554" spans="1:11" ht="16.5" customHeight="1" x14ac:dyDescent="0.25">
      <c r="A554" s="107"/>
      <c r="B554" s="107"/>
      <c r="C554" s="107"/>
      <c r="D554">
        <v>2024</v>
      </c>
      <c r="E554">
        <f t="shared" si="141"/>
        <v>0</v>
      </c>
      <c r="F554">
        <f t="shared" si="141"/>
        <v>0</v>
      </c>
      <c r="G554">
        <f t="shared" si="141"/>
        <v>0</v>
      </c>
      <c r="H554">
        <f t="shared" si="141"/>
        <v>0</v>
      </c>
      <c r="I554">
        <f t="shared" si="141"/>
        <v>0</v>
      </c>
      <c r="J554" s="107"/>
      <c r="K554" s="107"/>
    </row>
    <row r="555" spans="1:11" ht="18" customHeight="1" x14ac:dyDescent="0.25">
      <c r="A555" s="107"/>
      <c r="B555" s="107"/>
      <c r="C555" s="107"/>
      <c r="D555">
        <v>2025</v>
      </c>
      <c r="E555">
        <f t="shared" si="141"/>
        <v>0</v>
      </c>
      <c r="F555">
        <f t="shared" si="141"/>
        <v>0</v>
      </c>
      <c r="G555">
        <f t="shared" si="141"/>
        <v>0</v>
      </c>
      <c r="H555">
        <f t="shared" si="141"/>
        <v>0</v>
      </c>
      <c r="I555">
        <f t="shared" si="141"/>
        <v>0</v>
      </c>
      <c r="J555" s="107"/>
      <c r="K555" s="107"/>
    </row>
    <row r="556" spans="1:11" ht="17.25" customHeight="1" x14ac:dyDescent="0.25">
      <c r="A556" s="107" t="s">
        <v>1544</v>
      </c>
      <c r="B556" s="107" t="s">
        <v>1545</v>
      </c>
      <c r="C556" s="107">
        <v>2021</v>
      </c>
      <c r="D556" t="s">
        <v>8</v>
      </c>
      <c r="E556">
        <f>F556+G556+H556</f>
        <v>15653.0483</v>
      </c>
      <c r="F556">
        <f>F557+F558+F559+F560+F561</f>
        <v>14519.069680000001</v>
      </c>
      <c r="G556">
        <f t="shared" ref="G556:I580" si="142">G557+G558+G559+G560+G561</f>
        <v>0</v>
      </c>
      <c r="H556">
        <f t="shared" si="142"/>
        <v>1133.9786199999999</v>
      </c>
      <c r="I556">
        <f t="shared" si="142"/>
        <v>0</v>
      </c>
      <c r="J556" s="107" t="s">
        <v>1546</v>
      </c>
      <c r="K556" s="107" t="s">
        <v>1547</v>
      </c>
    </row>
    <row r="557" spans="1:11" ht="18.75" customHeight="1" x14ac:dyDescent="0.25">
      <c r="A557" s="107"/>
      <c r="B557" s="107"/>
      <c r="C557" s="107"/>
      <c r="D557">
        <v>2021</v>
      </c>
      <c r="E557">
        <f>F557+G557+H557+I557</f>
        <v>14053.0483</v>
      </c>
      <c r="F557">
        <f>4766.43301+8232.63667</f>
        <v>12999.069680000001</v>
      </c>
      <c r="G557">
        <v>0</v>
      </c>
      <c r="H557">
        <f>386.47+667.50862</f>
        <v>1053.9786199999999</v>
      </c>
      <c r="I557">
        <v>0</v>
      </c>
      <c r="J557" s="107"/>
      <c r="K557" s="107"/>
    </row>
    <row r="558" spans="1:11" ht="22.5" customHeight="1" x14ac:dyDescent="0.25">
      <c r="A558" s="107"/>
      <c r="B558" s="107"/>
      <c r="C558" s="107"/>
      <c r="D558">
        <v>2022</v>
      </c>
      <c r="E558">
        <f>F558+H558</f>
        <v>1600</v>
      </c>
      <c r="F558">
        <v>1520</v>
      </c>
      <c r="G558">
        <v>0</v>
      </c>
      <c r="H558">
        <v>80</v>
      </c>
      <c r="I558">
        <v>0</v>
      </c>
      <c r="J558" s="107"/>
      <c r="K558" s="107"/>
    </row>
    <row r="559" spans="1:11" x14ac:dyDescent="0.25">
      <c r="A559" s="107"/>
      <c r="B559" s="107"/>
      <c r="C559" s="107"/>
      <c r="D559">
        <v>2023</v>
      </c>
      <c r="E559">
        <v>0</v>
      </c>
      <c r="F559">
        <v>0</v>
      </c>
      <c r="G559">
        <v>0</v>
      </c>
      <c r="H559">
        <v>0</v>
      </c>
      <c r="I559">
        <v>0</v>
      </c>
      <c r="J559" s="107"/>
      <c r="K559" s="107"/>
    </row>
    <row r="560" spans="1:11" x14ac:dyDescent="0.25">
      <c r="A560" s="107"/>
      <c r="B560" s="107"/>
      <c r="C560" s="107"/>
      <c r="D560">
        <v>2024</v>
      </c>
      <c r="E560">
        <v>0</v>
      </c>
      <c r="F560">
        <v>0</v>
      </c>
      <c r="G560">
        <v>0</v>
      </c>
      <c r="H560">
        <v>0</v>
      </c>
      <c r="I560">
        <v>0</v>
      </c>
      <c r="J560" s="107"/>
      <c r="K560" s="107"/>
    </row>
    <row r="561" spans="1:11" x14ac:dyDescent="0.25">
      <c r="A561" s="107"/>
      <c r="B561" s="107"/>
      <c r="C561" s="107"/>
      <c r="D561">
        <v>2025</v>
      </c>
      <c r="E561">
        <v>0</v>
      </c>
      <c r="F561">
        <v>0</v>
      </c>
      <c r="G561">
        <v>0</v>
      </c>
      <c r="H561">
        <v>0</v>
      </c>
      <c r="I561">
        <v>0</v>
      </c>
      <c r="J561" s="107"/>
      <c r="K561" s="107"/>
    </row>
    <row r="562" spans="1:11" x14ac:dyDescent="0.25">
      <c r="A562" s="107" t="s">
        <v>1548</v>
      </c>
      <c r="B562" s="107" t="s">
        <v>1549</v>
      </c>
      <c r="C562" s="107">
        <v>2022</v>
      </c>
      <c r="D562" t="s">
        <v>8</v>
      </c>
      <c r="E562">
        <f>E563+E564+E565+E566+E567</f>
        <v>7345.74</v>
      </c>
      <c r="F562">
        <f>F563+F564+F565+F566+F567</f>
        <v>6978.44</v>
      </c>
      <c r="G562">
        <f t="shared" si="142"/>
        <v>0</v>
      </c>
      <c r="H562">
        <f>H563+H564+H565+H566+H567</f>
        <v>367.3</v>
      </c>
      <c r="I562">
        <f>I563+I564+I565+I566+I567</f>
        <v>0</v>
      </c>
      <c r="J562" s="107" t="s">
        <v>1550</v>
      </c>
      <c r="K562" s="107" t="s">
        <v>1551</v>
      </c>
    </row>
    <row r="563" spans="1:11" x14ac:dyDescent="0.25">
      <c r="A563" s="107"/>
      <c r="B563" s="107"/>
      <c r="C563" s="107"/>
      <c r="D563">
        <v>2021</v>
      </c>
      <c r="E563">
        <v>0</v>
      </c>
      <c r="F563">
        <v>0</v>
      </c>
      <c r="G563">
        <v>0</v>
      </c>
      <c r="I563">
        <v>0</v>
      </c>
      <c r="J563" s="107"/>
      <c r="K563" s="107"/>
    </row>
    <row r="564" spans="1:11" x14ac:dyDescent="0.25">
      <c r="A564" s="107"/>
      <c r="B564" s="107"/>
      <c r="C564" s="107"/>
      <c r="D564">
        <v>2022</v>
      </c>
      <c r="E564">
        <f>F564+H564</f>
        <v>7345.74</v>
      </c>
      <c r="F564">
        <v>6978.44</v>
      </c>
      <c r="G564">
        <v>0</v>
      </c>
      <c r="H564">
        <v>367.3</v>
      </c>
      <c r="I564">
        <v>0</v>
      </c>
      <c r="J564" s="107"/>
      <c r="K564" s="107"/>
    </row>
    <row r="565" spans="1:11" x14ac:dyDescent="0.25">
      <c r="A565" s="107"/>
      <c r="B565" s="107"/>
      <c r="C565" s="107"/>
      <c r="D565">
        <v>2023</v>
      </c>
      <c r="E565">
        <v>0</v>
      </c>
      <c r="F565">
        <v>0</v>
      </c>
      <c r="G565">
        <v>0</v>
      </c>
      <c r="H565">
        <v>0</v>
      </c>
      <c r="I565">
        <v>0</v>
      </c>
      <c r="J565" s="107"/>
      <c r="K565" s="107"/>
    </row>
    <row r="566" spans="1:11" x14ac:dyDescent="0.25">
      <c r="A566" s="107"/>
      <c r="B566" s="107"/>
      <c r="C566" s="107"/>
      <c r="D566">
        <v>2024</v>
      </c>
      <c r="E566">
        <v>0</v>
      </c>
      <c r="F566">
        <v>0</v>
      </c>
      <c r="G566">
        <v>0</v>
      </c>
      <c r="H566">
        <v>0</v>
      </c>
      <c r="I566">
        <v>0</v>
      </c>
      <c r="J566" s="107"/>
      <c r="K566" s="107"/>
    </row>
    <row r="567" spans="1:11" x14ac:dyDescent="0.25">
      <c r="A567" s="107"/>
      <c r="B567" s="107"/>
      <c r="C567" s="107"/>
      <c r="D567">
        <v>2025</v>
      </c>
      <c r="E567">
        <v>0</v>
      </c>
      <c r="F567">
        <v>0</v>
      </c>
      <c r="G567">
        <v>0</v>
      </c>
      <c r="H567">
        <v>0</v>
      </c>
      <c r="I567">
        <v>0</v>
      </c>
      <c r="J567" s="107"/>
      <c r="K567" s="107"/>
    </row>
    <row r="568" spans="1:11" x14ac:dyDescent="0.25">
      <c r="A568" s="107" t="s">
        <v>1552</v>
      </c>
      <c r="B568" s="107" t="s">
        <v>1553</v>
      </c>
      <c r="C568" s="107">
        <v>2022</v>
      </c>
      <c r="D568" t="s">
        <v>8</v>
      </c>
      <c r="E568">
        <f>E569+E570+E571+E572+E573</f>
        <v>6000</v>
      </c>
      <c r="F568">
        <f>F569+F570+F571+F572+F573</f>
        <v>6000</v>
      </c>
      <c r="G568">
        <f t="shared" si="142"/>
        <v>0</v>
      </c>
      <c r="H568">
        <f>H569+H570+H571+H572+H573</f>
        <v>0</v>
      </c>
      <c r="I568">
        <f>I569+I570+I571+I572+I573</f>
        <v>0</v>
      </c>
      <c r="J568" s="107" t="s">
        <v>1554</v>
      </c>
      <c r="K568" s="107" t="s">
        <v>1555</v>
      </c>
    </row>
    <row r="569" spans="1:11" x14ac:dyDescent="0.25">
      <c r="A569" s="107"/>
      <c r="B569" s="107"/>
      <c r="C569" s="107"/>
      <c r="D569">
        <v>2021</v>
      </c>
      <c r="E569">
        <v>0</v>
      </c>
      <c r="F569">
        <v>0</v>
      </c>
      <c r="G569">
        <v>0</v>
      </c>
      <c r="H569">
        <v>0</v>
      </c>
      <c r="I569">
        <v>0</v>
      </c>
      <c r="J569" s="107"/>
      <c r="K569" s="107"/>
    </row>
    <row r="570" spans="1:11" x14ac:dyDescent="0.25">
      <c r="A570" s="107"/>
      <c r="B570" s="107"/>
      <c r="C570" s="107"/>
      <c r="D570">
        <v>2022</v>
      </c>
      <c r="E570">
        <f>F570+H570</f>
        <v>6000</v>
      </c>
      <c r="F570">
        <v>6000</v>
      </c>
      <c r="G570">
        <v>0</v>
      </c>
      <c r="H570">
        <v>0</v>
      </c>
      <c r="I570">
        <v>0</v>
      </c>
      <c r="J570" s="107"/>
      <c r="K570" s="107"/>
    </row>
    <row r="571" spans="1:11" x14ac:dyDescent="0.25">
      <c r="A571" s="107"/>
      <c r="B571" s="107"/>
      <c r="C571" s="107"/>
      <c r="D571">
        <v>2023</v>
      </c>
      <c r="E571">
        <v>0</v>
      </c>
      <c r="F571">
        <v>0</v>
      </c>
      <c r="G571">
        <v>0</v>
      </c>
      <c r="H571">
        <v>0</v>
      </c>
      <c r="I571">
        <v>0</v>
      </c>
      <c r="J571" s="107"/>
      <c r="K571" s="107"/>
    </row>
    <row r="572" spans="1:11" x14ac:dyDescent="0.25">
      <c r="A572" s="107"/>
      <c r="B572" s="107"/>
      <c r="C572" s="107"/>
      <c r="D572">
        <v>2024</v>
      </c>
      <c r="E572">
        <v>0</v>
      </c>
      <c r="F572">
        <v>0</v>
      </c>
      <c r="G572">
        <v>0</v>
      </c>
      <c r="H572">
        <v>0</v>
      </c>
      <c r="I572">
        <v>0</v>
      </c>
      <c r="J572" s="107"/>
      <c r="K572" s="107"/>
    </row>
    <row r="573" spans="1:11" x14ac:dyDescent="0.25">
      <c r="A573" s="107"/>
      <c r="B573" s="107"/>
      <c r="C573" s="107"/>
      <c r="D573">
        <v>2025</v>
      </c>
      <c r="E573">
        <v>0</v>
      </c>
      <c r="F573">
        <v>0</v>
      </c>
      <c r="G573">
        <v>0</v>
      </c>
      <c r="H573">
        <v>0</v>
      </c>
      <c r="I573">
        <v>0</v>
      </c>
      <c r="J573" s="107"/>
      <c r="K573" s="107"/>
    </row>
    <row r="574" spans="1:11" x14ac:dyDescent="0.25">
      <c r="A574" s="107" t="s">
        <v>1556</v>
      </c>
      <c r="B574" s="107" t="s">
        <v>1557</v>
      </c>
      <c r="C574" s="107">
        <v>2022</v>
      </c>
      <c r="D574" t="s">
        <v>8</v>
      </c>
      <c r="E574">
        <f>E575+E576+E577+E578+E579</f>
        <v>21857.324839999997</v>
      </c>
      <c r="F574">
        <f>F575+F576+F577+F578+F579</f>
        <v>21857.324839999997</v>
      </c>
      <c r="G574">
        <f t="shared" si="142"/>
        <v>0</v>
      </c>
      <c r="H574">
        <f>H575+H576+H577+H578+H579</f>
        <v>0</v>
      </c>
      <c r="I574">
        <f>I575+I576+I577+I578+I579</f>
        <v>0</v>
      </c>
      <c r="J574" s="107" t="s">
        <v>1558</v>
      </c>
      <c r="K574" s="107" t="s">
        <v>1555</v>
      </c>
    </row>
    <row r="575" spans="1:11" x14ac:dyDescent="0.25">
      <c r="A575" s="107"/>
      <c r="B575" s="107"/>
      <c r="C575" s="107"/>
      <c r="D575">
        <v>2021</v>
      </c>
      <c r="E575">
        <v>0</v>
      </c>
      <c r="F575">
        <v>0</v>
      </c>
      <c r="G575">
        <v>0</v>
      </c>
      <c r="H575">
        <v>0</v>
      </c>
      <c r="I575">
        <v>0</v>
      </c>
      <c r="J575" s="107"/>
      <c r="K575" s="107"/>
    </row>
    <row r="576" spans="1:11" x14ac:dyDescent="0.25">
      <c r="A576" s="107"/>
      <c r="B576" s="107"/>
      <c r="C576" s="107"/>
      <c r="D576">
        <v>2022</v>
      </c>
      <c r="E576">
        <f>F576+H576</f>
        <v>21857.324839999997</v>
      </c>
      <c r="F576">
        <f>21582.6+274.72484</f>
        <v>21857.324839999997</v>
      </c>
      <c r="G576">
        <v>0</v>
      </c>
      <c r="H576">
        <v>0</v>
      </c>
      <c r="I576">
        <v>0</v>
      </c>
      <c r="J576" s="107"/>
      <c r="K576" s="107"/>
    </row>
    <row r="577" spans="1:21" x14ac:dyDescent="0.25">
      <c r="A577" s="107"/>
      <c r="B577" s="107"/>
      <c r="C577" s="107"/>
      <c r="D577">
        <v>2023</v>
      </c>
      <c r="E577">
        <v>0</v>
      </c>
      <c r="F577">
        <v>0</v>
      </c>
      <c r="G577">
        <v>0</v>
      </c>
      <c r="H577">
        <v>0</v>
      </c>
      <c r="I577">
        <v>0</v>
      </c>
      <c r="J577" s="107"/>
      <c r="K577" s="107"/>
    </row>
    <row r="578" spans="1:21" x14ac:dyDescent="0.25">
      <c r="A578" s="107"/>
      <c r="B578" s="107"/>
      <c r="C578" s="107"/>
      <c r="D578">
        <v>2024</v>
      </c>
      <c r="E578">
        <v>0</v>
      </c>
      <c r="F578">
        <v>0</v>
      </c>
      <c r="G578">
        <v>0</v>
      </c>
      <c r="H578">
        <v>0</v>
      </c>
      <c r="I578">
        <v>0</v>
      </c>
      <c r="J578" s="107"/>
      <c r="K578" s="107"/>
    </row>
    <row r="579" spans="1:21" x14ac:dyDescent="0.25">
      <c r="A579" s="107"/>
      <c r="B579" s="107"/>
      <c r="C579" s="107"/>
      <c r="D579">
        <v>2025</v>
      </c>
      <c r="E579">
        <v>0</v>
      </c>
      <c r="F579">
        <v>0</v>
      </c>
      <c r="G579">
        <v>0</v>
      </c>
      <c r="H579">
        <v>0</v>
      </c>
      <c r="I579">
        <v>0</v>
      </c>
      <c r="J579" s="107"/>
      <c r="K579" s="107"/>
    </row>
    <row r="580" spans="1:21" x14ac:dyDescent="0.25">
      <c r="A580" s="107" t="s">
        <v>1559</v>
      </c>
      <c r="B580" s="107" t="s">
        <v>1560</v>
      </c>
      <c r="C580" s="107">
        <v>2022</v>
      </c>
      <c r="D580" t="s">
        <v>8</v>
      </c>
      <c r="E580">
        <f>F580+G580+H580+I580</f>
        <v>455880.19999999995</v>
      </c>
      <c r="F580">
        <f>F581+F582+F583+F584+F585</f>
        <v>439890.6</v>
      </c>
      <c r="G580">
        <f t="shared" si="142"/>
        <v>0</v>
      </c>
      <c r="H580">
        <f>H581+H582+H583+H584+H585</f>
        <v>15989.6</v>
      </c>
      <c r="I580">
        <f>I581+I582+I583+I584+I585</f>
        <v>0</v>
      </c>
      <c r="J580" s="107"/>
      <c r="K580" s="107" t="s">
        <v>1561</v>
      </c>
    </row>
    <row r="581" spans="1:21" x14ac:dyDescent="0.25">
      <c r="A581" s="107"/>
      <c r="B581" s="107"/>
      <c r="C581" s="107"/>
      <c r="D581">
        <v>2021</v>
      </c>
      <c r="E581">
        <v>0</v>
      </c>
      <c r="F581">
        <v>0</v>
      </c>
      <c r="G581">
        <v>0</v>
      </c>
      <c r="H581">
        <v>0</v>
      </c>
      <c r="I581">
        <v>0</v>
      </c>
      <c r="J581" s="107"/>
      <c r="K581" s="107"/>
    </row>
    <row r="582" spans="1:21" x14ac:dyDescent="0.25">
      <c r="A582" s="107"/>
      <c r="B582" s="107"/>
      <c r="C582" s="107"/>
      <c r="D582">
        <v>2022</v>
      </c>
      <c r="E582">
        <f>SUM(F582:I582)</f>
        <v>455880.19999999995</v>
      </c>
      <c r="F582">
        <f>F588</f>
        <v>439890.6</v>
      </c>
      <c r="G582">
        <v>0</v>
      </c>
      <c r="H582">
        <f>H588</f>
        <v>15989.6</v>
      </c>
      <c r="I582">
        <v>0</v>
      </c>
      <c r="J582" s="107"/>
      <c r="K582" s="107"/>
    </row>
    <row r="583" spans="1:21" x14ac:dyDescent="0.25">
      <c r="A583" s="107"/>
      <c r="B583" s="107"/>
      <c r="C583" s="107"/>
      <c r="D583">
        <v>2023</v>
      </c>
      <c r="E583">
        <v>0</v>
      </c>
      <c r="F583">
        <v>0</v>
      </c>
      <c r="G583">
        <v>0</v>
      </c>
      <c r="H583">
        <v>0</v>
      </c>
      <c r="I583">
        <v>0</v>
      </c>
      <c r="J583" s="107"/>
      <c r="K583" s="107"/>
    </row>
    <row r="584" spans="1:21" x14ac:dyDescent="0.25">
      <c r="A584" s="107"/>
      <c r="B584" s="107"/>
      <c r="C584" s="107"/>
      <c r="D584">
        <v>2024</v>
      </c>
      <c r="E584">
        <v>0</v>
      </c>
      <c r="F584">
        <v>0</v>
      </c>
      <c r="G584">
        <v>0</v>
      </c>
      <c r="H584">
        <v>0</v>
      </c>
      <c r="I584">
        <v>0</v>
      </c>
      <c r="J584" s="107"/>
      <c r="K584" s="107"/>
    </row>
    <row r="585" spans="1:21" x14ac:dyDescent="0.25">
      <c r="A585" s="107"/>
      <c r="B585" s="107"/>
      <c r="C585" s="107"/>
      <c r="D585">
        <v>2025</v>
      </c>
      <c r="E585">
        <v>0</v>
      </c>
      <c r="F585">
        <v>0</v>
      </c>
      <c r="G585">
        <v>0</v>
      </c>
      <c r="H585">
        <v>0</v>
      </c>
      <c r="I585">
        <v>0</v>
      </c>
      <c r="J585" s="107"/>
      <c r="K585" s="107"/>
    </row>
    <row r="586" spans="1:21" x14ac:dyDescent="0.25">
      <c r="A586" s="107" t="s">
        <v>1562</v>
      </c>
      <c r="B586" s="107" t="s">
        <v>1563</v>
      </c>
      <c r="C586" s="107">
        <v>2022</v>
      </c>
      <c r="D586" t="s">
        <v>8</v>
      </c>
      <c r="E586">
        <f>SUM(E587:E591)</f>
        <v>455880.19999999995</v>
      </c>
      <c r="F586">
        <f>SUM(F587:F591)</f>
        <v>439890.6</v>
      </c>
      <c r="G586">
        <f>SUM(G587:G591)</f>
        <v>0</v>
      </c>
      <c r="H586">
        <f>SUM(H587:H591)</f>
        <v>15989.6</v>
      </c>
      <c r="I586">
        <f>SUM(I587:I591)</f>
        <v>0</v>
      </c>
      <c r="J586" s="107" t="s">
        <v>1564</v>
      </c>
      <c r="K586" s="107" t="s">
        <v>1561</v>
      </c>
    </row>
    <row r="587" spans="1:21" x14ac:dyDescent="0.25">
      <c r="A587" s="107"/>
      <c r="B587" s="107"/>
      <c r="C587" s="107"/>
      <c r="D587">
        <v>2021</v>
      </c>
      <c r="E587">
        <f t="shared" ref="E587:E591" si="143">SUM(F587:I587)</f>
        <v>0</v>
      </c>
      <c r="F587">
        <v>0</v>
      </c>
      <c r="G587">
        <v>0</v>
      </c>
      <c r="H587">
        <v>0</v>
      </c>
      <c r="I587">
        <v>0</v>
      </c>
      <c r="J587" s="107"/>
      <c r="K587" s="107"/>
    </row>
    <row r="588" spans="1:21" x14ac:dyDescent="0.25">
      <c r="A588" s="107"/>
      <c r="B588" s="107"/>
      <c r="C588" s="107"/>
      <c r="D588">
        <v>2022</v>
      </c>
      <c r="E588">
        <f t="shared" si="143"/>
        <v>455880.19999999995</v>
      </c>
      <c r="F588">
        <v>439890.6</v>
      </c>
      <c r="G588">
        <v>0</v>
      </c>
      <c r="H588">
        <v>15989.6</v>
      </c>
      <c r="I588">
        <v>0</v>
      </c>
      <c r="J588" s="107"/>
      <c r="K588" s="107"/>
    </row>
    <row r="589" spans="1:21" x14ac:dyDescent="0.25">
      <c r="A589" s="107"/>
      <c r="B589" s="107"/>
      <c r="C589" s="107"/>
      <c r="D589">
        <v>2023</v>
      </c>
      <c r="E589">
        <f t="shared" si="143"/>
        <v>0</v>
      </c>
      <c r="F589">
        <v>0</v>
      </c>
      <c r="G589">
        <v>0</v>
      </c>
      <c r="H589">
        <v>0</v>
      </c>
      <c r="I589">
        <v>0</v>
      </c>
      <c r="J589" s="107"/>
      <c r="K589" s="107"/>
    </row>
    <row r="590" spans="1:21" x14ac:dyDescent="0.25">
      <c r="A590" s="107"/>
      <c r="B590" s="107"/>
      <c r="C590" s="107"/>
      <c r="D590">
        <v>2024</v>
      </c>
      <c r="E590">
        <f t="shared" si="143"/>
        <v>0</v>
      </c>
      <c r="F590">
        <v>0</v>
      </c>
      <c r="G590">
        <v>0</v>
      </c>
      <c r="H590">
        <v>0</v>
      </c>
      <c r="I590">
        <v>0</v>
      </c>
      <c r="J590" s="107"/>
      <c r="K590" s="107"/>
    </row>
    <row r="591" spans="1:21" x14ac:dyDescent="0.25">
      <c r="A591" s="107"/>
      <c r="B591" s="107"/>
      <c r="C591" s="107"/>
      <c r="D591">
        <v>2025</v>
      </c>
      <c r="E591">
        <f t="shared" si="143"/>
        <v>0</v>
      </c>
      <c r="F591">
        <v>0</v>
      </c>
      <c r="G591">
        <v>0</v>
      </c>
      <c r="H591">
        <v>0</v>
      </c>
      <c r="I591">
        <v>0</v>
      </c>
      <c r="J591" s="107"/>
      <c r="K591" s="107"/>
    </row>
    <row r="592" spans="1:21" x14ac:dyDescent="0.25">
      <c r="A592" s="107">
        <v>3</v>
      </c>
      <c r="B592" s="107" t="s">
        <v>1565</v>
      </c>
      <c r="C592" s="107" t="s">
        <v>14</v>
      </c>
      <c r="D592" t="s">
        <v>8</v>
      </c>
      <c r="E592">
        <f>SUM(E593:E597)</f>
        <v>8311716.0562800001</v>
      </c>
      <c r="F592">
        <f>SUM(F593:F597)</f>
        <v>3800692.38919</v>
      </c>
      <c r="G592">
        <f>SUM(G593:G597)</f>
        <v>4251715.3073300002</v>
      </c>
      <c r="H592">
        <f>SUM(H593:H597)</f>
        <v>259308.35975999996</v>
      </c>
      <c r="I592">
        <v>0</v>
      </c>
      <c r="J592" s="107"/>
      <c r="K592" s="107" t="s">
        <v>1566</v>
      </c>
      <c r="M592">
        <v>6504536.9900000002</v>
      </c>
      <c r="N592">
        <v>2076784.36</v>
      </c>
      <c r="O592">
        <v>4251715.3099999996</v>
      </c>
      <c r="P592">
        <v>176037.32</v>
      </c>
      <c r="Q592" t="s">
        <v>1277</v>
      </c>
      <c r="R592">
        <f t="shared" ref="R592:U603" si="144">M592-E592</f>
        <v>-1807179.0662799999</v>
      </c>
      <c r="S592">
        <f t="shared" ref="S592:U596" si="145">N592-F592</f>
        <v>-1723908.0291899999</v>
      </c>
      <c r="T592">
        <f t="shared" si="145"/>
        <v>2.6699993759393692E-3</v>
      </c>
      <c r="U592">
        <f>P592-H592</f>
        <v>-83271.039759999956</v>
      </c>
    </row>
    <row r="593" spans="1:21" x14ac:dyDescent="0.25">
      <c r="A593" s="107"/>
      <c r="B593" s="107"/>
      <c r="C593" s="107"/>
      <c r="D593">
        <v>2021</v>
      </c>
      <c r="E593">
        <f t="shared" ref="E593:E597" si="146">SUM(F593:I593)</f>
        <v>927501.46775999991</v>
      </c>
      <c r="F593">
        <f t="shared" ref="F593:I597" si="147">F599+F671</f>
        <v>235262.3</v>
      </c>
      <c r="G593">
        <f t="shared" si="147"/>
        <v>671842.1</v>
      </c>
      <c r="H593">
        <f t="shared" si="147"/>
        <v>20397.067759999998</v>
      </c>
      <c r="I593">
        <f t="shared" si="147"/>
        <v>0</v>
      </c>
      <c r="J593" s="107"/>
      <c r="K593" s="107"/>
      <c r="M593">
        <v>927501.47</v>
      </c>
      <c r="N593">
        <v>235262.3</v>
      </c>
      <c r="O593">
        <v>671842.1</v>
      </c>
      <c r="P593">
        <v>20397.07</v>
      </c>
      <c r="Q593" t="s">
        <v>1277</v>
      </c>
      <c r="R593">
        <f t="shared" si="144"/>
        <v>2.2400000598281622E-3</v>
      </c>
      <c r="S593">
        <f t="shared" si="145"/>
        <v>0</v>
      </c>
      <c r="T593">
        <f t="shared" si="145"/>
        <v>0</v>
      </c>
      <c r="U593">
        <f t="shared" si="145"/>
        <v>2.2400000016205013E-3</v>
      </c>
    </row>
    <row r="594" spans="1:21" x14ac:dyDescent="0.25">
      <c r="A594" s="107"/>
      <c r="B594" s="107"/>
      <c r="C594" s="107"/>
      <c r="D594">
        <v>2022</v>
      </c>
      <c r="E594">
        <f t="shared" si="146"/>
        <v>1712734.3321</v>
      </c>
      <c r="F594">
        <f t="shared" si="147"/>
        <v>542084.01650999999</v>
      </c>
      <c r="G594">
        <f t="shared" si="147"/>
        <v>1150922.8755900001</v>
      </c>
      <c r="H594">
        <f t="shared" si="147"/>
        <v>19727.439999999999</v>
      </c>
      <c r="I594">
        <f t="shared" si="147"/>
        <v>0</v>
      </c>
      <c r="J594" s="107"/>
      <c r="K594" s="107"/>
      <c r="M594">
        <v>3064442.9</v>
      </c>
      <c r="N594">
        <v>499301.68</v>
      </c>
      <c r="O594">
        <v>2445224.33</v>
      </c>
      <c r="P594">
        <v>119916.89</v>
      </c>
      <c r="Q594" t="s">
        <v>1277</v>
      </c>
      <c r="R594">
        <f t="shared" si="144"/>
        <v>1351708.5678999999</v>
      </c>
      <c r="S594">
        <f t="shared" si="145"/>
        <v>-42782.336509999994</v>
      </c>
      <c r="T594">
        <f t="shared" si="145"/>
        <v>1294301.45441</v>
      </c>
      <c r="U594">
        <f t="shared" si="145"/>
        <v>100189.45</v>
      </c>
    </row>
    <row r="595" spans="1:21" x14ac:dyDescent="0.25">
      <c r="A595" s="107"/>
      <c r="B595" s="107"/>
      <c r="C595" s="107"/>
      <c r="D595">
        <v>2023</v>
      </c>
      <c r="E595">
        <f t="shared" si="146"/>
        <v>3589874.8597400002</v>
      </c>
      <c r="F595">
        <f t="shared" si="147"/>
        <v>1429072.953</v>
      </c>
      <c r="G595">
        <f t="shared" si="147"/>
        <v>1941618.0547400001</v>
      </c>
      <c r="H595">
        <f t="shared" si="147"/>
        <v>219183.85199999998</v>
      </c>
      <c r="I595">
        <f t="shared" si="147"/>
        <v>0</v>
      </c>
      <c r="J595" s="107"/>
      <c r="K595" s="107"/>
      <c r="M595">
        <v>1700057.62</v>
      </c>
      <c r="N595">
        <v>529685.38</v>
      </c>
      <c r="O595">
        <v>1134648.8799999999</v>
      </c>
      <c r="P595">
        <v>35723.360000000001</v>
      </c>
      <c r="Q595" t="s">
        <v>1277</v>
      </c>
      <c r="R595">
        <f t="shared" si="144"/>
        <v>-1889817.2397400001</v>
      </c>
      <c r="S595">
        <f t="shared" si="145"/>
        <v>-899387.57299999997</v>
      </c>
      <c r="T595">
        <f t="shared" si="145"/>
        <v>-806969.17474000016</v>
      </c>
      <c r="U595">
        <f t="shared" si="145"/>
        <v>-183460.49199999997</v>
      </c>
    </row>
    <row r="596" spans="1:21" x14ac:dyDescent="0.25">
      <c r="A596" s="107"/>
      <c r="B596" s="107"/>
      <c r="C596" s="107"/>
      <c r="D596">
        <v>2024</v>
      </c>
      <c r="E596">
        <f t="shared" si="146"/>
        <v>2081605.39668</v>
      </c>
      <c r="F596">
        <f t="shared" si="147"/>
        <v>1594273.11968</v>
      </c>
      <c r="G596">
        <f t="shared" si="147"/>
        <v>487332.277</v>
      </c>
      <c r="H596">
        <f t="shared" si="147"/>
        <v>0</v>
      </c>
      <c r="I596">
        <f t="shared" si="147"/>
        <v>0</v>
      </c>
      <c r="J596" s="107"/>
      <c r="K596" s="107"/>
      <c r="M596">
        <v>812535</v>
      </c>
      <c r="N596">
        <v>812535</v>
      </c>
      <c r="O596" t="s">
        <v>1277</v>
      </c>
      <c r="P596" t="s">
        <v>1277</v>
      </c>
      <c r="Q596" t="s">
        <v>1277</v>
      </c>
      <c r="R596">
        <f t="shared" si="144"/>
        <v>-1269070.39668</v>
      </c>
      <c r="S596">
        <f t="shared" si="145"/>
        <v>-781738.11968</v>
      </c>
      <c r="T596" t="e">
        <f t="shared" si="145"/>
        <v>#VALUE!</v>
      </c>
      <c r="U596" t="e">
        <f t="shared" si="145"/>
        <v>#VALUE!</v>
      </c>
    </row>
    <row r="597" spans="1:21" x14ac:dyDescent="0.25">
      <c r="A597" s="107"/>
      <c r="B597" s="107"/>
      <c r="C597" s="107"/>
      <c r="D597">
        <v>2025</v>
      </c>
      <c r="E597">
        <f t="shared" si="146"/>
        <v>0</v>
      </c>
      <c r="F597">
        <f t="shared" si="147"/>
        <v>0</v>
      </c>
      <c r="G597">
        <f t="shared" si="147"/>
        <v>0</v>
      </c>
      <c r="H597">
        <f t="shared" si="147"/>
        <v>0</v>
      </c>
      <c r="I597">
        <f t="shared" si="147"/>
        <v>0</v>
      </c>
      <c r="J597" s="107"/>
      <c r="K597" s="107"/>
      <c r="M597" t="s">
        <v>1277</v>
      </c>
      <c r="N597" t="s">
        <v>1277</v>
      </c>
      <c r="O597" t="s">
        <v>1277</v>
      </c>
      <c r="P597" t="s">
        <v>1277</v>
      </c>
      <c r="Q597" t="s">
        <v>1277</v>
      </c>
    </row>
    <row r="598" spans="1:21" x14ac:dyDescent="0.25">
      <c r="A598" s="107" t="s">
        <v>116</v>
      </c>
      <c r="B598" s="107" t="s">
        <v>1567</v>
      </c>
      <c r="C598" s="107" t="s">
        <v>41</v>
      </c>
      <c r="D598" t="s">
        <v>8</v>
      </c>
      <c r="E598">
        <f>SUM(E599:E603)</f>
        <v>7569375.6246199999</v>
      </c>
      <c r="F598">
        <f>SUM(F599:F603)</f>
        <v>3081652.5412900001</v>
      </c>
      <c r="G598">
        <f t="shared" ref="G598:I598" si="148">SUM(G599:G603)</f>
        <v>4251715.3073300002</v>
      </c>
      <c r="H598">
        <f t="shared" si="148"/>
        <v>236007.77600000001</v>
      </c>
      <c r="I598">
        <f t="shared" si="148"/>
        <v>0</v>
      </c>
      <c r="J598" s="107" t="s">
        <v>1568</v>
      </c>
      <c r="K598" s="107" t="s">
        <v>1566</v>
      </c>
      <c r="M598">
        <v>6057773.0800000001</v>
      </c>
      <c r="N598">
        <v>1639917.75</v>
      </c>
      <c r="O598">
        <v>4251715.3099999996</v>
      </c>
      <c r="P598">
        <v>166140.01999999999</v>
      </c>
      <c r="Q598" t="s">
        <v>1277</v>
      </c>
      <c r="R598">
        <f t="shared" si="144"/>
        <v>-1511602.5446199998</v>
      </c>
      <c r="S598">
        <f t="shared" si="144"/>
        <v>-1441734.7912900001</v>
      </c>
      <c r="T598">
        <f t="shared" si="144"/>
        <v>2.6699993759393692E-3</v>
      </c>
      <c r="U598">
        <f t="shared" si="144"/>
        <v>-69867.756000000023</v>
      </c>
    </row>
    <row r="599" spans="1:21" x14ac:dyDescent="0.25">
      <c r="A599" s="107"/>
      <c r="B599" s="107"/>
      <c r="C599" s="107"/>
      <c r="D599">
        <v>2021</v>
      </c>
      <c r="E599">
        <f t="shared" ref="E599:E603" si="149">F599+G599+H599+I599</f>
        <v>764910.1</v>
      </c>
      <c r="F599">
        <f t="shared" ref="F599:I603" si="150">F605+F611+F617+F623+F629+F635+F647+F641+F653+F659+F665</f>
        <v>77584.399999999994</v>
      </c>
      <c r="G599">
        <f t="shared" ref="G599:I599" si="151">G605+G611+G617+G623+G629+G635+G647+G641+G653+G659+G665</f>
        <v>671842.1</v>
      </c>
      <c r="H599">
        <f t="shared" si="151"/>
        <v>15483.6</v>
      </c>
      <c r="I599">
        <f t="shared" si="151"/>
        <v>0</v>
      </c>
      <c r="J599" s="107"/>
      <c r="K599" s="107"/>
      <c r="M599">
        <v>764910.1</v>
      </c>
      <c r="N599">
        <v>77584.399999999994</v>
      </c>
      <c r="O599">
        <v>671842.1</v>
      </c>
      <c r="P599">
        <v>15483.6</v>
      </c>
      <c r="Q599" t="s">
        <v>1277</v>
      </c>
      <c r="R599">
        <f t="shared" si="144"/>
        <v>0</v>
      </c>
      <c r="S599">
        <f t="shared" si="144"/>
        <v>0</v>
      </c>
      <c r="T599">
        <f t="shared" si="144"/>
        <v>0</v>
      </c>
      <c r="U599">
        <f t="shared" si="144"/>
        <v>0</v>
      </c>
    </row>
    <row r="600" spans="1:21" x14ac:dyDescent="0.25">
      <c r="A600" s="107"/>
      <c r="B600" s="107"/>
      <c r="C600" s="107"/>
      <c r="D600">
        <v>2022</v>
      </c>
      <c r="E600">
        <f t="shared" si="149"/>
        <v>1448802.7592</v>
      </c>
      <c r="F600">
        <f t="shared" si="150"/>
        <v>293452.24061000004</v>
      </c>
      <c r="G600">
        <f t="shared" si="150"/>
        <v>1150922.8755900001</v>
      </c>
      <c r="H600">
        <f t="shared" si="150"/>
        <v>4427.643</v>
      </c>
      <c r="I600">
        <f t="shared" si="150"/>
        <v>0</v>
      </c>
      <c r="J600" s="107"/>
      <c r="K600" s="107"/>
      <c r="M600">
        <v>2821177.92</v>
      </c>
      <c r="N600">
        <v>260611.45</v>
      </c>
      <c r="O600">
        <v>2445224.33</v>
      </c>
      <c r="P600">
        <v>115342.14</v>
      </c>
      <c r="Q600" t="s">
        <v>1277</v>
      </c>
      <c r="R600">
        <f t="shared" si="144"/>
        <v>1372375.1608</v>
      </c>
      <c r="S600">
        <f t="shared" si="144"/>
        <v>-32840.790610000025</v>
      </c>
      <c r="T600">
        <f t="shared" si="144"/>
        <v>1294301.45441</v>
      </c>
      <c r="U600">
        <f t="shared" si="144"/>
        <v>110914.497</v>
      </c>
    </row>
    <row r="601" spans="1:21" x14ac:dyDescent="0.25">
      <c r="A601" s="107"/>
      <c r="B601" s="107"/>
      <c r="C601" s="107"/>
      <c r="D601">
        <v>2023</v>
      </c>
      <c r="E601">
        <f t="shared" si="149"/>
        <v>3274057.3687399998</v>
      </c>
      <c r="F601">
        <f t="shared" si="150"/>
        <v>1116342.781</v>
      </c>
      <c r="G601">
        <f t="shared" si="150"/>
        <v>1941618.0547400001</v>
      </c>
      <c r="H601">
        <f t="shared" si="150"/>
        <v>216096.533</v>
      </c>
      <c r="I601">
        <f t="shared" si="150"/>
        <v>0</v>
      </c>
      <c r="J601" s="107"/>
      <c r="K601" s="107"/>
      <c r="M601">
        <v>1659150.06</v>
      </c>
      <c r="N601">
        <v>489186.9</v>
      </c>
      <c r="O601">
        <v>1134648.8799999999</v>
      </c>
      <c r="P601">
        <v>35314.28</v>
      </c>
      <c r="Q601" t="s">
        <v>1277</v>
      </c>
      <c r="R601">
        <f t="shared" si="144"/>
        <v>-1614907.3087399998</v>
      </c>
      <c r="S601">
        <f t="shared" si="144"/>
        <v>-627155.88099999994</v>
      </c>
      <c r="T601">
        <f t="shared" si="144"/>
        <v>-806969.17474000016</v>
      </c>
      <c r="U601">
        <f t="shared" si="144"/>
        <v>-180782.253</v>
      </c>
    </row>
    <row r="602" spans="1:21" x14ac:dyDescent="0.25">
      <c r="A602" s="107"/>
      <c r="B602" s="107"/>
      <c r="C602" s="107"/>
      <c r="D602">
        <v>2024</v>
      </c>
      <c r="E602">
        <f t="shared" si="149"/>
        <v>2081605.39668</v>
      </c>
      <c r="F602">
        <f t="shared" si="150"/>
        <v>1594273.11968</v>
      </c>
      <c r="G602">
        <f t="shared" si="150"/>
        <v>487332.277</v>
      </c>
      <c r="H602">
        <f t="shared" si="150"/>
        <v>0</v>
      </c>
      <c r="I602">
        <f t="shared" si="150"/>
        <v>0</v>
      </c>
      <c r="J602" s="107"/>
      <c r="K602" s="107"/>
      <c r="M602">
        <v>812535</v>
      </c>
      <c r="N602">
        <v>812535</v>
      </c>
      <c r="O602" t="s">
        <v>1277</v>
      </c>
      <c r="P602" t="s">
        <v>1277</v>
      </c>
      <c r="Q602" t="s">
        <v>1277</v>
      </c>
      <c r="R602">
        <f t="shared" si="144"/>
        <v>-1269070.39668</v>
      </c>
      <c r="S602">
        <f t="shared" si="144"/>
        <v>-781738.11968</v>
      </c>
      <c r="T602" t="e">
        <f t="shared" si="144"/>
        <v>#VALUE!</v>
      </c>
      <c r="U602" t="e">
        <f t="shared" si="144"/>
        <v>#VALUE!</v>
      </c>
    </row>
    <row r="603" spans="1:21" x14ac:dyDescent="0.25">
      <c r="A603" s="107"/>
      <c r="B603" s="107"/>
      <c r="C603" s="107"/>
      <c r="D603">
        <v>2025</v>
      </c>
      <c r="E603">
        <f t="shared" si="149"/>
        <v>0</v>
      </c>
      <c r="F603">
        <f t="shared" si="150"/>
        <v>0</v>
      </c>
      <c r="G603">
        <f t="shared" si="150"/>
        <v>0</v>
      </c>
      <c r="H603">
        <f t="shared" si="150"/>
        <v>0</v>
      </c>
      <c r="I603">
        <f t="shared" si="150"/>
        <v>0</v>
      </c>
      <c r="J603" s="107"/>
      <c r="K603" s="107"/>
      <c r="M603" t="s">
        <v>1277</v>
      </c>
      <c r="N603" t="s">
        <v>1277</v>
      </c>
      <c r="O603" t="s">
        <v>1277</v>
      </c>
      <c r="P603" t="s">
        <v>1277</v>
      </c>
      <c r="Q603" t="s">
        <v>1277</v>
      </c>
      <c r="R603" t="e">
        <f t="shared" si="144"/>
        <v>#VALUE!</v>
      </c>
      <c r="S603" t="e">
        <f t="shared" si="144"/>
        <v>#VALUE!</v>
      </c>
      <c r="T603" t="e">
        <f t="shared" si="144"/>
        <v>#VALUE!</v>
      </c>
      <c r="U603" t="e">
        <f t="shared" si="144"/>
        <v>#VALUE!</v>
      </c>
    </row>
    <row r="604" spans="1:21" x14ac:dyDescent="0.25">
      <c r="A604" s="107" t="s">
        <v>119</v>
      </c>
      <c r="B604" s="107" t="s">
        <v>221</v>
      </c>
      <c r="C604" s="107" t="s">
        <v>41</v>
      </c>
      <c r="D604" t="s">
        <v>8</v>
      </c>
      <c r="E604">
        <f t="shared" ref="E604:E609" si="152">SUM(F604:I604)</f>
        <v>2878163.301</v>
      </c>
      <c r="F604">
        <f>SUM(F605:F609)</f>
        <v>363447.44900000002</v>
      </c>
      <c r="G604">
        <f t="shared" ref="G604:I604" si="153">SUM(G605:G609)</f>
        <v>2278708.0759999999</v>
      </c>
      <c r="H604">
        <f t="shared" si="153"/>
        <v>236007.77600000001</v>
      </c>
      <c r="I604">
        <f t="shared" si="153"/>
        <v>0</v>
      </c>
      <c r="J604" s="107" t="s">
        <v>1569</v>
      </c>
      <c r="K604" s="107" t="s">
        <v>1265</v>
      </c>
    </row>
    <row r="605" spans="1:21" x14ac:dyDescent="0.25">
      <c r="A605" s="107"/>
      <c r="B605" s="107"/>
      <c r="C605" s="107"/>
      <c r="D605">
        <v>2021</v>
      </c>
      <c r="E605">
        <f t="shared" si="152"/>
        <v>728044.6</v>
      </c>
      <c r="F605">
        <v>46143.6</v>
      </c>
      <c r="G605">
        <v>666417.4</v>
      </c>
      <c r="H605">
        <v>15483.6</v>
      </c>
      <c r="I605">
        <v>0</v>
      </c>
      <c r="J605" s="107"/>
      <c r="K605" s="107"/>
    </row>
    <row r="606" spans="1:21" x14ac:dyDescent="0.25">
      <c r="A606" s="107"/>
      <c r="B606" s="107"/>
      <c r="C606" s="107"/>
      <c r="D606">
        <v>2022</v>
      </c>
      <c r="E606">
        <f t="shared" si="152"/>
        <v>934401.63358999998</v>
      </c>
      <c r="F606">
        <v>81988.455000000002</v>
      </c>
      <c r="G606">
        <f>1380745.625-(532760089.41/1000)</f>
        <v>847985.53558999998</v>
      </c>
      <c r="H606">
        <v>4427.643</v>
      </c>
      <c r="I606">
        <v>0</v>
      </c>
      <c r="J606" s="107"/>
      <c r="K606" s="107"/>
    </row>
    <row r="607" spans="1:21" x14ac:dyDescent="0.25">
      <c r="A607" s="107"/>
      <c r="B607" s="107"/>
      <c r="C607" s="107"/>
      <c r="D607">
        <v>2023</v>
      </c>
      <c r="E607">
        <f t="shared" si="152"/>
        <v>1215717.0674099999</v>
      </c>
      <c r="F607">
        <v>235315.394</v>
      </c>
      <c r="G607">
        <f>231545.051+(532760089.41/1000)</f>
        <v>764305.14040999999</v>
      </c>
      <c r="H607">
        <v>216096.533</v>
      </c>
      <c r="I607">
        <v>0</v>
      </c>
      <c r="J607" s="107"/>
      <c r="K607" s="107"/>
    </row>
    <row r="608" spans="1:21" x14ac:dyDescent="0.25">
      <c r="A608" s="107"/>
      <c r="B608" s="107"/>
      <c r="C608" s="107"/>
      <c r="D608">
        <v>2024</v>
      </c>
      <c r="E608">
        <f t="shared" si="152"/>
        <v>0</v>
      </c>
      <c r="I608">
        <v>0</v>
      </c>
      <c r="J608" s="107"/>
      <c r="K608" s="107"/>
    </row>
    <row r="609" spans="1:11" x14ac:dyDescent="0.25">
      <c r="A609" s="107"/>
      <c r="B609" s="107"/>
      <c r="C609" s="107"/>
      <c r="D609">
        <v>2025</v>
      </c>
      <c r="E609">
        <f t="shared" si="152"/>
        <v>0</v>
      </c>
      <c r="I609">
        <v>0</v>
      </c>
      <c r="J609" s="107"/>
      <c r="K609" s="107"/>
    </row>
    <row r="610" spans="1:11" x14ac:dyDescent="0.25">
      <c r="A610" s="107" t="s">
        <v>122</v>
      </c>
      <c r="B610" s="107" t="s">
        <v>1570</v>
      </c>
      <c r="C610" s="107">
        <v>2021</v>
      </c>
      <c r="D610" t="s">
        <v>8</v>
      </c>
      <c r="E610">
        <f t="shared" ref="E610:E615" si="154">F610+G610+H610+I610</f>
        <v>6719.2000000000007</v>
      </c>
      <c r="F610">
        <f>F611+F612+F613+F614+F615</f>
        <v>6032.1</v>
      </c>
      <c r="G610">
        <f t="shared" ref="G610:I610" si="155">G611+G612+G613+G614+G615</f>
        <v>687.1</v>
      </c>
      <c r="H610">
        <f t="shared" si="155"/>
        <v>0</v>
      </c>
      <c r="I610">
        <f t="shared" si="155"/>
        <v>0</v>
      </c>
      <c r="J610" s="107" t="s">
        <v>1571</v>
      </c>
      <c r="K610" s="107" t="s">
        <v>1311</v>
      </c>
    </row>
    <row r="611" spans="1:11" x14ac:dyDescent="0.25">
      <c r="A611" s="107"/>
      <c r="B611" s="107"/>
      <c r="C611" s="107"/>
      <c r="D611">
        <v>2021</v>
      </c>
      <c r="E611">
        <f t="shared" si="154"/>
        <v>6719.2000000000007</v>
      </c>
      <c r="F611">
        <v>6032.1</v>
      </c>
      <c r="G611">
        <v>687.1</v>
      </c>
      <c r="J611" s="107"/>
      <c r="K611" s="107"/>
    </row>
    <row r="612" spans="1:11" x14ac:dyDescent="0.25">
      <c r="A612" s="107"/>
      <c r="B612" s="107"/>
      <c r="C612" s="107"/>
      <c r="D612">
        <v>2022</v>
      </c>
      <c r="E612">
        <f t="shared" si="154"/>
        <v>0</v>
      </c>
      <c r="J612" s="107"/>
      <c r="K612" s="107"/>
    </row>
    <row r="613" spans="1:11" x14ac:dyDescent="0.25">
      <c r="A613" s="107"/>
      <c r="B613" s="107"/>
      <c r="C613" s="107"/>
      <c r="D613">
        <v>2023</v>
      </c>
      <c r="E613">
        <f t="shared" si="154"/>
        <v>0</v>
      </c>
      <c r="J613" s="107"/>
      <c r="K613" s="107"/>
    </row>
    <row r="614" spans="1:11" x14ac:dyDescent="0.25">
      <c r="A614" s="107"/>
      <c r="B614" s="107"/>
      <c r="C614" s="107"/>
      <c r="D614">
        <v>2024</v>
      </c>
      <c r="E614">
        <f t="shared" si="154"/>
        <v>0</v>
      </c>
      <c r="J614" s="107"/>
      <c r="K614" s="107"/>
    </row>
    <row r="615" spans="1:11" x14ac:dyDescent="0.25">
      <c r="A615" s="107"/>
      <c r="B615" s="107"/>
      <c r="C615" s="107"/>
      <c r="D615">
        <v>2025</v>
      </c>
      <c r="E615">
        <f t="shared" si="154"/>
        <v>0</v>
      </c>
      <c r="J615" s="107"/>
      <c r="K615" s="107"/>
    </row>
    <row r="616" spans="1:11" x14ac:dyDescent="0.25">
      <c r="A616" s="107" t="s">
        <v>126</v>
      </c>
      <c r="B616" s="107" t="s">
        <v>1572</v>
      </c>
      <c r="C616" s="107" t="s">
        <v>19</v>
      </c>
      <c r="D616" t="s">
        <v>8</v>
      </c>
      <c r="E616">
        <f>E617+E618+E619+E620+E621</f>
        <v>105864.88442</v>
      </c>
      <c r="F616">
        <f t="shared" ref="F616:I616" si="156">F617+F618+F619+F620+F621</f>
        <v>40796.734420000001</v>
      </c>
      <c r="G616">
        <f t="shared" si="156"/>
        <v>65068.15</v>
      </c>
      <c r="H616">
        <f t="shared" si="156"/>
        <v>0</v>
      </c>
      <c r="I616">
        <f t="shared" si="156"/>
        <v>0</v>
      </c>
      <c r="J616" s="107" t="s">
        <v>1573</v>
      </c>
      <c r="K616" s="107" t="s">
        <v>1311</v>
      </c>
    </row>
    <row r="617" spans="1:11" x14ac:dyDescent="0.25">
      <c r="A617" s="107"/>
      <c r="B617" s="107"/>
      <c r="C617" s="107"/>
      <c r="D617">
        <v>2021</v>
      </c>
      <c r="E617">
        <f t="shared" ref="E617:E621" si="157">SUM(F617:I617)</f>
        <v>5568.3</v>
      </c>
      <c r="F617">
        <v>4619.7</v>
      </c>
      <c r="G617">
        <v>948.6</v>
      </c>
      <c r="J617" s="107"/>
      <c r="K617" s="107"/>
    </row>
    <row r="618" spans="1:11" x14ac:dyDescent="0.25">
      <c r="A618" s="107"/>
      <c r="B618" s="107"/>
      <c r="C618" s="107"/>
      <c r="D618">
        <v>2022</v>
      </c>
      <c r="E618">
        <f t="shared" si="157"/>
        <v>66596.986420000001</v>
      </c>
      <c r="F618">
        <f>1606.37+401+(470066.42/1000)</f>
        <v>2477.43642</v>
      </c>
      <c r="G618">
        <v>64119.55</v>
      </c>
      <c r="J618" s="107"/>
      <c r="K618" s="107"/>
    </row>
    <row r="619" spans="1:11" x14ac:dyDescent="0.25">
      <c r="A619" s="107"/>
      <c r="B619" s="107"/>
      <c r="C619" s="107"/>
      <c r="D619">
        <v>2023</v>
      </c>
      <c r="E619">
        <f t="shared" si="157"/>
        <v>33699.597999999998</v>
      </c>
      <c r="F619">
        <v>33699.597999999998</v>
      </c>
      <c r="G619">
        <v>0</v>
      </c>
      <c r="J619" s="107"/>
      <c r="K619" s="107"/>
    </row>
    <row r="620" spans="1:11" x14ac:dyDescent="0.25">
      <c r="A620" s="107"/>
      <c r="B620" s="107"/>
      <c r="C620" s="107"/>
      <c r="D620">
        <v>2024</v>
      </c>
      <c r="E620">
        <f t="shared" si="157"/>
        <v>0</v>
      </c>
      <c r="J620" s="107"/>
      <c r="K620" s="107"/>
    </row>
    <row r="621" spans="1:11" x14ac:dyDescent="0.25">
      <c r="A621" s="107"/>
      <c r="B621" s="107"/>
      <c r="C621" s="107"/>
      <c r="D621">
        <v>2025</v>
      </c>
      <c r="E621">
        <f t="shared" si="157"/>
        <v>0</v>
      </c>
      <c r="J621" s="107"/>
      <c r="K621" s="107"/>
    </row>
    <row r="622" spans="1:11" x14ac:dyDescent="0.25">
      <c r="A622" s="107" t="s">
        <v>128</v>
      </c>
      <c r="B622" s="107" t="s">
        <v>1574</v>
      </c>
      <c r="C622" s="107" t="s">
        <v>1575</v>
      </c>
      <c r="D622" t="s">
        <v>8</v>
      </c>
      <c r="E622">
        <f>SUM(E623:E627)</f>
        <v>37755.832680000029</v>
      </c>
      <c r="F622">
        <f>SUM(F623:F627)</f>
        <v>35383.428350000009</v>
      </c>
      <c r="G622">
        <f t="shared" ref="G622:I622" si="158">SUM(G623:G627)</f>
        <v>2372.4043300000253</v>
      </c>
      <c r="H622">
        <f t="shared" si="158"/>
        <v>0</v>
      </c>
      <c r="I622">
        <f t="shared" si="158"/>
        <v>0</v>
      </c>
      <c r="J622" s="107" t="s">
        <v>1576</v>
      </c>
      <c r="K622" s="107" t="s">
        <v>1311</v>
      </c>
    </row>
    <row r="623" spans="1:11" x14ac:dyDescent="0.25">
      <c r="A623" s="107"/>
      <c r="B623" s="107"/>
      <c r="C623" s="107"/>
      <c r="D623">
        <v>2021</v>
      </c>
      <c r="E623">
        <f t="shared" ref="E623:E627" si="159">SUM(F623:I623)</f>
        <v>18087.7</v>
      </c>
      <c r="F623">
        <v>15715.3</v>
      </c>
      <c r="G623">
        <v>2372.4</v>
      </c>
      <c r="J623" s="107"/>
      <c r="K623" s="107"/>
    </row>
    <row r="624" spans="1:11" x14ac:dyDescent="0.25">
      <c r="A624" s="107"/>
      <c r="B624" s="107"/>
      <c r="C624" s="107"/>
      <c r="D624">
        <v>2022</v>
      </c>
      <c r="E624">
        <f t="shared" si="159"/>
        <v>17693.76367</v>
      </c>
      <c r="F624">
        <f>16743.154+(950609.67/1000)</f>
        <v>17693.76367</v>
      </c>
      <c r="G624">
        <v>0</v>
      </c>
      <c r="J624" s="107"/>
      <c r="K624" s="107"/>
    </row>
    <row r="625" spans="1:13" x14ac:dyDescent="0.25">
      <c r="A625" s="107"/>
      <c r="B625" s="107"/>
      <c r="C625" s="107"/>
      <c r="D625">
        <v>2023</v>
      </c>
      <c r="E625">
        <f t="shared" si="159"/>
        <v>1974.3743300000251</v>
      </c>
      <c r="F625">
        <v>1974.37</v>
      </c>
      <c r="G625">
        <f>881549.16-(881549155.67/1000)</f>
        <v>4.3300000252202153E-3</v>
      </c>
      <c r="J625" s="107"/>
      <c r="K625" s="107"/>
      <c r="M625">
        <f>17994.5-1714.12</f>
        <v>16280.380000000001</v>
      </c>
    </row>
    <row r="626" spans="1:13" x14ac:dyDescent="0.25">
      <c r="A626" s="107"/>
      <c r="B626" s="107"/>
      <c r="C626" s="107"/>
      <c r="D626">
        <v>2024</v>
      </c>
      <c r="E626">
        <f t="shared" si="159"/>
        <v>-5.3199999965727329E-3</v>
      </c>
      <c r="F626">
        <f>812535-(812535005.32/1000)</f>
        <v>-5.3199999965727329E-3</v>
      </c>
      <c r="J626" s="107"/>
      <c r="K626" s="107"/>
    </row>
    <row r="627" spans="1:13" x14ac:dyDescent="0.25">
      <c r="A627" s="107"/>
      <c r="B627" s="107"/>
      <c r="C627" s="107"/>
      <c r="D627">
        <v>2025</v>
      </c>
      <c r="E627">
        <f t="shared" si="159"/>
        <v>0</v>
      </c>
      <c r="J627" s="107"/>
      <c r="K627" s="107"/>
    </row>
    <row r="628" spans="1:13" x14ac:dyDescent="0.25">
      <c r="A628" s="107" t="s">
        <v>1577</v>
      </c>
      <c r="B628" s="107" t="s">
        <v>1578</v>
      </c>
      <c r="C628" s="107" t="s">
        <v>19</v>
      </c>
      <c r="D628" t="s">
        <v>8</v>
      </c>
      <c r="E628">
        <f>SUM(E629:E633)</f>
        <v>157535.11468</v>
      </c>
      <c r="F628">
        <f>SUM(F629:F633)</f>
        <v>34092.954679999995</v>
      </c>
      <c r="G628">
        <f>SUM(G629:G633)</f>
        <v>123442.16</v>
      </c>
      <c r="H628">
        <f>SUM(H629:H633)</f>
        <v>0</v>
      </c>
      <c r="I628">
        <f>SUM(I629:I633)</f>
        <v>0</v>
      </c>
      <c r="J628" s="107" t="s">
        <v>1579</v>
      </c>
      <c r="K628" s="107" t="s">
        <v>1311</v>
      </c>
    </row>
    <row r="629" spans="1:13" x14ac:dyDescent="0.25">
      <c r="A629" s="107"/>
      <c r="B629" s="107"/>
      <c r="C629" s="107"/>
      <c r="D629">
        <v>2021</v>
      </c>
      <c r="E629">
        <f t="shared" ref="E629:E633" si="160">SUM(F629:I629)</f>
        <v>6490.2999999999993</v>
      </c>
      <c r="F629">
        <v>5073.7</v>
      </c>
      <c r="G629">
        <v>1416.6</v>
      </c>
      <c r="J629" s="107"/>
      <c r="K629" s="107"/>
    </row>
    <row r="630" spans="1:13" x14ac:dyDescent="0.25">
      <c r="A630" s="107"/>
      <c r="B630" s="107"/>
      <c r="C630" s="107"/>
      <c r="D630">
        <v>2022</v>
      </c>
      <c r="E630">
        <f t="shared" si="160"/>
        <v>128230.65668</v>
      </c>
      <c r="F630">
        <f>3997.677+(2207419.68/1000)</f>
        <v>6205.0966800000006</v>
      </c>
      <c r="G630">
        <v>122025.56</v>
      </c>
      <c r="J630" s="107"/>
      <c r="K630" s="107"/>
    </row>
    <row r="631" spans="1:13" x14ac:dyDescent="0.25">
      <c r="A631" s="107"/>
      <c r="B631" s="107"/>
      <c r="C631" s="107"/>
      <c r="D631">
        <v>2023</v>
      </c>
      <c r="E631">
        <f t="shared" si="160"/>
        <v>22814.157999999999</v>
      </c>
      <c r="F631">
        <v>22814.157999999999</v>
      </c>
      <c r="G631">
        <v>0</v>
      </c>
      <c r="J631" s="107"/>
      <c r="K631" s="107"/>
    </row>
    <row r="632" spans="1:13" x14ac:dyDescent="0.25">
      <c r="A632" s="107"/>
      <c r="B632" s="107"/>
      <c r="C632" s="107"/>
      <c r="D632">
        <v>2024</v>
      </c>
      <c r="E632">
        <f t="shared" si="160"/>
        <v>0</v>
      </c>
      <c r="J632" s="107"/>
      <c r="K632" s="107"/>
    </row>
    <row r="633" spans="1:13" x14ac:dyDescent="0.25">
      <c r="A633" s="107"/>
      <c r="B633" s="107"/>
      <c r="C633" s="107"/>
      <c r="D633">
        <v>2025</v>
      </c>
      <c r="E633">
        <f t="shared" si="160"/>
        <v>0</v>
      </c>
      <c r="J633" s="107"/>
      <c r="K633" s="107"/>
    </row>
    <row r="634" spans="1:13" x14ac:dyDescent="0.25">
      <c r="A634" s="107" t="s">
        <v>1580</v>
      </c>
      <c r="B634" s="107" t="s">
        <v>1581</v>
      </c>
      <c r="C634" s="107" t="s">
        <v>1332</v>
      </c>
      <c r="D634" t="s">
        <v>8</v>
      </c>
      <c r="E634">
        <f>SUM(E635:E639)</f>
        <v>736319.99799999991</v>
      </c>
      <c r="F634">
        <f>SUM(F635:F639)</f>
        <v>481069.658</v>
      </c>
      <c r="G634">
        <f>SUM(G635:G639)</f>
        <v>255250.34</v>
      </c>
      <c r="H634">
        <f>SUM(H635:H639)</f>
        <v>0</v>
      </c>
      <c r="I634">
        <f>SUM(I635:I639)</f>
        <v>0</v>
      </c>
      <c r="J634" s="107" t="s">
        <v>1582</v>
      </c>
      <c r="K634" s="107" t="s">
        <v>1311</v>
      </c>
    </row>
    <row r="635" spans="1:13" x14ac:dyDescent="0.25">
      <c r="A635" s="107"/>
      <c r="B635" s="107"/>
      <c r="C635" s="107"/>
      <c r="D635">
        <v>2021</v>
      </c>
      <c r="E635">
        <f t="shared" ref="E635:E639" si="161">SUM(F635:I635)</f>
        <v>0</v>
      </c>
      <c r="J635" s="107"/>
      <c r="K635" s="107"/>
    </row>
    <row r="636" spans="1:13" x14ac:dyDescent="0.25">
      <c r="A636" s="107"/>
      <c r="B636" s="107"/>
      <c r="C636" s="107"/>
      <c r="D636">
        <v>2022</v>
      </c>
      <c r="E636">
        <f t="shared" si="161"/>
        <v>37168.47</v>
      </c>
      <c r="F636">
        <v>37168.47</v>
      </c>
      <c r="G636">
        <v>0</v>
      </c>
      <c r="J636" s="107"/>
      <c r="K636" s="107"/>
    </row>
    <row r="637" spans="1:13" x14ac:dyDescent="0.25">
      <c r="A637" s="107"/>
      <c r="B637" s="107"/>
      <c r="C637" s="107"/>
      <c r="D637">
        <v>2023</v>
      </c>
      <c r="E637">
        <f t="shared" si="161"/>
        <v>494460.80099999998</v>
      </c>
      <c r="F637">
        <v>239210.46100000001</v>
      </c>
      <c r="G637">
        <v>255250.34</v>
      </c>
      <c r="J637" s="107"/>
      <c r="K637" s="107"/>
    </row>
    <row r="638" spans="1:13" x14ac:dyDescent="0.25">
      <c r="A638" s="107"/>
      <c r="B638" s="107"/>
      <c r="C638" s="107"/>
      <c r="D638">
        <v>2024</v>
      </c>
      <c r="E638">
        <f t="shared" si="161"/>
        <v>204690.72700000001</v>
      </c>
      <c r="F638">
        <v>204690.72700000001</v>
      </c>
      <c r="J638" s="107"/>
      <c r="K638" s="107"/>
    </row>
    <row r="639" spans="1:13" x14ac:dyDescent="0.25">
      <c r="A639" s="107"/>
      <c r="B639" s="107"/>
      <c r="C639" s="107"/>
      <c r="D639">
        <v>2025</v>
      </c>
      <c r="E639">
        <f t="shared" si="161"/>
        <v>0</v>
      </c>
      <c r="J639" s="107"/>
      <c r="K639" s="107"/>
    </row>
    <row r="640" spans="1:13" x14ac:dyDescent="0.25">
      <c r="A640" s="107" t="s">
        <v>1583</v>
      </c>
      <c r="B640" s="107" t="s">
        <v>1584</v>
      </c>
      <c r="C640" s="107" t="s">
        <v>1332</v>
      </c>
      <c r="D640" t="s">
        <v>8</v>
      </c>
      <c r="E640">
        <f>SUM(E641:E645)</f>
        <v>708119.99699999997</v>
      </c>
      <c r="F640">
        <f>SUM(F641:F645)</f>
        <v>397402.30099999998</v>
      </c>
      <c r="G640">
        <f t="shared" ref="G640:I640" si="162">SUM(G641:G645)</f>
        <v>310717.696</v>
      </c>
      <c r="H640">
        <f t="shared" si="162"/>
        <v>0</v>
      </c>
      <c r="I640">
        <f t="shared" si="162"/>
        <v>0</v>
      </c>
      <c r="J640" s="107" t="s">
        <v>1585</v>
      </c>
      <c r="K640" s="107" t="s">
        <v>1311</v>
      </c>
    </row>
    <row r="641" spans="1:11" x14ac:dyDescent="0.25">
      <c r="A641" s="107"/>
      <c r="B641" s="107"/>
      <c r="C641" s="107"/>
      <c r="D641">
        <v>2021</v>
      </c>
      <c r="E641">
        <f t="shared" ref="E641:E645" si="163">SUM(F641:I641)</f>
        <v>0</v>
      </c>
      <c r="J641" s="107"/>
      <c r="K641" s="107"/>
    </row>
    <row r="642" spans="1:11" x14ac:dyDescent="0.25">
      <c r="A642" s="107"/>
      <c r="B642" s="107"/>
      <c r="C642" s="107"/>
      <c r="D642">
        <v>2022</v>
      </c>
      <c r="E642">
        <f t="shared" si="163"/>
        <v>42200.684999999998</v>
      </c>
      <c r="F642">
        <v>42200.684999999998</v>
      </c>
      <c r="G642">
        <v>0</v>
      </c>
      <c r="J642" s="107"/>
      <c r="K642" s="107"/>
    </row>
    <row r="643" spans="1:11" x14ac:dyDescent="0.25">
      <c r="A643" s="107"/>
      <c r="B643" s="107"/>
      <c r="C643" s="107"/>
      <c r="D643">
        <v>2023</v>
      </c>
      <c r="E643">
        <f t="shared" si="163"/>
        <v>472013.34700000001</v>
      </c>
      <c r="F643">
        <v>161295.65100000001</v>
      </c>
      <c r="G643">
        <f>21554.671+289163.025</f>
        <v>310717.696</v>
      </c>
      <c r="J643" s="107"/>
      <c r="K643" s="107"/>
    </row>
    <row r="644" spans="1:11" x14ac:dyDescent="0.25">
      <c r="A644" s="107"/>
      <c r="B644" s="107"/>
      <c r="C644" s="107"/>
      <c r="D644">
        <v>2024</v>
      </c>
      <c r="E644">
        <f t="shared" si="163"/>
        <v>193905.965</v>
      </c>
      <c r="F644">
        <v>193905.965</v>
      </c>
      <c r="J644" s="107"/>
      <c r="K644" s="107"/>
    </row>
    <row r="645" spans="1:11" x14ac:dyDescent="0.25">
      <c r="A645" s="107"/>
      <c r="B645" s="107"/>
      <c r="C645" s="107"/>
      <c r="D645">
        <v>2025</v>
      </c>
      <c r="E645">
        <f t="shared" si="163"/>
        <v>0</v>
      </c>
      <c r="J645" s="107"/>
      <c r="K645" s="107"/>
    </row>
    <row r="646" spans="1:11" x14ac:dyDescent="0.25">
      <c r="A646" s="107" t="s">
        <v>1586</v>
      </c>
      <c r="B646" s="107" t="s">
        <v>1587</v>
      </c>
      <c r="C646" s="107" t="s">
        <v>1332</v>
      </c>
      <c r="D646" t="s">
        <v>8</v>
      </c>
      <c r="E646">
        <f>SUM(E647:E651)</f>
        <v>430316.98600000003</v>
      </c>
      <c r="F646">
        <f t="shared" ref="F646:I652" si="164">SUM(F647:F651)</f>
        <v>213188.99</v>
      </c>
      <c r="G646">
        <f t="shared" si="164"/>
        <v>217127.99600000001</v>
      </c>
      <c r="H646">
        <f t="shared" si="164"/>
        <v>0</v>
      </c>
      <c r="I646">
        <f t="shared" si="164"/>
        <v>0</v>
      </c>
      <c r="J646" s="107" t="s">
        <v>1588</v>
      </c>
      <c r="K646" s="107" t="s">
        <v>1311</v>
      </c>
    </row>
    <row r="647" spans="1:11" x14ac:dyDescent="0.25">
      <c r="A647" s="107"/>
      <c r="B647" s="107"/>
      <c r="C647" s="107"/>
      <c r="D647">
        <v>2021</v>
      </c>
      <c r="E647">
        <f t="shared" ref="E647:E651" si="165">SUM(F647:I647)</f>
        <v>0</v>
      </c>
      <c r="F647">
        <v>0</v>
      </c>
      <c r="G647">
        <v>0</v>
      </c>
      <c r="H647">
        <v>0</v>
      </c>
      <c r="I647">
        <v>0</v>
      </c>
      <c r="J647" s="107"/>
      <c r="K647" s="107"/>
    </row>
    <row r="648" spans="1:11" x14ac:dyDescent="0.25">
      <c r="A648" s="107"/>
      <c r="B648" s="107"/>
      <c r="C648" s="107"/>
      <c r="D648">
        <v>2022</v>
      </c>
      <c r="E648">
        <f t="shared" si="165"/>
        <v>56866.707000000002</v>
      </c>
      <c r="F648">
        <v>56866.707000000002</v>
      </c>
      <c r="G648">
        <v>0</v>
      </c>
      <c r="J648" s="107"/>
      <c r="K648" s="107"/>
    </row>
    <row r="649" spans="1:11" x14ac:dyDescent="0.25">
      <c r="A649" s="107"/>
      <c r="B649" s="107"/>
      <c r="C649" s="107"/>
      <c r="D649">
        <v>2023</v>
      </c>
      <c r="E649">
        <f t="shared" si="165"/>
        <v>267309.07900000003</v>
      </c>
      <c r="F649">
        <v>50181.082999999999</v>
      </c>
      <c r="G649">
        <v>217127.99600000001</v>
      </c>
      <c r="J649" s="107"/>
      <c r="K649" s="107"/>
    </row>
    <row r="650" spans="1:11" x14ac:dyDescent="0.25">
      <c r="A650" s="107"/>
      <c r="B650" s="107"/>
      <c r="C650" s="107"/>
      <c r="D650">
        <v>2024</v>
      </c>
      <c r="E650">
        <f t="shared" si="165"/>
        <v>106141.2</v>
      </c>
      <c r="F650">
        <v>106141.2</v>
      </c>
      <c r="J650" s="107"/>
      <c r="K650" s="107"/>
    </row>
    <row r="651" spans="1:11" x14ac:dyDescent="0.25">
      <c r="A651" s="107"/>
      <c r="B651" s="107"/>
      <c r="C651" s="107"/>
      <c r="D651">
        <v>2025</v>
      </c>
      <c r="E651">
        <f t="shared" si="165"/>
        <v>0</v>
      </c>
      <c r="J651" s="107"/>
      <c r="K651" s="107"/>
    </row>
    <row r="652" spans="1:11" x14ac:dyDescent="0.25">
      <c r="A652" s="107" t="s">
        <v>1589</v>
      </c>
      <c r="B652" s="107" t="s">
        <v>1590</v>
      </c>
      <c r="C652" s="107"/>
      <c r="D652" t="s">
        <v>8</v>
      </c>
      <c r="E652">
        <f>SUM(E653:E657)</f>
        <v>179582.50474</v>
      </c>
      <c r="F652">
        <f t="shared" si="164"/>
        <v>62790.274740000001</v>
      </c>
      <c r="G652">
        <f t="shared" si="164"/>
        <v>116792.23</v>
      </c>
      <c r="H652">
        <f t="shared" si="164"/>
        <v>0</v>
      </c>
      <c r="I652">
        <f t="shared" si="164"/>
        <v>0</v>
      </c>
      <c r="J652" s="107" t="s">
        <v>1591</v>
      </c>
      <c r="K652" s="107" t="s">
        <v>1311</v>
      </c>
    </row>
    <row r="653" spans="1:11" x14ac:dyDescent="0.25">
      <c r="A653" s="107"/>
      <c r="B653" s="107"/>
      <c r="C653" s="107"/>
      <c r="D653">
        <v>2021</v>
      </c>
      <c r="E653">
        <f t="shared" ref="E653:E657" si="166">SUM(F653:I653)</f>
        <v>0</v>
      </c>
      <c r="I653">
        <v>0</v>
      </c>
      <c r="J653" s="107"/>
      <c r="K653" s="107"/>
    </row>
    <row r="654" spans="1:11" x14ac:dyDescent="0.25">
      <c r="A654" s="107"/>
      <c r="B654" s="107"/>
      <c r="C654" s="107"/>
      <c r="D654">
        <v>2022</v>
      </c>
      <c r="E654">
        <f t="shared" si="166"/>
        <v>156190.07474000001</v>
      </c>
      <c r="F654">
        <f>43541.317-(4143472.26/1000)</f>
        <v>39397.84474</v>
      </c>
      <c r="G654">
        <v>116792.23</v>
      </c>
      <c r="I654">
        <v>0</v>
      </c>
      <c r="J654" s="107"/>
      <c r="K654" s="107"/>
    </row>
    <row r="655" spans="1:11" x14ac:dyDescent="0.25">
      <c r="A655" s="107"/>
      <c r="B655" s="107"/>
      <c r="C655" s="107"/>
      <c r="D655">
        <v>2023</v>
      </c>
      <c r="E655">
        <f t="shared" si="166"/>
        <v>23392.43</v>
      </c>
      <c r="F655">
        <v>23392.43</v>
      </c>
      <c r="G655">
        <v>0</v>
      </c>
      <c r="I655">
        <v>0</v>
      </c>
      <c r="J655" s="107"/>
      <c r="K655" s="107"/>
    </row>
    <row r="656" spans="1:11" x14ac:dyDescent="0.25">
      <c r="A656" s="107"/>
      <c r="B656" s="107"/>
      <c r="C656" s="107"/>
      <c r="D656">
        <v>2024</v>
      </c>
      <c r="E656">
        <f t="shared" si="166"/>
        <v>0</v>
      </c>
      <c r="F656">
        <v>0</v>
      </c>
      <c r="G656">
        <v>0</v>
      </c>
      <c r="I656">
        <v>0</v>
      </c>
      <c r="J656" s="107"/>
      <c r="K656" s="107"/>
    </row>
    <row r="657" spans="1:11" x14ac:dyDescent="0.25">
      <c r="A657" s="107"/>
      <c r="B657" s="107"/>
      <c r="C657" s="107"/>
      <c r="D657">
        <v>2025</v>
      </c>
      <c r="E657">
        <f t="shared" si="166"/>
        <v>0</v>
      </c>
      <c r="F657">
        <v>0</v>
      </c>
      <c r="G657">
        <v>0</v>
      </c>
      <c r="I657">
        <v>0</v>
      </c>
      <c r="J657" s="107"/>
      <c r="K657" s="107"/>
    </row>
    <row r="658" spans="1:11" x14ac:dyDescent="0.25">
      <c r="A658" s="107" t="s">
        <v>1592</v>
      </c>
      <c r="B658" s="107" t="s">
        <v>1593</v>
      </c>
      <c r="C658" s="107" t="s">
        <v>1332</v>
      </c>
      <c r="D658" t="s">
        <v>8</v>
      </c>
      <c r="E658">
        <f>SUM(E659:E663)</f>
        <v>1102003.6751000001</v>
      </c>
      <c r="F658">
        <f t="shared" ref="F658:I658" si="167">SUM(F659:F663)</f>
        <v>686049.66110000003</v>
      </c>
      <c r="G658">
        <f t="shared" si="167"/>
        <v>415954.01399999997</v>
      </c>
      <c r="H658">
        <f t="shared" si="167"/>
        <v>0</v>
      </c>
      <c r="I658">
        <f t="shared" si="167"/>
        <v>0</v>
      </c>
      <c r="J658" s="107" t="s">
        <v>1594</v>
      </c>
      <c r="K658" s="107" t="s">
        <v>1311</v>
      </c>
    </row>
    <row r="659" spans="1:11" x14ac:dyDescent="0.25">
      <c r="A659" s="107"/>
      <c r="B659" s="107"/>
      <c r="C659" s="107"/>
      <c r="D659">
        <v>2021</v>
      </c>
      <c r="E659">
        <f t="shared" ref="E659:E663" si="168">SUM(F659:I659)</f>
        <v>0</v>
      </c>
      <c r="F659">
        <v>0</v>
      </c>
      <c r="G659">
        <v>0</v>
      </c>
      <c r="H659">
        <v>0</v>
      </c>
      <c r="I659">
        <v>0</v>
      </c>
      <c r="J659" s="107"/>
      <c r="K659" s="107"/>
    </row>
    <row r="660" spans="1:11" x14ac:dyDescent="0.25">
      <c r="A660" s="107"/>
      <c r="B660" s="107"/>
      <c r="C660" s="107"/>
      <c r="D660">
        <v>2022</v>
      </c>
      <c r="E660">
        <f t="shared" si="168"/>
        <v>4196.5760999999993</v>
      </c>
      <c r="F660">
        <f>(4196576.1/1000)</f>
        <v>4196.5760999999993</v>
      </c>
      <c r="G660">
        <v>0</v>
      </c>
      <c r="H660">
        <v>0</v>
      </c>
      <c r="I660">
        <v>0</v>
      </c>
      <c r="J660" s="107"/>
      <c r="K660" s="107"/>
    </row>
    <row r="661" spans="1:11" x14ac:dyDescent="0.25">
      <c r="A661" s="107"/>
      <c r="B661" s="107"/>
      <c r="C661" s="107"/>
      <c r="D661">
        <v>2023</v>
      </c>
      <c r="E661">
        <f t="shared" si="168"/>
        <v>405691.788</v>
      </c>
      <c r="F661">
        <v>232662.96</v>
      </c>
      <c r="G661">
        <v>173028.82800000001</v>
      </c>
      <c r="H661">
        <v>0</v>
      </c>
      <c r="I661">
        <v>0</v>
      </c>
      <c r="J661" s="107"/>
      <c r="K661" s="107"/>
    </row>
    <row r="662" spans="1:11" x14ac:dyDescent="0.25">
      <c r="A662" s="107"/>
      <c r="B662" s="107"/>
      <c r="C662" s="107"/>
      <c r="D662">
        <v>2024</v>
      </c>
      <c r="E662">
        <f t="shared" si="168"/>
        <v>692115.31099999999</v>
      </c>
      <c r="F662">
        <v>449190.125</v>
      </c>
      <c r="G662">
        <v>242925.18599999999</v>
      </c>
      <c r="H662">
        <v>0</v>
      </c>
      <c r="I662">
        <v>0</v>
      </c>
      <c r="J662" s="107"/>
      <c r="K662" s="107"/>
    </row>
    <row r="663" spans="1:11" x14ac:dyDescent="0.25">
      <c r="A663" s="107"/>
      <c r="B663" s="107"/>
      <c r="C663" s="107"/>
      <c r="D663">
        <v>2025</v>
      </c>
      <c r="E663">
        <f t="shared" si="168"/>
        <v>0</v>
      </c>
      <c r="F663">
        <v>0</v>
      </c>
      <c r="G663">
        <v>0</v>
      </c>
      <c r="H663">
        <v>0</v>
      </c>
      <c r="I663">
        <v>0</v>
      </c>
      <c r="J663" s="107"/>
      <c r="K663" s="107"/>
    </row>
    <row r="664" spans="1:11" x14ac:dyDescent="0.25">
      <c r="A664" s="107" t="s">
        <v>1595</v>
      </c>
      <c r="B664" s="107" t="s">
        <v>1596</v>
      </c>
      <c r="C664" s="107" t="s">
        <v>1332</v>
      </c>
      <c r="D664" t="s">
        <v>8</v>
      </c>
      <c r="E664">
        <f>SUM(E665:E669)</f>
        <v>1226994.1310000001</v>
      </c>
      <c r="F664">
        <f>SUM(F665:F669)</f>
        <v>761398.99</v>
      </c>
      <c r="G664">
        <f>SUM(G665:G669)</f>
        <v>465595.14099999995</v>
      </c>
      <c r="H664">
        <f t="shared" ref="H664:I670" si="169">SUM(H665:H669)</f>
        <v>0</v>
      </c>
      <c r="I664">
        <f t="shared" si="169"/>
        <v>0</v>
      </c>
      <c r="J664" s="107" t="s">
        <v>1597</v>
      </c>
      <c r="K664" s="107" t="s">
        <v>1311</v>
      </c>
    </row>
    <row r="665" spans="1:11" x14ac:dyDescent="0.25">
      <c r="A665" s="107"/>
      <c r="B665" s="107"/>
      <c r="C665" s="107"/>
      <c r="D665">
        <v>2021</v>
      </c>
      <c r="E665">
        <f t="shared" ref="E665:E669" si="170">SUM(F665:I665)</f>
        <v>0</v>
      </c>
      <c r="F665">
        <v>0</v>
      </c>
      <c r="G665">
        <v>0</v>
      </c>
      <c r="H665">
        <v>0</v>
      </c>
      <c r="I665">
        <v>0</v>
      </c>
      <c r="J665" s="107"/>
      <c r="K665" s="107"/>
    </row>
    <row r="666" spans="1:11" x14ac:dyDescent="0.25">
      <c r="A666" s="107"/>
      <c r="B666" s="107"/>
      <c r="C666" s="107"/>
      <c r="D666">
        <v>2022</v>
      </c>
      <c r="E666">
        <f t="shared" si="170"/>
        <v>5257.2060000000001</v>
      </c>
      <c r="F666">
        <f>(5257206/1000)</f>
        <v>5257.2060000000001</v>
      </c>
      <c r="G666">
        <v>0</v>
      </c>
      <c r="H666">
        <v>0</v>
      </c>
      <c r="I666">
        <v>0</v>
      </c>
      <c r="J666" s="107"/>
      <c r="K666" s="107"/>
    </row>
    <row r="667" spans="1:11" x14ac:dyDescent="0.25">
      <c r="A667" s="107"/>
      <c r="B667" s="107"/>
      <c r="C667" s="107"/>
      <c r="D667">
        <v>2023</v>
      </c>
      <c r="E667">
        <f t="shared" si="170"/>
        <v>336984.72600000002</v>
      </c>
      <c r="F667">
        <v>115796.67600000001</v>
      </c>
      <c r="G667">
        <v>221188.05</v>
      </c>
      <c r="H667">
        <v>0</v>
      </c>
      <c r="I667">
        <v>0</v>
      </c>
      <c r="J667" s="107"/>
      <c r="K667" s="107"/>
    </row>
    <row r="668" spans="1:11" x14ac:dyDescent="0.25">
      <c r="A668" s="107"/>
      <c r="B668" s="107"/>
      <c r="C668" s="107"/>
      <c r="D668">
        <v>2024</v>
      </c>
      <c r="E668">
        <f t="shared" si="170"/>
        <v>884752.19900000002</v>
      </c>
      <c r="F668">
        <v>640345.10800000001</v>
      </c>
      <c r="G668">
        <v>244407.09099999999</v>
      </c>
      <c r="H668">
        <v>0</v>
      </c>
      <c r="I668">
        <v>0</v>
      </c>
      <c r="J668" s="107"/>
      <c r="K668" s="107"/>
    </row>
    <row r="669" spans="1:11" x14ac:dyDescent="0.25">
      <c r="A669" s="107"/>
      <c r="B669" s="107"/>
      <c r="C669" s="107"/>
      <c r="D669">
        <v>2025</v>
      </c>
      <c r="E669">
        <f t="shared" si="170"/>
        <v>0</v>
      </c>
      <c r="F669">
        <v>0</v>
      </c>
      <c r="G669">
        <v>0</v>
      </c>
      <c r="H669">
        <v>0</v>
      </c>
      <c r="I669">
        <v>0</v>
      </c>
      <c r="J669" s="107"/>
      <c r="K669" s="107"/>
    </row>
    <row r="670" spans="1:11" x14ac:dyDescent="0.25">
      <c r="A670" s="107" t="s">
        <v>1210</v>
      </c>
      <c r="B670" s="107" t="s">
        <v>1598</v>
      </c>
      <c r="C670" s="107" t="s">
        <v>19</v>
      </c>
      <c r="D670" t="s">
        <v>8</v>
      </c>
      <c r="E670">
        <f>SUM(E671:E675)</f>
        <v>742340.43166</v>
      </c>
      <c r="F670">
        <f>SUM(F671:F675)</f>
        <v>719039.84789999994</v>
      </c>
      <c r="G670">
        <f>SUM(G671:G675)</f>
        <v>0</v>
      </c>
      <c r="H670">
        <f t="shared" si="169"/>
        <v>23300.583759999998</v>
      </c>
      <c r="I670">
        <f>SUM(I671:I675)</f>
        <v>0</v>
      </c>
      <c r="J670" s="107" t="s">
        <v>1599</v>
      </c>
      <c r="K670" s="107" t="s">
        <v>1265</v>
      </c>
    </row>
    <row r="671" spans="1:11" x14ac:dyDescent="0.25">
      <c r="A671" s="107"/>
      <c r="B671" s="107"/>
      <c r="C671" s="107"/>
      <c r="D671">
        <v>2021</v>
      </c>
      <c r="E671">
        <f t="shared" ref="E671:E675" si="171">F671+G671+H671+I671</f>
        <v>162591.36775999999</v>
      </c>
      <c r="F671">
        <f t="shared" ref="F671:F672" si="172">F677+F683+F689+F695+F701+F707+F713</f>
        <v>157677.9</v>
      </c>
      <c r="G671">
        <f t="shared" ref="F671:I675" si="173">G677+G683+G689+G695+G701+G707+G713</f>
        <v>0</v>
      </c>
      <c r="H671">
        <f t="shared" si="173"/>
        <v>4913.4677599999995</v>
      </c>
      <c r="I671">
        <f>I677+I683+I689+I695+I701+I707+I713</f>
        <v>0</v>
      </c>
      <c r="J671" s="107"/>
      <c r="K671" s="107"/>
    </row>
    <row r="672" spans="1:11" x14ac:dyDescent="0.25">
      <c r="A672" s="107"/>
      <c r="B672" s="107"/>
      <c r="C672" s="107"/>
      <c r="D672">
        <v>2022</v>
      </c>
      <c r="E672">
        <f t="shared" si="171"/>
        <v>263931.57290000003</v>
      </c>
      <c r="F672">
        <f t="shared" si="172"/>
        <v>248631.77590000001</v>
      </c>
      <c r="G672">
        <f t="shared" si="173"/>
        <v>0</v>
      </c>
      <c r="H672">
        <f t="shared" si="173"/>
        <v>15299.796999999999</v>
      </c>
      <c r="I672">
        <f t="shared" si="173"/>
        <v>0</v>
      </c>
      <c r="J672" s="107"/>
      <c r="K672" s="107"/>
    </row>
    <row r="673" spans="1:11" x14ac:dyDescent="0.25">
      <c r="A673" s="107"/>
      <c r="B673" s="107"/>
      <c r="C673" s="107"/>
      <c r="D673">
        <v>2023</v>
      </c>
      <c r="E673">
        <f t="shared" si="171"/>
        <v>315817.49099999998</v>
      </c>
      <c r="F673">
        <f t="shared" si="173"/>
        <v>312730.17199999996</v>
      </c>
      <c r="G673">
        <f t="shared" si="173"/>
        <v>0</v>
      </c>
      <c r="H673">
        <f t="shared" si="173"/>
        <v>3087.319</v>
      </c>
      <c r="I673">
        <f t="shared" si="173"/>
        <v>0</v>
      </c>
      <c r="J673" s="107"/>
      <c r="K673" s="107"/>
    </row>
    <row r="674" spans="1:11" x14ac:dyDescent="0.25">
      <c r="A674" s="107"/>
      <c r="B674" s="107"/>
      <c r="C674" s="107"/>
      <c r="D674">
        <v>2024</v>
      </c>
      <c r="E674">
        <f t="shared" si="171"/>
        <v>0</v>
      </c>
      <c r="F674">
        <f t="shared" si="173"/>
        <v>0</v>
      </c>
      <c r="G674">
        <f t="shared" si="173"/>
        <v>0</v>
      </c>
      <c r="H674">
        <f t="shared" si="173"/>
        <v>0</v>
      </c>
      <c r="I674">
        <f t="shared" si="173"/>
        <v>0</v>
      </c>
      <c r="J674" s="107"/>
      <c r="K674" s="107"/>
    </row>
    <row r="675" spans="1:11" x14ac:dyDescent="0.25">
      <c r="A675" s="107"/>
      <c r="B675" s="107"/>
      <c r="C675" s="107"/>
      <c r="D675">
        <v>2025</v>
      </c>
      <c r="E675">
        <f t="shared" si="171"/>
        <v>0</v>
      </c>
      <c r="F675">
        <f t="shared" si="173"/>
        <v>0</v>
      </c>
      <c r="G675">
        <f t="shared" si="173"/>
        <v>0</v>
      </c>
      <c r="H675">
        <f t="shared" si="173"/>
        <v>0</v>
      </c>
      <c r="I675">
        <f t="shared" si="173"/>
        <v>0</v>
      </c>
      <c r="J675" s="107"/>
      <c r="K675" s="107"/>
    </row>
    <row r="676" spans="1:11" x14ac:dyDescent="0.25">
      <c r="A676" s="107" t="s">
        <v>1017</v>
      </c>
      <c r="B676" s="107" t="s">
        <v>1600</v>
      </c>
      <c r="C676" s="107">
        <v>2021</v>
      </c>
      <c r="D676" t="s">
        <v>8</v>
      </c>
      <c r="E676">
        <f>SUM(E677:E681)</f>
        <v>44248.067759999998</v>
      </c>
      <c r="F676">
        <f>SUM(F677:F681)</f>
        <v>40518.1</v>
      </c>
      <c r="G676">
        <f t="shared" ref="G676:G677" si="174">SUM(G677:G681)</f>
        <v>0</v>
      </c>
      <c r="H676">
        <f>SUM(H677:H681)</f>
        <v>3729.96776</v>
      </c>
      <c r="I676">
        <f>SUM(I677:I681)</f>
        <v>0</v>
      </c>
      <c r="J676" s="107" t="s">
        <v>1601</v>
      </c>
      <c r="K676" s="107" t="s">
        <v>1265</v>
      </c>
    </row>
    <row r="677" spans="1:11" x14ac:dyDescent="0.25">
      <c r="A677" s="107"/>
      <c r="B677" s="107"/>
      <c r="C677" s="107"/>
      <c r="D677">
        <v>2021</v>
      </c>
      <c r="E677">
        <f t="shared" ref="E677:E681" si="175">F677+G677+H677+I677</f>
        <v>44248.067759999998</v>
      </c>
      <c r="F677">
        <v>40518.1</v>
      </c>
      <c r="G677">
        <f t="shared" si="174"/>
        <v>0</v>
      </c>
      <c r="H677">
        <f>(884447.5+2845520.26)/1000</f>
        <v>3729.96776</v>
      </c>
      <c r="J677" s="107"/>
      <c r="K677" s="107"/>
    </row>
    <row r="678" spans="1:11" x14ac:dyDescent="0.25">
      <c r="A678" s="107"/>
      <c r="B678" s="107"/>
      <c r="C678" s="107"/>
      <c r="D678">
        <v>2022</v>
      </c>
      <c r="E678">
        <f t="shared" si="175"/>
        <v>0</v>
      </c>
      <c r="F678">
        <f t="shared" ref="F678:G681" si="176">G678+H678+I678+J678</f>
        <v>0</v>
      </c>
      <c r="G678">
        <f t="shared" si="176"/>
        <v>0</v>
      </c>
      <c r="H678">
        <f t="shared" ref="H678:H681" si="177">I678+J678+K678+M678</f>
        <v>0</v>
      </c>
      <c r="I678">
        <f t="shared" ref="I678:I681" si="178">J678+K678+M678+N678</f>
        <v>0</v>
      </c>
      <c r="J678" s="107"/>
      <c r="K678" s="107"/>
    </row>
    <row r="679" spans="1:11" x14ac:dyDescent="0.25">
      <c r="A679" s="107"/>
      <c r="B679" s="107"/>
      <c r="C679" s="107"/>
      <c r="D679">
        <v>2023</v>
      </c>
      <c r="E679">
        <f t="shared" si="175"/>
        <v>0</v>
      </c>
      <c r="F679">
        <f t="shared" si="176"/>
        <v>0</v>
      </c>
      <c r="G679">
        <f t="shared" si="176"/>
        <v>0</v>
      </c>
      <c r="H679">
        <f t="shared" si="177"/>
        <v>0</v>
      </c>
      <c r="I679">
        <f t="shared" si="178"/>
        <v>0</v>
      </c>
      <c r="J679" s="107"/>
      <c r="K679" s="107"/>
    </row>
    <row r="680" spans="1:11" x14ac:dyDescent="0.25">
      <c r="A680" s="107"/>
      <c r="B680" s="107"/>
      <c r="C680" s="107"/>
      <c r="D680">
        <v>2024</v>
      </c>
      <c r="E680">
        <f t="shared" si="175"/>
        <v>0</v>
      </c>
      <c r="F680">
        <f t="shared" si="176"/>
        <v>0</v>
      </c>
      <c r="G680">
        <f t="shared" si="176"/>
        <v>0</v>
      </c>
      <c r="H680">
        <f t="shared" si="177"/>
        <v>0</v>
      </c>
      <c r="I680">
        <f t="shared" si="178"/>
        <v>0</v>
      </c>
      <c r="J680" s="107"/>
      <c r="K680" s="107"/>
    </row>
    <row r="681" spans="1:11" x14ac:dyDescent="0.25">
      <c r="A681" s="107"/>
      <c r="B681" s="107"/>
      <c r="C681" s="107"/>
      <c r="D681">
        <v>2025</v>
      </c>
      <c r="E681">
        <f t="shared" si="175"/>
        <v>0</v>
      </c>
      <c r="F681">
        <f t="shared" si="176"/>
        <v>0</v>
      </c>
      <c r="G681">
        <f t="shared" si="176"/>
        <v>0</v>
      </c>
      <c r="H681">
        <f t="shared" si="177"/>
        <v>0</v>
      </c>
      <c r="I681">
        <f t="shared" si="178"/>
        <v>0</v>
      </c>
      <c r="J681" s="107"/>
      <c r="K681" s="107"/>
    </row>
    <row r="682" spans="1:11" x14ac:dyDescent="0.25">
      <c r="A682" s="107" t="s">
        <v>1602</v>
      </c>
      <c r="B682" s="107" t="s">
        <v>1603</v>
      </c>
      <c r="C682" s="107">
        <v>2021</v>
      </c>
      <c r="D682" t="s">
        <v>8</v>
      </c>
      <c r="E682">
        <f>SUM(E683:E687)</f>
        <v>51988.531999999999</v>
      </c>
      <c r="F682">
        <f>SUM(F683:F687)</f>
        <v>38170.506000000001</v>
      </c>
      <c r="G682">
        <f>SUM(G683:G687)</f>
        <v>0</v>
      </c>
      <c r="H682">
        <f>SUM(H683:H687)</f>
        <v>13818.026</v>
      </c>
      <c r="I682">
        <f>SUM(I683:I687)</f>
        <v>0</v>
      </c>
      <c r="J682" s="107" t="s">
        <v>1604</v>
      </c>
      <c r="K682" s="107" t="s">
        <v>1265</v>
      </c>
    </row>
    <row r="683" spans="1:11" x14ac:dyDescent="0.25">
      <c r="A683" s="107"/>
      <c r="B683" s="107"/>
      <c r="C683" s="107"/>
      <c r="D683">
        <v>2021</v>
      </c>
      <c r="E683">
        <v>0</v>
      </c>
      <c r="F683">
        <v>0</v>
      </c>
      <c r="G683">
        <v>0</v>
      </c>
      <c r="H683">
        <v>0</v>
      </c>
      <c r="I683">
        <v>0</v>
      </c>
      <c r="J683" s="107"/>
      <c r="K683" s="107"/>
    </row>
    <row r="684" spans="1:11" x14ac:dyDescent="0.25">
      <c r="A684" s="107"/>
      <c r="B684" s="107"/>
      <c r="C684" s="107"/>
      <c r="D684">
        <v>2022</v>
      </c>
      <c r="E684">
        <f t="shared" ref="E684:E687" si="179">F684+G684+H684+I684</f>
        <v>51988.531999999999</v>
      </c>
      <c r="F684">
        <v>38170.506000000001</v>
      </c>
      <c r="G684">
        <v>0</v>
      </c>
      <c r="H684">
        <v>13818.026</v>
      </c>
      <c r="I684">
        <v>0</v>
      </c>
      <c r="J684" s="107"/>
      <c r="K684" s="107"/>
    </row>
    <row r="685" spans="1:11" x14ac:dyDescent="0.25">
      <c r="A685" s="107"/>
      <c r="B685" s="107"/>
      <c r="C685" s="107"/>
      <c r="D685">
        <v>2023</v>
      </c>
      <c r="E685">
        <f t="shared" si="179"/>
        <v>0</v>
      </c>
      <c r="F685">
        <v>0</v>
      </c>
      <c r="G685">
        <v>0</v>
      </c>
      <c r="H685">
        <v>0</v>
      </c>
      <c r="I685">
        <v>0</v>
      </c>
      <c r="J685" s="107"/>
      <c r="K685" s="107"/>
    </row>
    <row r="686" spans="1:11" x14ac:dyDescent="0.25">
      <c r="A686" s="107"/>
      <c r="B686" s="107"/>
      <c r="C686" s="107"/>
      <c r="D686">
        <v>2024</v>
      </c>
      <c r="E686">
        <f t="shared" si="179"/>
        <v>0</v>
      </c>
      <c r="F686">
        <v>0</v>
      </c>
      <c r="G686">
        <v>0</v>
      </c>
      <c r="H686">
        <v>0</v>
      </c>
      <c r="I686">
        <v>0</v>
      </c>
      <c r="J686" s="107"/>
      <c r="K686" s="107"/>
    </row>
    <row r="687" spans="1:11" x14ac:dyDescent="0.25">
      <c r="A687" s="107"/>
      <c r="B687" s="107"/>
      <c r="C687" s="107"/>
      <c r="D687">
        <v>2025</v>
      </c>
      <c r="E687">
        <f t="shared" si="179"/>
        <v>0</v>
      </c>
      <c r="F687">
        <v>0</v>
      </c>
      <c r="G687">
        <v>0</v>
      </c>
      <c r="H687">
        <v>0</v>
      </c>
      <c r="I687">
        <v>0</v>
      </c>
      <c r="J687" s="107"/>
      <c r="K687" s="107"/>
    </row>
    <row r="688" spans="1:11" x14ac:dyDescent="0.25">
      <c r="A688" s="107" t="s">
        <v>1605</v>
      </c>
      <c r="B688" s="107" t="s">
        <v>1606</v>
      </c>
      <c r="C688" s="107">
        <v>2021</v>
      </c>
      <c r="D688" t="s">
        <v>8</v>
      </c>
      <c r="E688">
        <f>SUM(E689:E693)</f>
        <v>98675.5</v>
      </c>
      <c r="F688">
        <f>SUM(F689:F693)</f>
        <v>97688.7</v>
      </c>
      <c r="G688">
        <f>SUM(G689:G693)</f>
        <v>0</v>
      </c>
      <c r="H688">
        <f>SUM(H689:H693)</f>
        <v>986.8</v>
      </c>
      <c r="I688">
        <f>SUM(I689:I693)</f>
        <v>0</v>
      </c>
      <c r="J688" s="107" t="s">
        <v>1607</v>
      </c>
      <c r="K688" s="107" t="s">
        <v>1265</v>
      </c>
    </row>
    <row r="689" spans="1:11" x14ac:dyDescent="0.25">
      <c r="A689" s="107"/>
      <c r="B689" s="107"/>
      <c r="C689" s="107"/>
      <c r="D689">
        <v>2021</v>
      </c>
      <c r="E689">
        <f t="shared" ref="E689:E699" si="180">F689+G689+H689+I689</f>
        <v>98675.5</v>
      </c>
      <c r="F689">
        <v>97688.7</v>
      </c>
      <c r="G689">
        <v>0</v>
      </c>
      <c r="H689">
        <v>986.8</v>
      </c>
      <c r="I689">
        <v>0</v>
      </c>
      <c r="J689" s="107"/>
      <c r="K689" s="107"/>
    </row>
    <row r="690" spans="1:11" x14ac:dyDescent="0.25">
      <c r="A690" s="107"/>
      <c r="B690" s="107"/>
      <c r="C690" s="107"/>
      <c r="D690">
        <v>2022</v>
      </c>
      <c r="E690">
        <f t="shared" si="180"/>
        <v>0</v>
      </c>
      <c r="F690">
        <v>0</v>
      </c>
      <c r="G690">
        <v>0</v>
      </c>
      <c r="H690">
        <v>0</v>
      </c>
      <c r="I690">
        <v>0</v>
      </c>
      <c r="J690" s="107"/>
      <c r="K690" s="107"/>
    </row>
    <row r="691" spans="1:11" x14ac:dyDescent="0.25">
      <c r="A691" s="107"/>
      <c r="B691" s="107"/>
      <c r="C691" s="107"/>
      <c r="D691">
        <v>2023</v>
      </c>
      <c r="E691">
        <f t="shared" si="180"/>
        <v>0</v>
      </c>
      <c r="F691">
        <v>0</v>
      </c>
      <c r="G691">
        <v>0</v>
      </c>
      <c r="H691">
        <v>0</v>
      </c>
      <c r="I691">
        <v>0</v>
      </c>
      <c r="J691" s="107"/>
      <c r="K691" s="107"/>
    </row>
    <row r="692" spans="1:11" x14ac:dyDescent="0.25">
      <c r="A692" s="107"/>
      <c r="B692" s="107"/>
      <c r="C692" s="107"/>
      <c r="D692">
        <v>2024</v>
      </c>
      <c r="E692">
        <f t="shared" si="180"/>
        <v>0</v>
      </c>
      <c r="F692">
        <v>0</v>
      </c>
      <c r="G692">
        <v>0</v>
      </c>
      <c r="H692">
        <v>0</v>
      </c>
      <c r="I692">
        <v>0</v>
      </c>
      <c r="J692" s="107"/>
      <c r="K692" s="107"/>
    </row>
    <row r="693" spans="1:11" x14ac:dyDescent="0.25">
      <c r="A693" s="107"/>
      <c r="B693" s="107"/>
      <c r="C693" s="107"/>
      <c r="D693">
        <v>2025</v>
      </c>
      <c r="E693">
        <f t="shared" si="180"/>
        <v>0</v>
      </c>
      <c r="F693">
        <v>0</v>
      </c>
      <c r="G693">
        <v>0</v>
      </c>
      <c r="H693">
        <v>0</v>
      </c>
      <c r="I693">
        <v>0</v>
      </c>
      <c r="J693" s="107"/>
      <c r="K693" s="107"/>
    </row>
    <row r="694" spans="1:11" x14ac:dyDescent="0.25">
      <c r="A694" s="107" t="s">
        <v>1608</v>
      </c>
      <c r="B694" s="107" t="s">
        <v>1609</v>
      </c>
      <c r="C694" s="107" t="s">
        <v>124</v>
      </c>
      <c r="D694" t="s">
        <v>8</v>
      </c>
      <c r="E694">
        <f t="shared" si="180"/>
        <v>39335.563999999998</v>
      </c>
      <c r="F694">
        <f>SUM(F695:F699)</f>
        <v>38942.186999999998</v>
      </c>
      <c r="G694">
        <f>SUM(G695:G699)</f>
        <v>0</v>
      </c>
      <c r="H694">
        <f>SUM(H695:H699)</f>
        <v>393.37699999999995</v>
      </c>
      <c r="I694">
        <f>SUM(I695:I699)</f>
        <v>0</v>
      </c>
      <c r="J694" s="107" t="s">
        <v>1610</v>
      </c>
      <c r="K694" s="107" t="s">
        <v>1265</v>
      </c>
    </row>
    <row r="695" spans="1:11" x14ac:dyDescent="0.25">
      <c r="A695" s="107"/>
      <c r="B695" s="107"/>
      <c r="C695" s="107"/>
      <c r="D695">
        <v>2021</v>
      </c>
      <c r="E695">
        <f t="shared" si="180"/>
        <v>19667.8</v>
      </c>
      <c r="F695">
        <v>19471.099999999999</v>
      </c>
      <c r="G695">
        <v>0</v>
      </c>
      <c r="H695">
        <v>196.7</v>
      </c>
      <c r="I695">
        <v>0</v>
      </c>
      <c r="J695" s="107"/>
      <c r="K695" s="107"/>
    </row>
    <row r="696" spans="1:11" x14ac:dyDescent="0.25">
      <c r="A696" s="107"/>
      <c r="B696" s="107"/>
      <c r="C696" s="107"/>
      <c r="D696">
        <v>2022</v>
      </c>
      <c r="E696">
        <f t="shared" si="180"/>
        <v>19667.763999999999</v>
      </c>
      <c r="F696">
        <f>82931.121-63460.034</f>
        <v>19471.087</v>
      </c>
      <c r="G696">
        <v>0</v>
      </c>
      <c r="H696">
        <v>196.67699999999999</v>
      </c>
      <c r="I696">
        <v>0</v>
      </c>
      <c r="J696" s="107"/>
      <c r="K696" s="107"/>
    </row>
    <row r="697" spans="1:11" x14ac:dyDescent="0.25">
      <c r="A697" s="107"/>
      <c r="B697" s="107"/>
      <c r="C697" s="107"/>
      <c r="D697">
        <v>2023</v>
      </c>
      <c r="E697">
        <f t="shared" si="180"/>
        <v>0</v>
      </c>
      <c r="F697">
        <v>0</v>
      </c>
      <c r="G697">
        <v>0</v>
      </c>
      <c r="H697">
        <v>0</v>
      </c>
      <c r="I697">
        <v>0</v>
      </c>
      <c r="J697" s="107"/>
      <c r="K697" s="107"/>
    </row>
    <row r="698" spans="1:11" x14ac:dyDescent="0.25">
      <c r="A698" s="107"/>
      <c r="B698" s="107"/>
      <c r="C698" s="107"/>
      <c r="D698">
        <v>2024</v>
      </c>
      <c r="E698">
        <f t="shared" si="180"/>
        <v>0</v>
      </c>
      <c r="F698">
        <v>0</v>
      </c>
      <c r="G698">
        <v>0</v>
      </c>
      <c r="H698">
        <v>0</v>
      </c>
      <c r="I698">
        <v>0</v>
      </c>
      <c r="J698" s="107"/>
      <c r="K698" s="107"/>
    </row>
    <row r="699" spans="1:11" x14ac:dyDescent="0.25">
      <c r="A699" s="107"/>
      <c r="B699" s="107"/>
      <c r="C699" s="107"/>
      <c r="D699">
        <v>2025</v>
      </c>
      <c r="E699">
        <f t="shared" si="180"/>
        <v>0</v>
      </c>
      <c r="F699">
        <v>0</v>
      </c>
      <c r="G699">
        <v>0</v>
      </c>
      <c r="H699">
        <v>0</v>
      </c>
      <c r="I699">
        <v>0</v>
      </c>
      <c r="J699" s="107"/>
      <c r="K699" s="107"/>
    </row>
    <row r="700" spans="1:11" x14ac:dyDescent="0.25">
      <c r="A700" s="107" t="s">
        <v>1611</v>
      </c>
      <c r="B700" s="107" t="s">
        <v>1612</v>
      </c>
      <c r="C700" s="107">
        <v>2022</v>
      </c>
      <c r="D700" t="s">
        <v>8</v>
      </c>
      <c r="E700">
        <f>SUM(E701:E705)</f>
        <v>128505.10889999999</v>
      </c>
      <c r="F700">
        <f>SUM(F701:F705)</f>
        <v>127220.01489999999</v>
      </c>
      <c r="G700">
        <v>0</v>
      </c>
      <c r="H700">
        <f>SUM(H701:H705)</f>
        <v>1285.0939999999998</v>
      </c>
      <c r="I700">
        <f>SUM(I701:I705)</f>
        <v>0</v>
      </c>
      <c r="J700" s="107" t="s">
        <v>1613</v>
      </c>
      <c r="K700" s="107" t="s">
        <v>1265</v>
      </c>
    </row>
    <row r="701" spans="1:11" x14ac:dyDescent="0.25">
      <c r="A701" s="107"/>
      <c r="B701" s="107"/>
      <c r="C701" s="107"/>
      <c r="D701">
        <v>2021</v>
      </c>
      <c r="E701">
        <v>0</v>
      </c>
      <c r="F701">
        <v>0</v>
      </c>
      <c r="G701">
        <v>0</v>
      </c>
      <c r="H701">
        <v>0</v>
      </c>
      <c r="I701">
        <v>0</v>
      </c>
      <c r="J701" s="107"/>
      <c r="K701" s="107"/>
    </row>
    <row r="702" spans="1:11" x14ac:dyDescent="0.25">
      <c r="A702" s="107"/>
      <c r="B702" s="107"/>
      <c r="C702" s="107"/>
      <c r="D702">
        <v>2022</v>
      </c>
      <c r="E702">
        <f t="shared" ref="E702:E705" si="181">F702+G702+H702+I702</f>
        <v>128505.11189999999</v>
      </c>
      <c r="F702">
        <f>136673.77-(9453752.1/1000)</f>
        <v>127220.01789999999</v>
      </c>
      <c r="G702">
        <v>0</v>
      </c>
      <c r="H702">
        <f>(1216332+164211)/1000-95.449</f>
        <v>1285.0939999999998</v>
      </c>
      <c r="I702">
        <v>0</v>
      </c>
      <c r="J702" s="107"/>
      <c r="K702" s="107"/>
    </row>
    <row r="703" spans="1:11" x14ac:dyDescent="0.25">
      <c r="A703" s="107"/>
      <c r="B703" s="107"/>
      <c r="C703" s="107"/>
      <c r="D703">
        <v>2023</v>
      </c>
      <c r="E703">
        <f t="shared" si="181"/>
        <v>-2.9999999969732016E-3</v>
      </c>
      <c r="F703">
        <f>40498.48-(40498483/1000)</f>
        <v>-2.9999999969732016E-3</v>
      </c>
      <c r="G703">
        <v>0</v>
      </c>
      <c r="H703">
        <v>0</v>
      </c>
      <c r="I703">
        <v>0</v>
      </c>
      <c r="J703" s="107"/>
      <c r="K703" s="107"/>
    </row>
    <row r="704" spans="1:11" x14ac:dyDescent="0.25">
      <c r="A704" s="107"/>
      <c r="B704" s="107"/>
      <c r="C704" s="107"/>
      <c r="D704">
        <v>2024</v>
      </c>
      <c r="E704">
        <f t="shared" si="181"/>
        <v>0</v>
      </c>
      <c r="F704">
        <v>0</v>
      </c>
      <c r="G704">
        <v>0</v>
      </c>
      <c r="H704">
        <v>0</v>
      </c>
      <c r="I704">
        <v>0</v>
      </c>
      <c r="J704" s="107"/>
      <c r="K704" s="107"/>
    </row>
    <row r="705" spans="1:11" x14ac:dyDescent="0.25">
      <c r="A705" s="107"/>
      <c r="B705" s="107"/>
      <c r="C705" s="107"/>
      <c r="D705">
        <v>2025</v>
      </c>
      <c r="E705">
        <f t="shared" si="181"/>
        <v>0</v>
      </c>
      <c r="F705">
        <v>0</v>
      </c>
      <c r="G705">
        <v>0</v>
      </c>
      <c r="H705">
        <v>0</v>
      </c>
      <c r="I705">
        <v>0</v>
      </c>
      <c r="J705" s="107"/>
      <c r="K705" s="107"/>
    </row>
    <row r="706" spans="1:11" x14ac:dyDescent="0.25">
      <c r="A706" s="107" t="s">
        <v>1614</v>
      </c>
      <c r="B706" s="107" t="s">
        <v>1615</v>
      </c>
      <c r="C706" s="107" t="s">
        <v>1169</v>
      </c>
      <c r="D706" t="s">
        <v>8</v>
      </c>
      <c r="E706">
        <f>SUM(E707:E711)</f>
        <v>70855.735000000001</v>
      </c>
      <c r="F706">
        <f>SUM(F707:F711)</f>
        <v>70855.735000000001</v>
      </c>
      <c r="G706">
        <v>0</v>
      </c>
      <c r="H706">
        <f>SUM(H707:H711)</f>
        <v>0</v>
      </c>
      <c r="I706">
        <f>SUM(I707:I711)</f>
        <v>0</v>
      </c>
      <c r="J706" s="107" t="s">
        <v>1616</v>
      </c>
      <c r="K706" s="107" t="s">
        <v>1265</v>
      </c>
    </row>
    <row r="707" spans="1:11" x14ac:dyDescent="0.25">
      <c r="A707" s="107"/>
      <c r="B707" s="107"/>
      <c r="C707" s="107"/>
      <c r="D707">
        <v>2021</v>
      </c>
      <c r="E707">
        <v>0</v>
      </c>
      <c r="F707">
        <v>0</v>
      </c>
      <c r="G707">
        <v>0</v>
      </c>
      <c r="H707">
        <v>0</v>
      </c>
      <c r="I707">
        <v>0</v>
      </c>
      <c r="J707" s="107"/>
      <c r="K707" s="107"/>
    </row>
    <row r="708" spans="1:11" x14ac:dyDescent="0.25">
      <c r="A708" s="107"/>
      <c r="B708" s="107"/>
      <c r="C708" s="107"/>
      <c r="D708">
        <v>2022</v>
      </c>
      <c r="E708">
        <f t="shared" ref="E708:E711" si="182">F708+G708+H708+I708</f>
        <v>63770.165000000001</v>
      </c>
      <c r="F708">
        <v>63770.165000000001</v>
      </c>
      <c r="G708">
        <v>0</v>
      </c>
      <c r="H708">
        <v>0</v>
      </c>
      <c r="I708">
        <v>0</v>
      </c>
      <c r="J708" s="107"/>
      <c r="K708" s="107"/>
    </row>
    <row r="709" spans="1:11" x14ac:dyDescent="0.25">
      <c r="A709" s="107"/>
      <c r="B709" s="107"/>
      <c r="C709" s="107"/>
      <c r="D709">
        <v>2023</v>
      </c>
      <c r="E709">
        <f t="shared" si="182"/>
        <v>7085.57</v>
      </c>
      <c r="F709">
        <v>7085.57</v>
      </c>
      <c r="G709">
        <v>0</v>
      </c>
      <c r="H709">
        <v>0</v>
      </c>
      <c r="I709">
        <v>0</v>
      </c>
      <c r="J709" s="107"/>
      <c r="K709" s="107"/>
    </row>
    <row r="710" spans="1:11" x14ac:dyDescent="0.25">
      <c r="A710" s="107"/>
      <c r="B710" s="107"/>
      <c r="C710" s="107"/>
      <c r="D710">
        <v>2024</v>
      </c>
      <c r="E710">
        <f t="shared" si="182"/>
        <v>0</v>
      </c>
      <c r="F710">
        <v>0</v>
      </c>
      <c r="G710">
        <v>0</v>
      </c>
      <c r="H710">
        <v>0</v>
      </c>
      <c r="I710">
        <v>0</v>
      </c>
      <c r="J710" s="107"/>
      <c r="K710" s="107"/>
    </row>
    <row r="711" spans="1:11" x14ac:dyDescent="0.25">
      <c r="A711" s="107"/>
      <c r="B711" s="107"/>
      <c r="C711" s="107"/>
      <c r="D711">
        <v>2025</v>
      </c>
      <c r="E711">
        <f t="shared" si="182"/>
        <v>0</v>
      </c>
      <c r="F711">
        <v>0</v>
      </c>
      <c r="G711">
        <v>0</v>
      </c>
      <c r="H711">
        <v>0</v>
      </c>
      <c r="I711">
        <v>0</v>
      </c>
      <c r="J711" s="107"/>
      <c r="K711" s="107"/>
    </row>
    <row r="712" spans="1:11" ht="21.75" customHeight="1" x14ac:dyDescent="0.25">
      <c r="A712" s="107" t="s">
        <v>1617</v>
      </c>
      <c r="B712" s="107" t="s">
        <v>1618</v>
      </c>
      <c r="C712" s="107">
        <v>2023</v>
      </c>
      <c r="D712" t="s">
        <v>8</v>
      </c>
      <c r="E712">
        <f>SUM(E713:E717)</f>
        <v>308731.924</v>
      </c>
      <c r="F712">
        <f>SUM(F713:F717)</f>
        <v>305644.60499999998</v>
      </c>
      <c r="G712">
        <v>0</v>
      </c>
      <c r="H712">
        <f>SUM(H713:H717)</f>
        <v>3087.319</v>
      </c>
      <c r="I712">
        <f>SUM(I713:I717)</f>
        <v>0</v>
      </c>
      <c r="J712" s="107" t="s">
        <v>1619</v>
      </c>
      <c r="K712" s="107" t="s">
        <v>1265</v>
      </c>
    </row>
    <row r="713" spans="1:11" ht="16.5" customHeight="1" x14ac:dyDescent="0.25">
      <c r="A713" s="107"/>
      <c r="B713" s="107"/>
      <c r="C713" s="107"/>
      <c r="D713">
        <v>2021</v>
      </c>
      <c r="E713">
        <v>0</v>
      </c>
      <c r="F713">
        <v>0</v>
      </c>
      <c r="G713">
        <v>0</v>
      </c>
      <c r="H713">
        <v>0</v>
      </c>
      <c r="I713">
        <v>0</v>
      </c>
      <c r="J713" s="107"/>
      <c r="K713" s="107"/>
    </row>
    <row r="714" spans="1:11" x14ac:dyDescent="0.25">
      <c r="A714" s="107"/>
      <c r="B714" s="107"/>
      <c r="C714" s="107"/>
      <c r="D714">
        <v>2022</v>
      </c>
      <c r="E714">
        <f t="shared" ref="E714:E743" si="183">F714+G714+H714+I714</f>
        <v>0</v>
      </c>
      <c r="F714">
        <v>0</v>
      </c>
      <c r="G714">
        <v>0</v>
      </c>
      <c r="H714">
        <v>0</v>
      </c>
      <c r="I714">
        <v>0</v>
      </c>
      <c r="J714" s="107"/>
      <c r="K714" s="107"/>
    </row>
    <row r="715" spans="1:11" ht="39" customHeight="1" x14ac:dyDescent="0.25">
      <c r="A715" s="107"/>
      <c r="B715" s="107"/>
      <c r="C715" s="107"/>
      <c r="D715">
        <v>2023</v>
      </c>
      <c r="E715">
        <f t="shared" si="183"/>
        <v>308731.924</v>
      </c>
      <c r="F715">
        <f>305644.605</f>
        <v>305644.60499999998</v>
      </c>
      <c r="G715">
        <v>0</v>
      </c>
      <c r="H715">
        <v>3087.319</v>
      </c>
      <c r="I715">
        <v>0</v>
      </c>
      <c r="J715" s="107"/>
      <c r="K715" s="107"/>
    </row>
    <row r="716" spans="1:11" ht="20.25" customHeight="1" x14ac:dyDescent="0.25">
      <c r="A716" s="107"/>
      <c r="B716" s="107"/>
      <c r="C716" s="107"/>
      <c r="D716">
        <v>2024</v>
      </c>
      <c r="E716">
        <f t="shared" si="183"/>
        <v>0</v>
      </c>
      <c r="F716">
        <v>0</v>
      </c>
      <c r="G716">
        <v>0</v>
      </c>
      <c r="H716">
        <v>0</v>
      </c>
      <c r="I716">
        <v>0</v>
      </c>
      <c r="J716" s="107"/>
      <c r="K716" s="107"/>
    </row>
    <row r="717" spans="1:11" ht="57.75" customHeight="1" x14ac:dyDescent="0.25">
      <c r="A717" s="107"/>
      <c r="B717" s="107"/>
      <c r="C717" s="107"/>
      <c r="D717">
        <v>2025</v>
      </c>
      <c r="E717">
        <f t="shared" si="183"/>
        <v>0</v>
      </c>
      <c r="F717">
        <v>0</v>
      </c>
      <c r="G717">
        <v>0</v>
      </c>
      <c r="H717">
        <v>0</v>
      </c>
      <c r="I717">
        <v>0</v>
      </c>
      <c r="J717" s="107"/>
      <c r="K717" s="107"/>
    </row>
    <row r="718" spans="1:11" x14ac:dyDescent="0.25">
      <c r="A718" s="107">
        <v>4</v>
      </c>
      <c r="B718" s="107" t="s">
        <v>1242</v>
      </c>
      <c r="C718" s="107" t="s">
        <v>14</v>
      </c>
      <c r="D718" t="s">
        <v>8</v>
      </c>
      <c r="E718">
        <f t="shared" si="183"/>
        <v>42301317.207379989</v>
      </c>
      <c r="F718">
        <f>F719+F720+F721+F722+F723</f>
        <v>42088385.956379995</v>
      </c>
      <c r="G718">
        <f>G719+G720+G721+G722+G723</f>
        <v>93391.400999999998</v>
      </c>
      <c r="H718">
        <f>H719+H720+H721+H722+H723</f>
        <v>86984.8</v>
      </c>
      <c r="I718">
        <f>I719+I720+I721+I722+I723</f>
        <v>32555.05</v>
      </c>
      <c r="J718" s="107"/>
      <c r="K718" s="107" t="s">
        <v>1252</v>
      </c>
    </row>
    <row r="719" spans="1:11" x14ac:dyDescent="0.25">
      <c r="A719" s="107"/>
      <c r="B719" s="107"/>
      <c r="C719" s="107"/>
      <c r="D719">
        <v>2021</v>
      </c>
      <c r="E719">
        <f t="shared" si="183"/>
        <v>9939158.6680100001</v>
      </c>
      <c r="F719">
        <f t="shared" ref="F719:I723" si="184">F725+F803+F875+F911</f>
        <v>9918962.9080099985</v>
      </c>
      <c r="G719">
        <f t="shared" si="184"/>
        <v>0</v>
      </c>
      <c r="H719">
        <f t="shared" si="184"/>
        <v>9502.3000000000011</v>
      </c>
      <c r="I719">
        <f t="shared" si="184"/>
        <v>10693.46</v>
      </c>
      <c r="J719" s="107"/>
      <c r="K719" s="107"/>
    </row>
    <row r="720" spans="1:11" x14ac:dyDescent="0.25">
      <c r="A720" s="107"/>
      <c r="B720" s="107"/>
      <c r="C720" s="107"/>
      <c r="D720">
        <v>2022</v>
      </c>
      <c r="E720">
        <f t="shared" si="183"/>
        <v>13830830.340499999</v>
      </c>
      <c r="F720">
        <f t="shared" si="184"/>
        <v>13667943.349499999</v>
      </c>
      <c r="G720">
        <f t="shared" si="184"/>
        <v>93391.400999999998</v>
      </c>
      <c r="H720">
        <f t="shared" si="184"/>
        <v>47634</v>
      </c>
      <c r="I720">
        <f t="shared" si="184"/>
        <v>21861.59</v>
      </c>
      <c r="J720" s="107"/>
      <c r="K720" s="107"/>
    </row>
    <row r="721" spans="1:11" x14ac:dyDescent="0.25">
      <c r="A721" s="107"/>
      <c r="B721" s="107"/>
      <c r="C721" s="107"/>
      <c r="D721">
        <v>2023</v>
      </c>
      <c r="E721">
        <f t="shared" si="183"/>
        <v>7217932.3704399988</v>
      </c>
      <c r="F721">
        <f t="shared" si="184"/>
        <v>7207982.8704399988</v>
      </c>
      <c r="G721">
        <f t="shared" si="184"/>
        <v>0</v>
      </c>
      <c r="H721">
        <f t="shared" si="184"/>
        <v>9949.5</v>
      </c>
      <c r="I721">
        <f t="shared" si="184"/>
        <v>0</v>
      </c>
      <c r="J721" s="107"/>
      <c r="K721" s="107"/>
    </row>
    <row r="722" spans="1:11" x14ac:dyDescent="0.25">
      <c r="A722" s="107"/>
      <c r="B722" s="107"/>
      <c r="C722" s="107"/>
      <c r="D722">
        <v>2024</v>
      </c>
      <c r="E722">
        <f t="shared" si="183"/>
        <v>5718548.6519999988</v>
      </c>
      <c r="F722">
        <f t="shared" si="184"/>
        <v>5708599.1519999988</v>
      </c>
      <c r="G722">
        <f t="shared" si="184"/>
        <v>0</v>
      </c>
      <c r="H722">
        <f t="shared" si="184"/>
        <v>9949.5</v>
      </c>
      <c r="I722">
        <f t="shared" si="184"/>
        <v>0</v>
      </c>
      <c r="J722" s="107"/>
      <c r="K722" s="107"/>
    </row>
    <row r="723" spans="1:11" ht="17.25" customHeight="1" x14ac:dyDescent="0.25">
      <c r="A723" s="107"/>
      <c r="B723" s="107"/>
      <c r="C723" s="107"/>
      <c r="D723">
        <v>2025</v>
      </c>
      <c r="E723">
        <f t="shared" si="183"/>
        <v>5594847.17643</v>
      </c>
      <c r="F723">
        <f t="shared" si="184"/>
        <v>5584897.67643</v>
      </c>
      <c r="G723">
        <f t="shared" si="184"/>
        <v>0</v>
      </c>
      <c r="H723">
        <f t="shared" si="184"/>
        <v>9949.5</v>
      </c>
      <c r="I723">
        <f t="shared" si="184"/>
        <v>0</v>
      </c>
      <c r="J723" s="107"/>
      <c r="K723" s="107"/>
    </row>
    <row r="724" spans="1:11" x14ac:dyDescent="0.25">
      <c r="A724" s="107" t="s">
        <v>133</v>
      </c>
      <c r="B724" s="107" t="s">
        <v>1620</v>
      </c>
      <c r="C724" s="107" t="s">
        <v>14</v>
      </c>
      <c r="D724" t="s">
        <v>8</v>
      </c>
      <c r="E724">
        <f t="shared" si="183"/>
        <v>2442055.6603399999</v>
      </c>
      <c r="F724">
        <f>F725+F726+F727+F728+F729</f>
        <v>2300207.5093399999</v>
      </c>
      <c r="G724">
        <f>G725+G726+G727+G728+G729</f>
        <v>93391.400999999998</v>
      </c>
      <c r="H724">
        <f>H725+H726+H727+H728+H729</f>
        <v>15901.7</v>
      </c>
      <c r="I724">
        <f>I725+I726+I727+I728+I729</f>
        <v>32555.05</v>
      </c>
      <c r="J724" s="107" t="s">
        <v>1621</v>
      </c>
      <c r="K724" s="107" t="s">
        <v>1622</v>
      </c>
    </row>
    <row r="725" spans="1:11" x14ac:dyDescent="0.25">
      <c r="A725" s="107"/>
      <c r="B725" s="107"/>
      <c r="C725" s="107"/>
      <c r="D725">
        <v>2021</v>
      </c>
      <c r="E725">
        <f t="shared" si="183"/>
        <v>12191.46</v>
      </c>
      <c r="F725">
        <f t="shared" ref="F725:F726" si="185">F731+F737+F743+F749+F755+F767+F779+F785+F791+F761+F773</f>
        <v>1498</v>
      </c>
      <c r="G725">
        <f t="shared" ref="F725:I729" si="186">G731+G737+G743+G749+G755+G767+G779+G785+G791+G761+G773</f>
        <v>0</v>
      </c>
      <c r="H725">
        <f>H731+H737+H743+H749+H755+H767+H779+H785+H791+H761+H773</f>
        <v>0</v>
      </c>
      <c r="I725">
        <f>I731+I737+I743+I749+I755+I767+I779+I785+I791+I761+I773</f>
        <v>10693.46</v>
      </c>
      <c r="J725" s="107"/>
      <c r="K725" s="107"/>
    </row>
    <row r="726" spans="1:11" x14ac:dyDescent="0.25">
      <c r="A726" s="107"/>
      <c r="B726" s="107"/>
      <c r="C726" s="107"/>
      <c r="D726">
        <v>2022</v>
      </c>
      <c r="E726">
        <f t="shared" si="183"/>
        <v>1556287.7905000001</v>
      </c>
      <c r="F726">
        <f t="shared" si="185"/>
        <v>1425133.0995</v>
      </c>
      <c r="G726">
        <f t="shared" si="186"/>
        <v>93391.400999999998</v>
      </c>
      <c r="H726">
        <f t="shared" si="186"/>
        <v>15901.7</v>
      </c>
      <c r="I726">
        <f t="shared" si="186"/>
        <v>21861.59</v>
      </c>
      <c r="J726" s="107"/>
      <c r="K726" s="107"/>
    </row>
    <row r="727" spans="1:11" x14ac:dyDescent="0.25">
      <c r="A727" s="107"/>
      <c r="B727" s="107"/>
      <c r="C727" s="107"/>
      <c r="D727">
        <v>2023</v>
      </c>
      <c r="E727">
        <f t="shared" si="183"/>
        <v>607325.01738000009</v>
      </c>
      <c r="F727">
        <f>F733+F739+F745+F751+F757+F769+F781+F787+F793+F763+F775+F799</f>
        <v>607325.01738000009</v>
      </c>
      <c r="G727">
        <f t="shared" si="186"/>
        <v>0</v>
      </c>
      <c r="H727">
        <f t="shared" si="186"/>
        <v>0</v>
      </c>
      <c r="I727">
        <f t="shared" si="186"/>
        <v>0</v>
      </c>
      <c r="J727" s="107"/>
      <c r="K727" s="107"/>
    </row>
    <row r="728" spans="1:11" x14ac:dyDescent="0.25">
      <c r="A728" s="107"/>
      <c r="B728" s="107"/>
      <c r="C728" s="107"/>
      <c r="D728">
        <v>2024</v>
      </c>
      <c r="E728">
        <f t="shared" si="183"/>
        <v>233417.91602999999</v>
      </c>
      <c r="F728">
        <f t="shared" si="186"/>
        <v>233417.91602999999</v>
      </c>
      <c r="G728">
        <f t="shared" si="186"/>
        <v>0</v>
      </c>
      <c r="H728">
        <f t="shared" si="186"/>
        <v>0</v>
      </c>
      <c r="I728">
        <f t="shared" si="186"/>
        <v>0</v>
      </c>
      <c r="J728" s="107"/>
      <c r="K728" s="107"/>
    </row>
    <row r="729" spans="1:11" x14ac:dyDescent="0.25">
      <c r="A729" s="107"/>
      <c r="B729" s="107"/>
      <c r="C729" s="107"/>
      <c r="D729">
        <v>2025</v>
      </c>
      <c r="E729">
        <f t="shared" si="183"/>
        <v>32833.476430000002</v>
      </c>
      <c r="F729">
        <f t="shared" si="186"/>
        <v>32833.476430000002</v>
      </c>
      <c r="G729">
        <f t="shared" si="186"/>
        <v>0</v>
      </c>
      <c r="H729">
        <f t="shared" si="186"/>
        <v>0</v>
      </c>
      <c r="I729">
        <f t="shared" si="186"/>
        <v>0</v>
      </c>
      <c r="J729" s="107"/>
      <c r="K729" s="107"/>
    </row>
    <row r="730" spans="1:11" x14ac:dyDescent="0.25">
      <c r="A730" s="107" t="s">
        <v>135</v>
      </c>
      <c r="B730" s="107" t="s">
        <v>1623</v>
      </c>
      <c r="C730" s="107" t="s">
        <v>14</v>
      </c>
      <c r="D730" t="s">
        <v>8</v>
      </c>
      <c r="E730">
        <f t="shared" si="183"/>
        <v>2998</v>
      </c>
      <c r="F730">
        <f>F731+F732+F733+F734+F735</f>
        <v>2998</v>
      </c>
      <c r="G730">
        <f>G731+G732+G733+G734+G735</f>
        <v>0</v>
      </c>
      <c r="H730">
        <f>H731+H732+H733+H734+H735</f>
        <v>0</v>
      </c>
      <c r="I730">
        <f>I731+I732+I733+I734+I735</f>
        <v>0</v>
      </c>
      <c r="J730" s="107" t="s">
        <v>1624</v>
      </c>
      <c r="K730" s="107" t="s">
        <v>1251</v>
      </c>
    </row>
    <row r="731" spans="1:11" x14ac:dyDescent="0.25">
      <c r="A731" s="107"/>
      <c r="B731" s="107"/>
      <c r="C731" s="107"/>
      <c r="D731">
        <v>2021</v>
      </c>
      <c r="E731">
        <f t="shared" si="183"/>
        <v>1498</v>
      </c>
      <c r="F731">
        <v>1498</v>
      </c>
      <c r="G731">
        <v>0</v>
      </c>
      <c r="H731">
        <v>0</v>
      </c>
      <c r="I731">
        <v>0</v>
      </c>
      <c r="J731" s="107"/>
      <c r="K731" s="107"/>
    </row>
    <row r="732" spans="1:11" x14ac:dyDescent="0.25">
      <c r="A732" s="107"/>
      <c r="B732" s="107"/>
      <c r="C732" s="107"/>
      <c r="D732">
        <v>2022</v>
      </c>
      <c r="E732">
        <f t="shared" si="183"/>
        <v>1500</v>
      </c>
      <c r="F732">
        <v>1500</v>
      </c>
      <c r="G732">
        <v>0</v>
      </c>
      <c r="H732">
        <v>0</v>
      </c>
      <c r="I732">
        <v>0</v>
      </c>
      <c r="J732" s="107"/>
      <c r="K732" s="107"/>
    </row>
    <row r="733" spans="1:11" x14ac:dyDescent="0.25">
      <c r="A733" s="107"/>
      <c r="B733" s="107"/>
      <c r="C733" s="107"/>
      <c r="D733">
        <v>2023</v>
      </c>
      <c r="E733">
        <f t="shared" si="183"/>
        <v>0</v>
      </c>
      <c r="F733">
        <v>0</v>
      </c>
      <c r="G733">
        <v>0</v>
      </c>
      <c r="H733">
        <v>0</v>
      </c>
      <c r="I733">
        <v>0</v>
      </c>
      <c r="J733" s="107"/>
      <c r="K733" s="107"/>
    </row>
    <row r="734" spans="1:11" x14ac:dyDescent="0.25">
      <c r="A734" s="107"/>
      <c r="B734" s="107"/>
      <c r="C734" s="107"/>
      <c r="D734">
        <v>2024</v>
      </c>
      <c r="E734">
        <f t="shared" si="183"/>
        <v>0</v>
      </c>
      <c r="F734">
        <v>0</v>
      </c>
      <c r="G734">
        <v>0</v>
      </c>
      <c r="H734">
        <v>0</v>
      </c>
      <c r="I734">
        <v>0</v>
      </c>
      <c r="J734" s="107"/>
      <c r="K734" s="107"/>
    </row>
    <row r="735" spans="1:11" x14ac:dyDescent="0.25">
      <c r="A735" s="107"/>
      <c r="B735" s="107"/>
      <c r="C735" s="107"/>
      <c r="D735">
        <v>2025</v>
      </c>
      <c r="E735">
        <f t="shared" si="183"/>
        <v>0</v>
      </c>
      <c r="F735">
        <v>0</v>
      </c>
      <c r="G735">
        <v>0</v>
      </c>
      <c r="H735">
        <v>0</v>
      </c>
      <c r="I735">
        <v>0</v>
      </c>
      <c r="J735" s="107"/>
      <c r="K735" s="107"/>
    </row>
    <row r="736" spans="1:11" x14ac:dyDescent="0.25">
      <c r="A736" s="107" t="s">
        <v>1625</v>
      </c>
      <c r="B736" s="107" t="s">
        <v>1626</v>
      </c>
      <c r="C736" s="107">
        <v>2022</v>
      </c>
      <c r="D736" t="s">
        <v>8</v>
      </c>
      <c r="E736">
        <f t="shared" si="183"/>
        <v>2814.2195000000002</v>
      </c>
      <c r="F736">
        <f>F737+F738+F739+F740+F741</f>
        <v>2814.2195000000002</v>
      </c>
      <c r="G736">
        <f>G737+G738+G739+G740+G741</f>
        <v>0</v>
      </c>
      <c r="H736">
        <f>H737+H738+H739+H740+H741</f>
        <v>0</v>
      </c>
      <c r="I736">
        <f>I737+I738+I739+I740+I741</f>
        <v>0</v>
      </c>
      <c r="J736" s="107" t="s">
        <v>1627</v>
      </c>
      <c r="K736" s="107" t="s">
        <v>1251</v>
      </c>
    </row>
    <row r="737" spans="1:11" x14ac:dyDescent="0.25">
      <c r="A737" s="107"/>
      <c r="B737" s="107"/>
      <c r="C737" s="107"/>
      <c r="D737">
        <v>2021</v>
      </c>
      <c r="E737">
        <f t="shared" si="183"/>
        <v>0</v>
      </c>
      <c r="F737">
        <v>0</v>
      </c>
      <c r="G737">
        <v>0</v>
      </c>
      <c r="H737">
        <v>0</v>
      </c>
      <c r="I737">
        <v>0</v>
      </c>
      <c r="J737" s="107"/>
      <c r="K737" s="107"/>
    </row>
    <row r="738" spans="1:11" x14ac:dyDescent="0.25">
      <c r="A738" s="107"/>
      <c r="B738" s="107"/>
      <c r="C738" s="107"/>
      <c r="D738">
        <v>2022</v>
      </c>
      <c r="E738">
        <f t="shared" si="183"/>
        <v>2814.2195000000002</v>
      </c>
      <c r="F738">
        <v>2814.2195000000002</v>
      </c>
      <c r="G738">
        <v>0</v>
      </c>
      <c r="H738">
        <v>0</v>
      </c>
      <c r="I738">
        <v>0</v>
      </c>
      <c r="J738" s="107"/>
      <c r="K738" s="107"/>
    </row>
    <row r="739" spans="1:11" x14ac:dyDescent="0.25">
      <c r="A739" s="107"/>
      <c r="B739" s="107"/>
      <c r="C739" s="107"/>
      <c r="D739">
        <v>2023</v>
      </c>
      <c r="E739">
        <f t="shared" si="183"/>
        <v>0</v>
      </c>
      <c r="F739">
        <v>0</v>
      </c>
      <c r="G739">
        <v>0</v>
      </c>
      <c r="H739">
        <v>0</v>
      </c>
      <c r="I739">
        <v>0</v>
      </c>
      <c r="J739" s="107"/>
      <c r="K739" s="107"/>
    </row>
    <row r="740" spans="1:11" x14ac:dyDescent="0.25">
      <c r="A740" s="107"/>
      <c r="B740" s="107"/>
      <c r="C740" s="107"/>
      <c r="D740">
        <v>2024</v>
      </c>
      <c r="E740">
        <f t="shared" si="183"/>
        <v>0</v>
      </c>
      <c r="F740">
        <v>0</v>
      </c>
      <c r="G740">
        <v>0</v>
      </c>
      <c r="H740">
        <v>0</v>
      </c>
      <c r="I740">
        <v>0</v>
      </c>
      <c r="J740" s="107"/>
      <c r="K740" s="107"/>
    </row>
    <row r="741" spans="1:11" x14ac:dyDescent="0.25">
      <c r="A741" s="107"/>
      <c r="B741" s="107"/>
      <c r="C741" s="107"/>
      <c r="D741">
        <v>2025</v>
      </c>
      <c r="E741">
        <f t="shared" si="183"/>
        <v>0</v>
      </c>
      <c r="F741">
        <v>0</v>
      </c>
      <c r="G741">
        <v>0</v>
      </c>
      <c r="H741">
        <v>0</v>
      </c>
      <c r="I741">
        <v>0</v>
      </c>
      <c r="J741" s="107"/>
      <c r="K741" s="107"/>
    </row>
    <row r="742" spans="1:11" x14ac:dyDescent="0.25">
      <c r="A742" s="107" t="s">
        <v>1628</v>
      </c>
      <c r="B742" s="107" t="s">
        <v>1629</v>
      </c>
      <c r="C742" s="107" t="s">
        <v>1169</v>
      </c>
      <c r="D742" t="s">
        <v>8</v>
      </c>
      <c r="E742">
        <f t="shared" si="183"/>
        <v>43024.46</v>
      </c>
      <c r="F742">
        <f>F743+F744+F745+F746+F747</f>
        <v>42331</v>
      </c>
      <c r="G742">
        <f>G743+G744+G745+G746+G747</f>
        <v>0</v>
      </c>
      <c r="H742">
        <f>H743+H744+H745+H746+H747</f>
        <v>0</v>
      </c>
      <c r="I742">
        <f>I743+I744+I745+I746+I747</f>
        <v>693.46</v>
      </c>
      <c r="J742" s="107" t="s">
        <v>1630</v>
      </c>
      <c r="K742" s="107" t="s">
        <v>1631</v>
      </c>
    </row>
    <row r="743" spans="1:11" x14ac:dyDescent="0.25">
      <c r="A743" s="107"/>
      <c r="B743" s="107"/>
      <c r="C743" s="107"/>
      <c r="D743">
        <v>2021</v>
      </c>
      <c r="E743">
        <f t="shared" si="183"/>
        <v>693.46</v>
      </c>
      <c r="F743">
        <v>0</v>
      </c>
      <c r="G743">
        <v>0</v>
      </c>
      <c r="H743">
        <v>0</v>
      </c>
      <c r="I743">
        <v>693.46</v>
      </c>
      <c r="J743" s="107"/>
      <c r="K743" s="107"/>
    </row>
    <row r="744" spans="1:11" x14ac:dyDescent="0.25">
      <c r="A744" s="107"/>
      <c r="B744" s="107"/>
      <c r="C744" s="107"/>
      <c r="D744">
        <v>2022</v>
      </c>
      <c r="E744">
        <f>F744</f>
        <v>42331</v>
      </c>
      <c r="F744">
        <v>42331</v>
      </c>
      <c r="G744">
        <v>0</v>
      </c>
      <c r="H744">
        <v>0</v>
      </c>
      <c r="I744">
        <v>0</v>
      </c>
      <c r="J744" s="107"/>
      <c r="K744" s="107"/>
    </row>
    <row r="745" spans="1:11" x14ac:dyDescent="0.25">
      <c r="A745" s="107"/>
      <c r="B745" s="107"/>
      <c r="C745" s="107"/>
      <c r="D745">
        <v>2023</v>
      </c>
      <c r="E745">
        <v>0</v>
      </c>
      <c r="F745">
        <v>0</v>
      </c>
      <c r="G745">
        <v>0</v>
      </c>
      <c r="H745">
        <v>0</v>
      </c>
      <c r="I745">
        <v>0</v>
      </c>
      <c r="J745" s="107"/>
      <c r="K745" s="107"/>
    </row>
    <row r="746" spans="1:11" x14ac:dyDescent="0.25">
      <c r="A746" s="107"/>
      <c r="B746" s="107"/>
      <c r="C746" s="107"/>
      <c r="D746">
        <v>2024</v>
      </c>
      <c r="E746">
        <v>0</v>
      </c>
      <c r="F746">
        <v>0</v>
      </c>
      <c r="G746">
        <v>0</v>
      </c>
      <c r="H746">
        <v>0</v>
      </c>
      <c r="I746">
        <v>0</v>
      </c>
      <c r="J746" s="107"/>
      <c r="K746" s="107"/>
    </row>
    <row r="747" spans="1:11" x14ac:dyDescent="0.25">
      <c r="A747" s="107"/>
      <c r="B747" s="107"/>
      <c r="C747" s="107"/>
      <c r="D747">
        <v>2025</v>
      </c>
      <c r="E747">
        <f t="shared" ref="E747:E754" si="187">F747+G747+H747+I747</f>
        <v>0</v>
      </c>
      <c r="F747">
        <v>0</v>
      </c>
      <c r="G747">
        <v>0</v>
      </c>
      <c r="H747">
        <v>0</v>
      </c>
      <c r="I747">
        <v>0</v>
      </c>
      <c r="J747" s="107"/>
      <c r="K747" s="107"/>
    </row>
    <row r="748" spans="1:11" x14ac:dyDescent="0.25">
      <c r="A748" s="107" t="s">
        <v>1632</v>
      </c>
      <c r="B748" s="107" t="s">
        <v>1633</v>
      </c>
      <c r="C748" s="107" t="s">
        <v>1169</v>
      </c>
      <c r="D748" t="s">
        <v>8</v>
      </c>
      <c r="E748">
        <f t="shared" si="187"/>
        <v>81967.399999999994</v>
      </c>
      <c r="F748">
        <f>F749+F750+F751+F752+F753</f>
        <v>66065.7</v>
      </c>
      <c r="G748">
        <f>G749+G750+G751+G752+G753</f>
        <v>0</v>
      </c>
      <c r="H748">
        <f>H749+H750+H751+H752+H753</f>
        <v>15901.7</v>
      </c>
      <c r="I748">
        <f>I749+I750+I751+I752+I753</f>
        <v>0</v>
      </c>
      <c r="J748" s="107" t="s">
        <v>1630</v>
      </c>
      <c r="K748" s="107" t="s">
        <v>1634</v>
      </c>
    </row>
    <row r="749" spans="1:11" x14ac:dyDescent="0.25">
      <c r="A749" s="107"/>
      <c r="B749" s="107"/>
      <c r="C749" s="107"/>
      <c r="D749">
        <v>2021</v>
      </c>
      <c r="E749">
        <f t="shared" si="187"/>
        <v>0</v>
      </c>
      <c r="F749">
        <v>0</v>
      </c>
      <c r="G749">
        <v>0</v>
      </c>
      <c r="H749">
        <v>0</v>
      </c>
      <c r="I749">
        <v>0</v>
      </c>
      <c r="J749" s="107"/>
      <c r="K749" s="107"/>
    </row>
    <row r="750" spans="1:11" x14ac:dyDescent="0.25">
      <c r="A750" s="107"/>
      <c r="B750" s="107"/>
      <c r="C750" s="107"/>
      <c r="D750">
        <v>2022</v>
      </c>
      <c r="E750">
        <f t="shared" si="187"/>
        <v>81967.399999999994</v>
      </c>
      <c r="F750">
        <v>66065.7</v>
      </c>
      <c r="G750">
        <v>0</v>
      </c>
      <c r="H750">
        <v>15901.7</v>
      </c>
      <c r="I750">
        <v>0</v>
      </c>
      <c r="J750" s="107"/>
      <c r="K750" s="107"/>
    </row>
    <row r="751" spans="1:11" x14ac:dyDescent="0.25">
      <c r="A751" s="107"/>
      <c r="B751" s="107"/>
      <c r="C751" s="107"/>
      <c r="D751">
        <v>2023</v>
      </c>
      <c r="E751">
        <f t="shared" si="187"/>
        <v>0</v>
      </c>
      <c r="F751">
        <v>0</v>
      </c>
      <c r="G751">
        <v>0</v>
      </c>
      <c r="H751">
        <v>0</v>
      </c>
      <c r="I751">
        <v>0</v>
      </c>
      <c r="J751" s="107"/>
      <c r="K751" s="107"/>
    </row>
    <row r="752" spans="1:11" x14ac:dyDescent="0.25">
      <c r="A752" s="107"/>
      <c r="B752" s="107"/>
      <c r="C752" s="107"/>
      <c r="D752">
        <v>2024</v>
      </c>
      <c r="E752">
        <f t="shared" si="187"/>
        <v>0</v>
      </c>
      <c r="F752">
        <v>0</v>
      </c>
      <c r="G752">
        <v>0</v>
      </c>
      <c r="H752">
        <v>0</v>
      </c>
      <c r="I752">
        <v>0</v>
      </c>
      <c r="J752" s="107"/>
      <c r="K752" s="107"/>
    </row>
    <row r="753" spans="1:11" ht="57.75" customHeight="1" x14ac:dyDescent="0.25">
      <c r="A753" s="107"/>
      <c r="B753" s="107"/>
      <c r="C753" s="107"/>
      <c r="D753">
        <v>2025</v>
      </c>
      <c r="E753">
        <f t="shared" si="187"/>
        <v>0</v>
      </c>
      <c r="F753">
        <v>0</v>
      </c>
      <c r="G753">
        <v>0</v>
      </c>
      <c r="H753">
        <v>0</v>
      </c>
      <c r="I753">
        <v>0</v>
      </c>
      <c r="J753" s="107"/>
      <c r="K753" s="107"/>
    </row>
    <row r="754" spans="1:11" x14ac:dyDescent="0.25">
      <c r="A754" s="107" t="s">
        <v>1635</v>
      </c>
      <c r="B754" s="107" t="s">
        <v>1636</v>
      </c>
      <c r="C754" s="107" t="s">
        <v>1169</v>
      </c>
      <c r="D754" t="s">
        <v>8</v>
      </c>
      <c r="E754">
        <f t="shared" si="187"/>
        <v>536341.07999999996</v>
      </c>
      <c r="F754">
        <f>F755+F756+F757+F758+F759</f>
        <v>526341.07999999996</v>
      </c>
      <c r="G754">
        <f>G755+G756+G757+G758+G759</f>
        <v>0</v>
      </c>
      <c r="H754">
        <f>H755+H756+H757+H758+H759</f>
        <v>0</v>
      </c>
      <c r="I754">
        <f>I755+I756+I757+I758+I759</f>
        <v>10000</v>
      </c>
      <c r="J754" s="107" t="s">
        <v>1637</v>
      </c>
      <c r="K754" s="107" t="s">
        <v>1638</v>
      </c>
    </row>
    <row r="755" spans="1:11" x14ac:dyDescent="0.25">
      <c r="A755" s="107"/>
      <c r="B755" s="107"/>
      <c r="C755" s="107"/>
      <c r="D755">
        <v>2021</v>
      </c>
      <c r="E755">
        <v>10000</v>
      </c>
      <c r="F755">
        <v>0</v>
      </c>
      <c r="G755">
        <v>0</v>
      </c>
      <c r="H755">
        <v>0</v>
      </c>
      <c r="I755">
        <v>10000</v>
      </c>
      <c r="J755" s="107"/>
      <c r="K755" s="107"/>
    </row>
    <row r="756" spans="1:11" x14ac:dyDescent="0.25">
      <c r="A756" s="107"/>
      <c r="B756" s="107"/>
      <c r="C756" s="107"/>
      <c r="D756">
        <v>2022</v>
      </c>
      <c r="E756">
        <f>F756</f>
        <v>526341.07999999996</v>
      </c>
      <c r="F756">
        <v>526341.07999999996</v>
      </c>
      <c r="G756">
        <v>0</v>
      </c>
      <c r="H756">
        <v>0</v>
      </c>
      <c r="I756">
        <v>0</v>
      </c>
      <c r="J756" s="107"/>
      <c r="K756" s="107"/>
    </row>
    <row r="757" spans="1:11" x14ac:dyDescent="0.25">
      <c r="A757" s="107"/>
      <c r="B757" s="107"/>
      <c r="C757" s="107"/>
      <c r="D757">
        <v>2023</v>
      </c>
      <c r="E757">
        <v>0</v>
      </c>
      <c r="F757">
        <v>0</v>
      </c>
      <c r="G757">
        <v>0</v>
      </c>
      <c r="H757">
        <v>0</v>
      </c>
      <c r="I757">
        <v>0</v>
      </c>
      <c r="J757" s="107"/>
      <c r="K757" s="107"/>
    </row>
    <row r="758" spans="1:11" x14ac:dyDescent="0.25">
      <c r="A758" s="107"/>
      <c r="B758" s="107"/>
      <c r="C758" s="107"/>
      <c r="D758">
        <v>2024</v>
      </c>
      <c r="E758">
        <v>0</v>
      </c>
      <c r="F758">
        <v>0</v>
      </c>
      <c r="G758">
        <v>0</v>
      </c>
      <c r="H758">
        <v>0</v>
      </c>
      <c r="I758">
        <v>0</v>
      </c>
      <c r="J758" s="107"/>
      <c r="K758" s="107"/>
    </row>
    <row r="759" spans="1:11" x14ac:dyDescent="0.25">
      <c r="A759" s="107"/>
      <c r="B759" s="107"/>
      <c r="C759" s="107"/>
      <c r="D759">
        <v>2025</v>
      </c>
      <c r="E759">
        <f t="shared" ref="E759:E760" si="188">F759+G759+H759+I759</f>
        <v>0</v>
      </c>
      <c r="F759">
        <v>0</v>
      </c>
      <c r="G759">
        <v>0</v>
      </c>
      <c r="H759">
        <v>0</v>
      </c>
      <c r="I759">
        <v>0</v>
      </c>
      <c r="J759" s="107"/>
      <c r="K759" s="107"/>
    </row>
    <row r="760" spans="1:11" x14ac:dyDescent="0.25">
      <c r="A760" s="107" t="s">
        <v>1639</v>
      </c>
      <c r="B760" s="107" t="s">
        <v>1640</v>
      </c>
      <c r="C760" s="107" t="s">
        <v>1169</v>
      </c>
      <c r="D760" t="s">
        <v>8</v>
      </c>
      <c r="E760">
        <f t="shared" si="188"/>
        <v>438304.06</v>
      </c>
      <c r="F760">
        <f>F761+F762+F763+F764+F765</f>
        <v>426442.47</v>
      </c>
      <c r="G760">
        <f>G761+G762+G763+G764+G765</f>
        <v>0</v>
      </c>
      <c r="H760">
        <f>H761+H762+H763+H764+H765</f>
        <v>0</v>
      </c>
      <c r="I760">
        <f>I761+I762+I763+I764+I765</f>
        <v>11861.59</v>
      </c>
      <c r="J760" s="107" t="s">
        <v>1637</v>
      </c>
      <c r="K760" s="107" t="s">
        <v>1311</v>
      </c>
    </row>
    <row r="761" spans="1:11" x14ac:dyDescent="0.25">
      <c r="A761" s="107"/>
      <c r="B761" s="107"/>
      <c r="C761" s="107"/>
      <c r="D761">
        <v>2021</v>
      </c>
      <c r="E761">
        <v>0</v>
      </c>
      <c r="F761">
        <v>0</v>
      </c>
      <c r="G761">
        <v>0</v>
      </c>
      <c r="H761">
        <v>0</v>
      </c>
      <c r="I761">
        <v>0</v>
      </c>
      <c r="J761" s="107"/>
      <c r="K761" s="107"/>
    </row>
    <row r="762" spans="1:11" x14ac:dyDescent="0.25">
      <c r="A762" s="107"/>
      <c r="B762" s="107"/>
      <c r="C762" s="107"/>
      <c r="D762">
        <v>2022</v>
      </c>
      <c r="E762">
        <f t="shared" ref="E762:E763" si="189">F762+I762</f>
        <v>417201.59</v>
      </c>
      <c r="F762">
        <v>405340</v>
      </c>
      <c r="G762">
        <v>0</v>
      </c>
      <c r="H762">
        <v>0</v>
      </c>
      <c r="I762">
        <v>11861.59</v>
      </c>
      <c r="J762" s="107"/>
      <c r="K762" s="107"/>
    </row>
    <row r="763" spans="1:11" x14ac:dyDescent="0.25">
      <c r="A763" s="107"/>
      <c r="B763" s="107"/>
      <c r="C763" s="107"/>
      <c r="D763">
        <v>2023</v>
      </c>
      <c r="E763">
        <f t="shared" si="189"/>
        <v>21102.47</v>
      </c>
      <c r="F763">
        <v>21102.47</v>
      </c>
      <c r="G763">
        <v>0</v>
      </c>
      <c r="H763">
        <v>0</v>
      </c>
      <c r="I763">
        <v>0</v>
      </c>
      <c r="J763" s="107"/>
      <c r="K763" s="107"/>
    </row>
    <row r="764" spans="1:11" x14ac:dyDescent="0.25">
      <c r="A764" s="107"/>
      <c r="B764" s="107"/>
      <c r="C764" s="107"/>
      <c r="D764">
        <v>2024</v>
      </c>
      <c r="E764">
        <v>0</v>
      </c>
      <c r="F764">
        <v>0</v>
      </c>
      <c r="G764">
        <v>0</v>
      </c>
      <c r="H764">
        <v>0</v>
      </c>
      <c r="I764">
        <v>0</v>
      </c>
      <c r="J764" s="107"/>
      <c r="K764" s="107"/>
    </row>
    <row r="765" spans="1:11" x14ac:dyDescent="0.25">
      <c r="A765" s="107"/>
      <c r="B765" s="107"/>
      <c r="C765" s="107"/>
      <c r="D765">
        <v>2025</v>
      </c>
      <c r="E765">
        <f t="shared" ref="E765:E766" si="190">F765+G765+H765+I765</f>
        <v>0</v>
      </c>
      <c r="F765">
        <v>0</v>
      </c>
      <c r="G765">
        <v>0</v>
      </c>
      <c r="H765">
        <v>0</v>
      </c>
      <c r="I765">
        <v>0</v>
      </c>
      <c r="J765" s="107"/>
      <c r="K765" s="107"/>
    </row>
    <row r="766" spans="1:11" x14ac:dyDescent="0.25">
      <c r="A766" s="107" t="s">
        <v>1641</v>
      </c>
      <c r="B766" s="107" t="s">
        <v>1642</v>
      </c>
      <c r="C766" s="107" t="s">
        <v>1169</v>
      </c>
      <c r="D766" t="s">
        <v>8</v>
      </c>
      <c r="E766">
        <f t="shared" si="190"/>
        <v>333897.53000000003</v>
      </c>
      <c r="F766">
        <f>F767+F768+F769+F770+F771</f>
        <v>323897.53000000003</v>
      </c>
      <c r="G766">
        <f>G767+G768+G769+G770+G771</f>
        <v>0</v>
      </c>
      <c r="H766">
        <f>H767+H768+H769+H770+H771</f>
        <v>0</v>
      </c>
      <c r="I766">
        <f>I767+I768+I769+I770+I771</f>
        <v>10000</v>
      </c>
      <c r="J766" s="107" t="s">
        <v>1637</v>
      </c>
      <c r="K766" s="107" t="s">
        <v>1311</v>
      </c>
    </row>
    <row r="767" spans="1:11" x14ac:dyDescent="0.25">
      <c r="A767" s="107"/>
      <c r="B767" s="107"/>
      <c r="C767" s="107"/>
      <c r="D767">
        <v>2021</v>
      </c>
      <c r="E767">
        <v>0</v>
      </c>
      <c r="F767">
        <v>0</v>
      </c>
      <c r="G767">
        <v>0</v>
      </c>
      <c r="H767">
        <v>0</v>
      </c>
      <c r="I767">
        <v>0</v>
      </c>
      <c r="J767" s="107"/>
      <c r="K767" s="107"/>
    </row>
    <row r="768" spans="1:11" x14ac:dyDescent="0.25">
      <c r="A768" s="107"/>
      <c r="B768" s="107"/>
      <c r="C768" s="107"/>
      <c r="D768">
        <v>2022</v>
      </c>
      <c r="E768">
        <f t="shared" ref="E768:E769" si="191">F768+I768</f>
        <v>10000</v>
      </c>
      <c r="F768">
        <v>0</v>
      </c>
      <c r="G768">
        <v>0</v>
      </c>
      <c r="H768">
        <v>0</v>
      </c>
      <c r="I768">
        <v>10000</v>
      </c>
      <c r="J768" s="107"/>
      <c r="K768" s="107"/>
    </row>
    <row r="769" spans="1:11" x14ac:dyDescent="0.25">
      <c r="A769" s="107"/>
      <c r="B769" s="107"/>
      <c r="C769" s="107"/>
      <c r="D769">
        <v>2023</v>
      </c>
      <c r="E769">
        <f t="shared" si="191"/>
        <v>323897.53000000003</v>
      </c>
      <c r="F769">
        <v>323897.53000000003</v>
      </c>
      <c r="G769">
        <v>0</v>
      </c>
      <c r="H769">
        <v>0</v>
      </c>
      <c r="I769">
        <v>0</v>
      </c>
      <c r="J769" s="107"/>
      <c r="K769" s="107"/>
    </row>
    <row r="770" spans="1:11" x14ac:dyDescent="0.25">
      <c r="A770" s="107"/>
      <c r="B770" s="107"/>
      <c r="C770" s="107"/>
      <c r="D770">
        <v>2024</v>
      </c>
      <c r="E770">
        <v>0</v>
      </c>
      <c r="F770">
        <v>0</v>
      </c>
      <c r="G770">
        <v>0</v>
      </c>
      <c r="H770">
        <v>0</v>
      </c>
      <c r="I770">
        <v>0</v>
      </c>
      <c r="J770" s="107"/>
      <c r="K770" s="107"/>
    </row>
    <row r="771" spans="1:11" x14ac:dyDescent="0.25">
      <c r="A771" s="107"/>
      <c r="B771" s="107"/>
      <c r="C771" s="107"/>
      <c r="D771">
        <v>2025</v>
      </c>
      <c r="E771">
        <f t="shared" ref="E771:E801" si="192">F771+G771+H771+I771</f>
        <v>0</v>
      </c>
      <c r="F771">
        <v>0</v>
      </c>
      <c r="G771">
        <v>0</v>
      </c>
      <c r="H771">
        <v>0</v>
      </c>
      <c r="I771">
        <v>0</v>
      </c>
      <c r="J771" s="107"/>
      <c r="K771" s="107"/>
    </row>
    <row r="772" spans="1:11" x14ac:dyDescent="0.25">
      <c r="A772" s="107" t="s">
        <v>1643</v>
      </c>
      <c r="B772" s="107" t="s">
        <v>1644</v>
      </c>
      <c r="C772" s="107" t="s">
        <v>14</v>
      </c>
      <c r="D772" t="s">
        <v>8</v>
      </c>
      <c r="E772">
        <f t="shared" si="192"/>
        <v>51414.9</v>
      </c>
      <c r="F772">
        <f>F773+F774+F775+F776+F777</f>
        <v>0</v>
      </c>
      <c r="G772">
        <f>G773+G774+G775+G776+G777</f>
        <v>51414.9</v>
      </c>
      <c r="H772">
        <f>H773+H774+H775+H776+H777</f>
        <v>0</v>
      </c>
      <c r="I772">
        <f>I773+I774+I775+I776+I777</f>
        <v>0</v>
      </c>
      <c r="J772" s="107" t="s">
        <v>1645</v>
      </c>
      <c r="K772" s="107" t="s">
        <v>1646</v>
      </c>
    </row>
    <row r="773" spans="1:11" x14ac:dyDescent="0.25">
      <c r="A773" s="107"/>
      <c r="B773" s="107"/>
      <c r="C773" s="107"/>
      <c r="D773">
        <v>2021</v>
      </c>
      <c r="E773">
        <f t="shared" si="192"/>
        <v>0</v>
      </c>
      <c r="F773">
        <v>0</v>
      </c>
      <c r="G773">
        <v>0</v>
      </c>
      <c r="H773">
        <v>0</v>
      </c>
      <c r="I773">
        <v>0</v>
      </c>
      <c r="J773" s="107"/>
      <c r="K773" s="107"/>
    </row>
    <row r="774" spans="1:11" x14ac:dyDescent="0.25">
      <c r="A774" s="107"/>
      <c r="B774" s="107"/>
      <c r="C774" s="107"/>
      <c r="D774">
        <v>2022</v>
      </c>
      <c r="E774">
        <f t="shared" si="192"/>
        <v>51414.9</v>
      </c>
      <c r="F774">
        <v>0</v>
      </c>
      <c r="G774">
        <v>51414.9</v>
      </c>
      <c r="H774">
        <v>0</v>
      </c>
      <c r="I774">
        <v>0</v>
      </c>
      <c r="J774" s="107"/>
      <c r="K774" s="107"/>
    </row>
    <row r="775" spans="1:11" x14ac:dyDescent="0.25">
      <c r="A775" s="107"/>
      <c r="B775" s="107"/>
      <c r="C775" s="107"/>
      <c r="D775">
        <v>2023</v>
      </c>
      <c r="E775">
        <f t="shared" si="192"/>
        <v>0</v>
      </c>
      <c r="H775">
        <v>0</v>
      </c>
      <c r="I775">
        <v>0</v>
      </c>
      <c r="J775" s="107"/>
      <c r="K775" s="107"/>
    </row>
    <row r="776" spans="1:11" x14ac:dyDescent="0.25">
      <c r="A776" s="107"/>
      <c r="B776" s="107"/>
      <c r="C776" s="107"/>
      <c r="D776">
        <v>2024</v>
      </c>
      <c r="E776">
        <f t="shared" si="192"/>
        <v>0</v>
      </c>
      <c r="F776">
        <v>0</v>
      </c>
      <c r="G776">
        <v>0</v>
      </c>
      <c r="H776">
        <v>0</v>
      </c>
      <c r="I776">
        <v>0</v>
      </c>
      <c r="J776" s="107"/>
      <c r="K776" s="107"/>
    </row>
    <row r="777" spans="1:11" x14ac:dyDescent="0.25">
      <c r="A777" s="107"/>
      <c r="B777" s="107"/>
      <c r="C777" s="107"/>
      <c r="D777">
        <v>2025</v>
      </c>
      <c r="E777">
        <f t="shared" si="192"/>
        <v>0</v>
      </c>
      <c r="F777">
        <v>0</v>
      </c>
      <c r="G777">
        <v>0</v>
      </c>
      <c r="H777">
        <v>0</v>
      </c>
      <c r="I777">
        <v>0</v>
      </c>
      <c r="J777" s="107"/>
      <c r="K777" s="107"/>
    </row>
    <row r="778" spans="1:11" x14ac:dyDescent="0.25">
      <c r="A778" s="107" t="s">
        <v>1647</v>
      </c>
      <c r="B778" s="107" t="s">
        <v>1648</v>
      </c>
      <c r="C778" s="107" t="s">
        <v>14</v>
      </c>
      <c r="D778" t="s">
        <v>8</v>
      </c>
      <c r="E778">
        <f t="shared" si="192"/>
        <v>41976.500999999997</v>
      </c>
      <c r="F778">
        <f>F779+F780+F781+F782+F783</f>
        <v>0</v>
      </c>
      <c r="G778">
        <f>G779+G780+G781+G782+G783</f>
        <v>41976.500999999997</v>
      </c>
      <c r="H778">
        <f>H779+H780+H781+H782+H783</f>
        <v>0</v>
      </c>
      <c r="I778">
        <f>I779+I780+I781+I782+I783</f>
        <v>0</v>
      </c>
      <c r="J778" s="107" t="s">
        <v>1645</v>
      </c>
      <c r="K778" s="107" t="s">
        <v>1646</v>
      </c>
    </row>
    <row r="779" spans="1:11" x14ac:dyDescent="0.25">
      <c r="A779" s="107"/>
      <c r="B779" s="107"/>
      <c r="C779" s="107"/>
      <c r="D779">
        <v>2021</v>
      </c>
      <c r="E779">
        <f t="shared" si="192"/>
        <v>0</v>
      </c>
      <c r="F779">
        <v>0</v>
      </c>
      <c r="G779">
        <v>0</v>
      </c>
      <c r="H779">
        <v>0</v>
      </c>
      <c r="I779">
        <v>0</v>
      </c>
      <c r="J779" s="107"/>
      <c r="K779" s="107"/>
    </row>
    <row r="780" spans="1:11" x14ac:dyDescent="0.25">
      <c r="A780" s="107"/>
      <c r="B780" s="107"/>
      <c r="C780" s="107"/>
      <c r="D780">
        <v>2022</v>
      </c>
      <c r="E780">
        <f t="shared" si="192"/>
        <v>41976.500999999997</v>
      </c>
      <c r="F780">
        <v>0</v>
      </c>
      <c r="G780">
        <v>41976.500999999997</v>
      </c>
      <c r="H780">
        <v>0</v>
      </c>
      <c r="I780">
        <v>0</v>
      </c>
      <c r="J780" s="107"/>
      <c r="K780" s="107"/>
    </row>
    <row r="781" spans="1:11" x14ac:dyDescent="0.25">
      <c r="A781" s="107"/>
      <c r="B781" s="107"/>
      <c r="C781" s="107"/>
      <c r="D781">
        <v>2023</v>
      </c>
      <c r="E781">
        <f t="shared" si="192"/>
        <v>0</v>
      </c>
      <c r="H781">
        <v>0</v>
      </c>
      <c r="I781">
        <v>0</v>
      </c>
      <c r="J781" s="107"/>
      <c r="K781" s="107"/>
    </row>
    <row r="782" spans="1:11" x14ac:dyDescent="0.25">
      <c r="A782" s="107"/>
      <c r="B782" s="107"/>
      <c r="C782" s="107"/>
      <c r="D782">
        <v>2024</v>
      </c>
      <c r="E782">
        <f t="shared" si="192"/>
        <v>0</v>
      </c>
      <c r="F782">
        <v>0</v>
      </c>
      <c r="G782">
        <v>0</v>
      </c>
      <c r="H782">
        <v>0</v>
      </c>
      <c r="I782">
        <v>0</v>
      </c>
      <c r="J782" s="107"/>
      <c r="K782" s="107"/>
    </row>
    <row r="783" spans="1:11" x14ac:dyDescent="0.25">
      <c r="A783" s="107"/>
      <c r="B783" s="107"/>
      <c r="C783" s="107"/>
      <c r="D783">
        <v>2025</v>
      </c>
      <c r="E783">
        <f t="shared" si="192"/>
        <v>0</v>
      </c>
      <c r="F783">
        <v>0</v>
      </c>
      <c r="G783">
        <v>0</v>
      </c>
      <c r="H783">
        <v>0</v>
      </c>
      <c r="I783">
        <v>0</v>
      </c>
      <c r="J783" s="107"/>
      <c r="K783" s="107"/>
    </row>
    <row r="784" spans="1:11" x14ac:dyDescent="0.25">
      <c r="A784" s="107" t="s">
        <v>1649</v>
      </c>
      <c r="B784" s="107" t="s">
        <v>1650</v>
      </c>
      <c r="C784" s="107" t="s">
        <v>14</v>
      </c>
      <c r="D784" t="s">
        <v>8</v>
      </c>
      <c r="E784">
        <f t="shared" si="192"/>
        <v>0</v>
      </c>
      <c r="F784">
        <f>F785+F786+F787+F788+F789</f>
        <v>0</v>
      </c>
      <c r="G784">
        <f>G785+G786+G787+G788+G789</f>
        <v>0</v>
      </c>
      <c r="H784">
        <f>H785+H786+H787+H788+H789</f>
        <v>0</v>
      </c>
      <c r="I784">
        <f>I785+I786+I787+I788+I789</f>
        <v>0</v>
      </c>
      <c r="J784" s="107" t="s">
        <v>1651</v>
      </c>
      <c r="K784" s="107" t="s">
        <v>1652</v>
      </c>
    </row>
    <row r="785" spans="1:11" x14ac:dyDescent="0.25">
      <c r="A785" s="107"/>
      <c r="B785" s="107"/>
      <c r="C785" s="107"/>
      <c r="D785">
        <v>2021</v>
      </c>
      <c r="E785">
        <f t="shared" si="192"/>
        <v>0</v>
      </c>
      <c r="F785">
        <v>0</v>
      </c>
      <c r="G785">
        <v>0</v>
      </c>
      <c r="H785">
        <v>0</v>
      </c>
      <c r="I785">
        <v>0</v>
      </c>
      <c r="J785" s="107"/>
      <c r="K785" s="107"/>
    </row>
    <row r="786" spans="1:11" x14ac:dyDescent="0.25">
      <c r="A786" s="107"/>
      <c r="B786" s="107"/>
      <c r="C786" s="107"/>
      <c r="D786">
        <v>2022</v>
      </c>
      <c r="E786">
        <f t="shared" si="192"/>
        <v>0</v>
      </c>
      <c r="F786">
        <v>0</v>
      </c>
      <c r="G786">
        <v>0</v>
      </c>
      <c r="H786">
        <f>F786</f>
        <v>0</v>
      </c>
      <c r="I786">
        <v>0</v>
      </c>
      <c r="J786" s="107"/>
      <c r="K786" s="107"/>
    </row>
    <row r="787" spans="1:11" x14ac:dyDescent="0.25">
      <c r="A787" s="107"/>
      <c r="B787" s="107"/>
      <c r="C787" s="107"/>
      <c r="D787">
        <v>2023</v>
      </c>
      <c r="E787">
        <f t="shared" si="192"/>
        <v>0</v>
      </c>
      <c r="F787">
        <v>0</v>
      </c>
      <c r="G787">
        <v>0</v>
      </c>
      <c r="H787">
        <v>0</v>
      </c>
      <c r="I787">
        <v>0</v>
      </c>
      <c r="J787" s="107"/>
      <c r="K787" s="107"/>
    </row>
    <row r="788" spans="1:11" x14ac:dyDescent="0.25">
      <c r="A788" s="107"/>
      <c r="B788" s="107"/>
      <c r="C788" s="107"/>
      <c r="D788">
        <v>2024</v>
      </c>
      <c r="E788">
        <f t="shared" si="192"/>
        <v>0</v>
      </c>
      <c r="F788">
        <v>0</v>
      </c>
      <c r="G788">
        <v>0</v>
      </c>
      <c r="H788">
        <v>0</v>
      </c>
      <c r="I788">
        <v>0</v>
      </c>
      <c r="J788" s="107"/>
      <c r="K788" s="107"/>
    </row>
    <row r="789" spans="1:11" x14ac:dyDescent="0.25">
      <c r="A789" s="107"/>
      <c r="B789" s="107"/>
      <c r="C789" s="107"/>
      <c r="D789">
        <v>2025</v>
      </c>
      <c r="E789">
        <f t="shared" si="192"/>
        <v>0</v>
      </c>
      <c r="F789">
        <v>0</v>
      </c>
      <c r="G789">
        <v>0</v>
      </c>
      <c r="H789">
        <v>0</v>
      </c>
      <c r="I789">
        <v>0</v>
      </c>
      <c r="J789" s="107"/>
      <c r="K789" s="107"/>
    </row>
    <row r="790" spans="1:11" x14ac:dyDescent="0.25">
      <c r="A790" s="107" t="s">
        <v>1653</v>
      </c>
      <c r="B790" s="107" t="s">
        <v>1654</v>
      </c>
      <c r="C790" s="107" t="s">
        <v>14</v>
      </c>
      <c r="D790" t="s">
        <v>8</v>
      </c>
      <c r="E790">
        <f t="shared" si="192"/>
        <v>854843.29245999991</v>
      </c>
      <c r="F790">
        <f>F791+F792+F793+F794+F795</f>
        <v>854843.29245999991</v>
      </c>
      <c r="G790">
        <f>G791+G792+G793+G794+G795</f>
        <v>0</v>
      </c>
      <c r="H790">
        <f>H791+H792+H793+H794+H795</f>
        <v>0</v>
      </c>
      <c r="I790">
        <f>I791+I792+I793+I794+I795</f>
        <v>0</v>
      </c>
      <c r="J790" s="107" t="s">
        <v>1651</v>
      </c>
      <c r="K790" s="107" t="s">
        <v>1655</v>
      </c>
    </row>
    <row r="791" spans="1:11" x14ac:dyDescent="0.25">
      <c r="A791" s="107"/>
      <c r="B791" s="107"/>
      <c r="C791" s="107"/>
      <c r="D791">
        <v>2021</v>
      </c>
      <c r="E791">
        <f t="shared" si="192"/>
        <v>0</v>
      </c>
      <c r="F791">
        <v>0</v>
      </c>
      <c r="G791">
        <v>0</v>
      </c>
      <c r="H791">
        <v>0</v>
      </c>
      <c r="I791">
        <v>0</v>
      </c>
      <c r="J791" s="107"/>
      <c r="K791" s="107"/>
    </row>
    <row r="792" spans="1:11" x14ac:dyDescent="0.25">
      <c r="A792" s="107"/>
      <c r="B792" s="107"/>
      <c r="C792" s="107"/>
      <c r="D792">
        <v>2022</v>
      </c>
      <c r="E792">
        <f t="shared" si="192"/>
        <v>380741.1</v>
      </c>
      <c r="F792">
        <v>380741.1</v>
      </c>
      <c r="G792">
        <v>0</v>
      </c>
      <c r="H792">
        <v>0</v>
      </c>
      <c r="I792">
        <v>0</v>
      </c>
      <c r="J792" s="107"/>
      <c r="K792" s="107"/>
    </row>
    <row r="793" spans="1:11" x14ac:dyDescent="0.25">
      <c r="A793" s="107"/>
      <c r="B793" s="107"/>
      <c r="C793" s="107"/>
      <c r="D793">
        <v>2023</v>
      </c>
      <c r="E793">
        <f t="shared" si="192"/>
        <v>207850.8</v>
      </c>
      <c r="F793">
        <v>207850.8</v>
      </c>
      <c r="G793">
        <v>0</v>
      </c>
      <c r="H793">
        <v>0</v>
      </c>
      <c r="I793">
        <v>0</v>
      </c>
      <c r="J793" s="107"/>
      <c r="K793" s="107"/>
    </row>
    <row r="794" spans="1:11" ht="20.25" customHeight="1" x14ac:dyDescent="0.25">
      <c r="A794" s="107"/>
      <c r="B794" s="107"/>
      <c r="C794" s="107"/>
      <c r="D794">
        <v>2024</v>
      </c>
      <c r="E794">
        <f t="shared" si="192"/>
        <v>233417.91602999999</v>
      </c>
      <c r="F794">
        <v>233417.91602999999</v>
      </c>
      <c r="G794">
        <v>0</v>
      </c>
      <c r="H794">
        <v>0</v>
      </c>
      <c r="I794">
        <v>0</v>
      </c>
      <c r="J794" s="107"/>
      <c r="K794" s="107"/>
    </row>
    <row r="795" spans="1:11" ht="21.75" customHeight="1" x14ac:dyDescent="0.25">
      <c r="A795" s="107"/>
      <c r="B795" s="107"/>
      <c r="C795" s="107"/>
      <c r="D795">
        <v>2025</v>
      </c>
      <c r="E795">
        <f t="shared" si="192"/>
        <v>32833.476430000002</v>
      </c>
      <c r="F795">
        <v>32833.476430000002</v>
      </c>
      <c r="G795">
        <v>0</v>
      </c>
      <c r="H795">
        <v>0</v>
      </c>
      <c r="I795">
        <v>0</v>
      </c>
      <c r="J795" s="107"/>
      <c r="K795" s="107"/>
    </row>
    <row r="796" spans="1:11" x14ac:dyDescent="0.25">
      <c r="A796" s="107" t="s">
        <v>1656</v>
      </c>
      <c r="B796" s="107" t="s">
        <v>1657</v>
      </c>
      <c r="C796" s="107">
        <v>2023</v>
      </c>
      <c r="D796" t="s">
        <v>8</v>
      </c>
      <c r="E796">
        <f t="shared" si="192"/>
        <v>54474.217380000002</v>
      </c>
      <c r="F796">
        <f>F797+F798+F799+F800+F801</f>
        <v>54474.217380000002</v>
      </c>
      <c r="G796">
        <f>G797+G798+G799+G800+G801</f>
        <v>0</v>
      </c>
      <c r="H796">
        <f>H797+H798+H799+H800+H801</f>
        <v>0</v>
      </c>
      <c r="I796">
        <f>I797+I798+I799+I800+I801</f>
        <v>0</v>
      </c>
      <c r="J796" s="107" t="s">
        <v>1645</v>
      </c>
      <c r="K796" s="107" t="s">
        <v>1658</v>
      </c>
    </row>
    <row r="797" spans="1:11" x14ac:dyDescent="0.25">
      <c r="A797" s="107"/>
      <c r="B797" s="107"/>
      <c r="C797" s="107"/>
      <c r="D797">
        <v>2021</v>
      </c>
      <c r="E797">
        <f t="shared" si="192"/>
        <v>0</v>
      </c>
      <c r="F797">
        <v>0</v>
      </c>
      <c r="G797">
        <v>0</v>
      </c>
      <c r="H797">
        <v>0</v>
      </c>
      <c r="I797">
        <v>0</v>
      </c>
      <c r="J797" s="107"/>
      <c r="K797" s="107"/>
    </row>
    <row r="798" spans="1:11" x14ac:dyDescent="0.25">
      <c r="A798" s="107"/>
      <c r="B798" s="107"/>
      <c r="C798" s="107"/>
      <c r="D798">
        <v>2022</v>
      </c>
      <c r="E798">
        <f t="shared" si="192"/>
        <v>0</v>
      </c>
      <c r="F798">
        <v>0</v>
      </c>
      <c r="G798">
        <v>0</v>
      </c>
      <c r="H798">
        <v>0</v>
      </c>
      <c r="I798">
        <v>0</v>
      </c>
      <c r="J798" s="107"/>
      <c r="K798" s="107"/>
    </row>
    <row r="799" spans="1:11" x14ac:dyDescent="0.25">
      <c r="A799" s="107"/>
      <c r="B799" s="107"/>
      <c r="C799" s="107"/>
      <c r="D799">
        <v>2023</v>
      </c>
      <c r="E799">
        <f t="shared" si="192"/>
        <v>54474.217380000002</v>
      </c>
      <c r="F799">
        <v>54474.217380000002</v>
      </c>
      <c r="G799">
        <v>0</v>
      </c>
      <c r="H799">
        <v>0</v>
      </c>
      <c r="I799">
        <v>0</v>
      </c>
      <c r="J799" s="107"/>
      <c r="K799" s="107"/>
    </row>
    <row r="800" spans="1:11" x14ac:dyDescent="0.25">
      <c r="A800" s="107"/>
      <c r="B800" s="107"/>
      <c r="C800" s="107"/>
      <c r="D800">
        <v>2024</v>
      </c>
      <c r="E800">
        <f t="shared" si="192"/>
        <v>0</v>
      </c>
      <c r="F800">
        <v>0</v>
      </c>
      <c r="G800">
        <v>0</v>
      </c>
      <c r="H800">
        <v>0</v>
      </c>
      <c r="I800">
        <v>0</v>
      </c>
      <c r="J800" s="107"/>
      <c r="K800" s="107"/>
    </row>
    <row r="801" spans="1:31" x14ac:dyDescent="0.25">
      <c r="A801" s="107"/>
      <c r="B801" s="107"/>
      <c r="C801" s="107"/>
      <c r="D801">
        <v>2025</v>
      </c>
      <c r="E801">
        <f t="shared" si="192"/>
        <v>0</v>
      </c>
      <c r="F801">
        <v>0</v>
      </c>
      <c r="G801">
        <v>0</v>
      </c>
      <c r="H801">
        <v>0</v>
      </c>
      <c r="I801">
        <v>0</v>
      </c>
      <c r="J801" s="107"/>
      <c r="K801" s="107"/>
    </row>
    <row r="802" spans="1:31" x14ac:dyDescent="0.25">
      <c r="A802" s="107" t="s">
        <v>1243</v>
      </c>
      <c r="B802" s="107" t="s">
        <v>1244</v>
      </c>
      <c r="C802" s="107" t="s">
        <v>14</v>
      </c>
      <c r="D802" t="s">
        <v>8</v>
      </c>
      <c r="E802">
        <f t="shared" ref="E802:E841" si="193">F802+G802+H802+I802</f>
        <v>38229620.020029992</v>
      </c>
      <c r="F802">
        <f>F803+F804+F805+F806+F807</f>
        <v>38229620.020029992</v>
      </c>
      <c r="G802">
        <f>G803+G804+G805+G806+G807</f>
        <v>0</v>
      </c>
      <c r="H802">
        <f>H803+H804+H805+H806+H807</f>
        <v>0</v>
      </c>
      <c r="I802">
        <f>I803+I804+I805+I806+I807</f>
        <v>0</v>
      </c>
      <c r="J802" s="107" t="s">
        <v>1659</v>
      </c>
      <c r="K802" s="107" t="s">
        <v>1660</v>
      </c>
    </row>
    <row r="803" spans="1:31" x14ac:dyDescent="0.25">
      <c r="A803" s="107"/>
      <c r="B803" s="107"/>
      <c r="C803" s="107"/>
      <c r="D803">
        <v>2021</v>
      </c>
      <c r="E803">
        <f t="shared" si="193"/>
        <v>9604557.6809999999</v>
      </c>
      <c r="F803">
        <f>F809+F815+F821+F827+F833+F839+F845+F851+F857+F863</f>
        <v>9604557.6809999999</v>
      </c>
      <c r="G803">
        <f t="shared" ref="G803:I807" si="194">G809+G815+G821+G827+G833+G839+G845+G851+G857+G863</f>
        <v>0</v>
      </c>
      <c r="H803">
        <f t="shared" si="194"/>
        <v>0</v>
      </c>
      <c r="I803">
        <f t="shared" si="194"/>
        <v>0</v>
      </c>
      <c r="J803" s="107"/>
      <c r="K803" s="107"/>
    </row>
    <row r="804" spans="1:31" x14ac:dyDescent="0.25">
      <c r="A804" s="107"/>
      <c r="B804" s="107"/>
      <c r="C804" s="107"/>
      <c r="D804">
        <v>2022</v>
      </c>
      <c r="E804">
        <f t="shared" si="193"/>
        <v>11779606.149999999</v>
      </c>
      <c r="F804">
        <f>F810+F816+F822+F828+F834+F840+F846+F852+F858+F864+F870</f>
        <v>11779606.149999999</v>
      </c>
      <c r="G804">
        <f t="shared" si="194"/>
        <v>0</v>
      </c>
      <c r="H804">
        <f t="shared" si="194"/>
        <v>0</v>
      </c>
      <c r="I804">
        <f t="shared" si="194"/>
        <v>0</v>
      </c>
      <c r="J804" s="107"/>
      <c r="K804" s="107"/>
    </row>
    <row r="805" spans="1:31" x14ac:dyDescent="0.25">
      <c r="A805" s="107"/>
      <c r="B805" s="107"/>
      <c r="C805" s="107"/>
      <c r="D805">
        <v>2023</v>
      </c>
      <c r="E805">
        <f t="shared" si="193"/>
        <v>6339728.1530599985</v>
      </c>
      <c r="F805">
        <f t="shared" ref="F805:F807" si="195">F811+F817+F823+F829+F835+F841+F847+F853+F859+F865</f>
        <v>6339728.1530599985</v>
      </c>
      <c r="G805">
        <f t="shared" si="194"/>
        <v>0</v>
      </c>
      <c r="H805">
        <f t="shared" si="194"/>
        <v>0</v>
      </c>
      <c r="I805">
        <f t="shared" si="194"/>
        <v>0</v>
      </c>
      <c r="J805" s="107"/>
      <c r="K805" s="107"/>
    </row>
    <row r="806" spans="1:31" x14ac:dyDescent="0.25">
      <c r="A806" s="107"/>
      <c r="B806" s="107"/>
      <c r="C806" s="107"/>
      <c r="D806">
        <v>2024</v>
      </c>
      <c r="E806">
        <f t="shared" si="193"/>
        <v>5214422.5359699987</v>
      </c>
      <c r="F806">
        <f t="shared" si="195"/>
        <v>5214422.5359699987</v>
      </c>
      <c r="G806">
        <f t="shared" si="194"/>
        <v>0</v>
      </c>
      <c r="H806">
        <f t="shared" si="194"/>
        <v>0</v>
      </c>
      <c r="I806">
        <f t="shared" si="194"/>
        <v>0</v>
      </c>
      <c r="J806" s="107"/>
      <c r="K806" s="107"/>
    </row>
    <row r="807" spans="1:31" x14ac:dyDescent="0.25">
      <c r="A807" s="107"/>
      <c r="B807" s="107"/>
      <c r="C807" s="107"/>
      <c r="D807">
        <v>2025</v>
      </c>
      <c r="E807">
        <f t="shared" si="193"/>
        <v>5291305.5</v>
      </c>
      <c r="F807">
        <f t="shared" si="195"/>
        <v>5291305.5</v>
      </c>
      <c r="G807">
        <f t="shared" si="194"/>
        <v>0</v>
      </c>
      <c r="H807">
        <f t="shared" si="194"/>
        <v>0</v>
      </c>
      <c r="I807">
        <f t="shared" si="194"/>
        <v>0</v>
      </c>
      <c r="J807" s="107"/>
      <c r="K807" s="107"/>
    </row>
    <row r="808" spans="1:31" x14ac:dyDescent="0.25">
      <c r="A808" s="107" t="s">
        <v>1245</v>
      </c>
      <c r="B808" s="107" t="s">
        <v>1661</v>
      </c>
      <c r="C808" s="107" t="s">
        <v>14</v>
      </c>
      <c r="D808" t="s">
        <v>8</v>
      </c>
      <c r="E808">
        <f t="shared" si="193"/>
        <v>28563250.699030001</v>
      </c>
      <c r="F808">
        <f>F809+F810+F811+F812+F813</f>
        <v>28563250.699030001</v>
      </c>
      <c r="G808">
        <f>G809+G810+G811+G812+G813</f>
        <v>0</v>
      </c>
      <c r="H808">
        <f>H809+H810+H811+H812+H813</f>
        <v>0</v>
      </c>
      <c r="I808">
        <f>I809+I810+I811+I812+I813</f>
        <v>0</v>
      </c>
      <c r="J808" s="107" t="s">
        <v>1662</v>
      </c>
      <c r="K808" s="107" t="s">
        <v>1251</v>
      </c>
      <c r="AA808">
        <f>41006297.7-20500-11677.9-69441.065-6343.0235-107086.09053</f>
        <v>40791249.620970003</v>
      </c>
      <c r="AB808">
        <f>40648698.1-20500-11677.9-69441.065-6343.0235-107086.09053</f>
        <v>40433650.020970002</v>
      </c>
      <c r="AC808">
        <v>0</v>
      </c>
      <c r="AD808">
        <v>356906.1</v>
      </c>
      <c r="AE808">
        <v>693.5</v>
      </c>
    </row>
    <row r="809" spans="1:31" x14ac:dyDescent="0.25">
      <c r="A809" s="107"/>
      <c r="B809" s="107"/>
      <c r="C809" s="107"/>
      <c r="D809">
        <v>2021</v>
      </c>
      <c r="E809">
        <f t="shared" si="193"/>
        <v>5129301.4000000004</v>
      </c>
      <c r="F809">
        <v>5129301.4000000004</v>
      </c>
      <c r="G809">
        <v>0</v>
      </c>
      <c r="H809">
        <v>0</v>
      </c>
      <c r="I809">
        <v>0</v>
      </c>
      <c r="J809" s="107"/>
      <c r="K809" s="107"/>
      <c r="AA809">
        <v>9134411.3000000007</v>
      </c>
      <c r="AB809">
        <v>9039021.5999999996</v>
      </c>
      <c r="AC809">
        <v>0</v>
      </c>
      <c r="AD809">
        <v>94696.2</v>
      </c>
      <c r="AE809">
        <v>693.5</v>
      </c>
    </row>
    <row r="810" spans="1:31" x14ac:dyDescent="0.25">
      <c r="A810" s="107"/>
      <c r="B810" s="107"/>
      <c r="C810" s="107"/>
      <c r="D810">
        <v>2022</v>
      </c>
      <c r="E810">
        <f t="shared" si="193"/>
        <v>9617212</v>
      </c>
      <c r="F810">
        <v>9617212</v>
      </c>
      <c r="G810">
        <v>0</v>
      </c>
      <c r="H810">
        <v>0</v>
      </c>
      <c r="I810">
        <v>0</v>
      </c>
      <c r="J810" s="107"/>
      <c r="K810" s="107"/>
      <c r="AA810">
        <v>13704091.5</v>
      </c>
      <c r="AB810">
        <v>13471730.1</v>
      </c>
      <c r="AC810">
        <v>0</v>
      </c>
      <c r="AD810">
        <v>232361.4</v>
      </c>
      <c r="AE810">
        <v>0</v>
      </c>
    </row>
    <row r="811" spans="1:31" x14ac:dyDescent="0.25">
      <c r="A811" s="107"/>
      <c r="B811" s="107"/>
      <c r="C811" s="107"/>
      <c r="D811">
        <v>2023</v>
      </c>
      <c r="E811">
        <f t="shared" si="193"/>
        <v>4993048.5130599989</v>
      </c>
      <c r="F811">
        <f>5188854.3-20500-11677.9-69441.065-30000-250-4750-59186.82194</f>
        <v>4993048.5130599989</v>
      </c>
      <c r="G811">
        <v>0</v>
      </c>
      <c r="H811">
        <v>0</v>
      </c>
      <c r="I811">
        <v>0</v>
      </c>
      <c r="J811" s="107"/>
      <c r="K811" s="107"/>
      <c r="AA811">
        <f>6592418-20500-11677.9-69441.065</f>
        <v>6490799.0349999992</v>
      </c>
      <c r="AB811">
        <f>6582468.5-20500-11677.9-69441.065</f>
        <v>6480849.5349999992</v>
      </c>
      <c r="AC811">
        <v>0</v>
      </c>
      <c r="AD811">
        <v>9949.5</v>
      </c>
      <c r="AE811">
        <v>0</v>
      </c>
    </row>
    <row r="812" spans="1:31" x14ac:dyDescent="0.25">
      <c r="A812" s="107"/>
      <c r="B812" s="107"/>
      <c r="C812" s="107"/>
      <c r="D812">
        <v>2024</v>
      </c>
      <c r="E812">
        <f t="shared" si="193"/>
        <v>4368722.4859699998</v>
      </c>
      <c r="F812">
        <f>4482151.6-6343.0235-107086.09053</f>
        <v>4368722.4859699998</v>
      </c>
      <c r="G812">
        <v>0</v>
      </c>
      <c r="H812">
        <v>0</v>
      </c>
      <c r="I812">
        <v>0</v>
      </c>
      <c r="J812" s="107"/>
      <c r="K812" s="107"/>
      <c r="AA812">
        <f>5907096.2-6343.0235-107086.09053</f>
        <v>5793667.0859700004</v>
      </c>
      <c r="AB812">
        <f>5897146.7-6343.0235-107086.09053</f>
        <v>5783717.5859700004</v>
      </c>
      <c r="AC812">
        <v>0</v>
      </c>
      <c r="AD812">
        <v>9949.5</v>
      </c>
      <c r="AE812">
        <v>0</v>
      </c>
    </row>
    <row r="813" spans="1:31" x14ac:dyDescent="0.25">
      <c r="A813" s="107"/>
      <c r="B813" s="107"/>
      <c r="C813" s="107"/>
      <c r="D813">
        <v>2025</v>
      </c>
      <c r="E813">
        <f t="shared" si="193"/>
        <v>4454966.3</v>
      </c>
      <c r="F813">
        <v>4454966.3</v>
      </c>
      <c r="G813">
        <v>0</v>
      </c>
      <c r="H813">
        <v>0</v>
      </c>
      <c r="I813">
        <v>0</v>
      </c>
      <c r="J813" s="107"/>
      <c r="K813" s="107"/>
      <c r="AA813">
        <v>5668280.7000000002</v>
      </c>
      <c r="AB813">
        <v>5658331.2000000002</v>
      </c>
      <c r="AC813">
        <v>0</v>
      </c>
      <c r="AD813">
        <v>9949.5</v>
      </c>
      <c r="AE813">
        <v>0</v>
      </c>
    </row>
    <row r="814" spans="1:31" x14ac:dyDescent="0.25">
      <c r="A814" s="107" t="s">
        <v>1663</v>
      </c>
      <c r="B814" s="107" t="s">
        <v>1664</v>
      </c>
      <c r="C814" s="107" t="s">
        <v>14</v>
      </c>
      <c r="D814" t="s">
        <v>8</v>
      </c>
      <c r="E814">
        <f t="shared" si="193"/>
        <v>1966341.7999999998</v>
      </c>
      <c r="F814">
        <f>F815+F816+F817+F818+F819</f>
        <v>1966341.7999999998</v>
      </c>
      <c r="G814">
        <f>G815+G816+G817+G818+G819</f>
        <v>0</v>
      </c>
      <c r="H814">
        <f>H815+H816+H817+H818+H819</f>
        <v>0</v>
      </c>
      <c r="I814">
        <f>I815+I816+I817+I818+I819</f>
        <v>0</v>
      </c>
      <c r="J814" s="107" t="s">
        <v>1665</v>
      </c>
      <c r="K814" s="107" t="s">
        <v>1666</v>
      </c>
    </row>
    <row r="815" spans="1:31" x14ac:dyDescent="0.25">
      <c r="A815" s="107"/>
      <c r="B815" s="107"/>
      <c r="C815" s="107"/>
      <c r="D815">
        <v>2021</v>
      </c>
      <c r="E815">
        <f t="shared" si="193"/>
        <v>374322.3</v>
      </c>
      <c r="F815">
        <v>374322.3</v>
      </c>
      <c r="G815">
        <v>0</v>
      </c>
      <c r="H815">
        <v>0</v>
      </c>
      <c r="I815">
        <v>0</v>
      </c>
      <c r="J815" s="107"/>
      <c r="K815" s="107"/>
    </row>
    <row r="816" spans="1:31" x14ac:dyDescent="0.25">
      <c r="A816" s="107"/>
      <c r="B816" s="107"/>
      <c r="C816" s="107"/>
      <c r="D816">
        <v>2022</v>
      </c>
      <c r="E816">
        <f t="shared" si="193"/>
        <v>393429.9</v>
      </c>
      <c r="F816">
        <v>393429.9</v>
      </c>
      <c r="G816">
        <v>0</v>
      </c>
      <c r="H816">
        <v>0</v>
      </c>
      <c r="I816">
        <v>0</v>
      </c>
      <c r="J816" s="107"/>
      <c r="K816" s="107"/>
    </row>
    <row r="817" spans="1:11" x14ac:dyDescent="0.25">
      <c r="A817" s="107"/>
      <c r="B817" s="107"/>
      <c r="C817" s="107"/>
      <c r="D817">
        <v>2023</v>
      </c>
      <c r="E817">
        <f t="shared" si="193"/>
        <v>399529.85</v>
      </c>
      <c r="F817">
        <v>399529.85</v>
      </c>
      <c r="G817">
        <v>0</v>
      </c>
      <c r="H817">
        <v>0</v>
      </c>
      <c r="I817">
        <v>0</v>
      </c>
      <c r="J817" s="107"/>
      <c r="K817" s="107"/>
    </row>
    <row r="818" spans="1:11" x14ac:dyDescent="0.25">
      <c r="A818" s="107"/>
      <c r="B818" s="107"/>
      <c r="C818" s="107"/>
      <c r="D818">
        <v>2024</v>
      </c>
      <c r="E818">
        <f t="shared" si="193"/>
        <v>399529.85</v>
      </c>
      <c r="F818">
        <v>399529.85</v>
      </c>
      <c r="G818">
        <v>0</v>
      </c>
      <c r="H818">
        <v>0</v>
      </c>
      <c r="I818">
        <v>0</v>
      </c>
      <c r="J818" s="107"/>
      <c r="K818" s="107"/>
    </row>
    <row r="819" spans="1:11" x14ac:dyDescent="0.25">
      <c r="A819" s="107"/>
      <c r="B819" s="107"/>
      <c r="C819" s="107"/>
      <c r="D819">
        <v>2025</v>
      </c>
      <c r="E819">
        <f t="shared" si="193"/>
        <v>399529.9</v>
      </c>
      <c r="F819">
        <v>399529.9</v>
      </c>
      <c r="G819">
        <v>0</v>
      </c>
      <c r="H819">
        <v>0</v>
      </c>
      <c r="I819">
        <v>0</v>
      </c>
      <c r="J819" s="107"/>
      <c r="K819" s="107"/>
    </row>
    <row r="820" spans="1:11" x14ac:dyDescent="0.25">
      <c r="A820" s="107" t="s">
        <v>1667</v>
      </c>
      <c r="B820" s="107" t="s">
        <v>1668</v>
      </c>
      <c r="C820" s="107" t="s">
        <v>14</v>
      </c>
      <c r="D820" t="s">
        <v>8</v>
      </c>
      <c r="E820">
        <f t="shared" si="193"/>
        <v>1824056.31</v>
      </c>
      <c r="F820">
        <f>F821+F822+F823+F824+F825</f>
        <v>1824056.31</v>
      </c>
      <c r="G820">
        <f>G821+G822+G823+G824+G825</f>
        <v>0</v>
      </c>
      <c r="H820">
        <f>H821+H822+H823+H824+H825</f>
        <v>0</v>
      </c>
      <c r="I820">
        <f>I821+I822+I823+I824+I825</f>
        <v>0</v>
      </c>
      <c r="J820" s="107" t="s">
        <v>1669</v>
      </c>
      <c r="K820" s="107" t="s">
        <v>1666</v>
      </c>
    </row>
    <row r="821" spans="1:11" x14ac:dyDescent="0.25">
      <c r="A821" s="107"/>
      <c r="B821" s="107"/>
      <c r="C821" s="107"/>
      <c r="D821">
        <v>2021</v>
      </c>
      <c r="E821">
        <f t="shared" si="193"/>
        <v>234667.7</v>
      </c>
      <c r="F821">
        <v>234667.7</v>
      </c>
      <c r="G821">
        <v>0</v>
      </c>
      <c r="H821">
        <v>0</v>
      </c>
      <c r="I821">
        <v>0</v>
      </c>
      <c r="J821" s="107"/>
      <c r="K821" s="107"/>
    </row>
    <row r="822" spans="1:11" x14ac:dyDescent="0.25">
      <c r="A822" s="107"/>
      <c r="B822" s="107"/>
      <c r="C822" s="107"/>
      <c r="D822">
        <v>2022</v>
      </c>
      <c r="E822">
        <f t="shared" si="193"/>
        <v>406582.11</v>
      </c>
      <c r="F822">
        <v>406582.11</v>
      </c>
      <c r="G822">
        <v>0</v>
      </c>
      <c r="H822">
        <v>0</v>
      </c>
      <c r="I822">
        <v>0</v>
      </c>
      <c r="J822" s="107"/>
      <c r="K822" s="107"/>
    </row>
    <row r="823" spans="1:11" x14ac:dyDescent="0.25">
      <c r="A823" s="107"/>
      <c r="B823" s="107"/>
      <c r="C823" s="107"/>
      <c r="D823">
        <v>2023</v>
      </c>
      <c r="E823">
        <f t="shared" si="193"/>
        <v>363265.8</v>
      </c>
      <c r="F823">
        <v>363265.8</v>
      </c>
      <c r="G823">
        <v>0</v>
      </c>
      <c r="H823">
        <v>0</v>
      </c>
      <c r="I823">
        <v>0</v>
      </c>
      <c r="J823" s="107"/>
      <c r="K823" s="107"/>
    </row>
    <row r="824" spans="1:11" x14ac:dyDescent="0.25">
      <c r="A824" s="107"/>
      <c r="B824" s="107"/>
      <c r="C824" s="107"/>
      <c r="D824">
        <v>2024</v>
      </c>
      <c r="E824">
        <f t="shared" si="193"/>
        <v>415099.1</v>
      </c>
      <c r="F824">
        <v>415099.1</v>
      </c>
      <c r="G824">
        <v>0</v>
      </c>
      <c r="H824">
        <v>0</v>
      </c>
      <c r="I824">
        <v>0</v>
      </c>
      <c r="J824" s="107"/>
      <c r="K824" s="107"/>
    </row>
    <row r="825" spans="1:11" x14ac:dyDescent="0.25">
      <c r="A825" s="107"/>
      <c r="B825" s="107"/>
      <c r="C825" s="107"/>
      <c r="D825">
        <v>2025</v>
      </c>
      <c r="E825">
        <f t="shared" si="193"/>
        <v>404441.59999999998</v>
      </c>
      <c r="F825">
        <v>404441.59999999998</v>
      </c>
      <c r="G825">
        <v>0</v>
      </c>
      <c r="H825">
        <v>0</v>
      </c>
      <c r="I825">
        <v>0</v>
      </c>
      <c r="J825" s="107"/>
      <c r="K825" s="107"/>
    </row>
    <row r="826" spans="1:11" x14ac:dyDescent="0.25">
      <c r="A826" s="107" t="s">
        <v>1670</v>
      </c>
      <c r="B826" s="107" t="s">
        <v>1671</v>
      </c>
      <c r="C826" s="107" t="s">
        <v>14</v>
      </c>
      <c r="D826" t="s">
        <v>8</v>
      </c>
      <c r="E826">
        <f t="shared" si="193"/>
        <v>147529.04</v>
      </c>
      <c r="F826">
        <f>F827+F828+F829+F830+F831</f>
        <v>147529.04</v>
      </c>
      <c r="G826">
        <f>G827+G828+G829+G830+G831</f>
        <v>0</v>
      </c>
      <c r="H826">
        <f>H827+H828+H829+H830+H831</f>
        <v>0</v>
      </c>
      <c r="I826">
        <f>I827+I828+I829+I830+I831</f>
        <v>0</v>
      </c>
      <c r="J826" s="107" t="s">
        <v>1672</v>
      </c>
      <c r="K826" s="107" t="s">
        <v>1666</v>
      </c>
    </row>
    <row r="827" spans="1:11" x14ac:dyDescent="0.25">
      <c r="A827" s="107"/>
      <c r="B827" s="107"/>
      <c r="C827" s="107"/>
      <c r="D827">
        <v>2021</v>
      </c>
      <c r="E827">
        <f t="shared" si="193"/>
        <v>25810.799999999999</v>
      </c>
      <c r="F827">
        <v>25810.799999999999</v>
      </c>
      <c r="G827">
        <v>0</v>
      </c>
      <c r="H827">
        <v>0</v>
      </c>
      <c r="I827">
        <v>0</v>
      </c>
      <c r="J827" s="107"/>
      <c r="K827" s="107"/>
    </row>
    <row r="828" spans="1:11" x14ac:dyDescent="0.25">
      <c r="A828" s="107"/>
      <c r="B828" s="107"/>
      <c r="C828" s="107"/>
      <c r="D828">
        <v>2022</v>
      </c>
      <c r="E828">
        <f t="shared" si="193"/>
        <v>28489.040000000001</v>
      </c>
      <c r="F828">
        <v>28489.040000000001</v>
      </c>
      <c r="G828">
        <v>0</v>
      </c>
      <c r="H828">
        <v>0</v>
      </c>
      <c r="I828">
        <v>0</v>
      </c>
      <c r="J828" s="107"/>
      <c r="K828" s="107"/>
    </row>
    <row r="829" spans="1:11" x14ac:dyDescent="0.25">
      <c r="A829" s="107"/>
      <c r="B829" s="107"/>
      <c r="C829" s="107"/>
      <c r="D829">
        <v>2023</v>
      </c>
      <c r="E829">
        <f t="shared" si="193"/>
        <v>29790.400000000001</v>
      </c>
      <c r="F829">
        <v>29790.400000000001</v>
      </c>
      <c r="G829">
        <v>0</v>
      </c>
      <c r="H829">
        <v>0</v>
      </c>
      <c r="I829">
        <v>0</v>
      </c>
      <c r="J829" s="107"/>
      <c r="K829" s="107"/>
    </row>
    <row r="830" spans="1:11" x14ac:dyDescent="0.25">
      <c r="A830" s="107"/>
      <c r="B830" s="107"/>
      <c r="C830" s="107"/>
      <c r="D830">
        <v>2024</v>
      </c>
      <c r="E830">
        <f t="shared" si="193"/>
        <v>31071.1</v>
      </c>
      <c r="F830">
        <v>31071.1</v>
      </c>
      <c r="G830">
        <v>0</v>
      </c>
      <c r="H830">
        <v>0</v>
      </c>
      <c r="I830">
        <v>0</v>
      </c>
      <c r="J830" s="107"/>
      <c r="K830" s="107"/>
    </row>
    <row r="831" spans="1:11" x14ac:dyDescent="0.25">
      <c r="A831" s="107"/>
      <c r="B831" s="107"/>
      <c r="C831" s="107"/>
      <c r="D831">
        <v>2025</v>
      </c>
      <c r="E831">
        <f t="shared" si="193"/>
        <v>32367.7</v>
      </c>
      <c r="F831">
        <v>32367.7</v>
      </c>
      <c r="G831">
        <v>0</v>
      </c>
      <c r="H831">
        <v>0</v>
      </c>
      <c r="I831">
        <v>0</v>
      </c>
      <c r="J831" s="107"/>
      <c r="K831" s="107"/>
    </row>
    <row r="832" spans="1:11" x14ac:dyDescent="0.25">
      <c r="A832" s="107" t="s">
        <v>1673</v>
      </c>
      <c r="B832" s="107" t="s">
        <v>1674</v>
      </c>
      <c r="C832" s="107" t="s">
        <v>14</v>
      </c>
      <c r="D832" t="s">
        <v>8</v>
      </c>
      <c r="E832">
        <f t="shared" si="193"/>
        <v>965135.2</v>
      </c>
      <c r="F832">
        <f>F833+F834+F835+F836+F837</f>
        <v>965135.2</v>
      </c>
      <c r="G832">
        <f>G833+G834+G835+G836+G837</f>
        <v>0</v>
      </c>
      <c r="H832">
        <f>H833+H834+H835+H836+H837</f>
        <v>0</v>
      </c>
      <c r="I832">
        <f>I833+I834+I835+I836+I837</f>
        <v>0</v>
      </c>
      <c r="J832" s="107" t="s">
        <v>1675</v>
      </c>
      <c r="K832" s="107" t="s">
        <v>1676</v>
      </c>
    </row>
    <row r="833" spans="1:11" x14ac:dyDescent="0.25">
      <c r="A833" s="107"/>
      <c r="B833" s="107"/>
      <c r="C833" s="107"/>
      <c r="D833">
        <v>2021</v>
      </c>
      <c r="E833">
        <f t="shared" si="193"/>
        <v>965135.2</v>
      </c>
      <c r="F833">
        <v>965135.2</v>
      </c>
      <c r="G833">
        <v>0</v>
      </c>
      <c r="H833">
        <v>0</v>
      </c>
      <c r="I833">
        <v>0</v>
      </c>
      <c r="J833" s="107"/>
      <c r="K833" s="107"/>
    </row>
    <row r="834" spans="1:11" x14ac:dyDescent="0.25">
      <c r="A834" s="107"/>
      <c r="B834" s="107"/>
      <c r="C834" s="107"/>
      <c r="D834">
        <v>2022</v>
      </c>
      <c r="E834">
        <f t="shared" si="193"/>
        <v>0</v>
      </c>
      <c r="F834">
        <v>0</v>
      </c>
      <c r="G834">
        <v>0</v>
      </c>
      <c r="H834">
        <v>0</v>
      </c>
      <c r="I834">
        <v>0</v>
      </c>
      <c r="J834" s="107"/>
      <c r="K834" s="107"/>
    </row>
    <row r="835" spans="1:11" x14ac:dyDescent="0.25">
      <c r="A835" s="107"/>
      <c r="B835" s="107"/>
      <c r="C835" s="107"/>
      <c r="D835">
        <v>2023</v>
      </c>
      <c r="E835">
        <f t="shared" si="193"/>
        <v>0</v>
      </c>
      <c r="F835">
        <v>0</v>
      </c>
      <c r="G835">
        <v>0</v>
      </c>
      <c r="H835">
        <v>0</v>
      </c>
      <c r="I835">
        <v>0</v>
      </c>
      <c r="J835" s="107"/>
      <c r="K835" s="107"/>
    </row>
    <row r="836" spans="1:11" x14ac:dyDescent="0.25">
      <c r="A836" s="107"/>
      <c r="B836" s="107"/>
      <c r="C836" s="107"/>
      <c r="D836">
        <v>2024</v>
      </c>
      <c r="E836">
        <f t="shared" si="193"/>
        <v>0</v>
      </c>
      <c r="F836">
        <v>0</v>
      </c>
      <c r="G836">
        <v>0</v>
      </c>
      <c r="H836">
        <v>0</v>
      </c>
      <c r="I836">
        <v>0</v>
      </c>
      <c r="J836" s="107"/>
      <c r="K836" s="107"/>
    </row>
    <row r="837" spans="1:11" ht="27" customHeight="1" x14ac:dyDescent="0.25">
      <c r="A837" s="107"/>
      <c r="B837" s="107"/>
      <c r="C837" s="107"/>
      <c r="D837">
        <v>2025</v>
      </c>
      <c r="E837">
        <f t="shared" si="193"/>
        <v>0</v>
      </c>
      <c r="F837">
        <v>0</v>
      </c>
      <c r="G837">
        <v>0</v>
      </c>
      <c r="H837">
        <v>0</v>
      </c>
      <c r="I837">
        <v>0</v>
      </c>
      <c r="J837" s="107"/>
      <c r="K837" s="107"/>
    </row>
    <row r="838" spans="1:11" x14ac:dyDescent="0.25">
      <c r="A838" s="107" t="s">
        <v>1677</v>
      </c>
      <c r="B838" s="107" t="s">
        <v>1678</v>
      </c>
      <c r="C838" s="107" t="s">
        <v>14</v>
      </c>
      <c r="D838" t="s">
        <v>8</v>
      </c>
      <c r="E838">
        <f t="shared" si="193"/>
        <v>4483113.3899999997</v>
      </c>
      <c r="F838">
        <f>F839+F840+F841+F842+F843</f>
        <v>4483113.3899999997</v>
      </c>
      <c r="G838">
        <f>G839+G840+G841+G842+G843</f>
        <v>0</v>
      </c>
      <c r="H838">
        <f>H839+H840+H841+H842+H843</f>
        <v>0</v>
      </c>
      <c r="I838">
        <f>I839+I840+I841+I842+I843</f>
        <v>0</v>
      </c>
      <c r="J838" s="107" t="s">
        <v>1679</v>
      </c>
      <c r="K838" s="107" t="s">
        <v>1680</v>
      </c>
    </row>
    <row r="839" spans="1:11" x14ac:dyDescent="0.25">
      <c r="A839" s="107"/>
      <c r="B839" s="107"/>
      <c r="C839" s="107"/>
      <c r="D839">
        <v>2021</v>
      </c>
      <c r="E839">
        <f t="shared" si="193"/>
        <v>2821576.6</v>
      </c>
      <c r="F839">
        <v>2821576.6</v>
      </c>
      <c r="G839">
        <v>0</v>
      </c>
      <c r="H839">
        <v>0</v>
      </c>
      <c r="I839">
        <v>0</v>
      </c>
      <c r="J839" s="107"/>
      <c r="K839" s="107"/>
    </row>
    <row r="840" spans="1:11" x14ac:dyDescent="0.25">
      <c r="A840" s="107"/>
      <c r="B840" s="107"/>
      <c r="C840" s="107"/>
      <c r="D840">
        <v>2022</v>
      </c>
      <c r="E840">
        <f t="shared" si="193"/>
        <v>1107443.2</v>
      </c>
      <c r="F840">
        <v>1107443.2</v>
      </c>
      <c r="G840">
        <v>0</v>
      </c>
      <c r="H840">
        <v>0</v>
      </c>
      <c r="I840">
        <v>0</v>
      </c>
      <c r="J840" s="107"/>
      <c r="K840" s="107"/>
    </row>
    <row r="841" spans="1:11" x14ac:dyDescent="0.25">
      <c r="A841" s="107"/>
      <c r="B841" s="107"/>
      <c r="C841" s="107"/>
      <c r="D841">
        <v>2023</v>
      </c>
      <c r="E841">
        <f t="shared" si="193"/>
        <v>554093.59000000008</v>
      </c>
      <c r="F841">
        <f>33683.5+520410.09</f>
        <v>554093.59000000008</v>
      </c>
      <c r="G841">
        <v>0</v>
      </c>
      <c r="H841">
        <v>0</v>
      </c>
      <c r="I841">
        <v>0</v>
      </c>
      <c r="J841" s="107"/>
      <c r="K841" s="107"/>
    </row>
    <row r="842" spans="1:11" x14ac:dyDescent="0.25">
      <c r="A842" s="107"/>
      <c r="B842" s="107"/>
      <c r="C842" s="107"/>
      <c r="D842">
        <v>2024</v>
      </c>
      <c r="E842">
        <f t="shared" ref="E842:E905" si="196">F842+G842+H842+I842</f>
        <v>0</v>
      </c>
      <c r="F842">
        <v>0</v>
      </c>
      <c r="G842">
        <v>0</v>
      </c>
      <c r="H842">
        <v>0</v>
      </c>
      <c r="I842">
        <v>0</v>
      </c>
      <c r="J842" s="107"/>
      <c r="K842" s="107"/>
    </row>
    <row r="843" spans="1:11" x14ac:dyDescent="0.25">
      <c r="A843" s="107"/>
      <c r="B843" s="107"/>
      <c r="C843" s="107"/>
      <c r="D843">
        <v>2025</v>
      </c>
      <c r="E843">
        <f t="shared" si="196"/>
        <v>0</v>
      </c>
      <c r="F843">
        <v>0</v>
      </c>
      <c r="G843">
        <v>0</v>
      </c>
      <c r="H843">
        <v>0</v>
      </c>
      <c r="I843">
        <v>0</v>
      </c>
      <c r="J843" s="107"/>
      <c r="K843" s="107"/>
    </row>
    <row r="844" spans="1:11" x14ac:dyDescent="0.25">
      <c r="A844" s="107" t="s">
        <v>1681</v>
      </c>
      <c r="B844" s="107" t="s">
        <v>1682</v>
      </c>
      <c r="C844" s="107" t="s">
        <v>828</v>
      </c>
      <c r="D844" t="s">
        <v>8</v>
      </c>
      <c r="E844">
        <f t="shared" si="196"/>
        <v>36437.321000000004</v>
      </c>
      <c r="F844">
        <v>36437.321000000004</v>
      </c>
      <c r="G844">
        <v>0</v>
      </c>
      <c r="H844">
        <v>0</v>
      </c>
      <c r="I844">
        <v>0</v>
      </c>
      <c r="J844" s="107" t="s">
        <v>1683</v>
      </c>
      <c r="K844" s="107" t="s">
        <v>1666</v>
      </c>
    </row>
    <row r="845" spans="1:11" x14ac:dyDescent="0.25">
      <c r="A845" s="107"/>
      <c r="B845" s="107"/>
      <c r="C845" s="107"/>
      <c r="D845">
        <v>2021</v>
      </c>
      <c r="E845">
        <f t="shared" si="196"/>
        <v>36437.321000000004</v>
      </c>
      <c r="F845">
        <v>36437.321000000004</v>
      </c>
      <c r="G845">
        <v>0</v>
      </c>
      <c r="H845">
        <v>0</v>
      </c>
      <c r="I845">
        <v>0</v>
      </c>
      <c r="J845" s="107"/>
      <c r="K845" s="107"/>
    </row>
    <row r="846" spans="1:11" x14ac:dyDescent="0.25">
      <c r="A846" s="107"/>
      <c r="B846" s="107"/>
      <c r="C846" s="107"/>
      <c r="D846">
        <v>2022</v>
      </c>
      <c r="E846">
        <f t="shared" si="196"/>
        <v>0</v>
      </c>
      <c r="F846">
        <v>0</v>
      </c>
      <c r="G846">
        <v>0</v>
      </c>
      <c r="H846">
        <v>0</v>
      </c>
      <c r="I846">
        <v>0</v>
      </c>
      <c r="J846" s="107"/>
      <c r="K846" s="107"/>
    </row>
    <row r="847" spans="1:11" x14ac:dyDescent="0.25">
      <c r="A847" s="107"/>
      <c r="B847" s="107"/>
      <c r="C847" s="107"/>
      <c r="D847">
        <v>2023</v>
      </c>
      <c r="E847">
        <f t="shared" si="196"/>
        <v>0</v>
      </c>
      <c r="F847">
        <v>0</v>
      </c>
      <c r="G847">
        <v>0</v>
      </c>
      <c r="H847">
        <v>0</v>
      </c>
      <c r="I847">
        <v>0</v>
      </c>
      <c r="J847" s="107"/>
      <c r="K847" s="107"/>
    </row>
    <row r="848" spans="1:11" x14ac:dyDescent="0.25">
      <c r="A848" s="107"/>
      <c r="B848" s="107"/>
      <c r="C848" s="107"/>
      <c r="D848">
        <v>2024</v>
      </c>
      <c r="E848">
        <f t="shared" si="196"/>
        <v>0</v>
      </c>
      <c r="F848">
        <v>0</v>
      </c>
      <c r="G848">
        <v>0</v>
      </c>
      <c r="H848">
        <v>0</v>
      </c>
      <c r="I848">
        <v>0</v>
      </c>
      <c r="J848" s="107"/>
      <c r="K848" s="107"/>
    </row>
    <row r="849" spans="1:11" x14ac:dyDescent="0.25">
      <c r="A849" s="107"/>
      <c r="B849" s="107"/>
      <c r="C849" s="107"/>
      <c r="D849">
        <v>2025</v>
      </c>
      <c r="E849">
        <f t="shared" si="196"/>
        <v>0</v>
      </c>
      <c r="F849">
        <v>0</v>
      </c>
      <c r="G849">
        <v>0</v>
      </c>
      <c r="H849">
        <v>0</v>
      </c>
      <c r="I849">
        <v>0</v>
      </c>
      <c r="J849" s="107"/>
      <c r="K849" s="107"/>
    </row>
    <row r="850" spans="1:11" x14ac:dyDescent="0.25">
      <c r="A850" s="107" t="s">
        <v>1684</v>
      </c>
      <c r="B850" s="107" t="s">
        <v>1685</v>
      </c>
      <c r="C850" s="107" t="s">
        <v>828</v>
      </c>
      <c r="D850" t="s">
        <v>8</v>
      </c>
      <c r="E850">
        <f t="shared" si="196"/>
        <v>17306.36</v>
      </c>
      <c r="F850">
        <f>F851+F852+F853+F854+F855</f>
        <v>17306.36</v>
      </c>
      <c r="G850">
        <f>G851+G852+G853+G854+G855</f>
        <v>0</v>
      </c>
      <c r="H850">
        <f>H851+H852+H853+H854+H855</f>
        <v>0</v>
      </c>
      <c r="I850">
        <f>I851+I852+I853+I854+I855</f>
        <v>0</v>
      </c>
      <c r="J850" s="107" t="s">
        <v>1686</v>
      </c>
      <c r="K850" s="107" t="s">
        <v>1666</v>
      </c>
    </row>
    <row r="851" spans="1:11" x14ac:dyDescent="0.25">
      <c r="A851" s="107"/>
      <c r="B851" s="107"/>
      <c r="C851" s="107"/>
      <c r="D851">
        <v>2021</v>
      </c>
      <c r="E851">
        <f t="shared" si="196"/>
        <v>17306.36</v>
      </c>
      <c r="F851">
        <v>17306.36</v>
      </c>
      <c r="G851">
        <v>0</v>
      </c>
      <c r="H851">
        <v>0</v>
      </c>
      <c r="I851">
        <v>0</v>
      </c>
      <c r="J851" s="107"/>
      <c r="K851" s="107"/>
    </row>
    <row r="852" spans="1:11" x14ac:dyDescent="0.25">
      <c r="A852" s="107"/>
      <c r="B852" s="107"/>
      <c r="C852" s="107"/>
      <c r="D852">
        <v>2022</v>
      </c>
      <c r="E852">
        <f t="shared" si="196"/>
        <v>0</v>
      </c>
      <c r="F852">
        <v>0</v>
      </c>
      <c r="G852">
        <v>0</v>
      </c>
      <c r="H852">
        <v>0</v>
      </c>
      <c r="I852">
        <v>0</v>
      </c>
      <c r="J852" s="107"/>
      <c r="K852" s="107"/>
    </row>
    <row r="853" spans="1:11" x14ac:dyDescent="0.25">
      <c r="A853" s="107"/>
      <c r="B853" s="107"/>
      <c r="C853" s="107"/>
      <c r="D853">
        <v>2023</v>
      </c>
      <c r="E853">
        <f t="shared" si="196"/>
        <v>0</v>
      </c>
      <c r="F853">
        <v>0</v>
      </c>
      <c r="G853">
        <v>0</v>
      </c>
      <c r="H853">
        <v>0</v>
      </c>
      <c r="I853">
        <v>0</v>
      </c>
      <c r="J853" s="107"/>
      <c r="K853" s="107"/>
    </row>
    <row r="854" spans="1:11" x14ac:dyDescent="0.25">
      <c r="A854" s="107"/>
      <c r="B854" s="107"/>
      <c r="C854" s="107"/>
      <c r="D854">
        <v>2024</v>
      </c>
      <c r="E854">
        <f t="shared" si="196"/>
        <v>0</v>
      </c>
      <c r="F854">
        <v>0</v>
      </c>
      <c r="G854">
        <v>0</v>
      </c>
      <c r="H854">
        <v>0</v>
      </c>
      <c r="I854">
        <v>0</v>
      </c>
      <c r="J854" s="107"/>
      <c r="K854" s="107"/>
    </row>
    <row r="855" spans="1:11" x14ac:dyDescent="0.25">
      <c r="A855" s="107"/>
      <c r="B855" s="107"/>
      <c r="C855" s="107"/>
      <c r="D855">
        <v>2025</v>
      </c>
      <c r="E855">
        <f t="shared" si="196"/>
        <v>0</v>
      </c>
      <c r="F855">
        <v>0</v>
      </c>
      <c r="G855">
        <v>0</v>
      </c>
      <c r="H855">
        <v>0</v>
      </c>
      <c r="I855">
        <v>0</v>
      </c>
      <c r="J855" s="107"/>
      <c r="K855" s="107"/>
    </row>
    <row r="856" spans="1:11" x14ac:dyDescent="0.25">
      <c r="A856" s="107" t="s">
        <v>1687</v>
      </c>
      <c r="B856" s="107" t="s">
        <v>1688</v>
      </c>
      <c r="C856" s="107" t="s">
        <v>1113</v>
      </c>
      <c r="D856" t="s">
        <v>8</v>
      </c>
      <c r="E856">
        <f t="shared" si="196"/>
        <v>0</v>
      </c>
      <c r="F856">
        <f>F857+F858+F859+F860+F861</f>
        <v>0</v>
      </c>
      <c r="G856">
        <f>G857+G858+G859+G860+G861</f>
        <v>0</v>
      </c>
      <c r="H856">
        <f>H857+H858+H859+H860+H861</f>
        <v>0</v>
      </c>
      <c r="I856">
        <f>I857+I858+I859+I860+I861</f>
        <v>0</v>
      </c>
      <c r="J856" s="107" t="s">
        <v>1689</v>
      </c>
      <c r="K856" s="107" t="s">
        <v>1666</v>
      </c>
    </row>
    <row r="857" spans="1:11" x14ac:dyDescent="0.25">
      <c r="A857" s="107"/>
      <c r="B857" s="107"/>
      <c r="C857" s="107"/>
      <c r="D857">
        <v>2021</v>
      </c>
      <c r="E857">
        <f t="shared" si="196"/>
        <v>0</v>
      </c>
      <c r="F857">
        <v>0</v>
      </c>
      <c r="G857">
        <v>0</v>
      </c>
      <c r="H857">
        <v>0</v>
      </c>
      <c r="I857">
        <v>0</v>
      </c>
      <c r="J857" s="107"/>
      <c r="K857" s="107"/>
    </row>
    <row r="858" spans="1:11" x14ac:dyDescent="0.25">
      <c r="A858" s="107"/>
      <c r="B858" s="107"/>
      <c r="C858" s="107"/>
      <c r="D858">
        <v>2022</v>
      </c>
      <c r="E858">
        <f t="shared" si="196"/>
        <v>0</v>
      </c>
      <c r="F858">
        <v>0</v>
      </c>
      <c r="G858">
        <v>0</v>
      </c>
      <c r="H858">
        <v>0</v>
      </c>
      <c r="I858">
        <v>0</v>
      </c>
      <c r="J858" s="107"/>
      <c r="K858" s="107"/>
    </row>
    <row r="859" spans="1:11" x14ac:dyDescent="0.25">
      <c r="A859" s="107"/>
      <c r="B859" s="107"/>
      <c r="C859" s="107"/>
      <c r="D859">
        <v>2023</v>
      </c>
      <c r="E859">
        <f t="shared" si="196"/>
        <v>0</v>
      </c>
      <c r="F859">
        <v>0</v>
      </c>
      <c r="G859">
        <v>0</v>
      </c>
      <c r="H859">
        <v>0</v>
      </c>
      <c r="I859">
        <v>0</v>
      </c>
      <c r="J859" s="107"/>
      <c r="K859" s="107"/>
    </row>
    <row r="860" spans="1:11" x14ac:dyDescent="0.25">
      <c r="A860" s="107"/>
      <c r="B860" s="107"/>
      <c r="C860" s="107"/>
      <c r="D860">
        <v>2024</v>
      </c>
      <c r="E860">
        <f t="shared" si="196"/>
        <v>0</v>
      </c>
      <c r="F860">
        <v>0</v>
      </c>
      <c r="G860">
        <v>0</v>
      </c>
      <c r="H860">
        <v>0</v>
      </c>
      <c r="I860">
        <v>0</v>
      </c>
      <c r="J860" s="107"/>
      <c r="K860" s="107"/>
    </row>
    <row r="861" spans="1:11" ht="30" customHeight="1" x14ac:dyDescent="0.25">
      <c r="A861" s="107"/>
      <c r="B861" s="107"/>
      <c r="C861" s="107"/>
      <c r="D861">
        <v>2025</v>
      </c>
      <c r="E861">
        <f t="shared" si="196"/>
        <v>0</v>
      </c>
      <c r="F861">
        <v>0</v>
      </c>
      <c r="G861">
        <v>0</v>
      </c>
      <c r="H861">
        <v>0</v>
      </c>
      <c r="I861">
        <v>0</v>
      </c>
      <c r="J861" s="107"/>
      <c r="K861" s="107"/>
    </row>
    <row r="862" spans="1:11" x14ac:dyDescent="0.25">
      <c r="A862" s="107" t="s">
        <v>1690</v>
      </c>
      <c r="B862" s="107" t="s">
        <v>1691</v>
      </c>
      <c r="C862" s="107" t="s">
        <v>1113</v>
      </c>
      <c r="D862" t="s">
        <v>8</v>
      </c>
      <c r="E862">
        <f t="shared" si="196"/>
        <v>116333.5</v>
      </c>
      <c r="F862">
        <f>F863+F864+F865+F866+F867</f>
        <v>116333.5</v>
      </c>
      <c r="G862">
        <f>G863+G864+G865+G866+G867</f>
        <v>0</v>
      </c>
      <c r="H862">
        <f>H863+H864+H865+H866+H867</f>
        <v>0</v>
      </c>
      <c r="I862">
        <f>I863+I864+I865+I866+I867</f>
        <v>0</v>
      </c>
      <c r="J862" s="107" t="s">
        <v>1692</v>
      </c>
      <c r="K862" s="107" t="s">
        <v>1666</v>
      </c>
    </row>
    <row r="863" spans="1:11" x14ac:dyDescent="0.25">
      <c r="A863" s="107"/>
      <c r="B863" s="107"/>
      <c r="C863" s="107"/>
      <c r="D863">
        <v>2021</v>
      </c>
      <c r="E863">
        <f t="shared" si="196"/>
        <v>0</v>
      </c>
      <c r="F863">
        <v>0</v>
      </c>
      <c r="G863">
        <v>0</v>
      </c>
      <c r="H863">
        <v>0</v>
      </c>
      <c r="I863">
        <v>0</v>
      </c>
      <c r="J863" s="107"/>
      <c r="K863" s="107"/>
    </row>
    <row r="864" spans="1:11" x14ac:dyDescent="0.25">
      <c r="A864" s="107"/>
      <c r="B864" s="107"/>
      <c r="C864" s="107"/>
      <c r="D864">
        <v>2022</v>
      </c>
      <c r="E864">
        <f t="shared" si="196"/>
        <v>116333.5</v>
      </c>
      <c r="F864">
        <v>116333.5</v>
      </c>
      <c r="G864">
        <v>0</v>
      </c>
      <c r="H864">
        <v>0</v>
      </c>
      <c r="I864">
        <v>0</v>
      </c>
      <c r="J864" s="107"/>
      <c r="K864" s="107"/>
    </row>
    <row r="865" spans="1:11" x14ac:dyDescent="0.25">
      <c r="A865" s="107"/>
      <c r="B865" s="107"/>
      <c r="C865" s="107"/>
      <c r="D865">
        <v>2023</v>
      </c>
      <c r="E865">
        <f t="shared" si="196"/>
        <v>0</v>
      </c>
      <c r="F865">
        <v>0</v>
      </c>
      <c r="G865">
        <v>0</v>
      </c>
      <c r="H865">
        <v>0</v>
      </c>
      <c r="I865">
        <v>0</v>
      </c>
      <c r="J865" s="107"/>
      <c r="K865" s="107"/>
    </row>
    <row r="866" spans="1:11" x14ac:dyDescent="0.25">
      <c r="A866" s="107"/>
      <c r="B866" s="107"/>
      <c r="C866" s="107"/>
      <c r="D866">
        <v>2024</v>
      </c>
      <c r="E866">
        <f t="shared" si="196"/>
        <v>0</v>
      </c>
      <c r="F866">
        <v>0</v>
      </c>
      <c r="G866">
        <v>0</v>
      </c>
      <c r="H866">
        <v>0</v>
      </c>
      <c r="I866">
        <v>0</v>
      </c>
      <c r="J866" s="107"/>
      <c r="K866" s="107"/>
    </row>
    <row r="867" spans="1:11" x14ac:dyDescent="0.25">
      <c r="A867" s="107"/>
      <c r="B867" s="107"/>
      <c r="C867" s="107"/>
      <c r="D867">
        <v>2025</v>
      </c>
      <c r="E867">
        <f t="shared" si="196"/>
        <v>0</v>
      </c>
      <c r="F867">
        <v>0</v>
      </c>
      <c r="G867">
        <v>0</v>
      </c>
      <c r="H867">
        <v>0</v>
      </c>
      <c r="I867">
        <v>0</v>
      </c>
      <c r="J867" s="107"/>
      <c r="K867" s="107"/>
    </row>
    <row r="868" spans="1:11" x14ac:dyDescent="0.25">
      <c r="A868" s="107" t="s">
        <v>1693</v>
      </c>
      <c r="B868" s="107" t="s">
        <v>1694</v>
      </c>
      <c r="C868" s="107" t="s">
        <v>1113</v>
      </c>
      <c r="D868" t="s">
        <v>8</v>
      </c>
      <c r="E868">
        <f t="shared" si="196"/>
        <v>110116.4</v>
      </c>
      <c r="F868">
        <f>F869+F870+F871+F872+F873</f>
        <v>110116.4</v>
      </c>
      <c r="G868">
        <f>G869+G870+G871+G872+G873</f>
        <v>0</v>
      </c>
      <c r="H868">
        <f>H869+H870+H871+H872+H873</f>
        <v>0</v>
      </c>
      <c r="I868">
        <f>I869+I870+I871+I872+I873</f>
        <v>0</v>
      </c>
      <c r="J868" s="107" t="s">
        <v>1692</v>
      </c>
      <c r="K868" s="107" t="s">
        <v>1666</v>
      </c>
    </row>
    <row r="869" spans="1:11" x14ac:dyDescent="0.25">
      <c r="A869" s="107"/>
      <c r="B869" s="107"/>
      <c r="C869" s="107"/>
      <c r="D869">
        <v>2021</v>
      </c>
      <c r="E869">
        <f t="shared" si="196"/>
        <v>0</v>
      </c>
      <c r="F869">
        <v>0</v>
      </c>
      <c r="G869">
        <v>0</v>
      </c>
      <c r="H869">
        <v>0</v>
      </c>
      <c r="I869">
        <v>0</v>
      </c>
      <c r="J869" s="107"/>
      <c r="K869" s="107"/>
    </row>
    <row r="870" spans="1:11" x14ac:dyDescent="0.25">
      <c r="A870" s="107"/>
      <c r="B870" s="107"/>
      <c r="C870" s="107"/>
      <c r="D870">
        <v>2022</v>
      </c>
      <c r="E870">
        <f t="shared" si="196"/>
        <v>110116.4</v>
      </c>
      <c r="F870">
        <v>110116.4</v>
      </c>
      <c r="G870">
        <v>0</v>
      </c>
      <c r="H870">
        <v>0</v>
      </c>
      <c r="I870">
        <v>0</v>
      </c>
      <c r="J870" s="107"/>
      <c r="K870" s="107"/>
    </row>
    <row r="871" spans="1:11" x14ac:dyDescent="0.25">
      <c r="A871" s="107"/>
      <c r="B871" s="107"/>
      <c r="C871" s="107"/>
      <c r="D871">
        <v>2023</v>
      </c>
      <c r="E871">
        <f t="shared" si="196"/>
        <v>0</v>
      </c>
      <c r="F871">
        <v>0</v>
      </c>
      <c r="G871">
        <v>0</v>
      </c>
      <c r="H871">
        <v>0</v>
      </c>
      <c r="I871">
        <v>0</v>
      </c>
      <c r="J871" s="107"/>
      <c r="K871" s="107"/>
    </row>
    <row r="872" spans="1:11" x14ac:dyDescent="0.25">
      <c r="A872" s="107"/>
      <c r="B872" s="107"/>
      <c r="C872" s="107"/>
      <c r="D872">
        <v>2024</v>
      </c>
      <c r="E872">
        <f t="shared" si="196"/>
        <v>0</v>
      </c>
      <c r="F872">
        <v>0</v>
      </c>
      <c r="G872">
        <v>0</v>
      </c>
      <c r="H872">
        <v>0</v>
      </c>
      <c r="I872">
        <v>0</v>
      </c>
      <c r="J872" s="107"/>
      <c r="K872" s="107"/>
    </row>
    <row r="873" spans="1:11" ht="34.5" customHeight="1" x14ac:dyDescent="0.25">
      <c r="A873" s="107"/>
      <c r="B873" s="107"/>
      <c r="C873" s="107"/>
      <c r="D873">
        <v>2025</v>
      </c>
      <c r="E873">
        <f t="shared" si="196"/>
        <v>0</v>
      </c>
      <c r="F873">
        <v>0</v>
      </c>
      <c r="G873">
        <v>0</v>
      </c>
      <c r="H873">
        <v>0</v>
      </c>
      <c r="I873">
        <v>0</v>
      </c>
      <c r="J873" s="107"/>
      <c r="K873" s="107"/>
    </row>
    <row r="874" spans="1:11" x14ac:dyDescent="0.25">
      <c r="A874" s="107" t="s">
        <v>1695</v>
      </c>
      <c r="B874" s="107" t="s">
        <v>1696</v>
      </c>
      <c r="C874" s="107" t="s">
        <v>14</v>
      </c>
      <c r="D874" t="s">
        <v>8</v>
      </c>
      <c r="E874">
        <f t="shared" si="196"/>
        <v>1122236.72701</v>
      </c>
      <c r="F874">
        <f>F875+F876+F877+F878+F879</f>
        <v>1051153.6270099999</v>
      </c>
      <c r="G874">
        <f>G875+G876+G877+G878+G879</f>
        <v>0</v>
      </c>
      <c r="H874">
        <f>H875+H876+H877+H878+H879</f>
        <v>71083.100000000006</v>
      </c>
      <c r="I874">
        <f>I875+I876+I877+I878+I879</f>
        <v>0</v>
      </c>
      <c r="J874" s="107" t="s">
        <v>1697</v>
      </c>
      <c r="K874" s="107" t="s">
        <v>1698</v>
      </c>
    </row>
    <row r="875" spans="1:11" x14ac:dyDescent="0.25">
      <c r="A875" s="107"/>
      <c r="B875" s="107"/>
      <c r="C875" s="107"/>
      <c r="D875">
        <v>2021</v>
      </c>
      <c r="E875">
        <f t="shared" si="196"/>
        <v>237584.32701000001</v>
      </c>
      <c r="F875">
        <f t="shared" ref="F875:F879" si="197">F881+F887+F893+F899+F905</f>
        <v>228082.02701000002</v>
      </c>
      <c r="G875">
        <f t="shared" ref="G875:I878" si="198">G881+G887+G893+G899+G905</f>
        <v>0</v>
      </c>
      <c r="H875">
        <f t="shared" si="198"/>
        <v>9502.3000000000011</v>
      </c>
      <c r="I875">
        <f t="shared" si="198"/>
        <v>0</v>
      </c>
      <c r="J875" s="107"/>
      <c r="K875" s="107"/>
    </row>
    <row r="876" spans="1:11" x14ac:dyDescent="0.25">
      <c r="A876" s="107"/>
      <c r="B876" s="107"/>
      <c r="C876" s="107"/>
      <c r="D876">
        <v>2022</v>
      </c>
      <c r="E876">
        <f t="shared" si="196"/>
        <v>392219.2</v>
      </c>
      <c r="F876">
        <f t="shared" si="197"/>
        <v>360486.9</v>
      </c>
      <c r="G876">
        <f t="shared" si="198"/>
        <v>0</v>
      </c>
      <c r="H876">
        <f t="shared" si="198"/>
        <v>31732.3</v>
      </c>
      <c r="I876">
        <f t="shared" si="198"/>
        <v>0</v>
      </c>
      <c r="J876" s="107"/>
      <c r="K876" s="107"/>
    </row>
    <row r="877" spans="1:11" x14ac:dyDescent="0.25">
      <c r="A877" s="107"/>
      <c r="B877" s="107"/>
      <c r="C877" s="107"/>
      <c r="D877">
        <v>2023</v>
      </c>
      <c r="E877">
        <f t="shared" si="196"/>
        <v>164144.4</v>
      </c>
      <c r="F877">
        <f t="shared" si="197"/>
        <v>154194.9</v>
      </c>
      <c r="G877">
        <f t="shared" si="198"/>
        <v>0</v>
      </c>
      <c r="H877">
        <f t="shared" si="198"/>
        <v>9949.5</v>
      </c>
      <c r="I877">
        <f t="shared" si="198"/>
        <v>0</v>
      </c>
      <c r="J877" s="107"/>
      <c r="K877" s="107"/>
    </row>
    <row r="878" spans="1:11" x14ac:dyDescent="0.25">
      <c r="A878" s="107"/>
      <c r="B878" s="107"/>
      <c r="C878" s="107"/>
      <c r="D878">
        <v>2024</v>
      </c>
      <c r="E878">
        <f t="shared" si="196"/>
        <v>164144.4</v>
      </c>
      <c r="F878">
        <f t="shared" si="197"/>
        <v>154194.9</v>
      </c>
      <c r="G878">
        <f t="shared" si="198"/>
        <v>0</v>
      </c>
      <c r="H878">
        <f t="shared" si="198"/>
        <v>9949.5</v>
      </c>
      <c r="I878">
        <f t="shared" si="198"/>
        <v>0</v>
      </c>
      <c r="J878" s="107"/>
      <c r="K878" s="107"/>
    </row>
    <row r="879" spans="1:11" x14ac:dyDescent="0.25">
      <c r="A879" s="107"/>
      <c r="B879" s="107"/>
      <c r="C879" s="107"/>
      <c r="D879">
        <v>2025</v>
      </c>
      <c r="E879">
        <f t="shared" si="196"/>
        <v>164144.4</v>
      </c>
      <c r="F879">
        <f t="shared" si="197"/>
        <v>154194.9</v>
      </c>
      <c r="G879">
        <f t="shared" ref="G879:I879" si="199">G885+G891+G897+G903</f>
        <v>0</v>
      </c>
      <c r="H879">
        <f t="shared" si="199"/>
        <v>9949.5</v>
      </c>
      <c r="I879">
        <f t="shared" si="199"/>
        <v>0</v>
      </c>
      <c r="J879" s="107"/>
      <c r="K879" s="107"/>
    </row>
    <row r="880" spans="1:11" x14ac:dyDescent="0.25">
      <c r="A880" s="107" t="s">
        <v>1699</v>
      </c>
      <c r="B880" s="107" t="s">
        <v>1700</v>
      </c>
      <c r="C880" s="107" t="s">
        <v>14</v>
      </c>
      <c r="D880" t="s">
        <v>8</v>
      </c>
      <c r="E880">
        <f t="shared" si="196"/>
        <v>704642.8</v>
      </c>
      <c r="F880">
        <f>F881+F882+F883+F884+F885</f>
        <v>649615.70000000007</v>
      </c>
      <c r="G880">
        <f>G881+G882+G883+G884+G885</f>
        <v>0</v>
      </c>
      <c r="H880">
        <f>H881+H882+H883+H884+H885</f>
        <v>55027.1</v>
      </c>
      <c r="I880">
        <f>I881+I882+I883+I884+I885</f>
        <v>0</v>
      </c>
      <c r="J880" s="107" t="s">
        <v>1701</v>
      </c>
      <c r="K880" s="107" t="s">
        <v>1561</v>
      </c>
    </row>
    <row r="881" spans="1:11" x14ac:dyDescent="0.25">
      <c r="A881" s="107"/>
      <c r="B881" s="107"/>
      <c r="C881" s="107"/>
      <c r="D881">
        <v>2021</v>
      </c>
      <c r="E881">
        <f t="shared" si="196"/>
        <v>98989.7</v>
      </c>
      <c r="F881">
        <v>92295.4</v>
      </c>
      <c r="G881">
        <v>0</v>
      </c>
      <c r="H881">
        <v>6694.3</v>
      </c>
      <c r="I881">
        <v>0</v>
      </c>
      <c r="J881" s="107"/>
      <c r="K881" s="107"/>
    </row>
    <row r="882" spans="1:11" x14ac:dyDescent="0.25">
      <c r="A882" s="107"/>
      <c r="B882" s="107"/>
      <c r="C882" s="107"/>
      <c r="D882">
        <v>2022</v>
      </c>
      <c r="E882">
        <f t="shared" si="196"/>
        <v>311938.7</v>
      </c>
      <c r="F882">
        <v>283518.40000000002</v>
      </c>
      <c r="G882">
        <v>0</v>
      </c>
      <c r="H882">
        <v>28420.3</v>
      </c>
      <c r="I882">
        <v>0</v>
      </c>
      <c r="J882" s="107"/>
      <c r="K882" s="107"/>
    </row>
    <row r="883" spans="1:11" x14ac:dyDescent="0.25">
      <c r="A883" s="107"/>
      <c r="B883" s="107"/>
      <c r="C883" s="107"/>
      <c r="D883">
        <v>2023</v>
      </c>
      <c r="E883">
        <f t="shared" si="196"/>
        <v>97904.8</v>
      </c>
      <c r="F883">
        <v>91267.3</v>
      </c>
      <c r="G883">
        <v>0</v>
      </c>
      <c r="H883">
        <v>6637.5</v>
      </c>
      <c r="I883">
        <v>0</v>
      </c>
      <c r="J883" s="107"/>
      <c r="K883" s="107"/>
    </row>
    <row r="884" spans="1:11" x14ac:dyDescent="0.25">
      <c r="A884" s="107"/>
      <c r="B884" s="107"/>
      <c r="C884" s="107"/>
      <c r="D884">
        <v>2024</v>
      </c>
      <c r="E884">
        <f t="shared" si="196"/>
        <v>97904.8</v>
      </c>
      <c r="F884">
        <v>91267.3</v>
      </c>
      <c r="G884">
        <v>0</v>
      </c>
      <c r="H884">
        <v>6637.5</v>
      </c>
      <c r="I884">
        <v>0</v>
      </c>
      <c r="J884" s="107"/>
      <c r="K884" s="107"/>
    </row>
    <row r="885" spans="1:11" x14ac:dyDescent="0.25">
      <c r="A885" s="107"/>
      <c r="B885" s="107"/>
      <c r="C885" s="107"/>
      <c r="D885">
        <v>2025</v>
      </c>
      <c r="E885">
        <f t="shared" si="196"/>
        <v>97904.8</v>
      </c>
      <c r="F885">
        <v>91267.3</v>
      </c>
      <c r="G885">
        <v>0</v>
      </c>
      <c r="H885">
        <v>6637.5</v>
      </c>
      <c r="I885">
        <v>0</v>
      </c>
      <c r="J885" s="107"/>
      <c r="K885" s="107"/>
    </row>
    <row r="886" spans="1:11" x14ac:dyDescent="0.25">
      <c r="A886" s="107" t="s">
        <v>1702</v>
      </c>
      <c r="B886" s="107" t="s">
        <v>1703</v>
      </c>
      <c r="C886" s="107" t="s">
        <v>14</v>
      </c>
      <c r="D886" t="s">
        <v>8</v>
      </c>
      <c r="E886">
        <f t="shared" si="196"/>
        <v>319407.89999999997</v>
      </c>
      <c r="F886">
        <f>F887+F888+F889+F890+F891</f>
        <v>303582.09999999998</v>
      </c>
      <c r="G886">
        <f>G887+G888+G889+G890+G891</f>
        <v>0</v>
      </c>
      <c r="H886">
        <f>H887+H888+H889+H890+H891</f>
        <v>15825.8</v>
      </c>
      <c r="I886">
        <f>I887+I888+I889+I890+I891</f>
        <v>0</v>
      </c>
      <c r="J886" s="107" t="s">
        <v>1703</v>
      </c>
      <c r="K886" s="107" t="s">
        <v>1561</v>
      </c>
    </row>
    <row r="887" spans="1:11" x14ac:dyDescent="0.25">
      <c r="A887" s="107"/>
      <c r="B887" s="107"/>
      <c r="C887" s="107"/>
      <c r="D887">
        <v>2021</v>
      </c>
      <c r="E887">
        <f t="shared" si="196"/>
        <v>51557.600000000006</v>
      </c>
      <c r="F887">
        <v>48979.8</v>
      </c>
      <c r="G887">
        <v>0</v>
      </c>
      <c r="H887">
        <v>2577.8000000000002</v>
      </c>
      <c r="I887">
        <v>0</v>
      </c>
      <c r="J887" s="107"/>
      <c r="K887" s="107"/>
    </row>
    <row r="888" spans="1:11" x14ac:dyDescent="0.25">
      <c r="A888" s="107"/>
      <c r="B888" s="107"/>
      <c r="C888" s="107"/>
      <c r="D888">
        <v>2022</v>
      </c>
      <c r="E888">
        <f t="shared" si="196"/>
        <v>69131.5</v>
      </c>
      <c r="F888">
        <v>65819.5</v>
      </c>
      <c r="G888">
        <v>0</v>
      </c>
      <c r="H888">
        <v>3312</v>
      </c>
      <c r="I888">
        <v>0</v>
      </c>
      <c r="J888" s="107"/>
      <c r="K888" s="107"/>
    </row>
    <row r="889" spans="1:11" x14ac:dyDescent="0.25">
      <c r="A889" s="107"/>
      <c r="B889" s="107"/>
      <c r="C889" s="107"/>
      <c r="D889">
        <v>2023</v>
      </c>
      <c r="E889">
        <f t="shared" si="196"/>
        <v>66239.600000000006</v>
      </c>
      <c r="F889">
        <v>62927.6</v>
      </c>
      <c r="G889">
        <v>0</v>
      </c>
      <c r="H889">
        <v>3312</v>
      </c>
      <c r="I889">
        <v>0</v>
      </c>
      <c r="J889" s="107"/>
      <c r="K889" s="107"/>
    </row>
    <row r="890" spans="1:11" x14ac:dyDescent="0.25">
      <c r="A890" s="107"/>
      <c r="B890" s="107"/>
      <c r="C890" s="107"/>
      <c r="D890">
        <v>2024</v>
      </c>
      <c r="E890">
        <f t="shared" si="196"/>
        <v>66239.600000000006</v>
      </c>
      <c r="F890">
        <v>62927.6</v>
      </c>
      <c r="G890">
        <v>0</v>
      </c>
      <c r="H890">
        <v>3312</v>
      </c>
      <c r="I890">
        <v>0</v>
      </c>
      <c r="J890" s="107"/>
      <c r="K890" s="107"/>
    </row>
    <row r="891" spans="1:11" x14ac:dyDescent="0.25">
      <c r="A891" s="107"/>
      <c r="B891" s="107"/>
      <c r="C891" s="107"/>
      <c r="D891">
        <v>2025</v>
      </c>
      <c r="E891">
        <f t="shared" si="196"/>
        <v>66239.600000000006</v>
      </c>
      <c r="F891">
        <v>62927.6</v>
      </c>
      <c r="G891">
        <v>0</v>
      </c>
      <c r="H891">
        <v>3312</v>
      </c>
      <c r="I891">
        <v>0</v>
      </c>
      <c r="J891" s="107"/>
      <c r="K891" s="107"/>
    </row>
    <row r="892" spans="1:11" x14ac:dyDescent="0.25">
      <c r="A892" s="107" t="s">
        <v>1704</v>
      </c>
      <c r="B892" s="107" t="s">
        <v>1705</v>
      </c>
      <c r="C892" s="107" t="s">
        <v>14</v>
      </c>
      <c r="D892" t="s">
        <v>8</v>
      </c>
      <c r="E892">
        <f t="shared" si="196"/>
        <v>82432.827010000008</v>
      </c>
      <c r="F892">
        <f>F893+F894+F895+F896+F897</f>
        <v>82432.827010000008</v>
      </c>
      <c r="G892">
        <f>G893+G894+G895+G896+G897</f>
        <v>0</v>
      </c>
      <c r="H892">
        <f>H893+H894+H895+H896+H897</f>
        <v>0</v>
      </c>
      <c r="I892">
        <f>I893+I894+I895+I896+I897</f>
        <v>0</v>
      </c>
      <c r="J892" s="107" t="s">
        <v>1706</v>
      </c>
      <c r="K892" s="107" t="s">
        <v>1561</v>
      </c>
    </row>
    <row r="893" spans="1:11" x14ac:dyDescent="0.25">
      <c r="A893" s="107"/>
      <c r="B893" s="107"/>
      <c r="C893" s="107"/>
      <c r="D893">
        <v>2021</v>
      </c>
      <c r="E893">
        <f t="shared" si="196"/>
        <v>82432.827010000008</v>
      </c>
      <c r="F893">
        <f>82432827.01/1000</f>
        <v>82432.827010000008</v>
      </c>
      <c r="G893">
        <v>0</v>
      </c>
      <c r="H893">
        <v>0</v>
      </c>
      <c r="I893">
        <v>0</v>
      </c>
      <c r="J893" s="107"/>
      <c r="K893" s="107"/>
    </row>
    <row r="894" spans="1:11" x14ac:dyDescent="0.25">
      <c r="A894" s="107"/>
      <c r="B894" s="107"/>
      <c r="C894" s="107"/>
      <c r="D894">
        <v>2022</v>
      </c>
      <c r="E894">
        <f t="shared" si="196"/>
        <v>0</v>
      </c>
      <c r="F894">
        <v>0</v>
      </c>
      <c r="G894">
        <v>0</v>
      </c>
      <c r="H894">
        <v>0</v>
      </c>
      <c r="I894">
        <v>0</v>
      </c>
      <c r="J894" s="107"/>
      <c r="K894" s="107"/>
    </row>
    <row r="895" spans="1:11" x14ac:dyDescent="0.25">
      <c r="A895" s="107"/>
      <c r="B895" s="107"/>
      <c r="C895" s="107"/>
      <c r="D895">
        <v>2023</v>
      </c>
      <c r="E895">
        <f t="shared" si="196"/>
        <v>0</v>
      </c>
      <c r="F895">
        <v>0</v>
      </c>
      <c r="G895">
        <v>0</v>
      </c>
      <c r="H895">
        <v>0</v>
      </c>
      <c r="I895">
        <v>0</v>
      </c>
      <c r="J895" s="107"/>
      <c r="K895" s="107"/>
    </row>
    <row r="896" spans="1:11" x14ac:dyDescent="0.25">
      <c r="A896" s="107"/>
      <c r="B896" s="107"/>
      <c r="C896" s="107"/>
      <c r="D896">
        <v>2024</v>
      </c>
      <c r="E896">
        <f t="shared" si="196"/>
        <v>0</v>
      </c>
      <c r="F896">
        <v>0</v>
      </c>
      <c r="G896">
        <v>0</v>
      </c>
      <c r="H896">
        <v>0</v>
      </c>
      <c r="I896">
        <v>0</v>
      </c>
      <c r="J896" s="107"/>
      <c r="K896" s="107"/>
    </row>
    <row r="897" spans="1:11" x14ac:dyDescent="0.25">
      <c r="A897" s="107"/>
      <c r="B897" s="107"/>
      <c r="C897" s="107"/>
      <c r="D897">
        <v>2025</v>
      </c>
      <c r="E897">
        <f t="shared" si="196"/>
        <v>0</v>
      </c>
      <c r="F897">
        <v>0</v>
      </c>
      <c r="G897">
        <v>0</v>
      </c>
      <c r="H897">
        <v>0</v>
      </c>
      <c r="I897">
        <v>0</v>
      </c>
      <c r="J897" s="107"/>
      <c r="K897" s="107"/>
    </row>
    <row r="898" spans="1:11" x14ac:dyDescent="0.25">
      <c r="A898" s="107" t="s">
        <v>1707</v>
      </c>
      <c r="B898" s="107" t="s">
        <v>1708</v>
      </c>
      <c r="C898" s="107" t="s">
        <v>14</v>
      </c>
      <c r="D898" t="s">
        <v>8</v>
      </c>
      <c r="E898">
        <f t="shared" si="196"/>
        <v>4604.2</v>
      </c>
      <c r="F898">
        <f>F899+F900+F901+F902+F903</f>
        <v>4374</v>
      </c>
      <c r="G898">
        <f>G899+G900+G901+G902+G903</f>
        <v>0</v>
      </c>
      <c r="H898">
        <f>H899+H900+H901+H902+H903</f>
        <v>230.2</v>
      </c>
      <c r="I898">
        <f>I899+I900+I901+I902+I903</f>
        <v>0</v>
      </c>
      <c r="J898" s="107" t="s">
        <v>1709</v>
      </c>
      <c r="K898" s="107" t="s">
        <v>1561</v>
      </c>
    </row>
    <row r="899" spans="1:11" x14ac:dyDescent="0.25">
      <c r="A899" s="107"/>
      <c r="B899" s="107"/>
      <c r="C899" s="107"/>
      <c r="D899">
        <v>2021</v>
      </c>
      <c r="E899">
        <f t="shared" si="196"/>
        <v>4604.2</v>
      </c>
      <c r="F899">
        <v>4374</v>
      </c>
      <c r="G899">
        <v>0</v>
      </c>
      <c r="H899">
        <v>230.2</v>
      </c>
      <c r="I899">
        <v>0</v>
      </c>
      <c r="J899" s="107"/>
      <c r="K899" s="107"/>
    </row>
    <row r="900" spans="1:11" x14ac:dyDescent="0.25">
      <c r="A900" s="107"/>
      <c r="B900" s="107"/>
      <c r="C900" s="107"/>
      <c r="D900">
        <v>2022</v>
      </c>
      <c r="E900">
        <f t="shared" si="196"/>
        <v>0</v>
      </c>
      <c r="F900">
        <v>0</v>
      </c>
      <c r="G900">
        <v>0</v>
      </c>
      <c r="H900">
        <v>0</v>
      </c>
      <c r="I900">
        <v>0</v>
      </c>
      <c r="J900" s="107"/>
      <c r="K900" s="107"/>
    </row>
    <row r="901" spans="1:11" x14ac:dyDescent="0.25">
      <c r="A901" s="107"/>
      <c r="B901" s="107"/>
      <c r="C901" s="107"/>
      <c r="D901">
        <v>2023</v>
      </c>
      <c r="E901">
        <f t="shared" si="196"/>
        <v>0</v>
      </c>
      <c r="F901">
        <v>0</v>
      </c>
      <c r="G901">
        <v>0</v>
      </c>
      <c r="H901">
        <v>0</v>
      </c>
      <c r="I901">
        <v>0</v>
      </c>
      <c r="J901" s="107"/>
      <c r="K901" s="107"/>
    </row>
    <row r="902" spans="1:11" x14ac:dyDescent="0.25">
      <c r="A902" s="107"/>
      <c r="B902" s="107"/>
      <c r="C902" s="107"/>
      <c r="D902">
        <v>2024</v>
      </c>
      <c r="E902">
        <f t="shared" si="196"/>
        <v>0</v>
      </c>
      <c r="F902">
        <v>0</v>
      </c>
      <c r="G902">
        <v>0</v>
      </c>
      <c r="H902">
        <v>0</v>
      </c>
      <c r="I902">
        <v>0</v>
      </c>
      <c r="J902" s="107"/>
      <c r="K902" s="107"/>
    </row>
    <row r="903" spans="1:11" x14ac:dyDescent="0.25">
      <c r="A903" s="107"/>
      <c r="B903" s="107"/>
      <c r="C903" s="107"/>
      <c r="D903">
        <v>2025</v>
      </c>
      <c r="E903">
        <f t="shared" si="196"/>
        <v>0</v>
      </c>
      <c r="F903">
        <v>0</v>
      </c>
      <c r="G903">
        <v>0</v>
      </c>
      <c r="H903">
        <v>0</v>
      </c>
      <c r="I903">
        <v>0</v>
      </c>
      <c r="J903" s="107"/>
      <c r="K903" s="107"/>
    </row>
    <row r="904" spans="1:11" x14ac:dyDescent="0.25">
      <c r="A904" s="107" t="s">
        <v>1710</v>
      </c>
      <c r="B904" s="107" t="s">
        <v>1711</v>
      </c>
      <c r="C904" s="107" t="s">
        <v>1113</v>
      </c>
      <c r="D904" t="s">
        <v>8</v>
      </c>
      <c r="E904">
        <f t="shared" si="196"/>
        <v>11149</v>
      </c>
      <c r="F904">
        <f>F905+F906+F907+F908+F909</f>
        <v>11149</v>
      </c>
      <c r="G904">
        <f>G905+G906+G907+G908+G909</f>
        <v>0</v>
      </c>
      <c r="H904">
        <f>H905+H906+H907+H908+H909</f>
        <v>0</v>
      </c>
      <c r="I904">
        <f>I905+I906+I907+I908+I909</f>
        <v>0</v>
      </c>
      <c r="J904" s="107" t="s">
        <v>1712</v>
      </c>
      <c r="K904" s="107" t="s">
        <v>1561</v>
      </c>
    </row>
    <row r="905" spans="1:11" x14ac:dyDescent="0.25">
      <c r="A905" s="107"/>
      <c r="B905" s="107"/>
      <c r="C905" s="107"/>
      <c r="D905">
        <v>2021</v>
      </c>
      <c r="E905">
        <f t="shared" si="196"/>
        <v>0</v>
      </c>
      <c r="F905">
        <v>0</v>
      </c>
      <c r="G905">
        <v>0</v>
      </c>
      <c r="H905">
        <v>0</v>
      </c>
      <c r="I905">
        <v>0</v>
      </c>
      <c r="J905" s="107"/>
      <c r="K905" s="107"/>
    </row>
    <row r="906" spans="1:11" x14ac:dyDescent="0.25">
      <c r="A906" s="107"/>
      <c r="B906" s="107"/>
      <c r="C906" s="107"/>
      <c r="D906">
        <v>2022</v>
      </c>
      <c r="E906">
        <f t="shared" ref="E906:E928" si="200">F906+G906+H906+I906</f>
        <v>11149</v>
      </c>
      <c r="F906">
        <v>11149</v>
      </c>
      <c r="G906">
        <v>0</v>
      </c>
      <c r="H906">
        <v>0</v>
      </c>
      <c r="I906">
        <v>0</v>
      </c>
      <c r="J906" s="107"/>
      <c r="K906" s="107"/>
    </row>
    <row r="907" spans="1:11" x14ac:dyDescent="0.25">
      <c r="A907" s="107"/>
      <c r="B907" s="107"/>
      <c r="C907" s="107"/>
      <c r="D907">
        <v>2023</v>
      </c>
      <c r="E907">
        <f t="shared" si="200"/>
        <v>0</v>
      </c>
      <c r="F907">
        <v>0</v>
      </c>
      <c r="G907">
        <v>0</v>
      </c>
      <c r="H907">
        <v>0</v>
      </c>
      <c r="I907">
        <v>0</v>
      </c>
      <c r="J907" s="107"/>
      <c r="K907" s="107"/>
    </row>
    <row r="908" spans="1:11" x14ac:dyDescent="0.25">
      <c r="A908" s="107"/>
      <c r="B908" s="107"/>
      <c r="C908" s="107"/>
      <c r="D908">
        <v>2024</v>
      </c>
      <c r="E908">
        <f t="shared" si="200"/>
        <v>0</v>
      </c>
      <c r="F908">
        <v>0</v>
      </c>
      <c r="G908">
        <v>0</v>
      </c>
      <c r="H908">
        <v>0</v>
      </c>
      <c r="I908">
        <v>0</v>
      </c>
      <c r="J908" s="107"/>
      <c r="K908" s="107"/>
    </row>
    <row r="909" spans="1:11" x14ac:dyDescent="0.25">
      <c r="A909" s="107"/>
      <c r="B909" s="107"/>
      <c r="C909" s="107"/>
      <c r="D909">
        <v>2025</v>
      </c>
      <c r="E909">
        <f t="shared" si="200"/>
        <v>0</v>
      </c>
      <c r="F909">
        <v>0</v>
      </c>
      <c r="G909">
        <v>0</v>
      </c>
      <c r="H909">
        <v>0</v>
      </c>
      <c r="I909">
        <v>0</v>
      </c>
      <c r="J909" s="107"/>
      <c r="K909" s="107"/>
    </row>
    <row r="910" spans="1:11" x14ac:dyDescent="0.25">
      <c r="A910" s="107" t="s">
        <v>1713</v>
      </c>
      <c r="B910" s="107" t="s">
        <v>1714</v>
      </c>
      <c r="C910" s="107" t="s">
        <v>14</v>
      </c>
      <c r="D910" t="s">
        <v>8</v>
      </c>
      <c r="E910">
        <f t="shared" si="200"/>
        <v>507404.79999999999</v>
      </c>
      <c r="F910">
        <f>F911+F912+F913+F914+F915</f>
        <v>507404.79999999999</v>
      </c>
      <c r="G910">
        <f>G911+G912+G913+G914+G915</f>
        <v>0</v>
      </c>
      <c r="H910">
        <f>H911+H912+H913+H914+H915</f>
        <v>0</v>
      </c>
      <c r="I910">
        <f>I911+I912+I913+I914+I915</f>
        <v>0</v>
      </c>
      <c r="J910" s="107" t="s">
        <v>1715</v>
      </c>
      <c r="K910" s="107" t="s">
        <v>1716</v>
      </c>
    </row>
    <row r="911" spans="1:11" x14ac:dyDescent="0.25">
      <c r="A911" s="107"/>
      <c r="B911" s="107"/>
      <c r="C911" s="107"/>
      <c r="D911">
        <v>2021</v>
      </c>
      <c r="E911">
        <f t="shared" si="200"/>
        <v>84825.2</v>
      </c>
      <c r="F911">
        <f t="shared" ref="F911:I915" si="201">F917+F923</f>
        <v>84825.2</v>
      </c>
      <c r="G911">
        <f t="shared" si="201"/>
        <v>0</v>
      </c>
      <c r="H911">
        <f t="shared" si="201"/>
        <v>0</v>
      </c>
      <c r="I911">
        <f t="shared" si="201"/>
        <v>0</v>
      </c>
      <c r="J911" s="107"/>
      <c r="K911" s="107"/>
    </row>
    <row r="912" spans="1:11" x14ac:dyDescent="0.25">
      <c r="A912" s="107"/>
      <c r="B912" s="107"/>
      <c r="C912" s="107"/>
      <c r="D912">
        <v>2022</v>
      </c>
      <c r="E912">
        <f t="shared" si="200"/>
        <v>102717.20000000001</v>
      </c>
      <c r="F912">
        <f t="shared" si="201"/>
        <v>102717.20000000001</v>
      </c>
      <c r="G912">
        <f t="shared" si="201"/>
        <v>0</v>
      </c>
      <c r="H912">
        <f t="shared" si="201"/>
        <v>0</v>
      </c>
      <c r="I912">
        <f t="shared" si="201"/>
        <v>0</v>
      </c>
      <c r="J912" s="107"/>
      <c r="K912" s="107"/>
    </row>
    <row r="913" spans="1:11" x14ac:dyDescent="0.25">
      <c r="A913" s="107"/>
      <c r="B913" s="107"/>
      <c r="C913" s="107"/>
      <c r="D913">
        <v>2023</v>
      </c>
      <c r="E913">
        <f t="shared" si="200"/>
        <v>106734.79999999999</v>
      </c>
      <c r="F913">
        <f t="shared" si="201"/>
        <v>106734.79999999999</v>
      </c>
      <c r="G913">
        <f t="shared" si="201"/>
        <v>0</v>
      </c>
      <c r="H913">
        <f t="shared" si="201"/>
        <v>0</v>
      </c>
      <c r="I913">
        <f t="shared" si="201"/>
        <v>0</v>
      </c>
      <c r="J913" s="107"/>
      <c r="K913" s="107"/>
    </row>
    <row r="914" spans="1:11" x14ac:dyDescent="0.25">
      <c r="A914" s="107"/>
      <c r="B914" s="107"/>
      <c r="C914" s="107"/>
      <c r="D914">
        <v>2024</v>
      </c>
      <c r="E914">
        <f t="shared" si="200"/>
        <v>106563.79999999999</v>
      </c>
      <c r="F914">
        <f t="shared" si="201"/>
        <v>106563.79999999999</v>
      </c>
      <c r="G914">
        <f t="shared" si="201"/>
        <v>0</v>
      </c>
      <c r="H914">
        <f t="shared" si="201"/>
        <v>0</v>
      </c>
      <c r="I914">
        <f t="shared" si="201"/>
        <v>0</v>
      </c>
      <c r="J914" s="107"/>
      <c r="K914" s="107"/>
    </row>
    <row r="915" spans="1:11" x14ac:dyDescent="0.25">
      <c r="A915" s="107"/>
      <c r="B915" s="107"/>
      <c r="C915" s="107"/>
      <c r="D915">
        <v>2025</v>
      </c>
      <c r="E915">
        <f t="shared" si="200"/>
        <v>106563.79999999999</v>
      </c>
      <c r="F915">
        <f t="shared" si="201"/>
        <v>106563.79999999999</v>
      </c>
      <c r="G915">
        <f t="shared" si="201"/>
        <v>0</v>
      </c>
      <c r="H915">
        <f t="shared" si="201"/>
        <v>0</v>
      </c>
      <c r="I915">
        <f t="shared" si="201"/>
        <v>0</v>
      </c>
      <c r="J915" s="107"/>
      <c r="K915" s="107"/>
    </row>
    <row r="916" spans="1:11" x14ac:dyDescent="0.25">
      <c r="A916" s="107" t="s">
        <v>1717</v>
      </c>
      <c r="B916" s="107" t="s">
        <v>1718</v>
      </c>
      <c r="C916" s="107" t="s">
        <v>14</v>
      </c>
      <c r="D916" t="s">
        <v>8</v>
      </c>
      <c r="E916">
        <f t="shared" si="200"/>
        <v>385509.7</v>
      </c>
      <c r="F916">
        <f>F917+F918+F919+F920+F921</f>
        <v>385509.7</v>
      </c>
      <c r="G916">
        <f>G917+G918+G919+G920+G921</f>
        <v>0</v>
      </c>
      <c r="H916">
        <f>H917+H918+H919+H920+H921</f>
        <v>0</v>
      </c>
      <c r="I916">
        <f>I917+I918+I919+I920+I921</f>
        <v>0</v>
      </c>
      <c r="J916" s="107" t="s">
        <v>1719</v>
      </c>
      <c r="K916" s="107" t="s">
        <v>1720</v>
      </c>
    </row>
    <row r="917" spans="1:11" x14ac:dyDescent="0.25">
      <c r="A917" s="107"/>
      <c r="B917" s="107"/>
      <c r="C917" s="107"/>
      <c r="D917">
        <v>2021</v>
      </c>
      <c r="E917">
        <f t="shared" si="200"/>
        <v>61909.7</v>
      </c>
      <c r="F917">
        <v>61909.7</v>
      </c>
      <c r="G917">
        <v>0</v>
      </c>
      <c r="H917">
        <v>0</v>
      </c>
      <c r="I917">
        <v>0</v>
      </c>
      <c r="J917" s="107"/>
      <c r="K917" s="107"/>
    </row>
    <row r="918" spans="1:11" x14ac:dyDescent="0.25">
      <c r="A918" s="107"/>
      <c r="B918" s="107"/>
      <c r="C918" s="107"/>
      <c r="D918">
        <v>2022</v>
      </c>
      <c r="E918">
        <f t="shared" si="200"/>
        <v>78809.900000000009</v>
      </c>
      <c r="F918">
        <f>77372.1+1437.8</f>
        <v>78809.900000000009</v>
      </c>
      <c r="G918">
        <v>0</v>
      </c>
      <c r="H918">
        <v>0</v>
      </c>
      <c r="I918">
        <v>0</v>
      </c>
      <c r="J918" s="107"/>
      <c r="K918" s="107"/>
    </row>
    <row r="919" spans="1:11" x14ac:dyDescent="0.25">
      <c r="A919" s="107"/>
      <c r="B919" s="107"/>
      <c r="C919" s="107"/>
      <c r="D919">
        <v>2023</v>
      </c>
      <c r="E919">
        <f t="shared" si="200"/>
        <v>81696.7</v>
      </c>
      <c r="F919">
        <v>81696.7</v>
      </c>
      <c r="G919">
        <v>0</v>
      </c>
      <c r="H919">
        <v>0</v>
      </c>
      <c r="I919">
        <v>0</v>
      </c>
      <c r="J919" s="107"/>
      <c r="K919" s="107"/>
    </row>
    <row r="920" spans="1:11" x14ac:dyDescent="0.25">
      <c r="A920" s="107"/>
      <c r="B920" s="107"/>
      <c r="C920" s="107"/>
      <c r="D920">
        <v>2024</v>
      </c>
      <c r="E920">
        <f t="shared" si="200"/>
        <v>81546.7</v>
      </c>
      <c r="F920">
        <v>81546.7</v>
      </c>
      <c r="G920">
        <v>0</v>
      </c>
      <c r="H920">
        <v>0</v>
      </c>
      <c r="I920">
        <v>0</v>
      </c>
      <c r="J920" s="107"/>
      <c r="K920" s="107"/>
    </row>
    <row r="921" spans="1:11" x14ac:dyDescent="0.25">
      <c r="A921" s="107"/>
      <c r="B921" s="107"/>
      <c r="C921" s="107"/>
      <c r="D921">
        <v>2025</v>
      </c>
      <c r="E921">
        <f t="shared" si="200"/>
        <v>81546.7</v>
      </c>
      <c r="F921">
        <v>81546.7</v>
      </c>
      <c r="G921">
        <v>0</v>
      </c>
      <c r="H921">
        <v>0</v>
      </c>
      <c r="I921">
        <v>0</v>
      </c>
      <c r="J921" s="107"/>
      <c r="K921" s="107"/>
    </row>
    <row r="922" spans="1:11" x14ac:dyDescent="0.25">
      <c r="A922" s="107" t="s">
        <v>1721</v>
      </c>
      <c r="B922" s="107" t="s">
        <v>1722</v>
      </c>
      <c r="C922" s="107" t="s">
        <v>14</v>
      </c>
      <c r="D922" t="s">
        <v>8</v>
      </c>
      <c r="E922">
        <f t="shared" si="200"/>
        <v>121895.1</v>
      </c>
      <c r="F922">
        <f>F923+F924+F925+F926+F927</f>
        <v>121895.1</v>
      </c>
      <c r="G922">
        <f>G923+G924+G925+G926+G927</f>
        <v>0</v>
      </c>
      <c r="H922">
        <f>H923+H924+H925+H926+H927</f>
        <v>0</v>
      </c>
      <c r="I922">
        <f>I923+I924+I925+I926+I927</f>
        <v>0</v>
      </c>
      <c r="J922" s="107" t="s">
        <v>1723</v>
      </c>
      <c r="K922" s="107" t="s">
        <v>1724</v>
      </c>
    </row>
    <row r="923" spans="1:11" x14ac:dyDescent="0.25">
      <c r="A923" s="107"/>
      <c r="B923" s="107"/>
      <c r="C923" s="107"/>
      <c r="D923">
        <v>2021</v>
      </c>
      <c r="E923">
        <f t="shared" si="200"/>
        <v>22915.5</v>
      </c>
      <c r="F923">
        <v>22915.5</v>
      </c>
      <c r="G923">
        <v>0</v>
      </c>
      <c r="H923">
        <v>0</v>
      </c>
      <c r="I923">
        <v>0</v>
      </c>
      <c r="J923" s="107"/>
      <c r="K923" s="107"/>
    </row>
    <row r="924" spans="1:11" x14ac:dyDescent="0.25">
      <c r="A924" s="107"/>
      <c r="B924" s="107"/>
      <c r="C924" s="107"/>
      <c r="D924">
        <v>2022</v>
      </c>
      <c r="E924">
        <f t="shared" si="200"/>
        <v>23907.3</v>
      </c>
      <c r="F924">
        <v>23907.3</v>
      </c>
      <c r="G924">
        <v>0</v>
      </c>
      <c r="H924">
        <v>0</v>
      </c>
      <c r="I924">
        <v>0</v>
      </c>
      <c r="J924" s="107"/>
      <c r="K924" s="107"/>
    </row>
    <row r="925" spans="1:11" x14ac:dyDescent="0.25">
      <c r="A925" s="107"/>
      <c r="B925" s="107"/>
      <c r="C925" s="107"/>
      <c r="D925">
        <v>2023</v>
      </c>
      <c r="E925">
        <f t="shared" si="200"/>
        <v>25038.1</v>
      </c>
      <c r="F925">
        <v>25038.1</v>
      </c>
      <c r="G925">
        <v>0</v>
      </c>
      <c r="H925">
        <v>0</v>
      </c>
      <c r="I925">
        <v>0</v>
      </c>
      <c r="J925" s="107"/>
      <c r="K925" s="107"/>
    </row>
    <row r="926" spans="1:11" x14ac:dyDescent="0.25">
      <c r="A926" s="107"/>
      <c r="B926" s="107"/>
      <c r="C926" s="107"/>
      <c r="D926">
        <v>2024</v>
      </c>
      <c r="E926">
        <f t="shared" si="200"/>
        <v>25017.1</v>
      </c>
      <c r="F926">
        <v>25017.1</v>
      </c>
      <c r="G926">
        <v>0</v>
      </c>
      <c r="H926">
        <v>0</v>
      </c>
      <c r="I926">
        <v>0</v>
      </c>
      <c r="J926" s="107"/>
      <c r="K926" s="107"/>
    </row>
    <row r="927" spans="1:11" x14ac:dyDescent="0.25">
      <c r="A927" s="107"/>
      <c r="B927" s="107"/>
      <c r="C927" s="107"/>
      <c r="D927">
        <v>2025</v>
      </c>
      <c r="E927">
        <f t="shared" si="200"/>
        <v>25017.1</v>
      </c>
      <c r="F927">
        <v>25017.1</v>
      </c>
      <c r="G927">
        <v>0</v>
      </c>
      <c r="H927">
        <v>0</v>
      </c>
      <c r="I927">
        <v>0</v>
      </c>
      <c r="J927" s="107"/>
      <c r="K927" s="107"/>
    </row>
    <row r="928" spans="1:11" x14ac:dyDescent="0.25">
      <c r="A928" s="107">
        <v>5</v>
      </c>
      <c r="B928" s="107" t="s">
        <v>1725</v>
      </c>
      <c r="C928" s="107" t="s">
        <v>14</v>
      </c>
      <c r="D928" t="s">
        <v>8</v>
      </c>
      <c r="E928">
        <f t="shared" si="200"/>
        <v>593498.06000000006</v>
      </c>
      <c r="F928">
        <f>F929+F930+F931+F932+F933</f>
        <v>593498.06000000006</v>
      </c>
      <c r="G928">
        <f>G929+G930+G931+G932+G933</f>
        <v>0</v>
      </c>
      <c r="H928">
        <f>H929+H930+H931+H932+H933</f>
        <v>0</v>
      </c>
      <c r="I928">
        <f>I929+I930+I931+I932+I933</f>
        <v>0</v>
      </c>
      <c r="J928" s="107"/>
      <c r="K928" s="107" t="s">
        <v>1726</v>
      </c>
    </row>
    <row r="929" spans="1:11" x14ac:dyDescent="0.25">
      <c r="A929" s="107"/>
      <c r="B929" s="107"/>
      <c r="C929" s="107"/>
      <c r="D929">
        <v>2021</v>
      </c>
      <c r="E929">
        <f t="shared" ref="E929:E933" si="202">F929</f>
        <v>77757.899999999994</v>
      </c>
      <c r="F929">
        <f t="shared" ref="F929:F933" si="203">F935</f>
        <v>77757.899999999994</v>
      </c>
      <c r="G929">
        <v>0</v>
      </c>
      <c r="H929">
        <f t="shared" ref="H929:H933" si="204">H934+H965+H983</f>
        <v>0</v>
      </c>
      <c r="I929">
        <f t="shared" ref="I929:I933" si="205">I934+I965+I983</f>
        <v>0</v>
      </c>
      <c r="J929" s="107"/>
      <c r="K929" s="107"/>
    </row>
    <row r="930" spans="1:11" x14ac:dyDescent="0.25">
      <c r="A930" s="107"/>
      <c r="B930" s="107"/>
      <c r="C930" s="107"/>
      <c r="D930">
        <v>2022</v>
      </c>
      <c r="E930">
        <f t="shared" si="202"/>
        <v>130365.15</v>
      </c>
      <c r="F930">
        <f t="shared" si="203"/>
        <v>130365.15</v>
      </c>
      <c r="G930">
        <v>0</v>
      </c>
      <c r="H930">
        <f t="shared" si="204"/>
        <v>0</v>
      </c>
      <c r="I930">
        <f t="shared" si="205"/>
        <v>0</v>
      </c>
      <c r="J930" s="107"/>
      <c r="K930" s="107"/>
    </row>
    <row r="931" spans="1:11" x14ac:dyDescent="0.25">
      <c r="A931" s="107"/>
      <c r="B931" s="107"/>
      <c r="C931" s="107"/>
      <c r="D931">
        <v>2023</v>
      </c>
      <c r="E931">
        <f t="shared" si="202"/>
        <v>128975.77</v>
      </c>
      <c r="F931">
        <f t="shared" si="203"/>
        <v>128975.77</v>
      </c>
      <c r="G931">
        <f t="shared" ref="G931:G933" si="206">G936+G967+G985</f>
        <v>0</v>
      </c>
      <c r="H931">
        <v>0</v>
      </c>
      <c r="I931">
        <f t="shared" si="205"/>
        <v>0</v>
      </c>
      <c r="J931" s="107"/>
      <c r="K931" s="107"/>
    </row>
    <row r="932" spans="1:11" x14ac:dyDescent="0.25">
      <c r="A932" s="107"/>
      <c r="B932" s="107"/>
      <c r="C932" s="107"/>
      <c r="D932">
        <v>2024</v>
      </c>
      <c r="E932">
        <f t="shared" si="202"/>
        <v>128199.62</v>
      </c>
      <c r="F932">
        <f t="shared" si="203"/>
        <v>128199.62</v>
      </c>
      <c r="G932">
        <f t="shared" si="206"/>
        <v>0</v>
      </c>
      <c r="H932">
        <f t="shared" si="204"/>
        <v>0</v>
      </c>
      <c r="I932">
        <f t="shared" si="205"/>
        <v>0</v>
      </c>
      <c r="J932" s="107"/>
      <c r="K932" s="107"/>
    </row>
    <row r="933" spans="1:11" x14ac:dyDescent="0.25">
      <c r="A933" s="107"/>
      <c r="B933" s="107"/>
      <c r="C933" s="107"/>
      <c r="D933">
        <v>2025</v>
      </c>
      <c r="E933">
        <f t="shared" si="202"/>
        <v>128199.62</v>
      </c>
      <c r="F933">
        <f t="shared" si="203"/>
        <v>128199.62</v>
      </c>
      <c r="G933">
        <f t="shared" si="206"/>
        <v>0</v>
      </c>
      <c r="H933">
        <f t="shared" si="204"/>
        <v>0</v>
      </c>
      <c r="I933">
        <f t="shared" si="205"/>
        <v>0</v>
      </c>
      <c r="J933" s="107"/>
      <c r="K933" s="107"/>
    </row>
    <row r="934" spans="1:11" x14ac:dyDescent="0.25">
      <c r="A934" s="107" t="s">
        <v>1727</v>
      </c>
      <c r="B934" s="107" t="s">
        <v>1728</v>
      </c>
      <c r="C934" s="107" t="s">
        <v>14</v>
      </c>
      <c r="D934" t="s">
        <v>8</v>
      </c>
      <c r="E934">
        <f>SUM(E935:E939)</f>
        <v>593498.06000000006</v>
      </c>
      <c r="F934">
        <f>SUM(F935:F939)</f>
        <v>593498.06000000006</v>
      </c>
      <c r="G934">
        <v>0</v>
      </c>
      <c r="H934">
        <v>0</v>
      </c>
      <c r="I934">
        <v>0</v>
      </c>
      <c r="J934" s="107" t="s">
        <v>1729</v>
      </c>
      <c r="K934" s="107" t="s">
        <v>1726</v>
      </c>
    </row>
    <row r="935" spans="1:11" x14ac:dyDescent="0.25">
      <c r="A935" s="107"/>
      <c r="B935" s="107"/>
      <c r="C935" s="107"/>
      <c r="D935">
        <v>2021</v>
      </c>
      <c r="E935">
        <f t="shared" ref="E935:E939" si="207">F935</f>
        <v>77757.899999999994</v>
      </c>
      <c r="F935">
        <f t="shared" ref="F935:F939" si="208">F941</f>
        <v>77757.899999999994</v>
      </c>
      <c r="G935">
        <v>0</v>
      </c>
      <c r="H935">
        <v>0</v>
      </c>
      <c r="I935">
        <v>0</v>
      </c>
      <c r="J935" s="107"/>
      <c r="K935" s="107"/>
    </row>
    <row r="936" spans="1:11" x14ac:dyDescent="0.25">
      <c r="A936" s="107"/>
      <c r="B936" s="107"/>
      <c r="C936" s="107"/>
      <c r="D936">
        <v>2022</v>
      </c>
      <c r="E936">
        <f t="shared" si="207"/>
        <v>130365.15</v>
      </c>
      <c r="F936">
        <f t="shared" si="208"/>
        <v>130365.15</v>
      </c>
      <c r="G936">
        <v>0</v>
      </c>
      <c r="H936">
        <v>0</v>
      </c>
      <c r="I936">
        <v>0</v>
      </c>
      <c r="J936" s="107"/>
      <c r="K936" s="107"/>
    </row>
    <row r="937" spans="1:11" x14ac:dyDescent="0.25">
      <c r="A937" s="107"/>
      <c r="B937" s="107"/>
      <c r="C937" s="107"/>
      <c r="D937">
        <v>2023</v>
      </c>
      <c r="E937">
        <f t="shared" si="207"/>
        <v>128975.77</v>
      </c>
      <c r="F937">
        <f t="shared" si="208"/>
        <v>128975.77</v>
      </c>
      <c r="G937">
        <v>0</v>
      </c>
      <c r="H937">
        <v>0</v>
      </c>
      <c r="I937">
        <v>0</v>
      </c>
      <c r="J937" s="107"/>
      <c r="K937" s="107"/>
    </row>
    <row r="938" spans="1:11" x14ac:dyDescent="0.25">
      <c r="A938" s="107"/>
      <c r="B938" s="107"/>
      <c r="C938" s="107"/>
      <c r="D938">
        <v>2024</v>
      </c>
      <c r="E938">
        <f t="shared" si="207"/>
        <v>128199.62</v>
      </c>
      <c r="F938">
        <f t="shared" si="208"/>
        <v>128199.62</v>
      </c>
      <c r="G938">
        <v>0</v>
      </c>
      <c r="H938">
        <v>0</v>
      </c>
      <c r="I938">
        <v>0</v>
      </c>
      <c r="J938" s="107"/>
      <c r="K938" s="107"/>
    </row>
    <row r="939" spans="1:11" x14ac:dyDescent="0.25">
      <c r="A939" s="107"/>
      <c r="B939" s="107"/>
      <c r="C939" s="107"/>
      <c r="D939">
        <v>2025</v>
      </c>
      <c r="E939">
        <f t="shared" si="207"/>
        <v>128199.62</v>
      </c>
      <c r="F939">
        <f t="shared" si="208"/>
        <v>128199.62</v>
      </c>
      <c r="G939">
        <v>0</v>
      </c>
      <c r="H939">
        <v>0</v>
      </c>
      <c r="I939">
        <v>0</v>
      </c>
      <c r="J939" s="107"/>
      <c r="K939" s="107"/>
    </row>
    <row r="940" spans="1:11" x14ac:dyDescent="0.25">
      <c r="A940" s="107" t="s">
        <v>1730</v>
      </c>
      <c r="B940" s="107" t="s">
        <v>1731</v>
      </c>
      <c r="C940" s="107" t="s">
        <v>14</v>
      </c>
      <c r="D940" t="s">
        <v>8</v>
      </c>
      <c r="E940">
        <f>SUM(E941:E945)</f>
        <v>593498.06000000006</v>
      </c>
      <c r="F940">
        <f>SUM(F941:F945)</f>
        <v>593498.06000000006</v>
      </c>
      <c r="G940">
        <f>G941+G942+G943+G944+G945</f>
        <v>0</v>
      </c>
      <c r="H940">
        <f>H941+H942+H943+H944+H945</f>
        <v>0</v>
      </c>
      <c r="I940">
        <f>I941+I942+I943+I944+I945</f>
        <v>0</v>
      </c>
      <c r="J940" s="107" t="s">
        <v>1732</v>
      </c>
      <c r="K940" s="107" t="s">
        <v>1726</v>
      </c>
    </row>
    <row r="941" spans="1:11" x14ac:dyDescent="0.25">
      <c r="A941" s="107"/>
      <c r="B941" s="107"/>
      <c r="C941" s="107"/>
      <c r="D941">
        <v>2021</v>
      </c>
      <c r="E941">
        <f t="shared" ref="E941:E945" si="209">F941</f>
        <v>77757.899999999994</v>
      </c>
      <c r="F941">
        <v>77757.899999999994</v>
      </c>
      <c r="G941">
        <v>0</v>
      </c>
      <c r="H941">
        <v>0</v>
      </c>
      <c r="I941">
        <v>0</v>
      </c>
      <c r="J941" s="107"/>
      <c r="K941" s="107"/>
    </row>
    <row r="942" spans="1:11" x14ac:dyDescent="0.25">
      <c r="A942" s="107"/>
      <c r="B942" s="107"/>
      <c r="C942" s="107"/>
      <c r="D942">
        <v>2022</v>
      </c>
      <c r="E942">
        <f t="shared" si="209"/>
        <v>130365.15</v>
      </c>
      <c r="F942">
        <v>130365.15</v>
      </c>
      <c r="G942">
        <v>0</v>
      </c>
      <c r="H942">
        <v>0</v>
      </c>
      <c r="I942">
        <v>0</v>
      </c>
      <c r="J942" s="107"/>
      <c r="K942" s="107"/>
    </row>
    <row r="943" spans="1:11" x14ac:dyDescent="0.25">
      <c r="A943" s="107"/>
      <c r="B943" s="107"/>
      <c r="C943" s="107"/>
      <c r="D943">
        <v>2023</v>
      </c>
      <c r="E943">
        <f t="shared" si="209"/>
        <v>128975.77</v>
      </c>
      <c r="F943">
        <v>128975.77</v>
      </c>
      <c r="G943">
        <v>0</v>
      </c>
      <c r="H943">
        <v>0</v>
      </c>
      <c r="I943">
        <v>0</v>
      </c>
      <c r="J943" s="107"/>
      <c r="K943" s="107"/>
    </row>
    <row r="944" spans="1:11" x14ac:dyDescent="0.25">
      <c r="A944" s="107"/>
      <c r="B944" s="107"/>
      <c r="C944" s="107"/>
      <c r="D944">
        <v>2024</v>
      </c>
      <c r="E944">
        <f t="shared" si="209"/>
        <v>128199.62</v>
      </c>
      <c r="F944">
        <v>128199.62</v>
      </c>
      <c r="G944">
        <v>0</v>
      </c>
      <c r="H944">
        <v>0</v>
      </c>
      <c r="I944">
        <v>0</v>
      </c>
      <c r="J944" s="107"/>
      <c r="K944" s="107"/>
    </row>
    <row r="945" spans="1:11" x14ac:dyDescent="0.25">
      <c r="A945" s="107"/>
      <c r="B945" s="107"/>
      <c r="C945" s="107"/>
      <c r="D945">
        <v>2025</v>
      </c>
      <c r="E945">
        <f t="shared" si="209"/>
        <v>128199.62</v>
      </c>
      <c r="F945">
        <v>128199.62</v>
      </c>
      <c r="G945">
        <v>0</v>
      </c>
      <c r="H945">
        <v>0</v>
      </c>
      <c r="I945">
        <v>0</v>
      </c>
      <c r="J945" s="107"/>
      <c r="K945" s="107"/>
    </row>
    <row r="947" spans="1:11" x14ac:dyDescent="0.25">
      <c r="A947" s="107"/>
      <c r="B947" s="107"/>
      <c r="C947" s="107"/>
      <c r="D947" s="107"/>
      <c r="E947" s="107"/>
      <c r="F947" s="107"/>
      <c r="G947" s="107"/>
      <c r="H947" s="107"/>
      <c r="I947" s="107"/>
      <c r="J947" s="107"/>
    </row>
    <row r="948" spans="1:11" ht="18.75" customHeight="1" x14ac:dyDescent="0.25">
      <c r="A948" t="s">
        <v>1733</v>
      </c>
    </row>
    <row r="949" spans="1:11" ht="22.5" customHeight="1" x14ac:dyDescent="0.25">
      <c r="A949" s="107" t="s">
        <v>1734</v>
      </c>
      <c r="B949" s="107"/>
      <c r="C949" s="107"/>
      <c r="D949" s="107"/>
      <c r="E949" s="107"/>
      <c r="F949" s="107"/>
      <c r="G949" s="107"/>
      <c r="H949" s="107"/>
      <c r="I949" s="107"/>
      <c r="J949" s="107"/>
    </row>
    <row r="957" spans="1:11" x14ac:dyDescent="0.25">
      <c r="B957" s="107"/>
      <c r="C957" s="107"/>
    </row>
    <row r="958" spans="1:11" x14ac:dyDescent="0.25">
      <c r="B958" s="107"/>
      <c r="C958" s="107"/>
    </row>
    <row r="959" spans="1:11" x14ac:dyDescent="0.25">
      <c r="B959" s="107"/>
      <c r="C959" s="107"/>
    </row>
    <row r="960" spans="1:11" x14ac:dyDescent="0.25">
      <c r="B960" s="107"/>
      <c r="C960" s="107"/>
    </row>
    <row r="961" spans="2:3" x14ac:dyDescent="0.25">
      <c r="B961" s="107"/>
      <c r="C961" s="107"/>
    </row>
    <row r="962" spans="2:3" x14ac:dyDescent="0.25">
      <c r="B962" s="107"/>
      <c r="C962" s="107"/>
    </row>
  </sheetData>
  <mergeCells count="795">
    <mergeCell ref="A940:A945"/>
    <mergeCell ref="B940:B945"/>
    <mergeCell ref="C940:C945"/>
    <mergeCell ref="J940:J945"/>
    <mergeCell ref="K940:K945"/>
    <mergeCell ref="A947:J947"/>
    <mergeCell ref="A949:J949"/>
    <mergeCell ref="B957:C962"/>
    <mergeCell ref="A928:A933"/>
    <mergeCell ref="B928:B933"/>
    <mergeCell ref="C928:C933"/>
    <mergeCell ref="J928:J933"/>
    <mergeCell ref="K928:K933"/>
    <mergeCell ref="A934:A939"/>
    <mergeCell ref="B934:B939"/>
    <mergeCell ref="C934:C939"/>
    <mergeCell ref="J934:J939"/>
    <mergeCell ref="K934:K939"/>
    <mergeCell ref="A916:A921"/>
    <mergeCell ref="B916:B921"/>
    <mergeCell ref="C916:C921"/>
    <mergeCell ref="J916:J921"/>
    <mergeCell ref="K916:K921"/>
    <mergeCell ref="A922:A927"/>
    <mergeCell ref="B922:B927"/>
    <mergeCell ref="C922:C927"/>
    <mergeCell ref="J922:J927"/>
    <mergeCell ref="K922:K927"/>
    <mergeCell ref="A904:A909"/>
    <mergeCell ref="B904:B909"/>
    <mergeCell ref="C904:C909"/>
    <mergeCell ref="J904:J909"/>
    <mergeCell ref="K904:K909"/>
    <mergeCell ref="A910:A915"/>
    <mergeCell ref="B910:B915"/>
    <mergeCell ref="C910:C915"/>
    <mergeCell ref="J910:J915"/>
    <mergeCell ref="K910:K915"/>
    <mergeCell ref="A892:A897"/>
    <mergeCell ref="B892:B897"/>
    <mergeCell ref="C892:C897"/>
    <mergeCell ref="J892:J897"/>
    <mergeCell ref="K892:K897"/>
    <mergeCell ref="A898:A903"/>
    <mergeCell ref="B898:B903"/>
    <mergeCell ref="C898:C903"/>
    <mergeCell ref="J898:J903"/>
    <mergeCell ref="K898:K903"/>
    <mergeCell ref="A880:A885"/>
    <mergeCell ref="B880:B885"/>
    <mergeCell ref="C880:C885"/>
    <mergeCell ref="J880:J885"/>
    <mergeCell ref="K880:K885"/>
    <mergeCell ref="A886:A891"/>
    <mergeCell ref="B886:B891"/>
    <mergeCell ref="C886:C891"/>
    <mergeCell ref="J886:J891"/>
    <mergeCell ref="K886:K891"/>
    <mergeCell ref="A868:A873"/>
    <mergeCell ref="B868:B873"/>
    <mergeCell ref="C868:C873"/>
    <mergeCell ref="J868:J873"/>
    <mergeCell ref="K868:K873"/>
    <mergeCell ref="A874:A879"/>
    <mergeCell ref="B874:B879"/>
    <mergeCell ref="C874:C879"/>
    <mergeCell ref="J874:J879"/>
    <mergeCell ref="K874:K879"/>
    <mergeCell ref="A856:A861"/>
    <mergeCell ref="B856:B861"/>
    <mergeCell ref="C856:C861"/>
    <mergeCell ref="J856:J861"/>
    <mergeCell ref="K856:K861"/>
    <mergeCell ref="A862:A867"/>
    <mergeCell ref="B862:B867"/>
    <mergeCell ref="C862:C867"/>
    <mergeCell ref="J862:J867"/>
    <mergeCell ref="K862:K867"/>
    <mergeCell ref="A844:A849"/>
    <mergeCell ref="B844:B849"/>
    <mergeCell ref="C844:C849"/>
    <mergeCell ref="J844:J849"/>
    <mergeCell ref="K844:K849"/>
    <mergeCell ref="A850:A855"/>
    <mergeCell ref="B850:B855"/>
    <mergeCell ref="C850:C855"/>
    <mergeCell ref="J850:J855"/>
    <mergeCell ref="K850:K855"/>
    <mergeCell ref="A832:A837"/>
    <mergeCell ref="B832:B837"/>
    <mergeCell ref="C832:C837"/>
    <mergeCell ref="J832:J837"/>
    <mergeCell ref="K832:K837"/>
    <mergeCell ref="A838:A843"/>
    <mergeCell ref="B838:B843"/>
    <mergeCell ref="C838:C843"/>
    <mergeCell ref="J838:J843"/>
    <mergeCell ref="K838:K843"/>
    <mergeCell ref="A820:A825"/>
    <mergeCell ref="B820:B825"/>
    <mergeCell ref="C820:C825"/>
    <mergeCell ref="J820:J825"/>
    <mergeCell ref="K820:K825"/>
    <mergeCell ref="A826:A831"/>
    <mergeCell ref="B826:B831"/>
    <mergeCell ref="C826:C831"/>
    <mergeCell ref="J826:J831"/>
    <mergeCell ref="K826:K831"/>
    <mergeCell ref="A808:A813"/>
    <mergeCell ref="B808:B813"/>
    <mergeCell ref="C808:C813"/>
    <mergeCell ref="J808:J813"/>
    <mergeCell ref="K808:K813"/>
    <mergeCell ref="A814:A819"/>
    <mergeCell ref="B814:B819"/>
    <mergeCell ref="C814:C819"/>
    <mergeCell ref="J814:J819"/>
    <mergeCell ref="K814:K819"/>
    <mergeCell ref="A796:A801"/>
    <mergeCell ref="B796:B801"/>
    <mergeCell ref="C796:C801"/>
    <mergeCell ref="J796:J801"/>
    <mergeCell ref="K796:K801"/>
    <mergeCell ref="A802:A807"/>
    <mergeCell ref="B802:B807"/>
    <mergeCell ref="C802:C807"/>
    <mergeCell ref="J802:J807"/>
    <mergeCell ref="K802:K807"/>
    <mergeCell ref="A784:A789"/>
    <mergeCell ref="B784:B789"/>
    <mergeCell ref="C784:C789"/>
    <mergeCell ref="J784:J789"/>
    <mergeCell ref="K784:K789"/>
    <mergeCell ref="A790:A795"/>
    <mergeCell ref="B790:B795"/>
    <mergeCell ref="C790:C795"/>
    <mergeCell ref="J790:J795"/>
    <mergeCell ref="K790:K795"/>
    <mergeCell ref="A772:A777"/>
    <mergeCell ref="B772:B777"/>
    <mergeCell ref="C772:C777"/>
    <mergeCell ref="J772:J777"/>
    <mergeCell ref="K772:K777"/>
    <mergeCell ref="A778:A783"/>
    <mergeCell ref="B778:B783"/>
    <mergeCell ref="C778:C783"/>
    <mergeCell ref="J778:J783"/>
    <mergeCell ref="K778:K783"/>
    <mergeCell ref="A760:A765"/>
    <mergeCell ref="B760:B765"/>
    <mergeCell ref="C760:C765"/>
    <mergeCell ref="J760:J765"/>
    <mergeCell ref="K760:K765"/>
    <mergeCell ref="A766:A771"/>
    <mergeCell ref="B766:B771"/>
    <mergeCell ref="C766:C771"/>
    <mergeCell ref="J766:J771"/>
    <mergeCell ref="K766:K771"/>
    <mergeCell ref="A748:A753"/>
    <mergeCell ref="B748:B753"/>
    <mergeCell ref="C748:C753"/>
    <mergeCell ref="J748:J753"/>
    <mergeCell ref="K748:K753"/>
    <mergeCell ref="A754:A759"/>
    <mergeCell ref="B754:B759"/>
    <mergeCell ref="C754:C759"/>
    <mergeCell ref="J754:J759"/>
    <mergeCell ref="K754:K759"/>
    <mergeCell ref="A736:A741"/>
    <mergeCell ref="B736:B741"/>
    <mergeCell ref="C736:C741"/>
    <mergeCell ref="J736:J741"/>
    <mergeCell ref="K736:K741"/>
    <mergeCell ref="A742:A747"/>
    <mergeCell ref="B742:B747"/>
    <mergeCell ref="C742:C747"/>
    <mergeCell ref="J742:J747"/>
    <mergeCell ref="K742:K747"/>
    <mergeCell ref="A724:A729"/>
    <mergeCell ref="B724:B729"/>
    <mergeCell ref="C724:C729"/>
    <mergeCell ref="J724:J729"/>
    <mergeCell ref="K724:K729"/>
    <mergeCell ref="A730:A735"/>
    <mergeCell ref="B730:B735"/>
    <mergeCell ref="C730:C735"/>
    <mergeCell ref="J730:J735"/>
    <mergeCell ref="K730:K735"/>
    <mergeCell ref="A712:A717"/>
    <mergeCell ref="B712:B717"/>
    <mergeCell ref="C712:C717"/>
    <mergeCell ref="J712:J717"/>
    <mergeCell ref="K712:K717"/>
    <mergeCell ref="A718:A723"/>
    <mergeCell ref="B718:B723"/>
    <mergeCell ref="C718:C723"/>
    <mergeCell ref="J718:J723"/>
    <mergeCell ref="K718:K723"/>
    <mergeCell ref="A700:A705"/>
    <mergeCell ref="B700:B705"/>
    <mergeCell ref="C700:C705"/>
    <mergeCell ref="J700:J705"/>
    <mergeCell ref="K700:K705"/>
    <mergeCell ref="A706:A711"/>
    <mergeCell ref="B706:B711"/>
    <mergeCell ref="C706:C711"/>
    <mergeCell ref="J706:J711"/>
    <mergeCell ref="K706:K711"/>
    <mergeCell ref="A688:A693"/>
    <mergeCell ref="B688:B693"/>
    <mergeCell ref="C688:C693"/>
    <mergeCell ref="J688:J693"/>
    <mergeCell ref="K688:K693"/>
    <mergeCell ref="A694:A699"/>
    <mergeCell ref="B694:B699"/>
    <mergeCell ref="C694:C699"/>
    <mergeCell ref="J694:J699"/>
    <mergeCell ref="K694:K699"/>
    <mergeCell ref="A676:A681"/>
    <mergeCell ref="B676:B681"/>
    <mergeCell ref="C676:C681"/>
    <mergeCell ref="J676:J681"/>
    <mergeCell ref="K676:K681"/>
    <mergeCell ref="A682:A687"/>
    <mergeCell ref="B682:B687"/>
    <mergeCell ref="C682:C687"/>
    <mergeCell ref="J682:J687"/>
    <mergeCell ref="K682:K687"/>
    <mergeCell ref="A664:A669"/>
    <mergeCell ref="B664:B669"/>
    <mergeCell ref="C664:C669"/>
    <mergeCell ref="J664:J669"/>
    <mergeCell ref="K664:K669"/>
    <mergeCell ref="A670:A675"/>
    <mergeCell ref="B670:B675"/>
    <mergeCell ref="C670:C675"/>
    <mergeCell ref="J670:J675"/>
    <mergeCell ref="K670:K675"/>
    <mergeCell ref="A652:A657"/>
    <mergeCell ref="B652:B657"/>
    <mergeCell ref="C652:C657"/>
    <mergeCell ref="J652:J657"/>
    <mergeCell ref="K652:K657"/>
    <mergeCell ref="A658:A663"/>
    <mergeCell ref="B658:B663"/>
    <mergeCell ref="C658:C663"/>
    <mergeCell ref="J658:J663"/>
    <mergeCell ref="K658:K663"/>
    <mergeCell ref="A640:A645"/>
    <mergeCell ref="B640:B645"/>
    <mergeCell ref="C640:C645"/>
    <mergeCell ref="J640:J645"/>
    <mergeCell ref="K640:K645"/>
    <mergeCell ref="A646:A651"/>
    <mergeCell ref="B646:B651"/>
    <mergeCell ref="C646:C651"/>
    <mergeCell ref="J646:J651"/>
    <mergeCell ref="K646:K651"/>
    <mergeCell ref="A628:A633"/>
    <mergeCell ref="B628:B633"/>
    <mergeCell ref="C628:C633"/>
    <mergeCell ref="J628:J633"/>
    <mergeCell ref="K628:K633"/>
    <mergeCell ref="A634:A639"/>
    <mergeCell ref="B634:B639"/>
    <mergeCell ref="C634:C639"/>
    <mergeCell ref="J634:J639"/>
    <mergeCell ref="K634:K639"/>
    <mergeCell ref="A616:A621"/>
    <mergeCell ref="B616:B621"/>
    <mergeCell ref="C616:C621"/>
    <mergeCell ref="J616:J621"/>
    <mergeCell ref="K616:K621"/>
    <mergeCell ref="A622:A627"/>
    <mergeCell ref="B622:B627"/>
    <mergeCell ref="C622:C627"/>
    <mergeCell ref="J622:J627"/>
    <mergeCell ref="K622:K627"/>
    <mergeCell ref="A604:A609"/>
    <mergeCell ref="B604:B609"/>
    <mergeCell ref="C604:C609"/>
    <mergeCell ref="J604:J609"/>
    <mergeCell ref="K604:K609"/>
    <mergeCell ref="A610:A615"/>
    <mergeCell ref="B610:B615"/>
    <mergeCell ref="C610:C615"/>
    <mergeCell ref="J610:J615"/>
    <mergeCell ref="K610:K615"/>
    <mergeCell ref="A592:A597"/>
    <mergeCell ref="B592:B597"/>
    <mergeCell ref="C592:C597"/>
    <mergeCell ref="J592:J597"/>
    <mergeCell ref="K592:K597"/>
    <mergeCell ref="A598:A603"/>
    <mergeCell ref="B598:B603"/>
    <mergeCell ref="C598:C603"/>
    <mergeCell ref="J598:J603"/>
    <mergeCell ref="K598:K603"/>
    <mergeCell ref="A580:A585"/>
    <mergeCell ref="B580:B585"/>
    <mergeCell ref="C580:C585"/>
    <mergeCell ref="J580:J585"/>
    <mergeCell ref="K580:K585"/>
    <mergeCell ref="A586:A591"/>
    <mergeCell ref="B586:B591"/>
    <mergeCell ref="C586:C591"/>
    <mergeCell ref="J586:J591"/>
    <mergeCell ref="K586:K591"/>
    <mergeCell ref="A568:A573"/>
    <mergeCell ref="B568:B573"/>
    <mergeCell ref="C568:C573"/>
    <mergeCell ref="J568:J573"/>
    <mergeCell ref="K568:K573"/>
    <mergeCell ref="A574:A579"/>
    <mergeCell ref="B574:B579"/>
    <mergeCell ref="C574:C579"/>
    <mergeCell ref="J574:J579"/>
    <mergeCell ref="K574:K579"/>
    <mergeCell ref="A556:A561"/>
    <mergeCell ref="B556:B561"/>
    <mergeCell ref="C556:C561"/>
    <mergeCell ref="J556:J561"/>
    <mergeCell ref="K556:K561"/>
    <mergeCell ref="A562:A567"/>
    <mergeCell ref="B562:B567"/>
    <mergeCell ref="C562:C567"/>
    <mergeCell ref="J562:J567"/>
    <mergeCell ref="K562:K567"/>
    <mergeCell ref="A544:A549"/>
    <mergeCell ref="B544:B549"/>
    <mergeCell ref="C544:C549"/>
    <mergeCell ref="J544:J549"/>
    <mergeCell ref="K544:K549"/>
    <mergeCell ref="A550:A555"/>
    <mergeCell ref="B550:B555"/>
    <mergeCell ref="C550:C555"/>
    <mergeCell ref="J550:J555"/>
    <mergeCell ref="K550:K555"/>
    <mergeCell ref="N531:R531"/>
    <mergeCell ref="A532:A537"/>
    <mergeCell ref="B532:B537"/>
    <mergeCell ref="C532:C537"/>
    <mergeCell ref="J532:J537"/>
    <mergeCell ref="K532:K537"/>
    <mergeCell ref="A538:A543"/>
    <mergeCell ref="B538:B543"/>
    <mergeCell ref="C538:C543"/>
    <mergeCell ref="J538:J543"/>
    <mergeCell ref="K538:K543"/>
    <mergeCell ref="A520:A525"/>
    <mergeCell ref="B520:B525"/>
    <mergeCell ref="C520:C525"/>
    <mergeCell ref="J520:J525"/>
    <mergeCell ref="K520:K525"/>
    <mergeCell ref="A526:A531"/>
    <mergeCell ref="B526:B531"/>
    <mergeCell ref="C526:C531"/>
    <mergeCell ref="J526:J531"/>
    <mergeCell ref="K526:K531"/>
    <mergeCell ref="A508:A513"/>
    <mergeCell ref="B508:B513"/>
    <mergeCell ref="C508:C513"/>
    <mergeCell ref="J508:J513"/>
    <mergeCell ref="K508:K513"/>
    <mergeCell ref="A514:A519"/>
    <mergeCell ref="B514:B519"/>
    <mergeCell ref="C514:C519"/>
    <mergeCell ref="J514:J519"/>
    <mergeCell ref="K514:K519"/>
    <mergeCell ref="A496:A501"/>
    <mergeCell ref="B496:B501"/>
    <mergeCell ref="C496:C501"/>
    <mergeCell ref="J496:J501"/>
    <mergeCell ref="K496:K501"/>
    <mergeCell ref="A502:A507"/>
    <mergeCell ref="B502:B507"/>
    <mergeCell ref="C502:C507"/>
    <mergeCell ref="J502:J507"/>
    <mergeCell ref="K502:K507"/>
    <mergeCell ref="A484:A489"/>
    <mergeCell ref="B484:B489"/>
    <mergeCell ref="C484:C489"/>
    <mergeCell ref="J484:J489"/>
    <mergeCell ref="K484:K489"/>
    <mergeCell ref="A490:A495"/>
    <mergeCell ref="B490:B495"/>
    <mergeCell ref="C490:C495"/>
    <mergeCell ref="J490:J495"/>
    <mergeCell ref="K490:K495"/>
    <mergeCell ref="A472:A477"/>
    <mergeCell ref="B472:B477"/>
    <mergeCell ref="C472:C477"/>
    <mergeCell ref="J472:J477"/>
    <mergeCell ref="K472:K477"/>
    <mergeCell ref="A478:A483"/>
    <mergeCell ref="B478:B483"/>
    <mergeCell ref="C478:C483"/>
    <mergeCell ref="J478:J483"/>
    <mergeCell ref="K478:K483"/>
    <mergeCell ref="A460:A465"/>
    <mergeCell ref="B460:B465"/>
    <mergeCell ref="C460:C465"/>
    <mergeCell ref="J460:J465"/>
    <mergeCell ref="K460:K465"/>
    <mergeCell ref="A466:A471"/>
    <mergeCell ref="B466:B471"/>
    <mergeCell ref="C466:C471"/>
    <mergeCell ref="J466:J471"/>
    <mergeCell ref="K466:K471"/>
    <mergeCell ref="A448:A453"/>
    <mergeCell ref="B448:B453"/>
    <mergeCell ref="C448:C453"/>
    <mergeCell ref="J448:J453"/>
    <mergeCell ref="K448:K453"/>
    <mergeCell ref="A454:A459"/>
    <mergeCell ref="B454:B459"/>
    <mergeCell ref="C454:C459"/>
    <mergeCell ref="J454:J459"/>
    <mergeCell ref="K454:K459"/>
    <mergeCell ref="A436:A441"/>
    <mergeCell ref="B436:B441"/>
    <mergeCell ref="C436:C441"/>
    <mergeCell ref="J436:J441"/>
    <mergeCell ref="K436:K441"/>
    <mergeCell ref="A442:A447"/>
    <mergeCell ref="B442:B447"/>
    <mergeCell ref="C442:C447"/>
    <mergeCell ref="J442:J447"/>
    <mergeCell ref="K442:K447"/>
    <mergeCell ref="A424:A429"/>
    <mergeCell ref="B424:B429"/>
    <mergeCell ref="C424:C429"/>
    <mergeCell ref="J424:J429"/>
    <mergeCell ref="K424:K429"/>
    <mergeCell ref="A430:A435"/>
    <mergeCell ref="B430:B435"/>
    <mergeCell ref="C430:C435"/>
    <mergeCell ref="J430:J435"/>
    <mergeCell ref="K430:K435"/>
    <mergeCell ref="A412:A417"/>
    <mergeCell ref="B412:B417"/>
    <mergeCell ref="C412:C417"/>
    <mergeCell ref="J412:J417"/>
    <mergeCell ref="K412:K417"/>
    <mergeCell ref="A418:A423"/>
    <mergeCell ref="B418:B423"/>
    <mergeCell ref="C418:C423"/>
    <mergeCell ref="J418:J423"/>
    <mergeCell ref="K418:K423"/>
    <mergeCell ref="A400:A405"/>
    <mergeCell ref="B400:B405"/>
    <mergeCell ref="C400:C405"/>
    <mergeCell ref="J400:J405"/>
    <mergeCell ref="K400:K405"/>
    <mergeCell ref="A406:A411"/>
    <mergeCell ref="B406:B411"/>
    <mergeCell ref="C406:C411"/>
    <mergeCell ref="J406:J411"/>
    <mergeCell ref="K406:K411"/>
    <mergeCell ref="A388:A393"/>
    <mergeCell ref="B388:B393"/>
    <mergeCell ref="C388:C393"/>
    <mergeCell ref="J388:J393"/>
    <mergeCell ref="K388:K393"/>
    <mergeCell ref="A394:A399"/>
    <mergeCell ref="B394:B399"/>
    <mergeCell ref="C394:C399"/>
    <mergeCell ref="J394:J399"/>
    <mergeCell ref="K394:K399"/>
    <mergeCell ref="A376:A381"/>
    <mergeCell ref="B376:B381"/>
    <mergeCell ref="C376:C381"/>
    <mergeCell ref="J376:J381"/>
    <mergeCell ref="K376:K381"/>
    <mergeCell ref="A382:A387"/>
    <mergeCell ref="B382:B387"/>
    <mergeCell ref="C382:C387"/>
    <mergeCell ref="J382:J387"/>
    <mergeCell ref="K382:K387"/>
    <mergeCell ref="A364:A369"/>
    <mergeCell ref="B364:B369"/>
    <mergeCell ref="C364:C369"/>
    <mergeCell ref="J364:J369"/>
    <mergeCell ref="K364:K369"/>
    <mergeCell ref="A370:A375"/>
    <mergeCell ref="B370:B375"/>
    <mergeCell ref="C370:C375"/>
    <mergeCell ref="J370:J375"/>
    <mergeCell ref="K370:K375"/>
    <mergeCell ref="A352:A357"/>
    <mergeCell ref="B352:B357"/>
    <mergeCell ref="C352:C357"/>
    <mergeCell ref="J352:J357"/>
    <mergeCell ref="K352:K357"/>
    <mergeCell ref="A358:A363"/>
    <mergeCell ref="B358:B363"/>
    <mergeCell ref="C358:C363"/>
    <mergeCell ref="J358:J363"/>
    <mergeCell ref="K358:K363"/>
    <mergeCell ref="A340:A345"/>
    <mergeCell ref="B340:B345"/>
    <mergeCell ref="C340:C345"/>
    <mergeCell ref="J340:J345"/>
    <mergeCell ref="K340:K345"/>
    <mergeCell ref="A346:A351"/>
    <mergeCell ref="B346:B351"/>
    <mergeCell ref="C346:C351"/>
    <mergeCell ref="J346:J351"/>
    <mergeCell ref="K346:K351"/>
    <mergeCell ref="A328:A333"/>
    <mergeCell ref="B328:B333"/>
    <mergeCell ref="C328:C333"/>
    <mergeCell ref="J328:J333"/>
    <mergeCell ref="K328:K333"/>
    <mergeCell ref="A334:A339"/>
    <mergeCell ref="B334:B339"/>
    <mergeCell ref="C334:C339"/>
    <mergeCell ref="J334:J339"/>
    <mergeCell ref="K334:K339"/>
    <mergeCell ref="A316:A321"/>
    <mergeCell ref="B316:B321"/>
    <mergeCell ref="C316:C321"/>
    <mergeCell ref="J316:J321"/>
    <mergeCell ref="K316:K321"/>
    <mergeCell ref="A322:A327"/>
    <mergeCell ref="B322:B327"/>
    <mergeCell ref="C322:C327"/>
    <mergeCell ref="J322:J327"/>
    <mergeCell ref="K322:K327"/>
    <mergeCell ref="A304:A309"/>
    <mergeCell ref="B304:B309"/>
    <mergeCell ref="C304:C309"/>
    <mergeCell ref="J304:J309"/>
    <mergeCell ref="K304:K309"/>
    <mergeCell ref="A310:A315"/>
    <mergeCell ref="B310:B315"/>
    <mergeCell ref="C310:C315"/>
    <mergeCell ref="J310:J315"/>
    <mergeCell ref="K310:K315"/>
    <mergeCell ref="A292:A297"/>
    <mergeCell ref="B292:B297"/>
    <mergeCell ref="C292:C297"/>
    <mergeCell ref="J292:J297"/>
    <mergeCell ref="K292:K297"/>
    <mergeCell ref="A298:A303"/>
    <mergeCell ref="B298:B303"/>
    <mergeCell ref="C298:C303"/>
    <mergeCell ref="J298:J303"/>
    <mergeCell ref="K298:K303"/>
    <mergeCell ref="A280:A285"/>
    <mergeCell ref="B280:B285"/>
    <mergeCell ref="C280:C285"/>
    <mergeCell ref="J280:J285"/>
    <mergeCell ref="K280:K285"/>
    <mergeCell ref="A286:A291"/>
    <mergeCell ref="B286:B291"/>
    <mergeCell ref="C286:C291"/>
    <mergeCell ref="J286:J291"/>
    <mergeCell ref="K286:K291"/>
    <mergeCell ref="A268:A273"/>
    <mergeCell ref="B268:B273"/>
    <mergeCell ref="C268:C273"/>
    <mergeCell ref="J268:J273"/>
    <mergeCell ref="K268:K273"/>
    <mergeCell ref="A274:A279"/>
    <mergeCell ref="B274:B279"/>
    <mergeCell ref="C274:C279"/>
    <mergeCell ref="J274:J279"/>
    <mergeCell ref="K274:K279"/>
    <mergeCell ref="A256:A261"/>
    <mergeCell ref="B256:B261"/>
    <mergeCell ref="C256:C261"/>
    <mergeCell ref="J256:J261"/>
    <mergeCell ref="K256:K261"/>
    <mergeCell ref="A262:A267"/>
    <mergeCell ref="B262:B267"/>
    <mergeCell ref="C262:C267"/>
    <mergeCell ref="J262:J267"/>
    <mergeCell ref="K262:K267"/>
    <mergeCell ref="A244:A249"/>
    <mergeCell ref="B244:B249"/>
    <mergeCell ref="C244:C249"/>
    <mergeCell ref="J244:J249"/>
    <mergeCell ref="K244:K249"/>
    <mergeCell ref="A250:A255"/>
    <mergeCell ref="B250:B255"/>
    <mergeCell ref="C250:C255"/>
    <mergeCell ref="J250:J255"/>
    <mergeCell ref="K250:K255"/>
    <mergeCell ref="A232:A237"/>
    <mergeCell ref="B232:B237"/>
    <mergeCell ref="C232:C237"/>
    <mergeCell ref="J232:J237"/>
    <mergeCell ref="K232:K237"/>
    <mergeCell ref="A238:A243"/>
    <mergeCell ref="B238:B243"/>
    <mergeCell ref="C238:C243"/>
    <mergeCell ref="J238:J243"/>
    <mergeCell ref="K238:K243"/>
    <mergeCell ref="A220:A225"/>
    <mergeCell ref="B220:B225"/>
    <mergeCell ref="C220:C225"/>
    <mergeCell ref="J220:J225"/>
    <mergeCell ref="K220:K225"/>
    <mergeCell ref="A226:A231"/>
    <mergeCell ref="B226:B231"/>
    <mergeCell ref="C226:C231"/>
    <mergeCell ref="J226:J231"/>
    <mergeCell ref="K226:K231"/>
    <mergeCell ref="A208:A213"/>
    <mergeCell ref="B208:B213"/>
    <mergeCell ref="C208:C213"/>
    <mergeCell ref="J208:J213"/>
    <mergeCell ref="K208:K213"/>
    <mergeCell ref="A214:A219"/>
    <mergeCell ref="B214:B219"/>
    <mergeCell ref="C214:C219"/>
    <mergeCell ref="J214:J219"/>
    <mergeCell ref="K214:K219"/>
    <mergeCell ref="A196:A201"/>
    <mergeCell ref="B196:B201"/>
    <mergeCell ref="C196:C201"/>
    <mergeCell ref="J196:J201"/>
    <mergeCell ref="K196:K201"/>
    <mergeCell ref="A202:A207"/>
    <mergeCell ref="B202:B207"/>
    <mergeCell ref="C202:C207"/>
    <mergeCell ref="J202:J207"/>
    <mergeCell ref="K202:K207"/>
    <mergeCell ref="A184:A189"/>
    <mergeCell ref="B184:B189"/>
    <mergeCell ref="C184:C189"/>
    <mergeCell ref="J184:J189"/>
    <mergeCell ref="K184:K189"/>
    <mergeCell ref="A190:A195"/>
    <mergeCell ref="B190:B195"/>
    <mergeCell ref="C190:C195"/>
    <mergeCell ref="J190:J195"/>
    <mergeCell ref="K190:K195"/>
    <mergeCell ref="A172:A177"/>
    <mergeCell ref="B172:B177"/>
    <mergeCell ref="C172:C177"/>
    <mergeCell ref="J172:J177"/>
    <mergeCell ref="K172:K177"/>
    <mergeCell ref="A178:A183"/>
    <mergeCell ref="B178:B183"/>
    <mergeCell ref="C178:C183"/>
    <mergeCell ref="J178:J183"/>
    <mergeCell ref="K178:K183"/>
    <mergeCell ref="A160:A165"/>
    <mergeCell ref="B160:B165"/>
    <mergeCell ref="C160:C165"/>
    <mergeCell ref="J160:J165"/>
    <mergeCell ref="K160:K165"/>
    <mergeCell ref="A166:A171"/>
    <mergeCell ref="B166:B171"/>
    <mergeCell ref="C166:C171"/>
    <mergeCell ref="J166:J171"/>
    <mergeCell ref="K166:K171"/>
    <mergeCell ref="A148:A153"/>
    <mergeCell ref="B148:B153"/>
    <mergeCell ref="C148:C153"/>
    <mergeCell ref="J148:J153"/>
    <mergeCell ref="K148:K153"/>
    <mergeCell ref="A154:A159"/>
    <mergeCell ref="B154:B159"/>
    <mergeCell ref="C154:C159"/>
    <mergeCell ref="J154:J159"/>
    <mergeCell ref="K154:K159"/>
    <mergeCell ref="A136:A141"/>
    <mergeCell ref="B136:B141"/>
    <mergeCell ref="C136:C141"/>
    <mergeCell ref="J136:J141"/>
    <mergeCell ref="K136:K141"/>
    <mergeCell ref="A142:A147"/>
    <mergeCell ref="B142:B147"/>
    <mergeCell ref="C142:C147"/>
    <mergeCell ref="J142:J147"/>
    <mergeCell ref="K142:K147"/>
    <mergeCell ref="A124:A129"/>
    <mergeCell ref="B124:B129"/>
    <mergeCell ref="C124:C129"/>
    <mergeCell ref="J124:J129"/>
    <mergeCell ref="K124:K129"/>
    <mergeCell ref="A130:A135"/>
    <mergeCell ref="B130:B135"/>
    <mergeCell ref="C130:C135"/>
    <mergeCell ref="J130:J135"/>
    <mergeCell ref="K130:K135"/>
    <mergeCell ref="A112:A117"/>
    <mergeCell ref="B112:B117"/>
    <mergeCell ref="C112:C117"/>
    <mergeCell ref="J112:J117"/>
    <mergeCell ref="K112:K117"/>
    <mergeCell ref="A118:A123"/>
    <mergeCell ref="B118:B123"/>
    <mergeCell ref="C118:C123"/>
    <mergeCell ref="J118:J123"/>
    <mergeCell ref="K118:K123"/>
    <mergeCell ref="A100:A105"/>
    <mergeCell ref="B100:B105"/>
    <mergeCell ref="C100:C105"/>
    <mergeCell ref="J100:J105"/>
    <mergeCell ref="K100:K105"/>
    <mergeCell ref="A106:A111"/>
    <mergeCell ref="B106:B111"/>
    <mergeCell ref="C106:C111"/>
    <mergeCell ref="J106:J111"/>
    <mergeCell ref="K106:K111"/>
    <mergeCell ref="A88:A93"/>
    <mergeCell ref="B88:B93"/>
    <mergeCell ref="C88:C93"/>
    <mergeCell ref="J88:J93"/>
    <mergeCell ref="K88:K93"/>
    <mergeCell ref="A94:A99"/>
    <mergeCell ref="B94:B99"/>
    <mergeCell ref="C94:C99"/>
    <mergeCell ref="J94:J99"/>
    <mergeCell ref="K94:K99"/>
    <mergeCell ref="A76:A81"/>
    <mergeCell ref="B76:B81"/>
    <mergeCell ref="C76:C81"/>
    <mergeCell ref="J76:J81"/>
    <mergeCell ref="K76:K81"/>
    <mergeCell ref="A82:A87"/>
    <mergeCell ref="B82:B87"/>
    <mergeCell ref="C82:C87"/>
    <mergeCell ref="J82:J87"/>
    <mergeCell ref="K82:K87"/>
    <mergeCell ref="A64:A69"/>
    <mergeCell ref="B64:B69"/>
    <mergeCell ref="C64:C69"/>
    <mergeCell ref="J64:J69"/>
    <mergeCell ref="K64:K69"/>
    <mergeCell ref="A70:A75"/>
    <mergeCell ref="B70:B75"/>
    <mergeCell ref="C70:C75"/>
    <mergeCell ref="J70:J75"/>
    <mergeCell ref="K70:K75"/>
    <mergeCell ref="A52:A57"/>
    <mergeCell ref="B52:B57"/>
    <mergeCell ref="C52:C57"/>
    <mergeCell ref="J52:J57"/>
    <mergeCell ref="K52:K57"/>
    <mergeCell ref="A58:A63"/>
    <mergeCell ref="B58:B63"/>
    <mergeCell ref="C58:C63"/>
    <mergeCell ref="J58:J63"/>
    <mergeCell ref="K58:K63"/>
    <mergeCell ref="A40:A45"/>
    <mergeCell ref="B40:B45"/>
    <mergeCell ref="C40:C45"/>
    <mergeCell ref="J40:J45"/>
    <mergeCell ref="K40:K45"/>
    <mergeCell ref="A46:A51"/>
    <mergeCell ref="B46:B51"/>
    <mergeCell ref="C46:C51"/>
    <mergeCell ref="J46:J51"/>
    <mergeCell ref="K46:K51"/>
    <mergeCell ref="A28:A33"/>
    <mergeCell ref="B28:B33"/>
    <mergeCell ref="C28:C33"/>
    <mergeCell ref="J28:J33"/>
    <mergeCell ref="K28:K33"/>
    <mergeCell ref="A34:A39"/>
    <mergeCell ref="B34:B39"/>
    <mergeCell ref="C34:C39"/>
    <mergeCell ref="J34:J39"/>
    <mergeCell ref="K34:K39"/>
    <mergeCell ref="L10:L11"/>
    <mergeCell ref="Z12:AF14"/>
    <mergeCell ref="A16:A21"/>
    <mergeCell ref="B16:B21"/>
    <mergeCell ref="C16:C21"/>
    <mergeCell ref="J16:J21"/>
    <mergeCell ref="K16:K21"/>
    <mergeCell ref="A22:A27"/>
    <mergeCell ref="B22:B27"/>
    <mergeCell ref="C22:C27"/>
    <mergeCell ref="J22:J27"/>
    <mergeCell ref="K22:K27"/>
    <mergeCell ref="L22:O22"/>
    <mergeCell ref="K3:K4"/>
    <mergeCell ref="J5:K5"/>
    <mergeCell ref="A8:A9"/>
    <mergeCell ref="B8:B9"/>
    <mergeCell ref="C8:C9"/>
    <mergeCell ref="D8:I8"/>
    <mergeCell ref="J8:J9"/>
    <mergeCell ref="K8:K9"/>
    <mergeCell ref="A10:A15"/>
    <mergeCell ref="B10:B15"/>
    <mergeCell ref="C10:C15"/>
    <mergeCell ref="J10:J15"/>
    <mergeCell ref="K10:K15"/>
  </mergeCells>
  <pageMargins left="0.70866141732283472" right="0.70866141732283472" top="0.74803149606299213" bottom="0.74803149606299213" header="0.31496062992125984" footer="0.31496062992125984"/>
  <pageSetup paperSize="9" scale="44" firstPageNumber="4294967295" orientation="landscape"/>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3" tint="0.39997558519241921"/>
    <pageSetUpPr fitToPage="1"/>
  </sheetPr>
  <dimension ref="A1:O425"/>
  <sheetViews>
    <sheetView workbookViewId="0">
      <pane xSplit="3" ySplit="4" topLeftCell="D5" activePane="bottomRight" state="frozen"/>
      <selection activeCell="B342" sqref="B342:B347"/>
      <selection pane="topRight"/>
      <selection pane="bottomLeft"/>
      <selection pane="bottomRight" activeCell="D5" sqref="D5"/>
    </sheetView>
  </sheetViews>
  <sheetFormatPr defaultRowHeight="15" outlineLevelRow="1" x14ac:dyDescent="0.25"/>
  <cols>
    <col min="1" max="1" width="5.8554687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2" width="13" customWidth="1"/>
    <col min="14" max="14" width="13" customWidth="1"/>
    <col min="16" max="16" width="16" customWidth="1"/>
  </cols>
  <sheetData>
    <row r="1" spans="1:15" ht="15.75" customHeight="1" x14ac:dyDescent="0.25">
      <c r="A1" s="107" t="s">
        <v>0</v>
      </c>
      <c r="B1" s="107"/>
      <c r="C1" s="107"/>
      <c r="D1" s="107"/>
      <c r="E1" s="107"/>
      <c r="F1" s="107"/>
      <c r="G1" s="107"/>
      <c r="H1" s="107"/>
      <c r="I1" s="107"/>
      <c r="J1" s="107"/>
      <c r="K1" s="107"/>
    </row>
    <row r="2" spans="1:15" x14ac:dyDescent="0.25">
      <c r="A2" s="107"/>
      <c r="B2" s="107"/>
      <c r="C2" s="107"/>
      <c r="D2" s="107"/>
      <c r="E2" s="107"/>
      <c r="F2" s="107"/>
      <c r="G2" s="107"/>
      <c r="H2" s="107"/>
      <c r="I2" s="107"/>
      <c r="J2" s="107"/>
      <c r="K2" s="107"/>
    </row>
    <row r="3" spans="1:15" ht="15" customHeight="1" x14ac:dyDescent="0.25">
      <c r="A3" s="107" t="s">
        <v>1</v>
      </c>
      <c r="B3" s="107" t="s">
        <v>2</v>
      </c>
      <c r="C3" s="107" t="s">
        <v>3</v>
      </c>
      <c r="D3" s="107" t="s">
        <v>4</v>
      </c>
      <c r="E3" s="107"/>
      <c r="F3" s="107"/>
      <c r="G3" s="107"/>
      <c r="H3" s="107"/>
      <c r="I3" s="107"/>
      <c r="J3" s="107" t="s">
        <v>5</v>
      </c>
      <c r="K3" s="107" t="s">
        <v>6</v>
      </c>
    </row>
    <row r="4" spans="1:15" ht="36.75" customHeight="1" x14ac:dyDescent="0.25">
      <c r="A4" s="107"/>
      <c r="B4" s="107"/>
      <c r="C4" s="107"/>
      <c r="D4" t="s">
        <v>7</v>
      </c>
      <c r="E4" t="s">
        <v>8</v>
      </c>
      <c r="F4" t="s">
        <v>9</v>
      </c>
      <c r="G4" t="s">
        <v>10</v>
      </c>
      <c r="H4" t="s">
        <v>11</v>
      </c>
      <c r="I4" t="s">
        <v>12</v>
      </c>
      <c r="J4" s="107"/>
      <c r="K4" s="107"/>
    </row>
    <row r="5" spans="1:15" ht="15" customHeight="1" x14ac:dyDescent="0.25">
      <c r="A5" s="107"/>
      <c r="B5" s="107" t="s">
        <v>13</v>
      </c>
      <c r="C5" s="107" t="s">
        <v>14</v>
      </c>
      <c r="D5" t="s">
        <v>8</v>
      </c>
      <c r="E5">
        <f t="shared" ref="E5:E34" si="0">SUM(F5:I5)</f>
        <v>5532730.1383282337</v>
      </c>
      <c r="F5">
        <f>SUM(F6:F10)</f>
        <v>4855761.4428599998</v>
      </c>
      <c r="G5">
        <f>SUM(G6:G10)</f>
        <v>592630.10000000009</v>
      </c>
      <c r="H5">
        <f>SUM(H6:H10)</f>
        <v>84338.595468234518</v>
      </c>
      <c r="I5">
        <f>SUM(I6:I10)</f>
        <v>0</v>
      </c>
      <c r="J5" s="107"/>
      <c r="K5" s="107" t="s">
        <v>482</v>
      </c>
    </row>
    <row r="6" spans="1:15" x14ac:dyDescent="0.25">
      <c r="A6" s="107"/>
      <c r="B6" s="107"/>
      <c r="C6" s="107"/>
      <c r="D6">
        <v>2021</v>
      </c>
      <c r="E6">
        <f t="shared" si="0"/>
        <v>1623244.0808613924</v>
      </c>
      <c r="F6">
        <f t="shared" ref="F6:G10" si="1">F24+F122+F230+F409</f>
        <v>1271301.5383899999</v>
      </c>
      <c r="G6">
        <f t="shared" si="1"/>
        <v>309302.10000000003</v>
      </c>
      <c r="H6">
        <f>H12+H18</f>
        <v>42640.442471392402</v>
      </c>
      <c r="I6">
        <f t="shared" ref="I6:I10" si="2">I24+I122+I230+I409</f>
        <v>0</v>
      </c>
      <c r="J6" s="107"/>
      <c r="K6" s="107"/>
    </row>
    <row r="7" spans="1:15" x14ac:dyDescent="0.25">
      <c r="A7" s="107"/>
      <c r="B7" s="107"/>
      <c r="C7" s="107"/>
      <c r="D7">
        <v>2022</v>
      </c>
      <c r="E7">
        <f t="shared" si="0"/>
        <v>1286009.02868</v>
      </c>
      <c r="F7">
        <f t="shared" si="1"/>
        <v>1108398.6704199999</v>
      </c>
      <c r="G7">
        <f t="shared" si="1"/>
        <v>136318.79999999999</v>
      </c>
      <c r="H7">
        <f t="shared" ref="H7:H10" si="3">H25+H123+H231+H410</f>
        <v>41291.558260000005</v>
      </c>
      <c r="I7">
        <f t="shared" si="2"/>
        <v>0</v>
      </c>
      <c r="J7" s="107"/>
      <c r="K7" s="107"/>
    </row>
    <row r="8" spans="1:15" x14ac:dyDescent="0.25">
      <c r="A8" s="107"/>
      <c r="B8" s="107"/>
      <c r="C8" s="107"/>
      <c r="D8">
        <v>2023</v>
      </c>
      <c r="E8">
        <f t="shared" si="0"/>
        <v>974087.27133684221</v>
      </c>
      <c r="F8">
        <f t="shared" si="1"/>
        <v>826671.47660000005</v>
      </c>
      <c r="G8">
        <f t="shared" si="1"/>
        <v>147009.20000000001</v>
      </c>
      <c r="H8">
        <f t="shared" si="3"/>
        <v>406.59473684210525</v>
      </c>
      <c r="I8">
        <f t="shared" si="2"/>
        <v>0</v>
      </c>
      <c r="J8" s="107"/>
      <c r="K8" s="107"/>
    </row>
    <row r="9" spans="1:15" x14ac:dyDescent="0.25">
      <c r="A9" s="107"/>
      <c r="B9" s="107"/>
      <c r="C9" s="107"/>
      <c r="D9">
        <v>2024</v>
      </c>
      <c r="E9">
        <f t="shared" si="0"/>
        <v>829941.89545000007</v>
      </c>
      <c r="F9">
        <f t="shared" si="1"/>
        <v>829941.89545000007</v>
      </c>
      <c r="G9">
        <f t="shared" si="1"/>
        <v>0</v>
      </c>
      <c r="H9">
        <f t="shared" si="3"/>
        <v>0</v>
      </c>
      <c r="I9">
        <f t="shared" si="2"/>
        <v>0</v>
      </c>
      <c r="J9" s="107"/>
      <c r="K9" s="107"/>
    </row>
    <row r="10" spans="1:15"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5" x14ac:dyDescent="0.25">
      <c r="A11" s="107"/>
      <c r="B11" s="107" t="s">
        <v>483</v>
      </c>
      <c r="C11" s="107" t="s">
        <v>14</v>
      </c>
      <c r="D11" t="s">
        <v>8</v>
      </c>
      <c r="E11">
        <f t="shared" si="0"/>
        <v>4403771.3486099988</v>
      </c>
      <c r="F11">
        <f>SUM(F12:F16)</f>
        <v>4294269.6575299995</v>
      </c>
      <c r="G11">
        <f>SUM(G12:G16)</f>
        <v>90239.1</v>
      </c>
      <c r="H11">
        <f>SUM(H12:H16)</f>
        <v>19262.591080000002</v>
      </c>
      <c r="I11">
        <f>SUM(I12:I16)</f>
        <v>0</v>
      </c>
      <c r="J11" s="107"/>
      <c r="K11" s="107" t="s">
        <v>484</v>
      </c>
    </row>
    <row r="12" spans="1:15" x14ac:dyDescent="0.25">
      <c r="A12" s="107"/>
      <c r="B12" s="107"/>
      <c r="C12" s="107"/>
      <c r="D12">
        <v>2021</v>
      </c>
      <c r="E12">
        <f t="shared" si="0"/>
        <v>1157227.5810699998</v>
      </c>
      <c r="F12">
        <f>F24+F122+F289+F295+F301+F307+F385+F409+F361+F265+F277</f>
        <v>1086151.58999</v>
      </c>
      <c r="G12">
        <f>G24+G122+G289+G295+G301+G307+G385+G409+G361+G265</f>
        <v>51813.4</v>
      </c>
      <c r="H12">
        <f>H24+H122+H289+H307+H385+H409</f>
        <v>19262.591080000002</v>
      </c>
      <c r="I12">
        <f t="shared" ref="I12:I15" si="4">I6-I18</f>
        <v>0</v>
      </c>
      <c r="J12" s="107"/>
      <c r="K12" s="107"/>
      <c r="L12">
        <f>1136630691.26/1000</f>
        <v>1136630.69126</v>
      </c>
      <c r="M12">
        <f>L12-F12-G12</f>
        <v>-1334.2987300000168</v>
      </c>
      <c r="N12">
        <f>M12*1000</f>
        <v>-1334298.7300000167</v>
      </c>
      <c r="O12" t="s">
        <v>485</v>
      </c>
    </row>
    <row r="13" spans="1:15" x14ac:dyDescent="0.25">
      <c r="A13" s="107"/>
      <c r="B13" s="107"/>
      <c r="C13" s="107"/>
      <c r="D13">
        <v>2022</v>
      </c>
      <c r="E13">
        <f t="shared" ref="E13:E14" si="5">SUM(F13:I13)</f>
        <v>758589.6334899998</v>
      </c>
      <c r="F13">
        <f t="shared" ref="F13:H16" si="6">F7-F19</f>
        <v>739782.1334899998</v>
      </c>
      <c r="G13">
        <f t="shared" si="6"/>
        <v>18807.499999999985</v>
      </c>
      <c r="H13">
        <f t="shared" si="6"/>
        <v>0</v>
      </c>
      <c r="I13">
        <f t="shared" si="4"/>
        <v>0</v>
      </c>
      <c r="J13" s="107"/>
      <c r="K13" s="107"/>
    </row>
    <row r="14" spans="1:15" x14ac:dyDescent="0.25">
      <c r="A14" s="107"/>
      <c r="B14" s="107"/>
      <c r="C14" s="107"/>
      <c r="D14">
        <v>2023</v>
      </c>
      <c r="E14">
        <f t="shared" si="5"/>
        <v>838564.37660000008</v>
      </c>
      <c r="F14">
        <f t="shared" si="6"/>
        <v>818946.17660000001</v>
      </c>
      <c r="G14">
        <f t="shared" si="6"/>
        <v>19618.200000000012</v>
      </c>
      <c r="H14">
        <f t="shared" si="6"/>
        <v>0</v>
      </c>
      <c r="I14">
        <f t="shared" si="4"/>
        <v>0</v>
      </c>
      <c r="J14" s="107"/>
      <c r="K14" s="107"/>
    </row>
    <row r="15" spans="1:15" x14ac:dyDescent="0.25">
      <c r="A15" s="107"/>
      <c r="B15" s="107"/>
      <c r="C15" s="107"/>
      <c r="D15">
        <v>2024</v>
      </c>
      <c r="E15">
        <f t="shared" si="0"/>
        <v>829941.89545000007</v>
      </c>
      <c r="F15">
        <f t="shared" si="6"/>
        <v>829941.89545000007</v>
      </c>
      <c r="G15">
        <f t="shared" si="6"/>
        <v>0</v>
      </c>
      <c r="H15">
        <f t="shared" si="6"/>
        <v>0</v>
      </c>
      <c r="I15">
        <f t="shared" si="4"/>
        <v>0</v>
      </c>
      <c r="J15" s="107"/>
      <c r="K15" s="107"/>
    </row>
    <row r="16" spans="1:15" x14ac:dyDescent="0.25">
      <c r="A16" s="107"/>
      <c r="B16" s="107"/>
      <c r="C16" s="107"/>
      <c r="D16">
        <v>2025</v>
      </c>
      <c r="E16">
        <f t="shared" si="0"/>
        <v>819447.86199999996</v>
      </c>
      <c r="F16">
        <f t="shared" si="6"/>
        <v>819447.86199999996</v>
      </c>
      <c r="G16">
        <f t="shared" si="6"/>
        <v>0</v>
      </c>
      <c r="H16">
        <f t="shared" si="6"/>
        <v>0</v>
      </c>
      <c r="I16">
        <f>I10-I22</f>
        <v>0</v>
      </c>
      <c r="J16" s="107"/>
      <c r="K16" s="107"/>
    </row>
    <row r="17" spans="1:14" x14ac:dyDescent="0.25">
      <c r="A17" s="107"/>
      <c r="B17" s="107" t="s">
        <v>18</v>
      </c>
      <c r="C17" s="107" t="s">
        <v>19</v>
      </c>
      <c r="D17" t="s">
        <v>8</v>
      </c>
      <c r="E17">
        <f t="shared" si="0"/>
        <v>1128958.7897182347</v>
      </c>
      <c r="F17">
        <f>SUM(F18:F22)</f>
        <v>561491.7853300001</v>
      </c>
      <c r="G17">
        <f>SUM(G18:G22)</f>
        <v>502391</v>
      </c>
      <c r="H17">
        <f>SUM(H18:H22)</f>
        <v>65076.004388234505</v>
      </c>
      <c r="I17">
        <f>SUM(I18:I22)</f>
        <v>0</v>
      </c>
      <c r="J17" s="107"/>
      <c r="K17" s="107" t="s">
        <v>20</v>
      </c>
    </row>
    <row r="18" spans="1:14" x14ac:dyDescent="0.25">
      <c r="A18" s="107"/>
      <c r="B18" s="107"/>
      <c r="C18" s="107"/>
      <c r="D18">
        <v>2021</v>
      </c>
      <c r="E18">
        <f t="shared" si="0"/>
        <v>466016.49979139236</v>
      </c>
      <c r="F18">
        <f>F391+F397+F247+F403+F253+F313+F319+F325+F331+F337+F343+F259+F271+F349+F355+F367+F373</f>
        <v>185149.94839999996</v>
      </c>
      <c r="G18">
        <f t="shared" ref="G18:G22" si="7">G391+G397+G247+G403+G253+G313+G319+G325+G331+G337+G343+G259+G271+G349+G355</f>
        <v>257488.7</v>
      </c>
      <c r="H18">
        <f>H391+H397+H247+H403+H253+H313+H319+H325+H331+H337+H343+H259+H271+H349+H355+H373</f>
        <v>23377.8513913924</v>
      </c>
      <c r="I18">
        <f t="shared" ref="I18:I22" si="8">I391+I397+I247+I403+I253+I313+I319+I325+I331+I337+I343+I259+I271+I349+I355</f>
        <v>0</v>
      </c>
      <c r="J18" s="107"/>
      <c r="K18" s="107"/>
    </row>
    <row r="19" spans="1:14" x14ac:dyDescent="0.25">
      <c r="A19" s="107"/>
      <c r="B19" s="107"/>
      <c r="C19" s="107"/>
      <c r="D19">
        <v>2022</v>
      </c>
      <c r="E19">
        <f t="shared" si="0"/>
        <v>527419.39519000007</v>
      </c>
      <c r="F19">
        <f t="shared" ref="F19:F22" si="9">F392+F398+F248+F404+F254+F314+F320+F326+F332+F338+F344+F260+F272+F350+F356</f>
        <v>368616.53693000006</v>
      </c>
      <c r="G19">
        <f t="shared" si="7"/>
        <v>117511.3</v>
      </c>
      <c r="H19">
        <f t="shared" ref="H19:H22" si="10">H392+H398+H248+H404+H254+H314+H320+H326+H332+H338+H344+H260+H272+H350+H356</f>
        <v>41291.558260000005</v>
      </c>
      <c r="I19">
        <f t="shared" si="8"/>
        <v>0</v>
      </c>
      <c r="J19" s="107"/>
      <c r="K19" s="107"/>
    </row>
    <row r="20" spans="1:14" x14ac:dyDescent="0.25">
      <c r="A20" s="107"/>
      <c r="B20" s="107"/>
      <c r="C20" s="107"/>
      <c r="D20">
        <v>2023</v>
      </c>
      <c r="E20">
        <f t="shared" si="0"/>
        <v>135522.89473684211</v>
      </c>
      <c r="F20">
        <f t="shared" si="9"/>
        <v>7725.3</v>
      </c>
      <c r="G20">
        <f t="shared" si="7"/>
        <v>127391</v>
      </c>
      <c r="H20">
        <f t="shared" si="10"/>
        <v>406.59473684210525</v>
      </c>
      <c r="I20">
        <f t="shared" si="8"/>
        <v>0</v>
      </c>
      <c r="J20" s="107"/>
      <c r="K20" s="107"/>
    </row>
    <row r="21" spans="1:14" x14ac:dyDescent="0.25">
      <c r="A21" s="107"/>
      <c r="B21" s="107"/>
      <c r="C21" s="107"/>
      <c r="D21">
        <v>2024</v>
      </c>
      <c r="E21">
        <f t="shared" si="0"/>
        <v>0</v>
      </c>
      <c r="F21">
        <f t="shared" si="9"/>
        <v>0</v>
      </c>
      <c r="G21">
        <f t="shared" si="7"/>
        <v>0</v>
      </c>
      <c r="H21">
        <f t="shared" si="10"/>
        <v>0</v>
      </c>
      <c r="I21">
        <f t="shared" si="8"/>
        <v>0</v>
      </c>
      <c r="J21" s="107"/>
      <c r="K21" s="107"/>
    </row>
    <row r="22" spans="1:14" x14ac:dyDescent="0.25">
      <c r="A22" s="107"/>
      <c r="B22" s="107"/>
      <c r="C22" s="107"/>
      <c r="D22">
        <v>2025</v>
      </c>
      <c r="E22">
        <f t="shared" si="0"/>
        <v>0</v>
      </c>
      <c r="F22">
        <f t="shared" si="9"/>
        <v>0</v>
      </c>
      <c r="G22">
        <f t="shared" si="7"/>
        <v>0</v>
      </c>
      <c r="H22">
        <f t="shared" si="10"/>
        <v>0</v>
      </c>
      <c r="I22">
        <f t="shared" si="8"/>
        <v>0</v>
      </c>
      <c r="J22" s="107"/>
      <c r="K22" s="107"/>
    </row>
    <row r="23" spans="1:14" ht="15" customHeight="1" x14ac:dyDescent="0.25">
      <c r="A23" s="107">
        <v>1</v>
      </c>
      <c r="B23" s="107" t="s">
        <v>21</v>
      </c>
      <c r="C23" s="107" t="s">
        <v>14</v>
      </c>
      <c r="D23" t="s">
        <v>8</v>
      </c>
      <c r="E23">
        <f t="shared" si="0"/>
        <v>279580.72365</v>
      </c>
      <c r="F23">
        <f>SUM(F24:F28)</f>
        <v>254676.62364999999</v>
      </c>
      <c r="G23">
        <f>SUM(G24:G28)</f>
        <v>24904.1</v>
      </c>
      <c r="H23">
        <f>SUM(H24:H28)</f>
        <v>0</v>
      </c>
      <c r="I23">
        <f>SUM(I24:I28)</f>
        <v>0</v>
      </c>
      <c r="J23" s="107"/>
      <c r="K23" s="107" t="s">
        <v>486</v>
      </c>
      <c r="L23" s="107"/>
      <c r="M23" s="107"/>
      <c r="N23" s="107"/>
    </row>
    <row r="24" spans="1:14" x14ac:dyDescent="0.25">
      <c r="A24" s="107"/>
      <c r="B24" s="107"/>
      <c r="C24" s="107"/>
      <c r="D24">
        <v>2021</v>
      </c>
      <c r="E24">
        <f t="shared" si="0"/>
        <v>144687.47261</v>
      </c>
      <c r="F24">
        <f>F30+F51+F87</f>
        <v>123420.07260999999</v>
      </c>
      <c r="G24">
        <f t="shared" ref="F24:I28" si="11">G30+G51+G87</f>
        <v>21267.4</v>
      </c>
      <c r="H24">
        <f t="shared" si="11"/>
        <v>0</v>
      </c>
      <c r="I24">
        <f t="shared" si="11"/>
        <v>0</v>
      </c>
      <c r="J24" s="107"/>
      <c r="K24" s="107"/>
      <c r="L24" s="107"/>
      <c r="M24" s="107"/>
      <c r="N24" s="107"/>
    </row>
    <row r="25" spans="1:14" x14ac:dyDescent="0.25">
      <c r="A25" s="107"/>
      <c r="B25" s="107"/>
      <c r="C25" s="107"/>
      <c r="D25">
        <v>2022</v>
      </c>
      <c r="E25">
        <f t="shared" si="0"/>
        <v>35570.248939999998</v>
      </c>
      <c r="F25">
        <f t="shared" si="11"/>
        <v>33752.148939999999</v>
      </c>
      <c r="G25">
        <f t="shared" si="11"/>
        <v>1818.1</v>
      </c>
      <c r="H25">
        <f t="shared" si="11"/>
        <v>0</v>
      </c>
      <c r="I25">
        <f t="shared" si="11"/>
        <v>0</v>
      </c>
      <c r="J25" s="107"/>
      <c r="K25" s="107"/>
      <c r="L25" s="107"/>
      <c r="M25" s="107"/>
      <c r="N25" s="107"/>
    </row>
    <row r="26" spans="1:14" x14ac:dyDescent="0.25">
      <c r="A26" s="107"/>
      <c r="B26" s="107"/>
      <c r="C26" s="107"/>
      <c r="D26">
        <v>2023</v>
      </c>
      <c r="E26">
        <f t="shared" si="0"/>
        <v>35570.801050000002</v>
      </c>
      <c r="F26">
        <f t="shared" si="11"/>
        <v>33752.201050000003</v>
      </c>
      <c r="G26">
        <f t="shared" si="11"/>
        <v>1818.6</v>
      </c>
      <c r="H26">
        <f t="shared" si="11"/>
        <v>0</v>
      </c>
      <c r="I26">
        <f t="shared" si="11"/>
        <v>0</v>
      </c>
      <c r="J26" s="107"/>
      <c r="K26" s="107"/>
      <c r="L26" s="107"/>
      <c r="M26" s="107"/>
      <c r="N26" s="107"/>
    </row>
    <row r="27" spans="1:14" x14ac:dyDescent="0.25">
      <c r="A27" s="107"/>
      <c r="B27" s="107"/>
      <c r="C27" s="107"/>
      <c r="D27">
        <v>2024</v>
      </c>
      <c r="E27">
        <f t="shared" si="0"/>
        <v>33752.201050000003</v>
      </c>
      <c r="F27">
        <f t="shared" si="11"/>
        <v>33752.201050000003</v>
      </c>
      <c r="G27">
        <f t="shared" si="11"/>
        <v>0</v>
      </c>
      <c r="H27">
        <f t="shared" si="11"/>
        <v>0</v>
      </c>
      <c r="I27">
        <f t="shared" si="11"/>
        <v>0</v>
      </c>
      <c r="J27" s="107"/>
      <c r="K27" s="107"/>
      <c r="L27" s="107"/>
      <c r="M27" s="107"/>
      <c r="N27" s="107"/>
    </row>
    <row r="28" spans="1:14" x14ac:dyDescent="0.25">
      <c r="A28" s="107"/>
      <c r="B28" s="107"/>
      <c r="C28" s="107"/>
      <c r="D28">
        <v>2025</v>
      </c>
      <c r="E28">
        <f t="shared" si="0"/>
        <v>30000</v>
      </c>
      <c r="F28">
        <f t="shared" si="11"/>
        <v>30000</v>
      </c>
      <c r="G28">
        <f t="shared" si="11"/>
        <v>0</v>
      </c>
      <c r="H28">
        <f t="shared" si="11"/>
        <v>0</v>
      </c>
      <c r="I28">
        <f t="shared" si="11"/>
        <v>0</v>
      </c>
      <c r="J28" s="107"/>
      <c r="K28" s="107"/>
      <c r="L28" s="107"/>
      <c r="M28" s="107"/>
      <c r="N28" s="107"/>
    </row>
    <row r="29" spans="1:14" x14ac:dyDescent="0.25">
      <c r="A29" s="107" t="s">
        <v>23</v>
      </c>
      <c r="B29" s="107" t="s">
        <v>24</v>
      </c>
      <c r="C29" s="107" t="s">
        <v>14</v>
      </c>
      <c r="D29" t="s">
        <v>8</v>
      </c>
      <c r="E29">
        <f t="shared" si="0"/>
        <v>7998.665</v>
      </c>
      <c r="F29">
        <f>SUM(F30:F34)</f>
        <v>7998.665</v>
      </c>
      <c r="G29">
        <f>SUM(G30:G34)</f>
        <v>0</v>
      </c>
      <c r="H29">
        <f>SUM(H30:H34)</f>
        <v>0</v>
      </c>
      <c r="I29">
        <f>SUM(I30:I34)</f>
        <v>0</v>
      </c>
      <c r="J29" s="107" t="s">
        <v>487</v>
      </c>
      <c r="K29" s="107" t="s">
        <v>488</v>
      </c>
      <c r="L29" s="107"/>
      <c r="M29" s="107"/>
      <c r="N29" s="107"/>
    </row>
    <row r="30" spans="1:14" x14ac:dyDescent="0.25">
      <c r="A30" s="107"/>
      <c r="B30" s="107"/>
      <c r="C30" s="107"/>
      <c r="D30">
        <v>2021</v>
      </c>
      <c r="E30">
        <f t="shared" si="0"/>
        <v>7998.665</v>
      </c>
      <c r="F30">
        <f t="shared" ref="F30:I34" si="12">F42</f>
        <v>7998.665</v>
      </c>
      <c r="G30">
        <f t="shared" si="12"/>
        <v>0</v>
      </c>
      <c r="H30">
        <f t="shared" si="12"/>
        <v>0</v>
      </c>
      <c r="I30">
        <f t="shared" si="12"/>
        <v>0</v>
      </c>
      <c r="J30" s="107"/>
      <c r="K30" s="107"/>
      <c r="L30" s="107"/>
      <c r="M30" s="107"/>
      <c r="N30" s="107"/>
    </row>
    <row r="31" spans="1:14" x14ac:dyDescent="0.25">
      <c r="A31" s="107"/>
      <c r="B31" s="107"/>
      <c r="C31" s="107"/>
      <c r="D31">
        <v>2022</v>
      </c>
      <c r="E31">
        <f t="shared" si="0"/>
        <v>0</v>
      </c>
      <c r="F31">
        <f t="shared" si="12"/>
        <v>0</v>
      </c>
      <c r="G31">
        <f t="shared" si="12"/>
        <v>0</v>
      </c>
      <c r="H31">
        <f t="shared" si="12"/>
        <v>0</v>
      </c>
      <c r="I31">
        <f t="shared" si="12"/>
        <v>0</v>
      </c>
      <c r="J31" s="107"/>
      <c r="K31" s="107"/>
      <c r="L31" s="107"/>
      <c r="M31" s="107"/>
      <c r="N31" s="107"/>
    </row>
    <row r="32" spans="1:14" x14ac:dyDescent="0.25">
      <c r="A32" s="107"/>
      <c r="B32" s="107"/>
      <c r="C32" s="107"/>
      <c r="D32">
        <v>2023</v>
      </c>
      <c r="E32">
        <f t="shared" si="0"/>
        <v>0</v>
      </c>
      <c r="F32">
        <f t="shared" si="12"/>
        <v>0</v>
      </c>
      <c r="G32">
        <f t="shared" si="12"/>
        <v>0</v>
      </c>
      <c r="H32">
        <f t="shared" si="12"/>
        <v>0</v>
      </c>
      <c r="I32">
        <f t="shared" si="12"/>
        <v>0</v>
      </c>
      <c r="J32" s="107"/>
      <c r="K32" s="107"/>
      <c r="L32" s="107"/>
      <c r="M32" s="107"/>
      <c r="N32" s="107"/>
    </row>
    <row r="33" spans="1:14" x14ac:dyDescent="0.25">
      <c r="A33" s="107"/>
      <c r="B33" s="107"/>
      <c r="C33" s="107"/>
      <c r="D33">
        <v>2024</v>
      </c>
      <c r="E33">
        <f t="shared" si="0"/>
        <v>0</v>
      </c>
      <c r="F33">
        <f t="shared" si="12"/>
        <v>0</v>
      </c>
      <c r="G33">
        <f t="shared" si="12"/>
        <v>0</v>
      </c>
      <c r="H33">
        <f t="shared" si="12"/>
        <v>0</v>
      </c>
      <c r="I33">
        <f t="shared" si="12"/>
        <v>0</v>
      </c>
      <c r="J33" s="107"/>
      <c r="K33" s="107"/>
      <c r="L33" s="107"/>
      <c r="M33" s="107"/>
      <c r="N33" s="107"/>
    </row>
    <row r="34" spans="1:14" x14ac:dyDescent="0.25">
      <c r="A34" s="107"/>
      <c r="B34" s="107"/>
      <c r="C34" s="107"/>
      <c r="D34">
        <v>2025</v>
      </c>
      <c r="E34">
        <f t="shared" si="0"/>
        <v>0</v>
      </c>
      <c r="F34">
        <f t="shared" si="12"/>
        <v>0</v>
      </c>
      <c r="G34">
        <f>G46</f>
        <v>0</v>
      </c>
      <c r="H34">
        <f>H46</f>
        <v>0</v>
      </c>
      <c r="I34">
        <f>I46</f>
        <v>0</v>
      </c>
      <c r="J34" s="107"/>
      <c r="K34" s="107"/>
      <c r="L34" s="107"/>
      <c r="M34" s="107"/>
      <c r="N34" s="107"/>
    </row>
    <row r="35" spans="1:14" x14ac:dyDescent="0.25">
      <c r="A35" s="107" t="s">
        <v>27</v>
      </c>
      <c r="B35" s="107" t="s">
        <v>489</v>
      </c>
      <c r="C35" s="107" t="s">
        <v>490</v>
      </c>
      <c r="D35" t="s">
        <v>8</v>
      </c>
      <c r="E35">
        <v>0</v>
      </c>
      <c r="F35">
        <v>0</v>
      </c>
      <c r="G35">
        <v>0</v>
      </c>
      <c r="H35">
        <v>0</v>
      </c>
      <c r="I35">
        <v>0</v>
      </c>
      <c r="J35" s="107" t="s">
        <v>29</v>
      </c>
      <c r="K35" s="107" t="s">
        <v>486</v>
      </c>
    </row>
    <row r="36" spans="1:14" x14ac:dyDescent="0.25">
      <c r="A36" s="107"/>
      <c r="B36" s="107"/>
      <c r="C36" s="107"/>
      <c r="D36">
        <v>2021</v>
      </c>
      <c r="E36">
        <v>0</v>
      </c>
      <c r="F36">
        <v>0</v>
      </c>
      <c r="G36">
        <v>0</v>
      </c>
      <c r="H36">
        <v>0</v>
      </c>
      <c r="I36">
        <v>0</v>
      </c>
      <c r="J36" s="107"/>
      <c r="K36" s="107"/>
    </row>
    <row r="37" spans="1:14" x14ac:dyDescent="0.25">
      <c r="A37" s="107"/>
      <c r="B37" s="107"/>
      <c r="C37" s="107"/>
      <c r="D37">
        <v>2022</v>
      </c>
      <c r="E37">
        <v>0</v>
      </c>
      <c r="F37">
        <v>0</v>
      </c>
      <c r="G37">
        <v>0</v>
      </c>
      <c r="H37">
        <v>0</v>
      </c>
      <c r="I37">
        <v>0</v>
      </c>
      <c r="J37" s="107"/>
      <c r="K37" s="107"/>
    </row>
    <row r="38" spans="1:14" x14ac:dyDescent="0.25">
      <c r="A38" s="107"/>
      <c r="B38" s="107"/>
      <c r="C38" s="107"/>
      <c r="D38">
        <v>2023</v>
      </c>
      <c r="E38">
        <v>0</v>
      </c>
      <c r="F38">
        <v>0</v>
      </c>
      <c r="G38">
        <v>0</v>
      </c>
      <c r="H38">
        <v>0</v>
      </c>
      <c r="I38">
        <v>0</v>
      </c>
      <c r="J38" s="107"/>
      <c r="K38" s="107"/>
    </row>
    <row r="39" spans="1:14" x14ac:dyDescent="0.25">
      <c r="A39" s="107"/>
      <c r="B39" s="107"/>
      <c r="C39" s="107"/>
      <c r="D39">
        <v>2024</v>
      </c>
      <c r="E39">
        <v>0</v>
      </c>
      <c r="F39">
        <v>0</v>
      </c>
      <c r="G39">
        <v>0</v>
      </c>
      <c r="H39">
        <v>0</v>
      </c>
      <c r="I39">
        <v>0</v>
      </c>
      <c r="J39" s="107"/>
      <c r="K39" s="107"/>
    </row>
    <row r="40" spans="1:14" x14ac:dyDescent="0.25">
      <c r="A40" s="107"/>
      <c r="B40" s="107"/>
      <c r="C40" s="107"/>
      <c r="D40">
        <v>2025</v>
      </c>
      <c r="E40">
        <v>0</v>
      </c>
      <c r="F40">
        <v>0</v>
      </c>
      <c r="G40">
        <v>0</v>
      </c>
      <c r="H40">
        <v>0</v>
      </c>
      <c r="I40">
        <v>0</v>
      </c>
      <c r="J40" s="107"/>
      <c r="K40" s="107"/>
    </row>
    <row r="41" spans="1:14" x14ac:dyDescent="0.25">
      <c r="A41" s="107" t="s">
        <v>491</v>
      </c>
      <c r="B41" s="107" t="s">
        <v>492</v>
      </c>
      <c r="C41" s="107" t="s">
        <v>490</v>
      </c>
      <c r="D41" t="s">
        <v>8</v>
      </c>
      <c r="E41">
        <f>SUM(E42:E46)</f>
        <v>7998.665</v>
      </c>
      <c r="F41">
        <f>SUM(F42:F46)</f>
        <v>7998.665</v>
      </c>
      <c r="G41">
        <f>SUM(G42:G46)</f>
        <v>0</v>
      </c>
      <c r="H41">
        <f>SUM(H42:H46)</f>
        <v>0</v>
      </c>
      <c r="I41">
        <f>SUM(I42:I46)</f>
        <v>0</v>
      </c>
      <c r="J41" s="107" t="s">
        <v>493</v>
      </c>
      <c r="K41" s="107" t="s">
        <v>494</v>
      </c>
      <c r="L41" s="107"/>
      <c r="M41" s="107"/>
      <c r="N41" s="107"/>
    </row>
    <row r="42" spans="1:14" x14ac:dyDescent="0.25">
      <c r="A42" s="107"/>
      <c r="B42" s="107"/>
      <c r="C42" s="107"/>
      <c r="D42">
        <v>2021</v>
      </c>
      <c r="E42">
        <f>SUM(F42:I42)</f>
        <v>7998.665</v>
      </c>
      <c r="F42">
        <v>7998.665</v>
      </c>
      <c r="G42">
        <v>0</v>
      </c>
      <c r="H42">
        <v>0</v>
      </c>
      <c r="I42">
        <v>0</v>
      </c>
      <c r="J42" s="107"/>
      <c r="K42" s="107"/>
      <c r="L42" s="107"/>
      <c r="M42" s="107"/>
      <c r="N42" s="107"/>
    </row>
    <row r="43" spans="1:14" x14ac:dyDescent="0.25">
      <c r="A43" s="107"/>
      <c r="B43" s="107"/>
      <c r="C43" s="107"/>
      <c r="D43">
        <v>2022</v>
      </c>
      <c r="E43">
        <v>0</v>
      </c>
      <c r="F43">
        <v>0</v>
      </c>
      <c r="G43">
        <v>0</v>
      </c>
      <c r="H43">
        <v>0</v>
      </c>
      <c r="I43">
        <v>0</v>
      </c>
      <c r="J43" s="107"/>
      <c r="K43" s="107"/>
      <c r="L43" s="107"/>
      <c r="M43" s="107"/>
      <c r="N43" s="107"/>
    </row>
    <row r="44" spans="1:14" x14ac:dyDescent="0.25">
      <c r="A44" s="107"/>
      <c r="B44" s="107"/>
      <c r="C44" s="107"/>
      <c r="D44">
        <v>2023</v>
      </c>
      <c r="E44">
        <v>0</v>
      </c>
      <c r="F44">
        <v>0</v>
      </c>
      <c r="G44">
        <v>0</v>
      </c>
      <c r="H44">
        <v>0</v>
      </c>
      <c r="I44">
        <v>0</v>
      </c>
      <c r="J44" s="107"/>
      <c r="K44" s="107"/>
      <c r="L44" s="107"/>
      <c r="M44" s="107"/>
      <c r="N44" s="107"/>
    </row>
    <row r="45" spans="1:14" x14ac:dyDescent="0.25">
      <c r="A45" s="107"/>
      <c r="B45" s="107"/>
      <c r="C45" s="107"/>
      <c r="D45">
        <v>2024</v>
      </c>
      <c r="E45">
        <v>0</v>
      </c>
      <c r="F45">
        <v>0</v>
      </c>
      <c r="G45">
        <v>0</v>
      </c>
      <c r="H45">
        <v>0</v>
      </c>
      <c r="I45">
        <v>0</v>
      </c>
      <c r="J45" s="107"/>
      <c r="K45" s="107"/>
      <c r="L45" s="107"/>
      <c r="M45" s="107"/>
      <c r="N45" s="107"/>
    </row>
    <row r="46" spans="1:14" x14ac:dyDescent="0.25">
      <c r="A46" s="107"/>
      <c r="B46" s="107"/>
      <c r="C46" s="107"/>
      <c r="D46">
        <v>2025</v>
      </c>
      <c r="E46">
        <v>0</v>
      </c>
      <c r="F46">
        <v>0</v>
      </c>
      <c r="G46">
        <v>0</v>
      </c>
      <c r="H46">
        <v>0</v>
      </c>
      <c r="I46">
        <v>0</v>
      </c>
      <c r="J46" s="107"/>
      <c r="K46" s="107"/>
      <c r="L46" s="107"/>
      <c r="M46" s="107"/>
      <c r="N46" s="107"/>
    </row>
    <row r="50" spans="1:11" ht="27.75" customHeight="1" x14ac:dyDescent="0.25">
      <c r="A50" s="107" t="s">
        <v>30</v>
      </c>
      <c r="B50" s="107" t="s">
        <v>608</v>
      </c>
      <c r="C50" s="107" t="s">
        <v>14</v>
      </c>
      <c r="D50" t="s">
        <v>8</v>
      </c>
      <c r="E50">
        <f t="shared" ref="E50:E61" si="13">SUM(F50:I50)</f>
        <v>228436.894</v>
      </c>
      <c r="F50">
        <f>SUM(F51:F55)</f>
        <v>228436.894</v>
      </c>
      <c r="G50">
        <f>SUM(G51:G55)</f>
        <v>0</v>
      </c>
      <c r="H50">
        <f>SUM(H51:H55)</f>
        <v>0</v>
      </c>
      <c r="I50">
        <f>SUM(I51:I55)</f>
        <v>0</v>
      </c>
      <c r="J50" s="107" t="s">
        <v>495</v>
      </c>
      <c r="K50" s="107" t="s">
        <v>486</v>
      </c>
    </row>
    <row r="51" spans="1:11" ht="27.75" customHeight="1" x14ac:dyDescent="0.25">
      <c r="A51" s="107"/>
      <c r="B51" s="107"/>
      <c r="C51" s="107"/>
      <c r="D51">
        <v>2021</v>
      </c>
      <c r="E51">
        <f t="shared" si="13"/>
        <v>108436.894</v>
      </c>
      <c r="F51">
        <f t="shared" ref="F51:F53" si="14">SUM(F57+F63+F69+F75+F81)</f>
        <v>108436.894</v>
      </c>
      <c r="G51">
        <f t="shared" ref="F51:I55" si="15">SUM(G57+G63+G69+G75+G81)</f>
        <v>0</v>
      </c>
      <c r="H51">
        <f t="shared" si="15"/>
        <v>0</v>
      </c>
      <c r="I51">
        <f t="shared" si="15"/>
        <v>0</v>
      </c>
      <c r="J51" s="107"/>
      <c r="K51" s="107"/>
    </row>
    <row r="52" spans="1:11" ht="27.75" customHeight="1" x14ac:dyDescent="0.25">
      <c r="A52" s="107"/>
      <c r="B52" s="107"/>
      <c r="C52" s="107"/>
      <c r="D52">
        <v>2022</v>
      </c>
      <c r="E52">
        <f t="shared" si="13"/>
        <v>30000</v>
      </c>
      <c r="F52">
        <f t="shared" si="14"/>
        <v>30000</v>
      </c>
      <c r="G52">
        <f t="shared" si="15"/>
        <v>0</v>
      </c>
      <c r="H52">
        <f t="shared" si="15"/>
        <v>0</v>
      </c>
      <c r="I52">
        <f t="shared" si="15"/>
        <v>0</v>
      </c>
      <c r="J52" s="107"/>
      <c r="K52" s="107"/>
    </row>
    <row r="53" spans="1:11" ht="27.75" customHeight="1" x14ac:dyDescent="0.25">
      <c r="A53" s="107"/>
      <c r="B53" s="107"/>
      <c r="C53" s="107"/>
      <c r="D53">
        <v>2023</v>
      </c>
      <c r="E53">
        <f t="shared" si="13"/>
        <v>30000</v>
      </c>
      <c r="F53">
        <f t="shared" si="14"/>
        <v>30000</v>
      </c>
      <c r="G53">
        <f t="shared" si="15"/>
        <v>0</v>
      </c>
      <c r="H53">
        <f t="shared" si="15"/>
        <v>0</v>
      </c>
      <c r="I53">
        <f t="shared" si="15"/>
        <v>0</v>
      </c>
      <c r="J53" s="107"/>
      <c r="K53" s="107"/>
    </row>
    <row r="54" spans="1:11" ht="27.75" customHeight="1" x14ac:dyDescent="0.25">
      <c r="A54" s="107"/>
      <c r="B54" s="107"/>
      <c r="C54" s="107"/>
      <c r="D54">
        <v>2024</v>
      </c>
      <c r="E54">
        <f t="shared" si="13"/>
        <v>30000</v>
      </c>
      <c r="F54">
        <f t="shared" si="15"/>
        <v>30000</v>
      </c>
      <c r="G54">
        <f t="shared" si="15"/>
        <v>0</v>
      </c>
      <c r="H54">
        <f t="shared" si="15"/>
        <v>0</v>
      </c>
      <c r="I54">
        <f t="shared" si="15"/>
        <v>0</v>
      </c>
      <c r="J54" s="107"/>
      <c r="K54" s="107"/>
    </row>
    <row r="55" spans="1:11" ht="27.75" customHeight="1" x14ac:dyDescent="0.25">
      <c r="A55" s="107"/>
      <c r="B55" s="107"/>
      <c r="C55" s="107"/>
      <c r="D55">
        <v>2025</v>
      </c>
      <c r="E55">
        <f t="shared" si="13"/>
        <v>30000</v>
      </c>
      <c r="F55">
        <f t="shared" si="15"/>
        <v>30000</v>
      </c>
      <c r="G55">
        <f t="shared" si="15"/>
        <v>0</v>
      </c>
      <c r="H55">
        <f t="shared" si="15"/>
        <v>0</v>
      </c>
      <c r="I55">
        <f t="shared" si="15"/>
        <v>0</v>
      </c>
      <c r="J55" s="107"/>
      <c r="K55" s="107"/>
    </row>
    <row r="56" spans="1:11" ht="15" customHeight="1" x14ac:dyDescent="0.25">
      <c r="A56" s="107" t="s">
        <v>33</v>
      </c>
      <c r="B56" s="107" t="s">
        <v>496</v>
      </c>
      <c r="C56" s="107" t="s">
        <v>14</v>
      </c>
      <c r="D56" t="s">
        <v>8</v>
      </c>
      <c r="E56">
        <f t="shared" si="13"/>
        <v>163000</v>
      </c>
      <c r="F56">
        <f>SUM(F57:F61)</f>
        <v>163000</v>
      </c>
      <c r="G56">
        <f>SUM(G57:G61)</f>
        <v>0</v>
      </c>
      <c r="H56">
        <f>SUM(H57:H61)</f>
        <v>0</v>
      </c>
      <c r="I56">
        <f>SUM(I57:I61)</f>
        <v>0</v>
      </c>
      <c r="J56" s="107" t="s">
        <v>497</v>
      </c>
      <c r="K56" s="107" t="s">
        <v>484</v>
      </c>
    </row>
    <row r="57" spans="1:11" x14ac:dyDescent="0.25">
      <c r="A57" s="107"/>
      <c r="B57" s="107"/>
      <c r="C57" s="107"/>
      <c r="D57">
        <v>2021</v>
      </c>
      <c r="E57">
        <f t="shared" si="13"/>
        <v>43000</v>
      </c>
      <c r="F57">
        <v>43000</v>
      </c>
      <c r="G57">
        <v>0</v>
      </c>
      <c r="H57">
        <v>0</v>
      </c>
      <c r="I57">
        <v>0</v>
      </c>
      <c r="J57" s="107"/>
      <c r="K57" s="107"/>
    </row>
    <row r="58" spans="1:11" x14ac:dyDescent="0.25">
      <c r="A58" s="107"/>
      <c r="B58" s="107"/>
      <c r="C58" s="107"/>
      <c r="D58">
        <v>2022</v>
      </c>
      <c r="E58">
        <v>30000</v>
      </c>
      <c r="F58">
        <v>30000</v>
      </c>
      <c r="G58">
        <v>0</v>
      </c>
      <c r="H58">
        <v>0</v>
      </c>
      <c r="I58">
        <v>0</v>
      </c>
      <c r="J58" s="107"/>
      <c r="K58" s="107"/>
    </row>
    <row r="59" spans="1:11" x14ac:dyDescent="0.25">
      <c r="A59" s="107"/>
      <c r="B59" s="107"/>
      <c r="C59" s="107"/>
      <c r="D59">
        <v>2023</v>
      </c>
      <c r="E59">
        <f t="shared" si="13"/>
        <v>30000</v>
      </c>
      <c r="F59">
        <v>30000</v>
      </c>
      <c r="G59">
        <v>0</v>
      </c>
      <c r="H59">
        <v>0</v>
      </c>
      <c r="I59">
        <v>0</v>
      </c>
      <c r="J59" s="107"/>
      <c r="K59" s="107"/>
    </row>
    <row r="60" spans="1:11" x14ac:dyDescent="0.25">
      <c r="A60" s="107"/>
      <c r="B60" s="107"/>
      <c r="C60" s="107"/>
      <c r="D60">
        <v>2024</v>
      </c>
      <c r="E60">
        <f t="shared" si="13"/>
        <v>30000</v>
      </c>
      <c r="F60">
        <v>30000</v>
      </c>
      <c r="G60">
        <v>0</v>
      </c>
      <c r="H60">
        <v>0</v>
      </c>
      <c r="I60">
        <v>0</v>
      </c>
      <c r="J60" s="107"/>
      <c r="K60" s="107"/>
    </row>
    <row r="61" spans="1:11" x14ac:dyDescent="0.25">
      <c r="A61" s="107"/>
      <c r="B61" s="107"/>
      <c r="C61" s="107"/>
      <c r="D61">
        <v>2025</v>
      </c>
      <c r="E61">
        <f t="shared" si="13"/>
        <v>30000</v>
      </c>
      <c r="F61">
        <v>30000</v>
      </c>
      <c r="G61">
        <v>0</v>
      </c>
      <c r="H61">
        <v>0</v>
      </c>
      <c r="I61">
        <v>0</v>
      </c>
      <c r="J61" s="107"/>
      <c r="K61" s="107"/>
    </row>
    <row r="62" spans="1:11" ht="13.5" customHeight="1" outlineLevel="1" x14ac:dyDescent="0.25">
      <c r="A62" s="107" t="s">
        <v>36</v>
      </c>
      <c r="B62" s="107" t="s">
        <v>498</v>
      </c>
      <c r="C62" s="107">
        <v>2021</v>
      </c>
      <c r="D62" t="s">
        <v>8</v>
      </c>
      <c r="E62">
        <f>SUM(E63:E67)</f>
        <v>0</v>
      </c>
      <c r="F62">
        <f>SUM(F63:F67)</f>
        <v>0</v>
      </c>
      <c r="G62">
        <f>SUM(G63:G67)</f>
        <v>0</v>
      </c>
      <c r="H62">
        <f>SUM(H63:H67)</f>
        <v>0</v>
      </c>
      <c r="I62">
        <f>SUM(I63:I67)</f>
        <v>0</v>
      </c>
      <c r="J62" s="107" t="s">
        <v>499</v>
      </c>
      <c r="K62" s="107" t="s">
        <v>484</v>
      </c>
    </row>
    <row r="63" spans="1:11" ht="13.5" customHeight="1" outlineLevel="1" x14ac:dyDescent="0.25">
      <c r="A63" s="107"/>
      <c r="B63" s="107"/>
      <c r="C63" s="107"/>
      <c r="D63">
        <v>2021</v>
      </c>
      <c r="E63">
        <f t="shared" ref="E63:E67" si="16">SUM(F63:I63)</f>
        <v>0</v>
      </c>
      <c r="F63">
        <v>0</v>
      </c>
      <c r="G63">
        <v>0</v>
      </c>
      <c r="H63">
        <v>0</v>
      </c>
      <c r="I63">
        <v>0</v>
      </c>
      <c r="J63" s="107"/>
      <c r="K63" s="107"/>
    </row>
    <row r="64" spans="1:11" ht="13.5" customHeight="1" outlineLevel="1" x14ac:dyDescent="0.25">
      <c r="A64" s="107"/>
      <c r="B64" s="107"/>
      <c r="C64" s="107"/>
      <c r="D64">
        <v>2022</v>
      </c>
      <c r="E64">
        <f t="shared" si="16"/>
        <v>0</v>
      </c>
      <c r="F64">
        <v>0</v>
      </c>
      <c r="G64">
        <v>0</v>
      </c>
      <c r="H64">
        <v>0</v>
      </c>
      <c r="I64">
        <v>0</v>
      </c>
      <c r="J64" s="107"/>
      <c r="K64" s="107"/>
    </row>
    <row r="65" spans="1:11" ht="13.5" customHeight="1" outlineLevel="1" x14ac:dyDescent="0.25">
      <c r="A65" s="107"/>
      <c r="B65" s="107"/>
      <c r="C65" s="107"/>
      <c r="D65">
        <v>2023</v>
      </c>
      <c r="E65">
        <f t="shared" si="16"/>
        <v>0</v>
      </c>
      <c r="F65">
        <v>0</v>
      </c>
      <c r="G65">
        <v>0</v>
      </c>
      <c r="H65">
        <v>0</v>
      </c>
      <c r="I65">
        <v>0</v>
      </c>
      <c r="J65" s="107"/>
      <c r="K65" s="107"/>
    </row>
    <row r="66" spans="1:11" ht="13.5" customHeight="1" outlineLevel="1" x14ac:dyDescent="0.25">
      <c r="A66" s="107"/>
      <c r="B66" s="107"/>
      <c r="C66" s="107"/>
      <c r="D66">
        <v>2024</v>
      </c>
      <c r="E66">
        <f t="shared" si="16"/>
        <v>0</v>
      </c>
      <c r="F66">
        <v>0</v>
      </c>
      <c r="G66">
        <v>0</v>
      </c>
      <c r="H66">
        <v>0</v>
      </c>
      <c r="I66">
        <v>0</v>
      </c>
      <c r="J66" s="107"/>
      <c r="K66" s="107"/>
    </row>
    <row r="67" spans="1:11" ht="13.5" customHeight="1" outlineLevel="1" x14ac:dyDescent="0.25">
      <c r="A67" s="107"/>
      <c r="B67" s="107"/>
      <c r="C67" s="107"/>
      <c r="D67">
        <v>2025</v>
      </c>
      <c r="E67">
        <f t="shared" si="16"/>
        <v>0</v>
      </c>
      <c r="F67">
        <v>0</v>
      </c>
      <c r="G67">
        <v>0</v>
      </c>
      <c r="H67">
        <v>0</v>
      </c>
      <c r="I67">
        <v>0</v>
      </c>
      <c r="J67" s="107"/>
      <c r="K67" s="107"/>
    </row>
    <row r="68" spans="1:11" ht="13.5" customHeight="1" outlineLevel="1" x14ac:dyDescent="0.25">
      <c r="A68" s="107" t="s">
        <v>500</v>
      </c>
      <c r="B68" s="107" t="s">
        <v>501</v>
      </c>
      <c r="C68" s="107">
        <v>2021</v>
      </c>
      <c r="D68" t="s">
        <v>8</v>
      </c>
      <c r="E68">
        <f>SUM(E69:E73)</f>
        <v>33993.769</v>
      </c>
      <c r="F68">
        <f>SUM(F69:F73)</f>
        <v>33993.769</v>
      </c>
      <c r="G68">
        <f>SUM(G69:G73)</f>
        <v>0</v>
      </c>
      <c r="H68">
        <f>SUM(H69:H73)</f>
        <v>0</v>
      </c>
      <c r="I68">
        <f>SUM(I69:I73)</f>
        <v>0</v>
      </c>
      <c r="J68" s="107" t="s">
        <v>502</v>
      </c>
      <c r="K68" s="107" t="s">
        <v>484</v>
      </c>
    </row>
    <row r="69" spans="1:11" ht="13.5" customHeight="1" outlineLevel="1" x14ac:dyDescent="0.25">
      <c r="A69" s="107"/>
      <c r="B69" s="107"/>
      <c r="C69" s="107"/>
      <c r="D69">
        <v>2021</v>
      </c>
      <c r="E69">
        <f>SUM(F69:I69)</f>
        <v>33993.769</v>
      </c>
      <c r="F69">
        <v>33993.769</v>
      </c>
      <c r="G69">
        <v>0</v>
      </c>
      <c r="H69">
        <v>0</v>
      </c>
      <c r="I69">
        <v>0</v>
      </c>
      <c r="J69" s="107"/>
      <c r="K69" s="107"/>
    </row>
    <row r="70" spans="1:11" ht="13.5" customHeight="1" outlineLevel="1" x14ac:dyDescent="0.25">
      <c r="A70" s="107"/>
      <c r="B70" s="107"/>
      <c r="C70" s="107"/>
      <c r="D70">
        <v>2022</v>
      </c>
      <c r="E70">
        <v>0</v>
      </c>
      <c r="F70">
        <v>0</v>
      </c>
      <c r="G70">
        <v>0</v>
      </c>
      <c r="H70">
        <v>0</v>
      </c>
      <c r="I70">
        <v>0</v>
      </c>
      <c r="J70" s="107"/>
      <c r="K70" s="107"/>
    </row>
    <row r="71" spans="1:11" ht="13.5" customHeight="1" outlineLevel="1" x14ac:dyDescent="0.25">
      <c r="A71" s="107"/>
      <c r="B71" s="107"/>
      <c r="C71" s="107"/>
      <c r="D71">
        <v>2023</v>
      </c>
      <c r="E71">
        <f t="shared" ref="E71:E73" si="17">SUM(F71:I71)</f>
        <v>0</v>
      </c>
      <c r="F71">
        <v>0</v>
      </c>
      <c r="G71">
        <v>0</v>
      </c>
      <c r="H71">
        <v>0</v>
      </c>
      <c r="I71">
        <v>0</v>
      </c>
      <c r="J71" s="107"/>
      <c r="K71" s="107"/>
    </row>
    <row r="72" spans="1:11" ht="13.5" customHeight="1" outlineLevel="1" x14ac:dyDescent="0.25">
      <c r="A72" s="107"/>
      <c r="B72" s="107"/>
      <c r="C72" s="107"/>
      <c r="D72">
        <v>2024</v>
      </c>
      <c r="E72">
        <f t="shared" si="17"/>
        <v>0</v>
      </c>
      <c r="F72">
        <v>0</v>
      </c>
      <c r="G72">
        <v>0</v>
      </c>
      <c r="H72">
        <v>0</v>
      </c>
      <c r="I72">
        <v>0</v>
      </c>
      <c r="J72" s="107"/>
      <c r="K72" s="107"/>
    </row>
    <row r="73" spans="1:11" ht="13.5" customHeight="1" outlineLevel="1" x14ac:dyDescent="0.25">
      <c r="A73" s="107"/>
      <c r="B73" s="107"/>
      <c r="C73" s="107"/>
      <c r="D73">
        <v>2025</v>
      </c>
      <c r="E73">
        <f t="shared" si="17"/>
        <v>0</v>
      </c>
      <c r="F73">
        <v>0</v>
      </c>
      <c r="G73">
        <v>0</v>
      </c>
      <c r="H73">
        <v>0</v>
      </c>
      <c r="I73">
        <v>0</v>
      </c>
      <c r="J73" s="107"/>
      <c r="K73" s="107"/>
    </row>
    <row r="74" spans="1:11" ht="13.5" customHeight="1" outlineLevel="1" x14ac:dyDescent="0.25">
      <c r="A74" s="107" t="s">
        <v>503</v>
      </c>
      <c r="B74" s="107" t="s">
        <v>504</v>
      </c>
      <c r="C74" s="107">
        <v>2021</v>
      </c>
      <c r="D74" t="s">
        <v>8</v>
      </c>
      <c r="E74">
        <f>SUM(E75:E79)</f>
        <v>2000</v>
      </c>
      <c r="F74">
        <f>SUM(F75:F79)</f>
        <v>2000</v>
      </c>
      <c r="G74">
        <f>SUM(G75:G79)</f>
        <v>0</v>
      </c>
      <c r="H74">
        <f>SUM(H75:H79)</f>
        <v>0</v>
      </c>
      <c r="I74">
        <f>SUM(I75:I79)</f>
        <v>0</v>
      </c>
      <c r="J74" s="107" t="s">
        <v>505</v>
      </c>
      <c r="K74" s="107" t="s">
        <v>484</v>
      </c>
    </row>
    <row r="75" spans="1:11" ht="13.5" customHeight="1" outlineLevel="1" x14ac:dyDescent="0.25">
      <c r="A75" s="107"/>
      <c r="B75" s="107"/>
      <c r="C75" s="107"/>
      <c r="D75">
        <v>2021</v>
      </c>
      <c r="E75">
        <f t="shared" ref="E75:E79" si="18">SUM(F75:I75)</f>
        <v>2000</v>
      </c>
      <c r="F75">
        <v>2000</v>
      </c>
      <c r="G75">
        <v>0</v>
      </c>
      <c r="H75">
        <v>0</v>
      </c>
      <c r="I75">
        <v>0</v>
      </c>
      <c r="J75" s="107"/>
      <c r="K75" s="107"/>
    </row>
    <row r="76" spans="1:11" ht="13.5" customHeight="1" outlineLevel="1" x14ac:dyDescent="0.25">
      <c r="A76" s="107"/>
      <c r="B76" s="107"/>
      <c r="C76" s="107"/>
      <c r="D76">
        <v>2022</v>
      </c>
      <c r="E76">
        <f t="shared" si="18"/>
        <v>0</v>
      </c>
      <c r="F76">
        <v>0</v>
      </c>
      <c r="G76">
        <v>0</v>
      </c>
      <c r="H76">
        <v>0</v>
      </c>
      <c r="I76">
        <v>0</v>
      </c>
      <c r="J76" s="107"/>
      <c r="K76" s="107"/>
    </row>
    <row r="77" spans="1:11" ht="13.5" customHeight="1" outlineLevel="1" x14ac:dyDescent="0.25">
      <c r="A77" s="107"/>
      <c r="B77" s="107"/>
      <c r="C77" s="107"/>
      <c r="D77">
        <v>2023</v>
      </c>
      <c r="E77">
        <f t="shared" si="18"/>
        <v>0</v>
      </c>
      <c r="F77">
        <v>0</v>
      </c>
      <c r="G77">
        <v>0</v>
      </c>
      <c r="H77">
        <v>0</v>
      </c>
      <c r="I77">
        <v>0</v>
      </c>
      <c r="J77" s="107"/>
      <c r="K77" s="107"/>
    </row>
    <row r="78" spans="1:11" ht="13.5" customHeight="1" outlineLevel="1" x14ac:dyDescent="0.25">
      <c r="A78" s="107"/>
      <c r="B78" s="107"/>
      <c r="C78" s="107"/>
      <c r="D78">
        <v>2024</v>
      </c>
      <c r="E78">
        <f t="shared" si="18"/>
        <v>0</v>
      </c>
      <c r="F78">
        <v>0</v>
      </c>
      <c r="G78">
        <v>0</v>
      </c>
      <c r="H78">
        <v>0</v>
      </c>
      <c r="I78">
        <v>0</v>
      </c>
      <c r="J78" s="107"/>
      <c r="K78" s="107"/>
    </row>
    <row r="79" spans="1:11" ht="13.5" customHeight="1" outlineLevel="1" x14ac:dyDescent="0.25">
      <c r="A79" s="107"/>
      <c r="B79" s="107"/>
      <c r="C79" s="107"/>
      <c r="D79">
        <v>2025</v>
      </c>
      <c r="E79">
        <f t="shared" si="18"/>
        <v>0</v>
      </c>
      <c r="F79">
        <v>0</v>
      </c>
      <c r="G79">
        <v>0</v>
      </c>
      <c r="H79">
        <v>0</v>
      </c>
      <c r="I79">
        <v>0</v>
      </c>
      <c r="J79" s="107"/>
      <c r="K79" s="107"/>
    </row>
    <row r="80" spans="1:11" ht="13.5" customHeight="1" outlineLevel="1" x14ac:dyDescent="0.25">
      <c r="A80" s="107" t="s">
        <v>506</v>
      </c>
      <c r="B80" s="107" t="s">
        <v>507</v>
      </c>
      <c r="C80" s="107">
        <v>2021</v>
      </c>
      <c r="D80" t="s">
        <v>8</v>
      </c>
      <c r="E80">
        <f>SUM(E81:E85)</f>
        <v>29443.125</v>
      </c>
      <c r="F80">
        <f>SUM(F81:F85)</f>
        <v>29443.125</v>
      </c>
      <c r="G80">
        <f>SUM(G81:G85)</f>
        <v>0</v>
      </c>
      <c r="H80">
        <f>SUM(H81:H85)</f>
        <v>0</v>
      </c>
      <c r="I80">
        <f>SUM(I81:I85)</f>
        <v>0</v>
      </c>
      <c r="J80" s="107" t="s">
        <v>508</v>
      </c>
      <c r="K80" s="107" t="s">
        <v>486</v>
      </c>
    </row>
    <row r="81" spans="1:11" ht="13.5" customHeight="1" outlineLevel="1" x14ac:dyDescent="0.25">
      <c r="A81" s="107"/>
      <c r="B81" s="107"/>
      <c r="C81" s="107"/>
      <c r="D81">
        <v>2021</v>
      </c>
      <c r="E81">
        <f t="shared" ref="E81:E97" si="19">SUM(F81:I81)</f>
        <v>29443.125</v>
      </c>
      <c r="F81">
        <f>29443125/1000</f>
        <v>29443.125</v>
      </c>
      <c r="G81">
        <v>0</v>
      </c>
      <c r="H81">
        <v>0</v>
      </c>
      <c r="I81">
        <v>0</v>
      </c>
      <c r="J81" s="107"/>
      <c r="K81" s="107"/>
    </row>
    <row r="82" spans="1:11" ht="13.5" customHeight="1" outlineLevel="1" x14ac:dyDescent="0.25">
      <c r="A82" s="107"/>
      <c r="B82" s="107"/>
      <c r="C82" s="107"/>
      <c r="D82">
        <v>2022</v>
      </c>
      <c r="E82">
        <f t="shared" si="19"/>
        <v>0</v>
      </c>
      <c r="F82">
        <v>0</v>
      </c>
      <c r="G82">
        <v>0</v>
      </c>
      <c r="H82">
        <v>0</v>
      </c>
      <c r="I82">
        <v>0</v>
      </c>
      <c r="J82" s="107"/>
      <c r="K82" s="107"/>
    </row>
    <row r="83" spans="1:11" ht="13.5" customHeight="1" outlineLevel="1" x14ac:dyDescent="0.25">
      <c r="A83" s="107"/>
      <c r="B83" s="107"/>
      <c r="C83" s="107"/>
      <c r="D83">
        <v>2023</v>
      </c>
      <c r="E83">
        <f t="shared" si="19"/>
        <v>0</v>
      </c>
      <c r="F83">
        <v>0</v>
      </c>
      <c r="G83">
        <v>0</v>
      </c>
      <c r="H83">
        <v>0</v>
      </c>
      <c r="I83">
        <v>0</v>
      </c>
      <c r="J83" s="107"/>
      <c r="K83" s="107"/>
    </row>
    <row r="84" spans="1:11" ht="13.5" customHeight="1" outlineLevel="1" x14ac:dyDescent="0.25">
      <c r="A84" s="107"/>
      <c r="B84" s="107"/>
      <c r="C84" s="107"/>
      <c r="D84">
        <v>2024</v>
      </c>
      <c r="E84">
        <f t="shared" si="19"/>
        <v>0</v>
      </c>
      <c r="F84">
        <v>0</v>
      </c>
      <c r="G84">
        <v>0</v>
      </c>
      <c r="H84">
        <v>0</v>
      </c>
      <c r="I84">
        <v>0</v>
      </c>
      <c r="J84" s="107"/>
      <c r="K84" s="107"/>
    </row>
    <row r="85" spans="1:11" ht="13.5" customHeight="1" outlineLevel="1" x14ac:dyDescent="0.25">
      <c r="A85" s="107"/>
      <c r="B85" s="107"/>
      <c r="C85" s="107"/>
      <c r="D85">
        <v>2025</v>
      </c>
      <c r="E85">
        <f t="shared" si="19"/>
        <v>0</v>
      </c>
      <c r="F85">
        <v>0</v>
      </c>
      <c r="G85">
        <v>0</v>
      </c>
      <c r="H85">
        <v>0</v>
      </c>
      <c r="I85">
        <v>0</v>
      </c>
      <c r="J85" s="107"/>
      <c r="K85" s="107"/>
    </row>
    <row r="86" spans="1:11" ht="15" customHeight="1" outlineLevel="1" x14ac:dyDescent="0.25">
      <c r="A86" s="107" t="s">
        <v>39</v>
      </c>
      <c r="B86" s="107" t="s">
        <v>40</v>
      </c>
      <c r="C86" s="107" t="s">
        <v>41</v>
      </c>
      <c r="D86" t="s">
        <v>8</v>
      </c>
      <c r="E86">
        <f t="shared" si="19"/>
        <v>43145.164649999999</v>
      </c>
      <c r="F86">
        <f>SUM(F87:F91)</f>
        <v>18241.06465</v>
      </c>
      <c r="G86">
        <f>SUM(G87:G91)</f>
        <v>24904.1</v>
      </c>
      <c r="H86">
        <f>SUM(H87:H91)</f>
        <v>0</v>
      </c>
      <c r="I86">
        <f>SUM(I87:I91)</f>
        <v>0</v>
      </c>
      <c r="J86" s="107" t="s">
        <v>509</v>
      </c>
      <c r="K86" s="107" t="s">
        <v>510</v>
      </c>
    </row>
    <row r="87" spans="1:11" outlineLevel="1" x14ac:dyDescent="0.25">
      <c r="A87" s="107"/>
      <c r="B87" s="107"/>
      <c r="C87" s="107"/>
      <c r="D87">
        <v>2021</v>
      </c>
      <c r="E87">
        <f t="shared" si="19"/>
        <v>28251.913610000003</v>
      </c>
      <c r="F87">
        <f>F104+F116+F93+F110</f>
        <v>6984.51361</v>
      </c>
      <c r="G87">
        <f t="shared" ref="F87:I91" si="20">G104+G116+G93+G110</f>
        <v>21267.4</v>
      </c>
      <c r="H87">
        <f t="shared" si="20"/>
        <v>0</v>
      </c>
      <c r="I87">
        <f t="shared" si="20"/>
        <v>0</v>
      </c>
      <c r="J87" s="107"/>
      <c r="K87" s="107"/>
    </row>
    <row r="88" spans="1:11" outlineLevel="1" x14ac:dyDescent="0.25">
      <c r="A88" s="107"/>
      <c r="B88" s="107"/>
      <c r="C88" s="107"/>
      <c r="D88">
        <v>2022</v>
      </c>
      <c r="E88">
        <f t="shared" si="19"/>
        <v>5570.2489399999995</v>
      </c>
      <c r="F88">
        <f t="shared" si="20"/>
        <v>3752.14894</v>
      </c>
      <c r="G88">
        <f t="shared" si="20"/>
        <v>1818.1</v>
      </c>
      <c r="H88">
        <f t="shared" si="20"/>
        <v>0</v>
      </c>
      <c r="I88">
        <f t="shared" si="20"/>
        <v>0</v>
      </c>
      <c r="J88" s="107"/>
      <c r="K88" s="107"/>
    </row>
    <row r="89" spans="1:11" outlineLevel="1" x14ac:dyDescent="0.25">
      <c r="A89" s="107"/>
      <c r="B89" s="107"/>
      <c r="C89" s="107"/>
      <c r="D89">
        <v>2023</v>
      </c>
      <c r="E89">
        <f t="shared" si="19"/>
        <v>5570.80105</v>
      </c>
      <c r="F89">
        <f t="shared" si="20"/>
        <v>3752.2010500000001</v>
      </c>
      <c r="G89">
        <f t="shared" si="20"/>
        <v>1818.6</v>
      </c>
      <c r="H89">
        <f t="shared" si="20"/>
        <v>0</v>
      </c>
      <c r="I89">
        <f t="shared" si="20"/>
        <v>0</v>
      </c>
      <c r="J89" s="107"/>
      <c r="K89" s="107"/>
    </row>
    <row r="90" spans="1:11" outlineLevel="1" x14ac:dyDescent="0.25">
      <c r="A90" s="107"/>
      <c r="B90" s="107"/>
      <c r="C90" s="107"/>
      <c r="D90">
        <v>2024</v>
      </c>
      <c r="E90">
        <f t="shared" si="19"/>
        <v>3752.2010500000001</v>
      </c>
      <c r="F90">
        <f t="shared" si="20"/>
        <v>3752.2010500000001</v>
      </c>
      <c r="G90">
        <f t="shared" si="20"/>
        <v>0</v>
      </c>
      <c r="H90">
        <f t="shared" si="20"/>
        <v>0</v>
      </c>
      <c r="I90">
        <f t="shared" si="20"/>
        <v>0</v>
      </c>
      <c r="J90" s="107"/>
      <c r="K90" s="107"/>
    </row>
    <row r="91" spans="1:11" outlineLevel="1" x14ac:dyDescent="0.25">
      <c r="A91" s="107"/>
      <c r="B91" s="107"/>
      <c r="C91" s="107"/>
      <c r="D91">
        <v>2025</v>
      </c>
      <c r="E91">
        <f t="shared" si="19"/>
        <v>0</v>
      </c>
      <c r="F91">
        <f t="shared" si="20"/>
        <v>0</v>
      </c>
      <c r="G91">
        <f t="shared" si="20"/>
        <v>0</v>
      </c>
      <c r="H91">
        <f t="shared" si="20"/>
        <v>0</v>
      </c>
      <c r="I91">
        <f t="shared" si="20"/>
        <v>0</v>
      </c>
      <c r="J91" s="107"/>
      <c r="K91" s="107"/>
    </row>
    <row r="92" spans="1:11" outlineLevel="1" x14ac:dyDescent="0.25">
      <c r="A92" s="107" t="s">
        <v>44</v>
      </c>
      <c r="B92" s="107" t="s">
        <v>45</v>
      </c>
      <c r="C92" s="107" t="s">
        <v>41</v>
      </c>
      <c r="D92" t="s">
        <v>8</v>
      </c>
      <c r="E92">
        <f t="shared" si="19"/>
        <v>5333.2085100000004</v>
      </c>
      <c r="F92">
        <f>SUM(F93:F97)</f>
        <v>429.10850999999997</v>
      </c>
      <c r="G92">
        <f>SUM(G93:G97)</f>
        <v>4904.1000000000004</v>
      </c>
      <c r="H92">
        <f>SUM(H93:H97)</f>
        <v>0</v>
      </c>
      <c r="I92">
        <f>SUM(I93:I97)</f>
        <v>0</v>
      </c>
      <c r="J92" s="107" t="s">
        <v>511</v>
      </c>
      <c r="K92" s="107" t="s">
        <v>512</v>
      </c>
    </row>
    <row r="93" spans="1:11" outlineLevel="1" x14ac:dyDescent="0.25">
      <c r="A93" s="107"/>
      <c r="B93" s="107"/>
      <c r="C93" s="107"/>
      <c r="D93">
        <v>2021</v>
      </c>
      <c r="E93">
        <f t="shared" si="19"/>
        <v>1348.2978700000001</v>
      </c>
      <c r="F93">
        <v>80.897869999999998</v>
      </c>
      <c r="G93">
        <v>1267.4000000000001</v>
      </c>
      <c r="H93">
        <v>0</v>
      </c>
      <c r="I93">
        <v>0</v>
      </c>
      <c r="J93" s="107"/>
      <c r="K93" s="107"/>
    </row>
    <row r="94" spans="1:11" outlineLevel="1" x14ac:dyDescent="0.25">
      <c r="A94" s="107"/>
      <c r="B94" s="107"/>
      <c r="C94" s="107"/>
      <c r="D94">
        <v>2022</v>
      </c>
      <c r="E94">
        <f t="shared" si="19"/>
        <v>1934.1489399999998</v>
      </c>
      <c r="F94">
        <v>116.04894</v>
      </c>
      <c r="G94">
        <v>1818.1</v>
      </c>
      <c r="H94">
        <v>0</v>
      </c>
      <c r="I94">
        <v>0</v>
      </c>
      <c r="J94" s="107"/>
      <c r="K94" s="107"/>
    </row>
    <row r="95" spans="1:11" outlineLevel="1" x14ac:dyDescent="0.25">
      <c r="A95" s="107"/>
      <c r="B95" s="107"/>
      <c r="C95" s="107"/>
      <c r="D95">
        <v>2023</v>
      </c>
      <c r="E95">
        <f t="shared" si="19"/>
        <v>1934.68085</v>
      </c>
      <c r="F95">
        <v>116.08085</v>
      </c>
      <c r="G95">
        <v>1818.6</v>
      </c>
      <c r="H95">
        <v>0</v>
      </c>
      <c r="I95">
        <v>0</v>
      </c>
      <c r="J95" s="107"/>
      <c r="K95" s="107"/>
    </row>
    <row r="96" spans="1:11" outlineLevel="1" x14ac:dyDescent="0.25">
      <c r="A96" s="107"/>
      <c r="B96" s="107"/>
      <c r="C96" s="107"/>
      <c r="D96">
        <v>2024</v>
      </c>
      <c r="E96">
        <f t="shared" si="19"/>
        <v>116.08085</v>
      </c>
      <c r="F96">
        <v>116.08085</v>
      </c>
      <c r="G96">
        <v>0</v>
      </c>
      <c r="H96">
        <v>0</v>
      </c>
      <c r="I96">
        <v>0</v>
      </c>
      <c r="J96" s="107"/>
      <c r="K96" s="107"/>
    </row>
    <row r="97" spans="1:14" outlineLevel="1" x14ac:dyDescent="0.25">
      <c r="A97" s="107"/>
      <c r="B97" s="107"/>
      <c r="C97" s="107"/>
      <c r="D97">
        <v>2025</v>
      </c>
      <c r="E97">
        <f t="shared" si="19"/>
        <v>0</v>
      </c>
      <c r="F97">
        <v>0</v>
      </c>
      <c r="G97">
        <v>0</v>
      </c>
      <c r="H97">
        <v>0</v>
      </c>
      <c r="I97">
        <v>0</v>
      </c>
      <c r="J97" s="107"/>
      <c r="K97" s="107"/>
    </row>
    <row r="98" spans="1:14" outlineLevel="1" x14ac:dyDescent="0.25"/>
    <row r="99" spans="1:14" outlineLevel="1" x14ac:dyDescent="0.25"/>
    <row r="100" spans="1:14" outlineLevel="1" x14ac:dyDescent="0.25"/>
    <row r="101" spans="1:14" outlineLevel="1" x14ac:dyDescent="0.25"/>
    <row r="102" spans="1:14" outlineLevel="1" x14ac:dyDescent="0.25"/>
    <row r="103" spans="1:14" ht="15" customHeight="1" outlineLevel="1" x14ac:dyDescent="0.25">
      <c r="A103" s="107" t="s">
        <v>48</v>
      </c>
      <c r="B103" s="107" t="s">
        <v>513</v>
      </c>
      <c r="C103" s="107" t="s">
        <v>41</v>
      </c>
      <c r="D103" t="s">
        <v>8</v>
      </c>
      <c r="E103">
        <f t="shared" ref="E103:E166" si="21">SUM(F103:I103)</f>
        <v>6539.8604000000005</v>
      </c>
      <c r="F103">
        <f>SUM(F104:F108)</f>
        <v>6539.8604000000005</v>
      </c>
      <c r="G103">
        <f>SUM(G104:G108)</f>
        <v>0</v>
      </c>
      <c r="H103">
        <f>SUM(H104:H108)</f>
        <v>0</v>
      </c>
      <c r="I103">
        <f>SUM(I104:I108)</f>
        <v>0</v>
      </c>
      <c r="J103" s="107" t="s">
        <v>50</v>
      </c>
      <c r="K103" s="107" t="s">
        <v>484</v>
      </c>
      <c r="L103" s="107"/>
      <c r="M103" s="107"/>
      <c r="N103" s="107"/>
    </row>
    <row r="104" spans="1:14" outlineLevel="1" x14ac:dyDescent="0.25">
      <c r="A104" s="107"/>
      <c r="B104" s="107"/>
      <c r="C104" s="107"/>
      <c r="D104">
        <v>2021</v>
      </c>
      <c r="E104">
        <f t="shared" si="21"/>
        <v>1631.52</v>
      </c>
      <c r="F104">
        <v>1631.52</v>
      </c>
      <c r="G104">
        <v>0</v>
      </c>
      <c r="H104">
        <v>0</v>
      </c>
      <c r="I104">
        <v>0</v>
      </c>
      <c r="J104" s="107"/>
      <c r="K104" s="107"/>
      <c r="L104" s="107"/>
      <c r="M104" s="107"/>
      <c r="N104" s="107"/>
    </row>
    <row r="105" spans="1:14" outlineLevel="1" x14ac:dyDescent="0.25">
      <c r="A105" s="107"/>
      <c r="B105" s="107"/>
      <c r="C105" s="107"/>
      <c r="D105">
        <v>2022</v>
      </c>
      <c r="E105">
        <f t="shared" si="21"/>
        <v>1636.1</v>
      </c>
      <c r="F105">
        <v>1636.1</v>
      </c>
      <c r="G105">
        <v>0</v>
      </c>
      <c r="H105">
        <v>0</v>
      </c>
      <c r="I105">
        <v>0</v>
      </c>
      <c r="J105" s="107"/>
      <c r="K105" s="107"/>
      <c r="L105" s="107"/>
      <c r="M105" s="107"/>
      <c r="N105" s="107"/>
    </row>
    <row r="106" spans="1:14" outlineLevel="1" x14ac:dyDescent="0.25">
      <c r="A106" s="107"/>
      <c r="B106" s="107"/>
      <c r="C106" s="107"/>
      <c r="D106">
        <v>2023</v>
      </c>
      <c r="E106">
        <f t="shared" si="21"/>
        <v>1636.1202000000001</v>
      </c>
      <c r="F106">
        <v>1636.1202000000001</v>
      </c>
      <c r="G106">
        <v>0</v>
      </c>
      <c r="H106">
        <v>0</v>
      </c>
      <c r="I106">
        <v>0</v>
      </c>
      <c r="J106" s="107"/>
      <c r="K106" s="107"/>
      <c r="L106" s="107"/>
      <c r="M106" s="107"/>
      <c r="N106" s="107"/>
    </row>
    <row r="107" spans="1:14" outlineLevel="1" x14ac:dyDescent="0.25">
      <c r="A107" s="107"/>
      <c r="B107" s="107"/>
      <c r="C107" s="107"/>
      <c r="D107">
        <v>2024</v>
      </c>
      <c r="E107">
        <f t="shared" si="21"/>
        <v>1636.1202000000001</v>
      </c>
      <c r="F107">
        <v>1636.1202000000001</v>
      </c>
      <c r="G107">
        <v>0</v>
      </c>
      <c r="H107">
        <v>0</v>
      </c>
      <c r="I107">
        <v>0</v>
      </c>
      <c r="J107" s="107"/>
      <c r="K107" s="107"/>
      <c r="L107" s="107"/>
      <c r="M107" s="107"/>
      <c r="N107" s="107"/>
    </row>
    <row r="108" spans="1:14" outlineLevel="1" x14ac:dyDescent="0.25">
      <c r="A108" s="107"/>
      <c r="B108" s="107"/>
      <c r="C108" s="107"/>
      <c r="D108">
        <v>2025</v>
      </c>
      <c r="E108">
        <f t="shared" si="21"/>
        <v>0</v>
      </c>
      <c r="F108">
        <v>0</v>
      </c>
      <c r="G108">
        <v>0</v>
      </c>
      <c r="H108">
        <v>0</v>
      </c>
      <c r="I108">
        <v>0</v>
      </c>
      <c r="J108" s="107"/>
      <c r="K108" s="107"/>
      <c r="L108" s="107"/>
      <c r="M108" s="107"/>
      <c r="N108" s="107"/>
    </row>
    <row r="109" spans="1:14" ht="18" customHeight="1" outlineLevel="1" x14ac:dyDescent="0.25">
      <c r="A109" s="107" t="s">
        <v>51</v>
      </c>
      <c r="B109" s="107" t="s">
        <v>52</v>
      </c>
      <c r="C109" s="107" t="s">
        <v>41</v>
      </c>
      <c r="D109" t="s">
        <v>8</v>
      </c>
      <c r="E109">
        <f t="shared" si="21"/>
        <v>9995.5</v>
      </c>
      <c r="F109">
        <f>SUM(F110:F114)</f>
        <v>9995.5</v>
      </c>
      <c r="G109">
        <f>SUM(G110:G114)</f>
        <v>0</v>
      </c>
      <c r="H109">
        <f>SUM(H110:H114)</f>
        <v>0</v>
      </c>
      <c r="I109">
        <f>SUM(I110:I114)</f>
        <v>0</v>
      </c>
      <c r="J109" s="107" t="s">
        <v>514</v>
      </c>
      <c r="K109" s="107" t="s">
        <v>515</v>
      </c>
    </row>
    <row r="110" spans="1:14" ht="18" customHeight="1" outlineLevel="1" x14ac:dyDescent="0.25">
      <c r="A110" s="107"/>
      <c r="B110" s="107"/>
      <c r="C110" s="107"/>
      <c r="D110">
        <v>2021</v>
      </c>
      <c r="E110">
        <f t="shared" si="21"/>
        <v>3995.5</v>
      </c>
      <c r="F110">
        <v>3995.5</v>
      </c>
      <c r="G110">
        <v>0</v>
      </c>
      <c r="H110">
        <v>0</v>
      </c>
      <c r="I110">
        <v>0</v>
      </c>
      <c r="J110" s="107"/>
      <c r="K110" s="107"/>
    </row>
    <row r="111" spans="1:14" ht="18" customHeight="1" outlineLevel="1" x14ac:dyDescent="0.25">
      <c r="A111" s="107"/>
      <c r="B111" s="107"/>
      <c r="C111" s="107"/>
      <c r="D111">
        <v>2022</v>
      </c>
      <c r="E111">
        <f t="shared" si="21"/>
        <v>2000</v>
      </c>
      <c r="F111">
        <v>2000</v>
      </c>
      <c r="G111">
        <v>0</v>
      </c>
      <c r="H111">
        <v>0</v>
      </c>
      <c r="I111">
        <v>0</v>
      </c>
      <c r="J111" s="107"/>
      <c r="K111" s="107"/>
    </row>
    <row r="112" spans="1:14" ht="18" customHeight="1" outlineLevel="1" x14ac:dyDescent="0.25">
      <c r="A112" s="107"/>
      <c r="B112" s="107"/>
      <c r="C112" s="107"/>
      <c r="D112">
        <v>2023</v>
      </c>
      <c r="E112">
        <f t="shared" si="21"/>
        <v>2000</v>
      </c>
      <c r="F112">
        <v>2000</v>
      </c>
      <c r="G112">
        <v>0</v>
      </c>
      <c r="H112">
        <v>0</v>
      </c>
      <c r="I112">
        <v>0</v>
      </c>
      <c r="J112" s="107"/>
      <c r="K112" s="107"/>
    </row>
    <row r="113" spans="1:14" ht="18" customHeight="1" outlineLevel="1" x14ac:dyDescent="0.25">
      <c r="A113" s="107"/>
      <c r="B113" s="107"/>
      <c r="C113" s="107"/>
      <c r="D113">
        <v>2024</v>
      </c>
      <c r="E113">
        <f t="shared" si="21"/>
        <v>2000</v>
      </c>
      <c r="F113">
        <v>2000</v>
      </c>
      <c r="G113">
        <v>0</v>
      </c>
      <c r="H113">
        <v>0</v>
      </c>
      <c r="I113">
        <v>0</v>
      </c>
      <c r="J113" s="107"/>
      <c r="K113" s="107"/>
    </row>
    <row r="114" spans="1:14" ht="18" customHeight="1" outlineLevel="1" x14ac:dyDescent="0.25">
      <c r="A114" s="107"/>
      <c r="B114" s="107"/>
      <c r="C114" s="107"/>
      <c r="D114">
        <v>2025</v>
      </c>
      <c r="E114">
        <f t="shared" si="21"/>
        <v>0</v>
      </c>
      <c r="F114">
        <v>0</v>
      </c>
      <c r="G114">
        <v>0</v>
      </c>
      <c r="H114">
        <v>0</v>
      </c>
      <c r="I114">
        <v>0</v>
      </c>
      <c r="J114" s="107"/>
      <c r="K114" s="107"/>
    </row>
    <row r="115" spans="1:14" ht="13.5" customHeight="1" outlineLevel="1" x14ac:dyDescent="0.25">
      <c r="A115" s="107" t="s">
        <v>516</v>
      </c>
      <c r="B115" s="107" t="s">
        <v>45</v>
      </c>
      <c r="C115" s="107" t="s">
        <v>41</v>
      </c>
      <c r="D115" t="s">
        <v>8</v>
      </c>
      <c r="E115">
        <f t="shared" si="21"/>
        <v>21276.595740000001</v>
      </c>
      <c r="F115">
        <f>SUM(F116:F120)</f>
        <v>1276.59574</v>
      </c>
      <c r="G115">
        <f>SUM(G116:G120)</f>
        <v>20000</v>
      </c>
      <c r="H115">
        <f>SUM(H116:H120)</f>
        <v>0</v>
      </c>
      <c r="I115">
        <f>SUM(I116:I120)</f>
        <v>0</v>
      </c>
      <c r="J115" s="107" t="s">
        <v>517</v>
      </c>
      <c r="K115" s="107" t="s">
        <v>515</v>
      </c>
    </row>
    <row r="116" spans="1:14" ht="13.5" customHeight="1" outlineLevel="1" x14ac:dyDescent="0.25">
      <c r="A116" s="107"/>
      <c r="B116" s="107"/>
      <c r="C116" s="107"/>
      <c r="D116">
        <v>2021</v>
      </c>
      <c r="E116">
        <f t="shared" si="21"/>
        <v>21276.595740000001</v>
      </c>
      <c r="F116">
        <v>1276.59574</v>
      </c>
      <c r="G116">
        <v>20000</v>
      </c>
      <c r="H116">
        <v>0</v>
      </c>
      <c r="I116">
        <v>0</v>
      </c>
      <c r="J116" s="107"/>
      <c r="K116" s="107"/>
    </row>
    <row r="117" spans="1:14" ht="13.5" customHeight="1" outlineLevel="1" x14ac:dyDescent="0.25">
      <c r="A117" s="107"/>
      <c r="B117" s="107"/>
      <c r="C117" s="107"/>
      <c r="D117">
        <v>2022</v>
      </c>
      <c r="E117">
        <v>0</v>
      </c>
      <c r="F117">
        <v>0</v>
      </c>
      <c r="G117">
        <v>0</v>
      </c>
      <c r="H117">
        <v>0</v>
      </c>
      <c r="I117">
        <v>0</v>
      </c>
      <c r="J117" s="107"/>
      <c r="K117" s="107"/>
    </row>
    <row r="118" spans="1:14" ht="13.5" customHeight="1" outlineLevel="1" x14ac:dyDescent="0.25">
      <c r="A118" s="107"/>
      <c r="B118" s="107"/>
      <c r="C118" s="107"/>
      <c r="D118">
        <v>2023</v>
      </c>
      <c r="E118">
        <v>0</v>
      </c>
      <c r="F118">
        <v>0</v>
      </c>
      <c r="G118">
        <v>0</v>
      </c>
      <c r="H118">
        <v>0</v>
      </c>
      <c r="I118">
        <v>0</v>
      </c>
      <c r="J118" s="107"/>
      <c r="K118" s="107"/>
    </row>
    <row r="119" spans="1:14" ht="13.5" customHeight="1" outlineLevel="1" x14ac:dyDescent="0.25">
      <c r="A119" s="107"/>
      <c r="B119" s="107"/>
      <c r="C119" s="107"/>
      <c r="D119">
        <v>2024</v>
      </c>
      <c r="E119">
        <v>0</v>
      </c>
      <c r="F119">
        <v>0</v>
      </c>
      <c r="G119">
        <v>0</v>
      </c>
      <c r="H119">
        <v>0</v>
      </c>
      <c r="I119">
        <v>0</v>
      </c>
      <c r="J119" s="107"/>
      <c r="K119" s="107"/>
    </row>
    <row r="120" spans="1:14" ht="13.5" customHeight="1" outlineLevel="1" x14ac:dyDescent="0.25">
      <c r="A120" s="107"/>
      <c r="B120" s="107"/>
      <c r="C120" s="107"/>
      <c r="D120">
        <v>2025</v>
      </c>
      <c r="E120">
        <f t="shared" si="21"/>
        <v>0</v>
      </c>
      <c r="F120">
        <v>0</v>
      </c>
      <c r="G120">
        <v>0</v>
      </c>
      <c r="H120">
        <v>0</v>
      </c>
      <c r="I120">
        <v>0</v>
      </c>
      <c r="J120" s="107"/>
      <c r="K120" s="107"/>
    </row>
    <row r="121" spans="1:14" ht="15" customHeight="1" x14ac:dyDescent="0.25">
      <c r="A121" s="107" t="s">
        <v>54</v>
      </c>
      <c r="B121" s="107" t="s">
        <v>55</v>
      </c>
      <c r="C121" s="107" t="s">
        <v>14</v>
      </c>
      <c r="D121" t="s">
        <v>8</v>
      </c>
      <c r="E121">
        <f t="shared" si="21"/>
        <v>3808576.3638499998</v>
      </c>
      <c r="F121">
        <f>SUM(F122:F126)</f>
        <v>3729923.6636399999</v>
      </c>
      <c r="G121">
        <f>SUM(G122:G126)</f>
        <v>65335</v>
      </c>
      <c r="H121">
        <f>SUM(H122:H126)</f>
        <v>13317.700210000001</v>
      </c>
      <c r="I121">
        <f>SUM(I122:I126)</f>
        <v>0</v>
      </c>
      <c r="J121" s="107"/>
      <c r="K121" s="107" t="s">
        <v>510</v>
      </c>
      <c r="L121" s="107"/>
      <c r="M121" s="107"/>
      <c r="N121" s="107"/>
    </row>
    <row r="122" spans="1:14" x14ac:dyDescent="0.25">
      <c r="A122" s="107"/>
      <c r="B122" s="107"/>
      <c r="C122" s="107"/>
      <c r="D122">
        <v>2021</v>
      </c>
      <c r="E122">
        <f t="shared" si="21"/>
        <v>898561.75059000007</v>
      </c>
      <c r="F122">
        <f t="shared" ref="F122:I126" si="22">F128+F194+F212</f>
        <v>854698.05038000003</v>
      </c>
      <c r="G122">
        <f t="shared" si="22"/>
        <v>30546</v>
      </c>
      <c r="H122">
        <f t="shared" si="22"/>
        <v>13317.700210000001</v>
      </c>
      <c r="I122">
        <f t="shared" si="22"/>
        <v>0</v>
      </c>
      <c r="J122" s="107"/>
      <c r="K122" s="107"/>
      <c r="L122" s="107"/>
      <c r="M122" s="107"/>
      <c r="N122" s="107"/>
    </row>
    <row r="123" spans="1:14" x14ac:dyDescent="0.25">
      <c r="A123" s="107"/>
      <c r="B123" s="107"/>
      <c r="C123" s="107"/>
      <c r="D123">
        <v>2022</v>
      </c>
      <c r="E123">
        <f t="shared" si="21"/>
        <v>677144.84193</v>
      </c>
      <c r="F123">
        <f t="shared" si="22"/>
        <v>660155.44192999997</v>
      </c>
      <c r="G123">
        <f t="shared" si="22"/>
        <v>16989.400000000001</v>
      </c>
      <c r="H123">
        <f t="shared" si="22"/>
        <v>0</v>
      </c>
      <c r="I123">
        <f t="shared" si="22"/>
        <v>0</v>
      </c>
      <c r="J123" s="107"/>
      <c r="K123" s="107"/>
      <c r="L123" s="107"/>
      <c r="M123" s="107"/>
      <c r="N123" s="107"/>
    </row>
    <row r="124" spans="1:14" x14ac:dyDescent="0.25">
      <c r="A124" s="107"/>
      <c r="B124" s="107"/>
      <c r="C124" s="107"/>
      <c r="D124">
        <v>2023</v>
      </c>
      <c r="E124">
        <f t="shared" si="21"/>
        <v>757119.03292999999</v>
      </c>
      <c r="F124">
        <f t="shared" si="22"/>
        <v>739319.43293000001</v>
      </c>
      <c r="G124">
        <f t="shared" si="22"/>
        <v>17799.599999999999</v>
      </c>
      <c r="H124">
        <f t="shared" si="22"/>
        <v>0</v>
      </c>
      <c r="I124">
        <f t="shared" si="22"/>
        <v>0</v>
      </c>
      <c r="J124" s="107"/>
      <c r="K124" s="107"/>
      <c r="L124" s="107"/>
      <c r="M124" s="107"/>
      <c r="N124" s="107"/>
    </row>
    <row r="125" spans="1:14" x14ac:dyDescent="0.25">
      <c r="A125" s="107"/>
      <c r="B125" s="107"/>
      <c r="C125" s="107"/>
      <c r="D125">
        <v>2024</v>
      </c>
      <c r="E125">
        <f t="shared" si="21"/>
        <v>739221.28540000005</v>
      </c>
      <c r="F125">
        <f t="shared" si="22"/>
        <v>739221.28540000005</v>
      </c>
      <c r="G125">
        <f t="shared" si="22"/>
        <v>0</v>
      </c>
      <c r="H125">
        <f t="shared" si="22"/>
        <v>0</v>
      </c>
      <c r="I125">
        <f t="shared" si="22"/>
        <v>0</v>
      </c>
      <c r="J125" s="107"/>
      <c r="K125" s="107"/>
      <c r="L125" s="107"/>
      <c r="M125" s="107"/>
      <c r="N125" s="107"/>
    </row>
    <row r="126" spans="1:14" x14ac:dyDescent="0.25">
      <c r="A126" s="107"/>
      <c r="B126" s="107"/>
      <c r="C126" s="107"/>
      <c r="D126">
        <v>2025</v>
      </c>
      <c r="E126">
        <f t="shared" si="21"/>
        <v>736529.45299999998</v>
      </c>
      <c r="F126">
        <f t="shared" si="22"/>
        <v>736529.45299999998</v>
      </c>
      <c r="G126">
        <f t="shared" si="22"/>
        <v>0</v>
      </c>
      <c r="H126">
        <f t="shared" si="22"/>
        <v>0</v>
      </c>
      <c r="I126">
        <f t="shared" si="22"/>
        <v>0</v>
      </c>
      <c r="J126" s="107"/>
      <c r="K126" s="107"/>
      <c r="L126" s="107"/>
      <c r="M126" s="107"/>
      <c r="N126" s="107"/>
    </row>
    <row r="127" spans="1:14" ht="13.5" customHeight="1" outlineLevel="1" x14ac:dyDescent="0.25">
      <c r="A127" s="107" t="s">
        <v>56</v>
      </c>
      <c r="B127" s="107" t="s">
        <v>518</v>
      </c>
      <c r="C127" s="107" t="s">
        <v>14</v>
      </c>
      <c r="D127" t="s">
        <v>8</v>
      </c>
      <c r="E127">
        <f t="shared" si="21"/>
        <v>3676792.2666999996</v>
      </c>
      <c r="F127">
        <f>SUM(F128:F132)</f>
        <v>3676792.2666999996</v>
      </c>
      <c r="G127">
        <f>SUM(G128:G132)</f>
        <v>0</v>
      </c>
      <c r="H127">
        <f>SUM(H128:H132)</f>
        <v>0</v>
      </c>
      <c r="I127">
        <f>SUM(I128:I132)</f>
        <v>0</v>
      </c>
      <c r="J127" s="107" t="s">
        <v>519</v>
      </c>
      <c r="K127" s="107" t="s">
        <v>486</v>
      </c>
      <c r="L127" s="107"/>
      <c r="M127" s="107"/>
      <c r="N127" s="107"/>
    </row>
    <row r="128" spans="1:14" ht="13.5" customHeight="1" outlineLevel="1" x14ac:dyDescent="0.25">
      <c r="A128" s="107"/>
      <c r="B128" s="107"/>
      <c r="C128" s="107"/>
      <c r="D128">
        <v>2021</v>
      </c>
      <c r="E128">
        <f t="shared" si="21"/>
        <v>809786.72770000005</v>
      </c>
      <c r="F128">
        <f>F134+F140+F146+F152+F158+F164++F170+F176+F182+F188</f>
        <v>809786.72770000005</v>
      </c>
      <c r="G128">
        <f t="shared" ref="F128:I132" si="23">G134+G140+G146+G152+G158+G164++G170+G176+G182</f>
        <v>0</v>
      </c>
      <c r="H128">
        <f t="shared" si="23"/>
        <v>0</v>
      </c>
      <c r="I128">
        <f t="shared" si="23"/>
        <v>0</v>
      </c>
      <c r="J128" s="107"/>
      <c r="K128" s="107"/>
      <c r="L128" s="107"/>
      <c r="M128" s="107"/>
      <c r="N128" s="107"/>
    </row>
    <row r="129" spans="1:14" ht="13.5" customHeight="1" outlineLevel="1" x14ac:dyDescent="0.25">
      <c r="A129" s="107"/>
      <c r="B129" s="107"/>
      <c r="C129" s="107"/>
      <c r="D129">
        <v>2022</v>
      </c>
      <c r="E129">
        <f t="shared" si="21"/>
        <v>657417.17700000003</v>
      </c>
      <c r="F129">
        <f t="shared" si="23"/>
        <v>657417.17700000003</v>
      </c>
      <c r="G129">
        <f t="shared" si="23"/>
        <v>0</v>
      </c>
      <c r="H129">
        <f t="shared" si="23"/>
        <v>0</v>
      </c>
      <c r="I129">
        <f t="shared" si="23"/>
        <v>0</v>
      </c>
      <c r="J129" s="107"/>
      <c r="K129" s="107"/>
      <c r="L129" s="107"/>
      <c r="M129" s="107"/>
      <c r="N129" s="107"/>
    </row>
    <row r="130" spans="1:14" ht="13.5" customHeight="1" outlineLevel="1" x14ac:dyDescent="0.25">
      <c r="A130" s="107"/>
      <c r="B130" s="107"/>
      <c r="C130" s="107"/>
      <c r="D130">
        <v>2023</v>
      </c>
      <c r="E130">
        <f t="shared" si="21"/>
        <v>736529.45299999998</v>
      </c>
      <c r="F130">
        <f t="shared" si="23"/>
        <v>736529.45299999998</v>
      </c>
      <c r="G130">
        <f t="shared" si="23"/>
        <v>0</v>
      </c>
      <c r="H130">
        <f t="shared" si="23"/>
        <v>0</v>
      </c>
      <c r="I130">
        <f t="shared" si="23"/>
        <v>0</v>
      </c>
      <c r="J130" s="107"/>
      <c r="K130" s="107"/>
      <c r="L130" s="107"/>
      <c r="M130" s="107"/>
      <c r="N130" s="107"/>
    </row>
    <row r="131" spans="1:14" ht="13.5" customHeight="1" outlineLevel="1" x14ac:dyDescent="0.25">
      <c r="A131" s="107"/>
      <c r="B131" s="107"/>
      <c r="C131" s="107"/>
      <c r="D131">
        <v>2024</v>
      </c>
      <c r="E131">
        <f t="shared" si="21"/>
        <v>736529.45600000001</v>
      </c>
      <c r="F131">
        <f t="shared" si="23"/>
        <v>736529.45600000001</v>
      </c>
      <c r="G131">
        <f t="shared" si="23"/>
        <v>0</v>
      </c>
      <c r="H131">
        <f t="shared" si="23"/>
        <v>0</v>
      </c>
      <c r="I131">
        <f t="shared" si="23"/>
        <v>0</v>
      </c>
      <c r="J131" s="107"/>
      <c r="K131" s="107"/>
      <c r="L131" s="107"/>
      <c r="M131" s="107"/>
      <c r="N131" s="107"/>
    </row>
    <row r="132" spans="1:14" ht="13.5" customHeight="1" outlineLevel="1" x14ac:dyDescent="0.25">
      <c r="A132" s="107"/>
      <c r="B132" s="107"/>
      <c r="C132" s="107"/>
      <c r="D132">
        <v>2025</v>
      </c>
      <c r="E132">
        <f t="shared" si="21"/>
        <v>736529.45299999998</v>
      </c>
      <c r="F132">
        <f t="shared" si="23"/>
        <v>736529.45299999998</v>
      </c>
      <c r="G132">
        <f t="shared" si="23"/>
        <v>0</v>
      </c>
      <c r="H132">
        <f t="shared" si="23"/>
        <v>0</v>
      </c>
      <c r="I132">
        <f>I138+I144+I150+I156+I162+I168++I174+I180+I186</f>
        <v>0</v>
      </c>
      <c r="J132" s="107"/>
      <c r="K132" s="107"/>
      <c r="L132" s="107"/>
      <c r="M132" s="107"/>
      <c r="N132" s="107"/>
    </row>
    <row r="133" spans="1:14" ht="13.5" customHeight="1" outlineLevel="1" x14ac:dyDescent="0.25">
      <c r="A133" s="107" t="s">
        <v>60</v>
      </c>
      <c r="B133" s="107" t="s">
        <v>61</v>
      </c>
      <c r="C133" s="107" t="s">
        <v>14</v>
      </c>
      <c r="D133" t="s">
        <v>8</v>
      </c>
      <c r="E133">
        <f t="shared" si="21"/>
        <v>10533.2857</v>
      </c>
      <c r="F133">
        <f>SUM(F134:F138)</f>
        <v>10533.2857</v>
      </c>
      <c r="G133">
        <f>SUM(G134:G138)</f>
        <v>0</v>
      </c>
      <c r="H133">
        <f>SUM(H134:H138)</f>
        <v>0</v>
      </c>
      <c r="I133">
        <f>SUM(I134:I138)</f>
        <v>0</v>
      </c>
      <c r="J133" s="107" t="s">
        <v>62</v>
      </c>
      <c r="K133" s="107" t="s">
        <v>484</v>
      </c>
      <c r="L133" s="107"/>
      <c r="M133" s="107"/>
      <c r="N133" s="107"/>
    </row>
    <row r="134" spans="1:14" ht="13.5" customHeight="1" outlineLevel="1" x14ac:dyDescent="0.25">
      <c r="A134" s="107"/>
      <c r="B134" s="107"/>
      <c r="C134" s="107"/>
      <c r="D134">
        <v>2021</v>
      </c>
      <c r="E134">
        <f t="shared" si="21"/>
        <v>2106.6577000000002</v>
      </c>
      <c r="F134">
        <f>2106.6577</f>
        <v>2106.6577000000002</v>
      </c>
      <c r="G134">
        <v>0</v>
      </c>
      <c r="H134">
        <v>0</v>
      </c>
      <c r="I134">
        <v>0</v>
      </c>
      <c r="J134" s="107"/>
      <c r="K134" s="107"/>
      <c r="L134" s="107"/>
      <c r="M134" s="107"/>
      <c r="N134" s="107"/>
    </row>
    <row r="135" spans="1:14" ht="13.5" customHeight="1" outlineLevel="1" x14ac:dyDescent="0.25">
      <c r="A135" s="107"/>
      <c r="B135" s="107"/>
      <c r="C135" s="107"/>
      <c r="D135">
        <v>2022</v>
      </c>
      <c r="E135">
        <f t="shared" si="21"/>
        <v>2106.6570000000002</v>
      </c>
      <c r="F135">
        <v>2106.6570000000002</v>
      </c>
      <c r="G135">
        <v>0</v>
      </c>
      <c r="H135">
        <v>0</v>
      </c>
      <c r="I135">
        <v>0</v>
      </c>
      <c r="J135" s="107"/>
      <c r="K135" s="107"/>
      <c r="L135" s="107"/>
      <c r="M135" s="107"/>
      <c r="N135" s="107"/>
    </row>
    <row r="136" spans="1:14" ht="13.5" customHeight="1" outlineLevel="1" x14ac:dyDescent="0.25">
      <c r="A136" s="107"/>
      <c r="B136" s="107"/>
      <c r="C136" s="107"/>
      <c r="D136">
        <v>2023</v>
      </c>
      <c r="E136">
        <f t="shared" si="21"/>
        <v>2106.6570000000002</v>
      </c>
      <c r="F136">
        <v>2106.6570000000002</v>
      </c>
      <c r="G136">
        <v>0</v>
      </c>
      <c r="H136">
        <v>0</v>
      </c>
      <c r="I136">
        <v>0</v>
      </c>
      <c r="J136" s="107"/>
      <c r="K136" s="107"/>
      <c r="L136" s="107"/>
      <c r="M136" s="107"/>
      <c r="N136" s="107"/>
    </row>
    <row r="137" spans="1:14" ht="13.5" customHeight="1" outlineLevel="1" x14ac:dyDescent="0.25">
      <c r="A137" s="107"/>
      <c r="B137" s="107"/>
      <c r="C137" s="107"/>
      <c r="D137">
        <v>2024</v>
      </c>
      <c r="E137">
        <f t="shared" si="21"/>
        <v>2106.6570000000002</v>
      </c>
      <c r="F137">
        <v>2106.6570000000002</v>
      </c>
      <c r="G137">
        <v>0</v>
      </c>
      <c r="H137">
        <v>0</v>
      </c>
      <c r="I137">
        <v>0</v>
      </c>
      <c r="J137" s="107"/>
      <c r="K137" s="107"/>
      <c r="L137" s="107"/>
      <c r="M137" s="107"/>
      <c r="N137" s="107"/>
    </row>
    <row r="138" spans="1:14" ht="13.5" customHeight="1" outlineLevel="1" x14ac:dyDescent="0.25">
      <c r="A138" s="107"/>
      <c r="B138" s="107"/>
      <c r="C138" s="107"/>
      <c r="D138">
        <v>2025</v>
      </c>
      <c r="E138">
        <f t="shared" si="21"/>
        <v>2106.6570000000002</v>
      </c>
      <c r="F138">
        <v>2106.6570000000002</v>
      </c>
      <c r="G138">
        <f>+G144+G150+G156+G180</f>
        <v>0</v>
      </c>
      <c r="H138">
        <v>0</v>
      </c>
      <c r="I138">
        <v>0</v>
      </c>
      <c r="J138" s="107"/>
      <c r="K138" s="107"/>
      <c r="L138" s="107"/>
      <c r="M138" s="107"/>
      <c r="N138" s="107"/>
    </row>
    <row r="139" spans="1:14" ht="13.5" customHeight="1" outlineLevel="1" x14ac:dyDescent="0.25">
      <c r="A139" s="107" t="s">
        <v>63</v>
      </c>
      <c r="B139" s="107" t="s">
        <v>520</v>
      </c>
      <c r="C139" s="107" t="s">
        <v>14</v>
      </c>
      <c r="D139" t="s">
        <v>8</v>
      </c>
      <c r="E139">
        <f t="shared" si="21"/>
        <v>4792</v>
      </c>
      <c r="F139">
        <f>SUM(F140:F144)</f>
        <v>4792</v>
      </c>
      <c r="G139">
        <f>SUM(G140:G144)</f>
        <v>0</v>
      </c>
      <c r="H139">
        <f>SUM(H140:H144)</f>
        <v>0</v>
      </c>
      <c r="I139">
        <f>SUM(I140:I144)</f>
        <v>0</v>
      </c>
      <c r="J139" s="107" t="s">
        <v>521</v>
      </c>
      <c r="K139" s="107" t="s">
        <v>484</v>
      </c>
    </row>
    <row r="140" spans="1:14" ht="13.5" customHeight="1" outlineLevel="1" x14ac:dyDescent="0.25">
      <c r="A140" s="107"/>
      <c r="B140" s="107"/>
      <c r="C140" s="107"/>
      <c r="D140">
        <v>2021</v>
      </c>
      <c r="E140">
        <f t="shared" si="21"/>
        <v>456</v>
      </c>
      <c r="F140">
        <v>456</v>
      </c>
      <c r="G140">
        <v>0</v>
      </c>
      <c r="H140">
        <v>0</v>
      </c>
      <c r="I140">
        <v>0</v>
      </c>
      <c r="J140" s="107"/>
      <c r="K140" s="107"/>
    </row>
    <row r="141" spans="1:14" ht="13.5" customHeight="1" outlineLevel="1" x14ac:dyDescent="0.25">
      <c r="A141" s="107"/>
      <c r="B141" s="107"/>
      <c r="C141" s="107"/>
      <c r="D141">
        <v>2022</v>
      </c>
      <c r="E141">
        <f t="shared" si="21"/>
        <v>1084</v>
      </c>
      <c r="F141">
        <v>1084</v>
      </c>
      <c r="G141">
        <v>0</v>
      </c>
      <c r="H141">
        <v>0</v>
      </c>
      <c r="I141">
        <v>0</v>
      </c>
      <c r="J141" s="107"/>
      <c r="K141" s="107"/>
    </row>
    <row r="142" spans="1:14" ht="13.5" customHeight="1" outlineLevel="1" x14ac:dyDescent="0.25">
      <c r="A142" s="107"/>
      <c r="B142" s="107"/>
      <c r="C142" s="107"/>
      <c r="D142">
        <v>2023</v>
      </c>
      <c r="E142">
        <f t="shared" si="21"/>
        <v>1084</v>
      </c>
      <c r="F142">
        <v>1084</v>
      </c>
      <c r="G142">
        <v>0</v>
      </c>
      <c r="H142">
        <v>0</v>
      </c>
      <c r="I142">
        <v>0</v>
      </c>
      <c r="J142" s="107"/>
      <c r="K142" s="107"/>
    </row>
    <row r="143" spans="1:14" ht="13.5" customHeight="1" outlineLevel="1" x14ac:dyDescent="0.25">
      <c r="A143" s="107"/>
      <c r="B143" s="107"/>
      <c r="C143" s="107"/>
      <c r="D143">
        <v>2024</v>
      </c>
      <c r="E143">
        <f t="shared" si="21"/>
        <v>1084</v>
      </c>
      <c r="F143">
        <v>1084</v>
      </c>
      <c r="G143">
        <v>0</v>
      </c>
      <c r="H143">
        <v>0</v>
      </c>
      <c r="I143">
        <v>0</v>
      </c>
      <c r="J143" s="107"/>
      <c r="K143" s="107"/>
    </row>
    <row r="144" spans="1:14" ht="13.5" customHeight="1" outlineLevel="1" x14ac:dyDescent="0.25">
      <c r="A144" s="107"/>
      <c r="B144" s="107"/>
      <c r="C144" s="107"/>
      <c r="D144">
        <v>2025</v>
      </c>
      <c r="E144">
        <f t="shared" si="21"/>
        <v>1084</v>
      </c>
      <c r="F144">
        <v>1084</v>
      </c>
      <c r="G144">
        <v>0</v>
      </c>
      <c r="H144">
        <v>0</v>
      </c>
      <c r="I144">
        <v>0</v>
      </c>
      <c r="J144" s="107"/>
      <c r="K144" s="107"/>
    </row>
    <row r="145" spans="1:11" ht="13.5" customHeight="1" outlineLevel="1" x14ac:dyDescent="0.25">
      <c r="A145" s="107" t="s">
        <v>66</v>
      </c>
      <c r="B145" s="107" t="s">
        <v>67</v>
      </c>
      <c r="C145" s="107" t="s">
        <v>14</v>
      </c>
      <c r="D145" t="s">
        <v>8</v>
      </c>
      <c r="E145">
        <f t="shared" si="21"/>
        <v>156.04999999999998</v>
      </c>
      <c r="F145">
        <f>SUM(F146:F150)</f>
        <v>156.04999999999998</v>
      </c>
      <c r="G145">
        <f>SUM(G146:G150)</f>
        <v>0</v>
      </c>
      <c r="H145">
        <f>SUM(H146:H150)</f>
        <v>0</v>
      </c>
      <c r="I145">
        <f>SUM(I146:I150)</f>
        <v>0</v>
      </c>
      <c r="J145" s="107" t="s">
        <v>522</v>
      </c>
      <c r="K145" s="107" t="s">
        <v>69</v>
      </c>
    </row>
    <row r="146" spans="1:11" ht="13.5" customHeight="1" outlineLevel="1" x14ac:dyDescent="0.25">
      <c r="A146" s="107"/>
      <c r="B146" s="107"/>
      <c r="C146" s="107"/>
      <c r="D146">
        <v>2021</v>
      </c>
      <c r="E146">
        <f t="shared" si="21"/>
        <v>27.77</v>
      </c>
      <c r="F146">
        <f>27770/1000</f>
        <v>27.77</v>
      </c>
      <c r="G146">
        <v>0</v>
      </c>
      <c r="H146">
        <v>0</v>
      </c>
      <c r="I146">
        <v>0</v>
      </c>
      <c r="J146" s="107"/>
      <c r="K146" s="107"/>
    </row>
    <row r="147" spans="1:11" ht="13.5" customHeight="1" outlineLevel="1" x14ac:dyDescent="0.25">
      <c r="A147" s="107"/>
      <c r="B147" s="107"/>
      <c r="C147" s="107"/>
      <c r="D147">
        <v>2022</v>
      </c>
      <c r="E147">
        <f t="shared" si="21"/>
        <v>32.07</v>
      </c>
      <c r="F147">
        <v>32.07</v>
      </c>
      <c r="G147">
        <v>0</v>
      </c>
      <c r="H147">
        <v>0</v>
      </c>
      <c r="I147">
        <v>0</v>
      </c>
      <c r="J147" s="107"/>
      <c r="K147" s="107"/>
    </row>
    <row r="148" spans="1:11" ht="13.5" customHeight="1" outlineLevel="1" x14ac:dyDescent="0.25">
      <c r="A148" s="107"/>
      <c r="B148" s="107"/>
      <c r="C148" s="107"/>
      <c r="D148">
        <v>2023</v>
      </c>
      <c r="E148">
        <f t="shared" si="21"/>
        <v>32.07</v>
      </c>
      <c r="F148">
        <v>32.07</v>
      </c>
      <c r="G148">
        <v>0</v>
      </c>
      <c r="H148">
        <v>0</v>
      </c>
      <c r="I148">
        <v>0</v>
      </c>
      <c r="J148" s="107"/>
      <c r="K148" s="107"/>
    </row>
    <row r="149" spans="1:11" ht="13.5" customHeight="1" outlineLevel="1" x14ac:dyDescent="0.25">
      <c r="A149" s="107"/>
      <c r="B149" s="107"/>
      <c r="C149" s="107"/>
      <c r="D149">
        <v>2024</v>
      </c>
      <c r="E149">
        <f t="shared" si="21"/>
        <v>32.07</v>
      </c>
      <c r="F149">
        <v>32.07</v>
      </c>
      <c r="G149">
        <v>0</v>
      </c>
      <c r="H149">
        <v>0</v>
      </c>
      <c r="I149">
        <v>0</v>
      </c>
      <c r="J149" s="107"/>
      <c r="K149" s="107"/>
    </row>
    <row r="150" spans="1:11" ht="13.5" customHeight="1" outlineLevel="1" x14ac:dyDescent="0.25">
      <c r="A150" s="107"/>
      <c r="B150" s="107"/>
      <c r="C150" s="107"/>
      <c r="D150">
        <v>2025</v>
      </c>
      <c r="E150">
        <f t="shared" si="21"/>
        <v>32.07</v>
      </c>
      <c r="F150">
        <v>32.07</v>
      </c>
      <c r="G150">
        <v>0</v>
      </c>
      <c r="H150">
        <v>0</v>
      </c>
      <c r="I150">
        <v>0</v>
      </c>
      <c r="J150" s="107"/>
      <c r="K150" s="107"/>
    </row>
    <row r="151" spans="1:11" ht="13.5" customHeight="1" outlineLevel="1" x14ac:dyDescent="0.25">
      <c r="A151" s="107" t="s">
        <v>70</v>
      </c>
      <c r="B151" s="107" t="s">
        <v>71</v>
      </c>
      <c r="C151" s="107" t="s">
        <v>14</v>
      </c>
      <c r="D151" t="s">
        <v>8</v>
      </c>
      <c r="E151">
        <f t="shared" si="21"/>
        <v>3607195.3309999998</v>
      </c>
      <c r="F151">
        <f>SUM(F152:F156)</f>
        <v>3607195.3309999998</v>
      </c>
      <c r="G151">
        <f>SUM(G152:G156)</f>
        <v>0</v>
      </c>
      <c r="H151">
        <f>SUM(H152:H156)</f>
        <v>0</v>
      </c>
      <c r="I151">
        <f>SUM(I152:I156)</f>
        <v>0</v>
      </c>
      <c r="J151" s="107" t="s">
        <v>72</v>
      </c>
      <c r="K151" s="107" t="s">
        <v>77</v>
      </c>
    </row>
    <row r="152" spans="1:11" ht="13.5" customHeight="1" outlineLevel="1" x14ac:dyDescent="0.25">
      <c r="A152" s="107"/>
      <c r="B152" s="107"/>
      <c r="C152" s="107"/>
      <c r="D152">
        <v>2021</v>
      </c>
      <c r="E152">
        <f t="shared" si="21"/>
        <v>767325.9</v>
      </c>
      <c r="F152">
        <v>767325.9</v>
      </c>
      <c r="G152">
        <v>0</v>
      </c>
      <c r="H152">
        <v>0</v>
      </c>
      <c r="I152">
        <v>0</v>
      </c>
      <c r="J152" s="107"/>
      <c r="K152" s="107"/>
    </row>
    <row r="153" spans="1:11" ht="13.5" customHeight="1" outlineLevel="1" x14ac:dyDescent="0.25">
      <c r="A153" s="107"/>
      <c r="B153" s="107"/>
      <c r="C153" s="107"/>
      <c r="D153">
        <v>2022</v>
      </c>
      <c r="E153">
        <f t="shared" si="21"/>
        <v>650633.15</v>
      </c>
      <c r="F153">
        <v>650633.15</v>
      </c>
      <c r="G153">
        <v>0</v>
      </c>
      <c r="H153">
        <v>0</v>
      </c>
      <c r="I153">
        <v>0</v>
      </c>
      <c r="J153" s="107"/>
      <c r="K153" s="107"/>
    </row>
    <row r="154" spans="1:11" ht="13.5" customHeight="1" outlineLevel="1" x14ac:dyDescent="0.25">
      <c r="A154" s="107"/>
      <c r="B154" s="107"/>
      <c r="C154" s="107"/>
      <c r="D154">
        <v>2023</v>
      </c>
      <c r="E154">
        <f t="shared" si="21"/>
        <v>729745.42599999998</v>
      </c>
      <c r="F154">
        <v>729745.42599999998</v>
      </c>
      <c r="G154">
        <v>0</v>
      </c>
      <c r="H154">
        <v>0</v>
      </c>
      <c r="I154">
        <v>0</v>
      </c>
      <c r="J154" s="107"/>
      <c r="K154" s="107"/>
    </row>
    <row r="155" spans="1:11" ht="13.5" customHeight="1" outlineLevel="1" x14ac:dyDescent="0.25">
      <c r="A155" s="107"/>
      <c r="B155" s="107"/>
      <c r="C155" s="107"/>
      <c r="D155">
        <v>2024</v>
      </c>
      <c r="E155">
        <f t="shared" si="21"/>
        <v>729745.429</v>
      </c>
      <c r="F155">
        <v>729745.429</v>
      </c>
      <c r="G155">
        <v>0</v>
      </c>
      <c r="H155">
        <v>0</v>
      </c>
      <c r="I155">
        <v>0</v>
      </c>
      <c r="J155" s="107"/>
      <c r="K155" s="107"/>
    </row>
    <row r="156" spans="1:11" ht="13.5" customHeight="1" outlineLevel="1" x14ac:dyDescent="0.25">
      <c r="A156" s="107"/>
      <c r="B156" s="107"/>
      <c r="C156" s="107"/>
      <c r="D156">
        <v>2025</v>
      </c>
      <c r="E156">
        <f t="shared" si="21"/>
        <v>729745.42599999998</v>
      </c>
      <c r="F156">
        <v>729745.42599999998</v>
      </c>
      <c r="G156">
        <v>0</v>
      </c>
      <c r="H156">
        <v>0</v>
      </c>
      <c r="I156">
        <v>0</v>
      </c>
      <c r="J156" s="107"/>
      <c r="K156" s="107"/>
    </row>
    <row r="157" spans="1:11" ht="13.5" customHeight="1" outlineLevel="1" x14ac:dyDescent="0.25">
      <c r="A157" s="107" t="s">
        <v>74</v>
      </c>
      <c r="B157" s="107" t="s">
        <v>75</v>
      </c>
      <c r="C157" s="107" t="s">
        <v>14</v>
      </c>
      <c r="D157" t="s">
        <v>8</v>
      </c>
      <c r="E157">
        <f t="shared" si="21"/>
        <v>17806.5</v>
      </c>
      <c r="F157">
        <f>SUM(F158:F162)</f>
        <v>17806.5</v>
      </c>
      <c r="G157">
        <f>SUM(G158:G162)</f>
        <v>0</v>
      </c>
      <c r="H157">
        <f>SUM(H158:H162)</f>
        <v>0</v>
      </c>
      <c r="I157">
        <f>SUM(I158:I162)</f>
        <v>0</v>
      </c>
      <c r="J157" s="107" t="s">
        <v>523</v>
      </c>
      <c r="K157" s="107" t="s">
        <v>77</v>
      </c>
    </row>
    <row r="158" spans="1:11" ht="13.5" customHeight="1" outlineLevel="1" x14ac:dyDescent="0.25">
      <c r="A158" s="107"/>
      <c r="B158" s="107"/>
      <c r="C158" s="107"/>
      <c r="D158">
        <v>2021</v>
      </c>
      <c r="E158">
        <f t="shared" si="21"/>
        <v>3561.3</v>
      </c>
      <c r="F158">
        <v>3561.3</v>
      </c>
      <c r="G158">
        <v>0</v>
      </c>
      <c r="H158">
        <v>0</v>
      </c>
      <c r="I158">
        <v>0</v>
      </c>
      <c r="J158" s="107"/>
      <c r="K158" s="107"/>
    </row>
    <row r="159" spans="1:11" ht="13.5" customHeight="1" outlineLevel="1" x14ac:dyDescent="0.25">
      <c r="A159" s="107"/>
      <c r="B159" s="107"/>
      <c r="C159" s="107"/>
      <c r="D159">
        <v>2022</v>
      </c>
      <c r="E159">
        <f t="shared" si="21"/>
        <v>3561.3</v>
      </c>
      <c r="F159">
        <v>3561.3</v>
      </c>
      <c r="G159">
        <v>0</v>
      </c>
      <c r="H159">
        <v>0</v>
      </c>
      <c r="I159">
        <v>0</v>
      </c>
      <c r="J159" s="107"/>
      <c r="K159" s="107"/>
    </row>
    <row r="160" spans="1:11" ht="13.5" customHeight="1" outlineLevel="1" x14ac:dyDescent="0.25">
      <c r="A160" s="107"/>
      <c r="B160" s="107"/>
      <c r="C160" s="107"/>
      <c r="D160">
        <v>2023</v>
      </c>
      <c r="E160">
        <f t="shared" si="21"/>
        <v>3561.3</v>
      </c>
      <c r="F160">
        <v>3561.3</v>
      </c>
      <c r="G160">
        <v>0</v>
      </c>
      <c r="H160">
        <v>0</v>
      </c>
      <c r="I160">
        <v>0</v>
      </c>
      <c r="J160" s="107"/>
      <c r="K160" s="107"/>
    </row>
    <row r="161" spans="1:11" ht="13.5" customHeight="1" outlineLevel="1" x14ac:dyDescent="0.25">
      <c r="A161" s="107"/>
      <c r="B161" s="107"/>
      <c r="C161" s="107"/>
      <c r="D161">
        <v>2024</v>
      </c>
      <c r="E161">
        <f t="shared" si="21"/>
        <v>3561.3</v>
      </c>
      <c r="F161">
        <v>3561.3</v>
      </c>
      <c r="G161">
        <v>0</v>
      </c>
      <c r="H161">
        <v>0</v>
      </c>
      <c r="I161">
        <v>0</v>
      </c>
      <c r="J161" s="107"/>
      <c r="K161" s="107"/>
    </row>
    <row r="162" spans="1:11" ht="19.5" customHeight="1" outlineLevel="1" x14ac:dyDescent="0.25">
      <c r="A162" s="107"/>
      <c r="B162" s="107"/>
      <c r="C162" s="107"/>
      <c r="D162">
        <v>2025</v>
      </c>
      <c r="E162">
        <f t="shared" si="21"/>
        <v>3561.3</v>
      </c>
      <c r="F162">
        <v>3561.3</v>
      </c>
      <c r="G162">
        <v>0</v>
      </c>
      <c r="H162">
        <v>0</v>
      </c>
      <c r="I162">
        <v>0</v>
      </c>
      <c r="J162" s="107"/>
      <c r="K162" s="107"/>
    </row>
    <row r="163" spans="1:11" ht="14.25" customHeight="1" outlineLevel="1" x14ac:dyDescent="0.25">
      <c r="A163" s="107" t="s">
        <v>524</v>
      </c>
      <c r="B163" s="107" t="s">
        <v>525</v>
      </c>
      <c r="C163" s="107" t="s">
        <v>14</v>
      </c>
      <c r="D163" t="s">
        <v>8</v>
      </c>
      <c r="E163">
        <f t="shared" si="21"/>
        <v>26988.1</v>
      </c>
      <c r="F163">
        <f>SUM(F164:F168)</f>
        <v>26988.1</v>
      </c>
      <c r="G163">
        <f>SUM(G164:G168)</f>
        <v>0</v>
      </c>
      <c r="H163">
        <f>SUM(H164:H168)</f>
        <v>0</v>
      </c>
      <c r="I163">
        <f>SUM(I164:I168)</f>
        <v>0</v>
      </c>
      <c r="J163" s="107" t="s">
        <v>526</v>
      </c>
      <c r="K163" s="107" t="s">
        <v>527</v>
      </c>
    </row>
    <row r="164" spans="1:11" ht="13.5" customHeight="1" outlineLevel="1" x14ac:dyDescent="0.25">
      <c r="A164" s="107"/>
      <c r="B164" s="107"/>
      <c r="C164" s="107"/>
      <c r="D164">
        <v>2021</v>
      </c>
      <c r="E164">
        <f t="shared" si="21"/>
        <v>26988.1</v>
      </c>
      <c r="F164">
        <v>26988.1</v>
      </c>
      <c r="G164">
        <v>0</v>
      </c>
      <c r="H164">
        <v>0</v>
      </c>
      <c r="I164">
        <v>0</v>
      </c>
      <c r="J164" s="107"/>
      <c r="K164" s="107"/>
    </row>
    <row r="165" spans="1:11" ht="13.5" customHeight="1" outlineLevel="1" x14ac:dyDescent="0.25">
      <c r="A165" s="107"/>
      <c r="B165" s="107"/>
      <c r="C165" s="107"/>
      <c r="D165">
        <v>2022</v>
      </c>
      <c r="E165">
        <f t="shared" si="21"/>
        <v>0</v>
      </c>
      <c r="F165">
        <v>0</v>
      </c>
      <c r="G165">
        <v>0</v>
      </c>
      <c r="H165">
        <v>0</v>
      </c>
      <c r="I165">
        <v>0</v>
      </c>
      <c r="J165" s="107"/>
      <c r="K165" s="107"/>
    </row>
    <row r="166" spans="1:11" ht="13.5" customHeight="1" outlineLevel="1" x14ac:dyDescent="0.25">
      <c r="A166" s="107"/>
      <c r="B166" s="107"/>
      <c r="C166" s="107"/>
      <c r="D166">
        <v>2023</v>
      </c>
      <c r="E166">
        <f t="shared" si="21"/>
        <v>0</v>
      </c>
      <c r="F166">
        <v>0</v>
      </c>
      <c r="G166">
        <v>0</v>
      </c>
      <c r="H166">
        <v>0</v>
      </c>
      <c r="I166">
        <v>0</v>
      </c>
      <c r="J166" s="107"/>
      <c r="K166" s="107"/>
    </row>
    <row r="167" spans="1:11" ht="13.5" customHeight="1" outlineLevel="1" x14ac:dyDescent="0.25">
      <c r="A167" s="107"/>
      <c r="B167" s="107"/>
      <c r="C167" s="107"/>
      <c r="D167">
        <v>2024</v>
      </c>
      <c r="E167">
        <f t="shared" ref="E167:E198" si="24">SUM(F167:I167)</f>
        <v>0</v>
      </c>
      <c r="F167">
        <v>0</v>
      </c>
      <c r="G167">
        <v>0</v>
      </c>
      <c r="H167">
        <v>0</v>
      </c>
      <c r="I167">
        <v>0</v>
      </c>
      <c r="J167" s="107"/>
      <c r="K167" s="107"/>
    </row>
    <row r="168" spans="1:11" ht="19.5" customHeight="1" outlineLevel="1" x14ac:dyDescent="0.25">
      <c r="A168" s="107"/>
      <c r="B168" s="107"/>
      <c r="C168" s="107"/>
      <c r="D168">
        <v>2025</v>
      </c>
      <c r="E168">
        <f t="shared" si="24"/>
        <v>0</v>
      </c>
      <c r="F168">
        <v>0</v>
      </c>
      <c r="G168">
        <v>0</v>
      </c>
      <c r="H168">
        <v>0</v>
      </c>
      <c r="I168">
        <v>0</v>
      </c>
      <c r="J168" s="107"/>
      <c r="K168" s="107"/>
    </row>
    <row r="169" spans="1:11" ht="14.25" customHeight="1" outlineLevel="1" x14ac:dyDescent="0.25">
      <c r="A169" s="107" t="s">
        <v>528</v>
      </c>
      <c r="B169" s="107" t="s">
        <v>529</v>
      </c>
      <c r="C169" s="107" t="s">
        <v>14</v>
      </c>
      <c r="D169" t="s">
        <v>8</v>
      </c>
      <c r="E169">
        <f t="shared" si="24"/>
        <v>0</v>
      </c>
      <c r="F169">
        <f>SUM(F170:F174)</f>
        <v>0</v>
      </c>
      <c r="G169">
        <f>SUM(G170:G174)</f>
        <v>0</v>
      </c>
      <c r="H169">
        <f>SUM(H170:H174)</f>
        <v>0</v>
      </c>
      <c r="I169">
        <f>SUM(I170:I174)</f>
        <v>0</v>
      </c>
      <c r="J169" s="107" t="s">
        <v>530</v>
      </c>
      <c r="K169" s="107" t="s">
        <v>531</v>
      </c>
    </row>
    <row r="170" spans="1:11" ht="13.5" customHeight="1" outlineLevel="1" x14ac:dyDescent="0.25">
      <c r="A170" s="107"/>
      <c r="B170" s="107"/>
      <c r="C170" s="107"/>
      <c r="D170">
        <v>2021</v>
      </c>
      <c r="E170">
        <f t="shared" si="24"/>
        <v>0</v>
      </c>
      <c r="F170">
        <v>0</v>
      </c>
      <c r="G170">
        <v>0</v>
      </c>
      <c r="H170">
        <v>0</v>
      </c>
      <c r="I170">
        <v>0</v>
      </c>
      <c r="J170" s="107"/>
      <c r="K170" s="107"/>
    </row>
    <row r="171" spans="1:11" ht="13.5" customHeight="1" outlineLevel="1" x14ac:dyDescent="0.25">
      <c r="A171" s="107"/>
      <c r="B171" s="107"/>
      <c r="C171" s="107"/>
      <c r="D171">
        <v>2022</v>
      </c>
      <c r="E171">
        <f t="shared" si="24"/>
        <v>0</v>
      </c>
      <c r="F171">
        <v>0</v>
      </c>
      <c r="G171">
        <v>0</v>
      </c>
      <c r="H171">
        <v>0</v>
      </c>
      <c r="I171">
        <v>0</v>
      </c>
      <c r="J171" s="107"/>
      <c r="K171" s="107"/>
    </row>
    <row r="172" spans="1:11" ht="13.5" customHeight="1" outlineLevel="1" x14ac:dyDescent="0.25">
      <c r="A172" s="107"/>
      <c r="B172" s="107"/>
      <c r="C172" s="107"/>
      <c r="D172">
        <v>2023</v>
      </c>
      <c r="E172">
        <f t="shared" si="24"/>
        <v>0</v>
      </c>
      <c r="F172">
        <v>0</v>
      </c>
      <c r="G172">
        <v>0</v>
      </c>
      <c r="H172">
        <v>0</v>
      </c>
      <c r="I172">
        <v>0</v>
      </c>
      <c r="J172" s="107"/>
      <c r="K172" s="107"/>
    </row>
    <row r="173" spans="1:11" ht="13.5" customHeight="1" outlineLevel="1" x14ac:dyDescent="0.25">
      <c r="A173" s="107"/>
      <c r="B173" s="107"/>
      <c r="C173" s="107"/>
      <c r="D173">
        <v>2024</v>
      </c>
      <c r="E173">
        <f t="shared" si="24"/>
        <v>0</v>
      </c>
      <c r="F173">
        <v>0</v>
      </c>
      <c r="G173">
        <v>0</v>
      </c>
      <c r="H173">
        <v>0</v>
      </c>
      <c r="I173">
        <v>0</v>
      </c>
      <c r="J173" s="107"/>
      <c r="K173" s="107"/>
    </row>
    <row r="174" spans="1:11" ht="19.5" customHeight="1" outlineLevel="1" x14ac:dyDescent="0.25">
      <c r="A174" s="107"/>
      <c r="B174" s="107"/>
      <c r="C174" s="107"/>
      <c r="D174">
        <v>2025</v>
      </c>
      <c r="E174">
        <f t="shared" si="24"/>
        <v>0</v>
      </c>
      <c r="F174">
        <v>0</v>
      </c>
      <c r="G174">
        <v>0</v>
      </c>
      <c r="H174">
        <v>0</v>
      </c>
      <c r="I174">
        <v>0</v>
      </c>
      <c r="J174" s="107"/>
      <c r="K174" s="107"/>
    </row>
    <row r="175" spans="1:11" ht="14.25" customHeight="1" outlineLevel="1" x14ac:dyDescent="0.25">
      <c r="A175" s="107" t="s">
        <v>532</v>
      </c>
      <c r="B175" s="107" t="s">
        <v>533</v>
      </c>
      <c r="C175" s="107" t="s">
        <v>14</v>
      </c>
      <c r="D175" t="s">
        <v>8</v>
      </c>
      <c r="E175">
        <f t="shared" si="24"/>
        <v>100</v>
      </c>
      <c r="F175">
        <f>SUM(F176:F180)</f>
        <v>100</v>
      </c>
      <c r="G175">
        <f>SUM(G176:G180)</f>
        <v>0</v>
      </c>
      <c r="H175">
        <f>SUM(H176:H180)</f>
        <v>0</v>
      </c>
      <c r="I175">
        <f>SUM(I176:I180)</f>
        <v>0</v>
      </c>
      <c r="J175" s="107" t="s">
        <v>534</v>
      </c>
      <c r="K175" s="107" t="s">
        <v>92</v>
      </c>
    </row>
    <row r="176" spans="1:11" ht="13.5" customHeight="1" outlineLevel="1" x14ac:dyDescent="0.25">
      <c r="A176" s="107"/>
      <c r="B176" s="107"/>
      <c r="C176" s="107"/>
      <c r="D176">
        <v>2021</v>
      </c>
      <c r="E176">
        <f t="shared" si="24"/>
        <v>100</v>
      </c>
      <c r="F176">
        <v>100</v>
      </c>
      <c r="G176">
        <v>0</v>
      </c>
      <c r="H176">
        <v>0</v>
      </c>
      <c r="I176">
        <v>0</v>
      </c>
      <c r="J176" s="107"/>
      <c r="K176" s="107"/>
    </row>
    <row r="177" spans="1:11" ht="13.5" customHeight="1" outlineLevel="1" x14ac:dyDescent="0.25">
      <c r="A177" s="107"/>
      <c r="B177" s="107"/>
      <c r="C177" s="107"/>
      <c r="D177">
        <v>2022</v>
      </c>
      <c r="E177">
        <f t="shared" si="24"/>
        <v>0</v>
      </c>
      <c r="F177">
        <v>0</v>
      </c>
      <c r="G177">
        <v>0</v>
      </c>
      <c r="H177">
        <v>0</v>
      </c>
      <c r="I177">
        <v>0</v>
      </c>
      <c r="J177" s="107"/>
      <c r="K177" s="107"/>
    </row>
    <row r="178" spans="1:11" ht="13.5" customHeight="1" outlineLevel="1" x14ac:dyDescent="0.25">
      <c r="A178" s="107"/>
      <c r="B178" s="107"/>
      <c r="C178" s="107"/>
      <c r="D178">
        <v>2023</v>
      </c>
      <c r="E178">
        <f t="shared" si="24"/>
        <v>0</v>
      </c>
      <c r="F178">
        <v>0</v>
      </c>
      <c r="G178">
        <v>0</v>
      </c>
      <c r="H178">
        <v>0</v>
      </c>
      <c r="I178">
        <v>0</v>
      </c>
      <c r="J178" s="107"/>
      <c r="K178" s="107"/>
    </row>
    <row r="179" spans="1:11" ht="13.5" customHeight="1" outlineLevel="1" x14ac:dyDescent="0.25">
      <c r="A179" s="107"/>
      <c r="B179" s="107"/>
      <c r="C179" s="107"/>
      <c r="D179">
        <v>2024</v>
      </c>
      <c r="E179">
        <f t="shared" si="24"/>
        <v>0</v>
      </c>
      <c r="F179">
        <v>0</v>
      </c>
      <c r="G179">
        <v>0</v>
      </c>
      <c r="H179">
        <v>0</v>
      </c>
      <c r="I179">
        <v>0</v>
      </c>
      <c r="J179" s="107"/>
      <c r="K179" s="107"/>
    </row>
    <row r="180" spans="1:11" ht="19.5" customHeight="1" outlineLevel="1" x14ac:dyDescent="0.25">
      <c r="A180" s="107"/>
      <c r="B180" s="107"/>
      <c r="C180" s="107"/>
      <c r="D180">
        <v>2025</v>
      </c>
      <c r="E180">
        <f t="shared" si="24"/>
        <v>0</v>
      </c>
      <c r="F180">
        <v>0</v>
      </c>
      <c r="G180">
        <v>0</v>
      </c>
      <c r="H180">
        <v>0</v>
      </c>
      <c r="I180">
        <v>0</v>
      </c>
      <c r="J180" s="107"/>
      <c r="K180" s="107"/>
    </row>
    <row r="181" spans="1:11" ht="16.5" customHeight="1" outlineLevel="1" x14ac:dyDescent="0.25">
      <c r="A181" s="107" t="s">
        <v>535</v>
      </c>
      <c r="B181" s="107" t="s">
        <v>536</v>
      </c>
      <c r="C181" s="107" t="s">
        <v>14</v>
      </c>
      <c r="D181" t="s">
        <v>8</v>
      </c>
      <c r="E181">
        <f t="shared" si="24"/>
        <v>595</v>
      </c>
      <c r="F181">
        <f>SUM(F182:F186)</f>
        <v>595</v>
      </c>
      <c r="G181">
        <f>SUM(G182:G186)</f>
        <v>0</v>
      </c>
      <c r="H181">
        <f>SUM(H182:H186)</f>
        <v>0</v>
      </c>
      <c r="I181">
        <f>SUM(I182:I186)</f>
        <v>0</v>
      </c>
      <c r="J181" s="107" t="s">
        <v>537</v>
      </c>
      <c r="K181" s="107" t="s">
        <v>531</v>
      </c>
    </row>
    <row r="182" spans="1:11" ht="16.5" customHeight="1" outlineLevel="1" x14ac:dyDescent="0.25">
      <c r="A182" s="107"/>
      <c r="B182" s="107"/>
      <c r="C182" s="107"/>
      <c r="D182">
        <v>2021</v>
      </c>
      <c r="E182">
        <f t="shared" si="24"/>
        <v>595</v>
      </c>
      <c r="F182">
        <v>595</v>
      </c>
      <c r="G182">
        <v>0</v>
      </c>
      <c r="H182">
        <v>0</v>
      </c>
      <c r="I182">
        <v>0</v>
      </c>
      <c r="J182" s="107"/>
      <c r="K182" s="107"/>
    </row>
    <row r="183" spans="1:11" ht="16.5" customHeight="1" outlineLevel="1" x14ac:dyDescent="0.25">
      <c r="A183" s="107"/>
      <c r="B183" s="107"/>
      <c r="C183" s="107"/>
      <c r="D183">
        <v>2022</v>
      </c>
      <c r="E183">
        <f t="shared" si="24"/>
        <v>0</v>
      </c>
      <c r="F183">
        <v>0</v>
      </c>
      <c r="G183">
        <v>0</v>
      </c>
      <c r="H183">
        <v>0</v>
      </c>
      <c r="I183">
        <v>0</v>
      </c>
      <c r="J183" s="107"/>
      <c r="K183" s="107"/>
    </row>
    <row r="184" spans="1:11" ht="16.5" customHeight="1" outlineLevel="1" x14ac:dyDescent="0.25">
      <c r="A184" s="107"/>
      <c r="B184" s="107"/>
      <c r="C184" s="107"/>
      <c r="D184">
        <v>2023</v>
      </c>
      <c r="E184">
        <f t="shared" si="24"/>
        <v>0</v>
      </c>
      <c r="F184">
        <v>0</v>
      </c>
      <c r="G184">
        <v>0</v>
      </c>
      <c r="H184">
        <v>0</v>
      </c>
      <c r="I184">
        <v>0</v>
      </c>
      <c r="J184" s="107"/>
      <c r="K184" s="107"/>
    </row>
    <row r="185" spans="1:11" ht="16.5" customHeight="1" outlineLevel="1" x14ac:dyDescent="0.25">
      <c r="A185" s="107"/>
      <c r="B185" s="107"/>
      <c r="C185" s="107"/>
      <c r="D185">
        <v>2024</v>
      </c>
      <c r="E185">
        <f t="shared" si="24"/>
        <v>0</v>
      </c>
      <c r="F185">
        <v>0</v>
      </c>
      <c r="G185">
        <v>0</v>
      </c>
      <c r="H185">
        <v>0</v>
      </c>
      <c r="I185">
        <v>0</v>
      </c>
      <c r="J185" s="107"/>
      <c r="K185" s="107"/>
    </row>
    <row r="186" spans="1:11" ht="16.5" customHeight="1" outlineLevel="1" x14ac:dyDescent="0.25">
      <c r="A186" s="107"/>
      <c r="B186" s="107"/>
      <c r="C186" s="107"/>
      <c r="D186">
        <v>2025</v>
      </c>
      <c r="E186">
        <f t="shared" si="24"/>
        <v>0</v>
      </c>
      <c r="F186">
        <v>0</v>
      </c>
      <c r="G186">
        <v>0</v>
      </c>
      <c r="H186">
        <v>0</v>
      </c>
      <c r="I186">
        <v>0</v>
      </c>
      <c r="J186" s="107"/>
      <c r="K186" s="107"/>
    </row>
    <row r="187" spans="1:11" ht="16.5" customHeight="1" outlineLevel="1" x14ac:dyDescent="0.25">
      <c r="A187" s="107" t="s">
        <v>609</v>
      </c>
      <c r="B187" s="107" t="s">
        <v>610</v>
      </c>
      <c r="C187" s="107" t="s">
        <v>14</v>
      </c>
      <c r="D187" t="s">
        <v>8</v>
      </c>
      <c r="E187">
        <f t="shared" si="24"/>
        <v>8626</v>
      </c>
      <c r="F187">
        <f>SUM(F188:F192)</f>
        <v>8626</v>
      </c>
      <c r="G187">
        <f>SUM(G188:G192)</f>
        <v>0</v>
      </c>
      <c r="H187">
        <f>SUM(H188:H192)</f>
        <v>0</v>
      </c>
      <c r="I187">
        <f>SUM(I188:I192)</f>
        <v>0</v>
      </c>
      <c r="J187" s="107" t="s">
        <v>611</v>
      </c>
      <c r="K187" s="107" t="s">
        <v>563</v>
      </c>
    </row>
    <row r="188" spans="1:11" ht="16.5" customHeight="1" outlineLevel="1" x14ac:dyDescent="0.25">
      <c r="A188" s="107"/>
      <c r="B188" s="107"/>
      <c r="C188" s="107"/>
      <c r="D188">
        <v>2021</v>
      </c>
      <c r="E188">
        <f t="shared" si="24"/>
        <v>8626</v>
      </c>
      <c r="F188">
        <v>8626</v>
      </c>
      <c r="G188">
        <v>0</v>
      </c>
      <c r="H188">
        <v>0</v>
      </c>
      <c r="I188">
        <v>0</v>
      </c>
      <c r="J188" s="107"/>
      <c r="K188" s="107"/>
    </row>
    <row r="189" spans="1:11" ht="16.5" customHeight="1" outlineLevel="1" x14ac:dyDescent="0.25">
      <c r="A189" s="107"/>
      <c r="B189" s="107"/>
      <c r="C189" s="107"/>
      <c r="D189">
        <v>2022</v>
      </c>
      <c r="E189">
        <f t="shared" si="24"/>
        <v>0</v>
      </c>
      <c r="F189">
        <v>0</v>
      </c>
      <c r="G189">
        <v>0</v>
      </c>
      <c r="H189">
        <v>0</v>
      </c>
      <c r="I189">
        <v>0</v>
      </c>
      <c r="J189" s="107"/>
      <c r="K189" s="107"/>
    </row>
    <row r="190" spans="1:11" ht="16.5" customHeight="1" outlineLevel="1" x14ac:dyDescent="0.25">
      <c r="A190" s="107"/>
      <c r="B190" s="107"/>
      <c r="C190" s="107"/>
      <c r="D190">
        <v>2023</v>
      </c>
      <c r="E190">
        <f t="shared" si="24"/>
        <v>0</v>
      </c>
      <c r="F190">
        <v>0</v>
      </c>
      <c r="G190">
        <v>0</v>
      </c>
      <c r="H190">
        <v>0</v>
      </c>
      <c r="I190">
        <v>0</v>
      </c>
      <c r="J190" s="107"/>
      <c r="K190" s="107"/>
    </row>
    <row r="191" spans="1:11" ht="16.5" customHeight="1" outlineLevel="1" x14ac:dyDescent="0.25">
      <c r="A191" s="107"/>
      <c r="B191" s="107"/>
      <c r="C191" s="107"/>
      <c r="D191">
        <v>2024</v>
      </c>
      <c r="E191">
        <f t="shared" si="24"/>
        <v>0</v>
      </c>
      <c r="F191">
        <v>0</v>
      </c>
      <c r="G191">
        <v>0</v>
      </c>
      <c r="H191">
        <v>0</v>
      </c>
      <c r="I191">
        <v>0</v>
      </c>
      <c r="J191" s="107"/>
      <c r="K191" s="107"/>
    </row>
    <row r="192" spans="1:11" ht="16.5" customHeight="1" outlineLevel="1" x14ac:dyDescent="0.25">
      <c r="A192" s="107"/>
      <c r="B192" s="107"/>
      <c r="C192" s="107"/>
      <c r="D192">
        <v>2025</v>
      </c>
      <c r="E192">
        <f t="shared" si="24"/>
        <v>0</v>
      </c>
      <c r="F192">
        <v>0</v>
      </c>
      <c r="G192">
        <v>0</v>
      </c>
      <c r="H192">
        <v>0</v>
      </c>
      <c r="I192">
        <v>0</v>
      </c>
      <c r="J192" s="107"/>
      <c r="K192" s="107"/>
    </row>
    <row r="193" spans="1:11" ht="34.5" customHeight="1" outlineLevel="1" x14ac:dyDescent="0.25">
      <c r="A193" s="107" t="s">
        <v>78</v>
      </c>
      <c r="B193" s="107" t="s">
        <v>538</v>
      </c>
      <c r="C193" s="107" t="s">
        <v>14</v>
      </c>
      <c r="D193" t="s">
        <v>8</v>
      </c>
      <c r="E193">
        <f t="shared" si="24"/>
        <v>54717.700210000003</v>
      </c>
      <c r="F193">
        <f>SUM(F194:F198)</f>
        <v>41400</v>
      </c>
      <c r="G193">
        <f>SUM(G194:G198)</f>
        <v>0</v>
      </c>
      <c r="H193">
        <f>SUM(H194:H198)</f>
        <v>13317.700210000001</v>
      </c>
      <c r="I193">
        <f>SUM(I194:I198)</f>
        <v>0</v>
      </c>
      <c r="J193" s="107" t="s">
        <v>539</v>
      </c>
      <c r="K193" s="107" t="s">
        <v>515</v>
      </c>
    </row>
    <row r="194" spans="1:11" ht="34.5" customHeight="1" outlineLevel="1" x14ac:dyDescent="0.25">
      <c r="A194" s="107"/>
      <c r="B194" s="107"/>
      <c r="C194" s="107"/>
      <c r="D194">
        <v>2021</v>
      </c>
      <c r="E194">
        <f t="shared" si="24"/>
        <v>54717.700210000003</v>
      </c>
      <c r="F194">
        <f t="shared" ref="F194:I198" si="25">F206+F200</f>
        <v>41400</v>
      </c>
      <c r="G194">
        <f t="shared" si="25"/>
        <v>0</v>
      </c>
      <c r="H194">
        <f t="shared" si="25"/>
        <v>13317.700210000001</v>
      </c>
      <c r="I194">
        <f t="shared" si="25"/>
        <v>0</v>
      </c>
      <c r="J194" s="107"/>
      <c r="K194" s="107"/>
    </row>
    <row r="195" spans="1:11" ht="34.5" customHeight="1" outlineLevel="1" x14ac:dyDescent="0.25">
      <c r="A195" s="107"/>
      <c r="B195" s="107"/>
      <c r="C195" s="107"/>
      <c r="D195">
        <v>2022</v>
      </c>
      <c r="E195">
        <f t="shared" si="24"/>
        <v>0</v>
      </c>
      <c r="F195">
        <f t="shared" si="25"/>
        <v>0</v>
      </c>
      <c r="G195">
        <f t="shared" si="25"/>
        <v>0</v>
      </c>
      <c r="H195">
        <f t="shared" si="25"/>
        <v>0</v>
      </c>
      <c r="I195">
        <f t="shared" si="25"/>
        <v>0</v>
      </c>
      <c r="J195" s="107"/>
      <c r="K195" s="107"/>
    </row>
    <row r="196" spans="1:11" ht="34.5" customHeight="1" outlineLevel="1" x14ac:dyDescent="0.25">
      <c r="A196" s="107"/>
      <c r="B196" s="107"/>
      <c r="C196" s="107"/>
      <c r="D196">
        <v>2023</v>
      </c>
      <c r="E196">
        <f t="shared" si="24"/>
        <v>0</v>
      </c>
      <c r="F196">
        <f t="shared" si="25"/>
        <v>0</v>
      </c>
      <c r="G196">
        <f t="shared" si="25"/>
        <v>0</v>
      </c>
      <c r="H196">
        <f t="shared" si="25"/>
        <v>0</v>
      </c>
      <c r="I196">
        <f t="shared" si="25"/>
        <v>0</v>
      </c>
      <c r="J196" s="107"/>
      <c r="K196" s="107"/>
    </row>
    <row r="197" spans="1:11" ht="34.5" customHeight="1" outlineLevel="1" x14ac:dyDescent="0.25">
      <c r="A197" s="107"/>
      <c r="B197" s="107"/>
      <c r="C197" s="107"/>
      <c r="D197">
        <v>2024</v>
      </c>
      <c r="E197">
        <f t="shared" si="24"/>
        <v>0</v>
      </c>
      <c r="F197">
        <f t="shared" si="25"/>
        <v>0</v>
      </c>
      <c r="G197">
        <f t="shared" si="25"/>
        <v>0</v>
      </c>
      <c r="H197">
        <f t="shared" si="25"/>
        <v>0</v>
      </c>
      <c r="I197">
        <f t="shared" si="25"/>
        <v>0</v>
      </c>
      <c r="J197" s="107"/>
      <c r="K197" s="107"/>
    </row>
    <row r="198" spans="1:11" ht="34.5" customHeight="1" outlineLevel="1" x14ac:dyDescent="0.25">
      <c r="A198" s="107"/>
      <c r="B198" s="107"/>
      <c r="C198" s="107"/>
      <c r="D198">
        <v>2025</v>
      </c>
      <c r="E198">
        <f t="shared" si="24"/>
        <v>0</v>
      </c>
      <c r="F198">
        <f t="shared" si="25"/>
        <v>0</v>
      </c>
      <c r="G198">
        <f t="shared" si="25"/>
        <v>0</v>
      </c>
      <c r="H198">
        <f t="shared" si="25"/>
        <v>0</v>
      </c>
      <c r="I198">
        <f t="shared" si="25"/>
        <v>0</v>
      </c>
      <c r="J198" s="107"/>
      <c r="K198" s="107"/>
    </row>
    <row r="199" spans="1:11" ht="18.75" customHeight="1" outlineLevel="1" x14ac:dyDescent="0.25">
      <c r="A199" s="107" t="s">
        <v>81</v>
      </c>
      <c r="B199" s="107" t="s">
        <v>82</v>
      </c>
      <c r="C199" s="107">
        <v>2021</v>
      </c>
      <c r="D199" t="s">
        <v>8</v>
      </c>
      <c r="E199">
        <f>SUM(E200:E204)</f>
        <v>9800.9188400000003</v>
      </c>
      <c r="F199">
        <f>SUM(F200:F204)</f>
        <v>6400</v>
      </c>
      <c r="G199">
        <f>SUM(G200:G204)</f>
        <v>0</v>
      </c>
      <c r="H199">
        <f>SUM(H200:H204)</f>
        <v>3400.9188399999998</v>
      </c>
      <c r="I199">
        <f>SUM(I200:I204)</f>
        <v>0</v>
      </c>
      <c r="J199" s="107" t="s">
        <v>83</v>
      </c>
      <c r="K199" s="107" t="s">
        <v>515</v>
      </c>
    </row>
    <row r="200" spans="1:11" ht="18.75" customHeight="1" outlineLevel="1" x14ac:dyDescent="0.25">
      <c r="A200" s="107"/>
      <c r="B200" s="107"/>
      <c r="C200" s="107"/>
      <c r="D200">
        <v>2021</v>
      </c>
      <c r="E200">
        <f t="shared" ref="E200:E204" si="26">SUM(F200:I200)</f>
        <v>9800.9188400000003</v>
      </c>
      <c r="F200">
        <v>6400</v>
      </c>
      <c r="G200">
        <v>0</v>
      </c>
      <c r="H200">
        <v>3400.9188399999998</v>
      </c>
      <c r="I200">
        <v>0</v>
      </c>
      <c r="J200" s="107"/>
      <c r="K200" s="107"/>
    </row>
    <row r="201" spans="1:11" ht="18.75" customHeight="1" outlineLevel="1" x14ac:dyDescent="0.25">
      <c r="A201" s="107"/>
      <c r="B201" s="107"/>
      <c r="C201" s="107"/>
      <c r="D201">
        <v>2022</v>
      </c>
      <c r="E201">
        <f t="shared" si="26"/>
        <v>0</v>
      </c>
      <c r="F201">
        <v>0</v>
      </c>
      <c r="G201">
        <v>0</v>
      </c>
      <c r="H201">
        <v>0</v>
      </c>
      <c r="I201">
        <v>0</v>
      </c>
      <c r="J201" s="107"/>
      <c r="K201" s="107"/>
    </row>
    <row r="202" spans="1:11" ht="18.75" customHeight="1" outlineLevel="1" x14ac:dyDescent="0.25">
      <c r="A202" s="107"/>
      <c r="B202" s="107"/>
      <c r="C202" s="107"/>
      <c r="D202">
        <v>2023</v>
      </c>
      <c r="E202">
        <f t="shared" si="26"/>
        <v>0</v>
      </c>
      <c r="F202">
        <v>0</v>
      </c>
      <c r="G202">
        <v>0</v>
      </c>
      <c r="H202">
        <v>0</v>
      </c>
      <c r="I202">
        <v>0</v>
      </c>
      <c r="J202" s="107"/>
      <c r="K202" s="107"/>
    </row>
    <row r="203" spans="1:11" ht="18.75" customHeight="1" outlineLevel="1" x14ac:dyDescent="0.25">
      <c r="A203" s="107"/>
      <c r="B203" s="107"/>
      <c r="C203" s="107"/>
      <c r="D203">
        <v>2024</v>
      </c>
      <c r="E203">
        <f t="shared" si="26"/>
        <v>0</v>
      </c>
      <c r="F203">
        <v>0</v>
      </c>
      <c r="G203">
        <v>0</v>
      </c>
      <c r="H203">
        <v>0</v>
      </c>
      <c r="I203">
        <v>0</v>
      </c>
      <c r="J203" s="107"/>
      <c r="K203" s="107"/>
    </row>
    <row r="204" spans="1:11" ht="18.75" customHeight="1" outlineLevel="1" x14ac:dyDescent="0.25">
      <c r="A204" s="107"/>
      <c r="B204" s="107"/>
      <c r="C204" s="107"/>
      <c r="D204">
        <v>2025</v>
      </c>
      <c r="E204">
        <f t="shared" si="26"/>
        <v>0</v>
      </c>
      <c r="F204">
        <v>0</v>
      </c>
      <c r="G204">
        <v>0</v>
      </c>
      <c r="H204">
        <v>0</v>
      </c>
      <c r="I204">
        <v>0</v>
      </c>
      <c r="J204" s="107"/>
      <c r="K204" s="107"/>
    </row>
    <row r="205" spans="1:11" ht="17.100000000000001" customHeight="1" outlineLevel="1" x14ac:dyDescent="0.25">
      <c r="A205" s="107" t="s">
        <v>540</v>
      </c>
      <c r="B205" s="107" t="s">
        <v>541</v>
      </c>
      <c r="C205" s="107">
        <v>2021</v>
      </c>
      <c r="D205" t="s">
        <v>8</v>
      </c>
      <c r="E205">
        <f>SUM(E206:E210)</f>
        <v>44916.781369999997</v>
      </c>
      <c r="F205">
        <f>SUM(F206:F210)</f>
        <v>35000</v>
      </c>
      <c r="G205">
        <f>SUM(G206:G210)</f>
        <v>0</v>
      </c>
      <c r="H205">
        <f>SUM(H206:H210)</f>
        <v>9916.7813700000006</v>
      </c>
      <c r="I205">
        <f>SUM(I206:I210)</f>
        <v>0</v>
      </c>
      <c r="J205" s="107" t="s">
        <v>542</v>
      </c>
      <c r="K205" s="107" t="s">
        <v>515</v>
      </c>
    </row>
    <row r="206" spans="1:11" ht="17.100000000000001" customHeight="1" outlineLevel="1" x14ac:dyDescent="0.25">
      <c r="A206" s="107"/>
      <c r="B206" s="107"/>
      <c r="C206" s="107"/>
      <c r="D206">
        <v>2021</v>
      </c>
      <c r="E206">
        <f t="shared" ref="E206:E240" si="27">SUM(F206:I206)</f>
        <v>44916.781369999997</v>
      </c>
      <c r="F206">
        <v>35000</v>
      </c>
      <c r="G206">
        <v>0</v>
      </c>
      <c r="H206">
        <v>9916.7813700000006</v>
      </c>
      <c r="I206">
        <v>0</v>
      </c>
      <c r="J206" s="107"/>
      <c r="K206" s="107"/>
    </row>
    <row r="207" spans="1:11" ht="17.100000000000001" customHeight="1" outlineLevel="1" x14ac:dyDescent="0.25">
      <c r="A207" s="107"/>
      <c r="B207" s="107"/>
      <c r="C207" s="107"/>
      <c r="D207">
        <v>2022</v>
      </c>
      <c r="E207">
        <f t="shared" si="27"/>
        <v>0</v>
      </c>
      <c r="F207">
        <v>0</v>
      </c>
      <c r="G207">
        <v>0</v>
      </c>
      <c r="H207">
        <v>0</v>
      </c>
      <c r="I207">
        <v>0</v>
      </c>
      <c r="J207" s="107"/>
      <c r="K207" s="107"/>
    </row>
    <row r="208" spans="1:11" ht="17.100000000000001" customHeight="1" outlineLevel="1" x14ac:dyDescent="0.25">
      <c r="A208" s="107"/>
      <c r="B208" s="107"/>
      <c r="C208" s="107"/>
      <c r="D208">
        <v>2023</v>
      </c>
      <c r="E208">
        <f t="shared" si="27"/>
        <v>0</v>
      </c>
      <c r="F208">
        <v>0</v>
      </c>
      <c r="G208">
        <v>0</v>
      </c>
      <c r="H208">
        <v>0</v>
      </c>
      <c r="I208">
        <v>0</v>
      </c>
      <c r="J208" s="107"/>
      <c r="K208" s="107"/>
    </row>
    <row r="209" spans="1:11" ht="17.100000000000001" customHeight="1" outlineLevel="1" x14ac:dyDescent="0.25">
      <c r="A209" s="107"/>
      <c r="B209" s="107"/>
      <c r="C209" s="107"/>
      <c r="D209">
        <v>2024</v>
      </c>
      <c r="E209">
        <f t="shared" si="27"/>
        <v>0</v>
      </c>
      <c r="F209">
        <v>0</v>
      </c>
      <c r="G209">
        <v>0</v>
      </c>
      <c r="H209">
        <v>0</v>
      </c>
      <c r="I209">
        <v>0</v>
      </c>
      <c r="J209" s="107"/>
      <c r="K209" s="107"/>
    </row>
    <row r="210" spans="1:11" ht="17.100000000000001" customHeight="1" outlineLevel="1" x14ac:dyDescent="0.25">
      <c r="A210" s="107"/>
      <c r="B210" s="107"/>
      <c r="C210" s="107"/>
      <c r="D210">
        <v>2025</v>
      </c>
      <c r="E210">
        <f t="shared" si="27"/>
        <v>0</v>
      </c>
      <c r="F210">
        <v>0</v>
      </c>
      <c r="G210">
        <v>0</v>
      </c>
      <c r="H210">
        <v>0</v>
      </c>
      <c r="I210">
        <v>0</v>
      </c>
      <c r="J210" s="107"/>
      <c r="K210" s="107"/>
    </row>
    <row r="211" spans="1:11" ht="20.100000000000001" customHeight="1" outlineLevel="1" x14ac:dyDescent="0.25">
      <c r="A211" s="107" t="s">
        <v>84</v>
      </c>
      <c r="B211" s="107" t="s">
        <v>40</v>
      </c>
      <c r="C211" s="107" t="s">
        <v>41</v>
      </c>
      <c r="D211" t="s">
        <v>8</v>
      </c>
      <c r="E211">
        <f t="shared" si="27"/>
        <v>77066.396940000006</v>
      </c>
      <c r="F211">
        <f>SUM(F212:F216)</f>
        <v>11731.396940000001</v>
      </c>
      <c r="G211">
        <f>SUM(G212:G216)</f>
        <v>65335</v>
      </c>
      <c r="H211">
        <f>SUM(H212:H216)</f>
        <v>0</v>
      </c>
      <c r="I211">
        <f>SUM(I212:I216)</f>
        <v>0</v>
      </c>
      <c r="J211" s="107" t="s">
        <v>85</v>
      </c>
      <c r="K211" s="107" t="s">
        <v>486</v>
      </c>
    </row>
    <row r="212" spans="1:11" ht="20.100000000000001" customHeight="1" outlineLevel="1" x14ac:dyDescent="0.25">
      <c r="A212" s="107"/>
      <c r="B212" s="107"/>
      <c r="C212" s="107"/>
      <c r="D212">
        <v>2021</v>
      </c>
      <c r="E212">
        <f t="shared" si="27"/>
        <v>34057.322679999997</v>
      </c>
      <c r="F212">
        <f t="shared" ref="F212:F215" si="28">F218+F224</f>
        <v>3511.3226800000002</v>
      </c>
      <c r="G212">
        <f t="shared" ref="F212:I216" si="29">G218+G224</f>
        <v>30546</v>
      </c>
      <c r="H212">
        <f t="shared" si="29"/>
        <v>0</v>
      </c>
      <c r="I212">
        <f t="shared" si="29"/>
        <v>0</v>
      </c>
      <c r="J212" s="107"/>
      <c r="K212" s="107"/>
    </row>
    <row r="213" spans="1:11" ht="20.100000000000001" customHeight="1" outlineLevel="1" x14ac:dyDescent="0.25">
      <c r="A213" s="107"/>
      <c r="B213" s="107"/>
      <c r="C213" s="107"/>
      <c r="D213">
        <v>2022</v>
      </c>
      <c r="E213">
        <f t="shared" si="27"/>
        <v>19727.664930000003</v>
      </c>
      <c r="F213">
        <f t="shared" si="28"/>
        <v>2738.2649299999998</v>
      </c>
      <c r="G213">
        <f t="shared" si="29"/>
        <v>16989.400000000001</v>
      </c>
      <c r="H213">
        <f t="shared" si="29"/>
        <v>0</v>
      </c>
      <c r="I213">
        <f t="shared" si="29"/>
        <v>0</v>
      </c>
      <c r="J213" s="107"/>
      <c r="K213" s="107"/>
    </row>
    <row r="214" spans="1:11" ht="20.100000000000001" customHeight="1" outlineLevel="1" x14ac:dyDescent="0.25">
      <c r="A214" s="107"/>
      <c r="B214" s="107"/>
      <c r="C214" s="107"/>
      <c r="D214">
        <v>2023</v>
      </c>
      <c r="E214">
        <f t="shared" si="27"/>
        <v>20589.57993</v>
      </c>
      <c r="F214">
        <f t="shared" si="28"/>
        <v>2789.97993</v>
      </c>
      <c r="G214">
        <f t="shared" si="29"/>
        <v>17799.599999999999</v>
      </c>
      <c r="H214">
        <f t="shared" si="29"/>
        <v>0</v>
      </c>
      <c r="I214">
        <f t="shared" si="29"/>
        <v>0</v>
      </c>
      <c r="J214" s="107"/>
      <c r="K214" s="107"/>
    </row>
    <row r="215" spans="1:11" ht="20.100000000000001" customHeight="1" outlineLevel="1" x14ac:dyDescent="0.25">
      <c r="A215" s="107"/>
      <c r="B215" s="107"/>
      <c r="C215" s="107"/>
      <c r="D215">
        <v>2024</v>
      </c>
      <c r="E215">
        <f t="shared" si="27"/>
        <v>2691.8294000000001</v>
      </c>
      <c r="F215">
        <f t="shared" si="28"/>
        <v>2691.8294000000001</v>
      </c>
      <c r="G215">
        <f t="shared" si="29"/>
        <v>0</v>
      </c>
      <c r="H215">
        <f t="shared" si="29"/>
        <v>0</v>
      </c>
      <c r="I215">
        <f t="shared" si="29"/>
        <v>0</v>
      </c>
      <c r="J215" s="107"/>
      <c r="K215" s="107"/>
    </row>
    <row r="216" spans="1:11" ht="20.100000000000001" customHeight="1" outlineLevel="1" x14ac:dyDescent="0.25">
      <c r="A216" s="107"/>
      <c r="B216" s="107"/>
      <c r="C216" s="107"/>
      <c r="D216">
        <v>2025</v>
      </c>
      <c r="E216">
        <f t="shared" si="27"/>
        <v>0</v>
      </c>
      <c r="F216">
        <f t="shared" si="29"/>
        <v>0</v>
      </c>
      <c r="G216">
        <f t="shared" si="29"/>
        <v>0</v>
      </c>
      <c r="H216">
        <f t="shared" si="29"/>
        <v>0</v>
      </c>
      <c r="I216">
        <f>I222+I228</f>
        <v>0</v>
      </c>
      <c r="J216" s="107"/>
      <c r="K216" s="107"/>
    </row>
    <row r="217" spans="1:11" ht="15.75" customHeight="1" outlineLevel="1" x14ac:dyDescent="0.25">
      <c r="A217" s="107" t="s">
        <v>60</v>
      </c>
      <c r="B217" s="107" t="s">
        <v>87</v>
      </c>
      <c r="C217" s="107" t="s">
        <v>41</v>
      </c>
      <c r="D217" t="s">
        <v>8</v>
      </c>
      <c r="E217">
        <f t="shared" si="27"/>
        <v>55205.819469999995</v>
      </c>
      <c r="F217">
        <f>SUM(F218:F222)</f>
        <v>4000.1194699999996</v>
      </c>
      <c r="G217">
        <f>SUM(G218:G222)</f>
        <v>51205.7</v>
      </c>
      <c r="H217">
        <f>SUM(H218:H222)</f>
        <v>0</v>
      </c>
      <c r="I217">
        <f>SUM(I218:I222)</f>
        <v>0</v>
      </c>
      <c r="J217" s="107" t="s">
        <v>543</v>
      </c>
      <c r="K217" s="107" t="s">
        <v>515</v>
      </c>
    </row>
    <row r="218" spans="1:11" outlineLevel="1" x14ac:dyDescent="0.25">
      <c r="A218" s="107"/>
      <c r="B218" s="107"/>
      <c r="C218" s="107"/>
      <c r="D218">
        <v>2021</v>
      </c>
      <c r="E218">
        <f t="shared" si="27"/>
        <v>27675.21</v>
      </c>
      <c r="F218">
        <v>1660.51</v>
      </c>
      <c r="G218">
        <v>26014.7</v>
      </c>
      <c r="H218">
        <v>0</v>
      </c>
      <c r="I218">
        <v>0</v>
      </c>
      <c r="J218" s="107"/>
      <c r="K218" s="107"/>
    </row>
    <row r="219" spans="1:11" outlineLevel="1" x14ac:dyDescent="0.25">
      <c r="A219" s="107"/>
      <c r="B219" s="107"/>
      <c r="C219" s="107"/>
      <c r="D219">
        <v>2022</v>
      </c>
      <c r="E219">
        <f t="shared" si="27"/>
        <v>12968.51</v>
      </c>
      <c r="F219">
        <v>778.11</v>
      </c>
      <c r="G219">
        <v>12190.4</v>
      </c>
      <c r="H219">
        <v>0</v>
      </c>
      <c r="I219">
        <v>0</v>
      </c>
      <c r="J219" s="107"/>
      <c r="K219" s="107"/>
    </row>
    <row r="220" spans="1:11" outlineLevel="1" x14ac:dyDescent="0.25">
      <c r="A220" s="107"/>
      <c r="B220" s="107"/>
      <c r="C220" s="107"/>
      <c r="D220">
        <v>2023</v>
      </c>
      <c r="E220">
        <f t="shared" si="27"/>
        <v>13830.425000000001</v>
      </c>
      <c r="F220">
        <v>829.82500000000005</v>
      </c>
      <c r="G220">
        <v>13000.6</v>
      </c>
      <c r="H220">
        <v>0</v>
      </c>
      <c r="I220">
        <v>0</v>
      </c>
      <c r="J220" s="107"/>
      <c r="K220" s="107"/>
    </row>
    <row r="221" spans="1:11" outlineLevel="1" x14ac:dyDescent="0.25">
      <c r="A221" s="107"/>
      <c r="B221" s="107"/>
      <c r="C221" s="107"/>
      <c r="D221">
        <v>2024</v>
      </c>
      <c r="E221">
        <f t="shared" si="27"/>
        <v>731.67447000000004</v>
      </c>
      <c r="F221">
        <v>731.67447000000004</v>
      </c>
      <c r="G221">
        <v>0</v>
      </c>
      <c r="H221">
        <v>0</v>
      </c>
      <c r="I221">
        <v>0</v>
      </c>
      <c r="J221" s="107"/>
      <c r="K221" s="107"/>
    </row>
    <row r="222" spans="1:11" outlineLevel="1" x14ac:dyDescent="0.25">
      <c r="A222" s="107"/>
      <c r="B222" s="107"/>
      <c r="C222" s="107"/>
      <c r="D222">
        <v>2025</v>
      </c>
      <c r="E222">
        <f t="shared" si="27"/>
        <v>0</v>
      </c>
      <c r="F222">
        <v>0</v>
      </c>
      <c r="G222">
        <v>0</v>
      </c>
      <c r="H222">
        <v>0</v>
      </c>
      <c r="I222">
        <v>0</v>
      </c>
      <c r="J222" s="107"/>
      <c r="K222" s="107"/>
    </row>
    <row r="223" spans="1:11" ht="19.5" customHeight="1" outlineLevel="1" x14ac:dyDescent="0.25">
      <c r="A223" s="107" t="s">
        <v>63</v>
      </c>
      <c r="B223" s="107" t="s">
        <v>90</v>
      </c>
      <c r="C223" s="107" t="s">
        <v>14</v>
      </c>
      <c r="D223" t="s">
        <v>8</v>
      </c>
      <c r="E223">
        <f t="shared" si="27"/>
        <v>21860.577469999997</v>
      </c>
      <c r="F223">
        <f>SUM(F224:F228)</f>
        <v>7731.2774699999991</v>
      </c>
      <c r="G223">
        <f>SUM(G224:G228)</f>
        <v>14129.3</v>
      </c>
      <c r="H223">
        <f>SUM(H224:H228)</f>
        <v>0</v>
      </c>
      <c r="I223">
        <f>SUM(I224:I228)</f>
        <v>0</v>
      </c>
      <c r="J223" s="107" t="s">
        <v>544</v>
      </c>
      <c r="K223" s="107" t="s">
        <v>486</v>
      </c>
    </row>
    <row r="224" spans="1:11" ht="15" customHeight="1" outlineLevel="1" x14ac:dyDescent="0.25">
      <c r="A224" s="107"/>
      <c r="B224" s="107"/>
      <c r="C224" s="107"/>
      <c r="D224">
        <v>2021</v>
      </c>
      <c r="E224">
        <f t="shared" si="27"/>
        <v>6382.1126800000002</v>
      </c>
      <c r="F224">
        <v>1850.81268</v>
      </c>
      <c r="G224">
        <v>4531.3</v>
      </c>
      <c r="H224">
        <v>0</v>
      </c>
      <c r="I224">
        <v>0</v>
      </c>
      <c r="J224" s="107"/>
      <c r="K224" s="107"/>
    </row>
    <row r="225" spans="1:11" ht="16.5" customHeight="1" outlineLevel="1" x14ac:dyDescent="0.25">
      <c r="A225" s="107"/>
      <c r="B225" s="107"/>
      <c r="C225" s="107"/>
      <c r="D225">
        <v>2022</v>
      </c>
      <c r="E225">
        <f t="shared" si="27"/>
        <v>6759.1549299999997</v>
      </c>
      <c r="F225">
        <v>1960.1549299999999</v>
      </c>
      <c r="G225">
        <v>4799</v>
      </c>
      <c r="H225">
        <v>0</v>
      </c>
      <c r="I225">
        <v>0</v>
      </c>
      <c r="J225" s="107"/>
      <c r="K225" s="107"/>
    </row>
    <row r="226" spans="1:11" ht="14.25" customHeight="1" outlineLevel="1" x14ac:dyDescent="0.25">
      <c r="A226" s="107"/>
      <c r="B226" s="107"/>
      <c r="C226" s="107"/>
      <c r="D226">
        <v>2023</v>
      </c>
      <c r="E226">
        <f t="shared" si="27"/>
        <v>6759.1549299999997</v>
      </c>
      <c r="F226">
        <v>1960.1549299999999</v>
      </c>
      <c r="G226">
        <v>4799</v>
      </c>
      <c r="H226">
        <v>0</v>
      </c>
      <c r="I226">
        <v>0</v>
      </c>
      <c r="J226" s="107"/>
      <c r="K226" s="107"/>
    </row>
    <row r="227" spans="1:11" ht="12.75" customHeight="1" outlineLevel="1" x14ac:dyDescent="0.25">
      <c r="A227" s="107"/>
      <c r="B227" s="107"/>
      <c r="C227" s="107"/>
      <c r="D227">
        <v>2024</v>
      </c>
      <c r="E227">
        <f t="shared" si="27"/>
        <v>1960.1549299999999</v>
      </c>
      <c r="F227">
        <v>1960.1549299999999</v>
      </c>
      <c r="G227">
        <v>0</v>
      </c>
      <c r="H227">
        <v>0</v>
      </c>
      <c r="I227">
        <v>0</v>
      </c>
      <c r="J227" s="107"/>
      <c r="K227" s="107"/>
    </row>
    <row r="228" spans="1:11" ht="14.25" customHeight="1" outlineLevel="1" x14ac:dyDescent="0.25">
      <c r="A228" s="107"/>
      <c r="B228" s="107"/>
      <c r="C228" s="107"/>
      <c r="D228">
        <v>2025</v>
      </c>
      <c r="E228">
        <f t="shared" si="27"/>
        <v>0</v>
      </c>
      <c r="F228">
        <v>0</v>
      </c>
      <c r="G228">
        <v>0</v>
      </c>
      <c r="H228">
        <v>0</v>
      </c>
      <c r="I228">
        <v>0</v>
      </c>
      <c r="J228" s="107"/>
      <c r="K228" s="107"/>
    </row>
    <row r="229" spans="1:11" ht="15.95" customHeight="1" x14ac:dyDescent="0.25">
      <c r="A229" s="107" t="s">
        <v>93</v>
      </c>
      <c r="B229" s="107" t="s">
        <v>94</v>
      </c>
      <c r="C229" s="107" t="s">
        <v>14</v>
      </c>
      <c r="D229" t="s">
        <v>8</v>
      </c>
      <c r="E229">
        <f t="shared" si="27"/>
        <v>1239214.571061919</v>
      </c>
      <c r="F229">
        <f>SUM(F230:F234)</f>
        <v>665391.35233000014</v>
      </c>
      <c r="G229">
        <f>SUM(G230:G234)</f>
        <v>502391</v>
      </c>
      <c r="H229">
        <f>SUM(H230:H234)</f>
        <v>71432.218731918721</v>
      </c>
      <c r="I229">
        <f>SUM(I230:I234)</f>
        <v>0</v>
      </c>
      <c r="J229" s="107"/>
      <c r="K229" s="107" t="s">
        <v>545</v>
      </c>
    </row>
    <row r="230" spans="1:11" ht="15.95" customHeight="1" x14ac:dyDescent="0.25">
      <c r="A230" s="107"/>
      <c r="B230" s="107"/>
      <c r="C230" s="107"/>
      <c r="D230">
        <v>2021</v>
      </c>
      <c r="E230">
        <f t="shared" si="27"/>
        <v>540122.28113507666</v>
      </c>
      <c r="F230">
        <f t="shared" ref="F230:I234" si="30">F236+F283+F379</f>
        <v>252899.5154</v>
      </c>
      <c r="G230">
        <f t="shared" si="30"/>
        <v>257488.7</v>
      </c>
      <c r="H230">
        <f t="shared" si="30"/>
        <v>29734.065735076612</v>
      </c>
      <c r="I230">
        <f t="shared" si="30"/>
        <v>0</v>
      </c>
      <c r="J230" s="107"/>
      <c r="K230" s="107"/>
    </row>
    <row r="231" spans="1:11" ht="15.95" customHeight="1" x14ac:dyDescent="0.25">
      <c r="A231" s="107"/>
      <c r="B231" s="107"/>
      <c r="C231" s="107"/>
      <c r="D231">
        <v>2022</v>
      </c>
      <c r="E231">
        <f t="shared" si="27"/>
        <v>537469.39519000007</v>
      </c>
      <c r="F231">
        <f t="shared" si="30"/>
        <v>378666.53693000006</v>
      </c>
      <c r="G231">
        <f t="shared" si="30"/>
        <v>117511.3</v>
      </c>
      <c r="H231">
        <f t="shared" si="30"/>
        <v>41291.558260000005</v>
      </c>
      <c r="I231">
        <f t="shared" si="30"/>
        <v>0</v>
      </c>
      <c r="J231" s="107"/>
      <c r="K231" s="107"/>
    </row>
    <row r="232" spans="1:11" ht="15.95" customHeight="1" x14ac:dyDescent="0.25">
      <c r="A232" s="107"/>
      <c r="B232" s="107"/>
      <c r="C232" s="107"/>
      <c r="D232">
        <v>2023</v>
      </c>
      <c r="E232">
        <f t="shared" si="27"/>
        <v>145572.89473684211</v>
      </c>
      <c r="F232">
        <f t="shared" si="30"/>
        <v>17775.3</v>
      </c>
      <c r="G232">
        <f t="shared" si="30"/>
        <v>127391</v>
      </c>
      <c r="H232">
        <f t="shared" si="30"/>
        <v>406.59473684210525</v>
      </c>
      <c r="I232">
        <f t="shared" si="30"/>
        <v>0</v>
      </c>
      <c r="J232" s="107"/>
      <c r="K232" s="107"/>
    </row>
    <row r="233" spans="1:11" ht="15.95" customHeight="1" x14ac:dyDescent="0.25">
      <c r="A233" s="107"/>
      <c r="B233" s="107"/>
      <c r="C233" s="107"/>
      <c r="D233">
        <v>2024</v>
      </c>
      <c r="E233">
        <f t="shared" si="27"/>
        <v>10050</v>
      </c>
      <c r="F233">
        <f t="shared" si="30"/>
        <v>10050</v>
      </c>
      <c r="G233">
        <f t="shared" si="30"/>
        <v>0</v>
      </c>
      <c r="H233">
        <f t="shared" si="30"/>
        <v>0</v>
      </c>
      <c r="I233">
        <f t="shared" si="30"/>
        <v>0</v>
      </c>
      <c r="J233" s="107"/>
      <c r="K233" s="107"/>
    </row>
    <row r="234" spans="1:11" ht="15.95" customHeight="1" x14ac:dyDescent="0.25">
      <c r="A234" s="107"/>
      <c r="B234" s="107"/>
      <c r="C234" s="107"/>
      <c r="D234">
        <v>2025</v>
      </c>
      <c r="E234">
        <f t="shared" si="27"/>
        <v>6000</v>
      </c>
      <c r="F234">
        <f t="shared" si="30"/>
        <v>6000</v>
      </c>
      <c r="G234">
        <f t="shared" si="30"/>
        <v>0</v>
      </c>
      <c r="H234">
        <f t="shared" si="30"/>
        <v>0</v>
      </c>
      <c r="I234">
        <f t="shared" si="30"/>
        <v>0</v>
      </c>
      <c r="J234" s="107"/>
      <c r="K234" s="107"/>
    </row>
    <row r="235" spans="1:11" ht="15" customHeight="1" outlineLevel="1" x14ac:dyDescent="0.25">
      <c r="A235" s="107" t="s">
        <v>96</v>
      </c>
      <c r="B235" s="107" t="s">
        <v>97</v>
      </c>
      <c r="C235" s="107">
        <v>2021</v>
      </c>
      <c r="D235" t="s">
        <v>8</v>
      </c>
      <c r="E235">
        <f t="shared" si="27"/>
        <v>180769.60168444228</v>
      </c>
      <c r="F235">
        <f>SUM(F236:F240)</f>
        <v>141114.04199</v>
      </c>
      <c r="G235">
        <f>SUM(G236:G240)</f>
        <v>0</v>
      </c>
      <c r="H235">
        <f>SUM(H236:H240)</f>
        <v>39655.559694442294</v>
      </c>
      <c r="I235">
        <f>SUM(I236:I240)</f>
        <v>0</v>
      </c>
      <c r="J235" s="107" t="s">
        <v>98</v>
      </c>
      <c r="K235" s="107" t="s">
        <v>546</v>
      </c>
    </row>
    <row r="236" spans="1:11" outlineLevel="1" x14ac:dyDescent="0.25">
      <c r="A236" s="107"/>
      <c r="B236" s="107"/>
      <c r="C236" s="107"/>
      <c r="D236">
        <v>2021</v>
      </c>
      <c r="E236">
        <f t="shared" si="27"/>
        <v>69669.141684442293</v>
      </c>
      <c r="F236">
        <f>F247+F253+F259+F265+F271+F277</f>
        <v>56344.391990000004</v>
      </c>
      <c r="G236">
        <f>G247+G253+G259+G265+G271+G277</f>
        <v>0</v>
      </c>
      <c r="H236">
        <f t="shared" ref="H236:I240" si="31">H247+H253+H259+H265+H271</f>
        <v>13324.749694442291</v>
      </c>
      <c r="I236">
        <f t="shared" si="31"/>
        <v>0</v>
      </c>
      <c r="J236" s="107"/>
      <c r="K236" s="107"/>
    </row>
    <row r="237" spans="1:11" outlineLevel="1" x14ac:dyDescent="0.25">
      <c r="A237" s="107"/>
      <c r="B237" s="107"/>
      <c r="C237" s="107"/>
      <c r="D237">
        <v>2022</v>
      </c>
      <c r="E237">
        <f t="shared" si="27"/>
        <v>111100.45999999999</v>
      </c>
      <c r="F237">
        <f t="shared" ref="F237:G240" si="32">F248+F254+F260+F266+F272</f>
        <v>84769.65</v>
      </c>
      <c r="G237">
        <f t="shared" si="32"/>
        <v>0</v>
      </c>
      <c r="H237">
        <f t="shared" si="31"/>
        <v>26330.81</v>
      </c>
      <c r="I237">
        <f t="shared" si="31"/>
        <v>0</v>
      </c>
      <c r="J237" s="107"/>
      <c r="K237" s="107"/>
    </row>
    <row r="238" spans="1:11" outlineLevel="1" x14ac:dyDescent="0.25">
      <c r="A238" s="107"/>
      <c r="B238" s="107"/>
      <c r="C238" s="107"/>
      <c r="D238">
        <v>2023</v>
      </c>
      <c r="E238">
        <f t="shared" si="27"/>
        <v>0</v>
      </c>
      <c r="F238">
        <f t="shared" si="32"/>
        <v>0</v>
      </c>
      <c r="G238">
        <f t="shared" si="32"/>
        <v>0</v>
      </c>
      <c r="H238">
        <f t="shared" si="31"/>
        <v>0</v>
      </c>
      <c r="I238">
        <f t="shared" si="31"/>
        <v>0</v>
      </c>
      <c r="J238" s="107"/>
      <c r="K238" s="107"/>
    </row>
    <row r="239" spans="1:11" outlineLevel="1" x14ac:dyDescent="0.25">
      <c r="A239" s="107"/>
      <c r="B239" s="107"/>
      <c r="C239" s="107"/>
      <c r="D239">
        <v>2024</v>
      </c>
      <c r="E239">
        <f t="shared" si="27"/>
        <v>0</v>
      </c>
      <c r="F239">
        <f t="shared" si="32"/>
        <v>0</v>
      </c>
      <c r="G239">
        <f t="shared" si="32"/>
        <v>0</v>
      </c>
      <c r="H239">
        <f t="shared" si="31"/>
        <v>0</v>
      </c>
      <c r="I239">
        <f t="shared" si="31"/>
        <v>0</v>
      </c>
      <c r="J239" s="107"/>
      <c r="K239" s="107"/>
    </row>
    <row r="240" spans="1:11" outlineLevel="1" x14ac:dyDescent="0.25">
      <c r="A240" s="107"/>
      <c r="B240" s="107"/>
      <c r="C240" s="107"/>
      <c r="D240">
        <v>2025</v>
      </c>
      <c r="E240">
        <f t="shared" si="27"/>
        <v>0</v>
      </c>
      <c r="F240">
        <f t="shared" si="32"/>
        <v>0</v>
      </c>
      <c r="G240">
        <f t="shared" si="32"/>
        <v>0</v>
      </c>
      <c r="H240">
        <f t="shared" si="31"/>
        <v>0</v>
      </c>
      <c r="I240">
        <f t="shared" si="31"/>
        <v>0</v>
      </c>
      <c r="J240" s="107"/>
      <c r="K240" s="107"/>
    </row>
    <row r="241" spans="1:11" outlineLevel="1" x14ac:dyDescent="0.25"/>
    <row r="242" spans="1:11" outlineLevel="1" x14ac:dyDescent="0.25"/>
    <row r="243" spans="1:11" outlineLevel="1" x14ac:dyDescent="0.25"/>
    <row r="244" spans="1:11" outlineLevel="1" x14ac:dyDescent="0.25"/>
    <row r="245" spans="1:11" outlineLevel="1" x14ac:dyDescent="0.25"/>
    <row r="246" spans="1:11" ht="15" customHeight="1" outlineLevel="1" x14ac:dyDescent="0.25">
      <c r="A246" s="107" t="s">
        <v>100</v>
      </c>
      <c r="B246" s="107" t="s">
        <v>101</v>
      </c>
      <c r="C246" s="107">
        <v>2021</v>
      </c>
      <c r="D246" t="s">
        <v>8</v>
      </c>
      <c r="E246">
        <f>SUM(E247:E251)</f>
        <v>6584.2777657004835</v>
      </c>
      <c r="F246">
        <f>SUM(F247:F251)</f>
        <v>5451.7819900000004</v>
      </c>
      <c r="G246">
        <f>SUM(G247:G251)</f>
        <v>0</v>
      </c>
      <c r="H246">
        <f>SUM(H247:H251)</f>
        <v>1132.4957757004834</v>
      </c>
      <c r="I246">
        <f>SUM(I247:I251)</f>
        <v>0</v>
      </c>
      <c r="J246" s="107" t="s">
        <v>102</v>
      </c>
      <c r="K246" s="107" t="s">
        <v>547</v>
      </c>
    </row>
    <row r="247" spans="1:11" outlineLevel="1" x14ac:dyDescent="0.25">
      <c r="A247" s="107"/>
      <c r="B247" s="107"/>
      <c r="C247" s="107"/>
      <c r="D247">
        <v>2021</v>
      </c>
      <c r="E247">
        <f t="shared" ref="E247:E251" si="33">SUM(F247:I247)</f>
        <v>6584.2777657004835</v>
      </c>
      <c r="F247">
        <v>5451.7819900000004</v>
      </c>
      <c r="G247">
        <v>0</v>
      </c>
      <c r="H247">
        <f>F247/82.8*17.2</f>
        <v>1132.4957757004834</v>
      </c>
      <c r="I247">
        <v>0</v>
      </c>
      <c r="J247" s="107"/>
      <c r="K247" s="107"/>
    </row>
    <row r="248" spans="1:11" outlineLevel="1" x14ac:dyDescent="0.25">
      <c r="A248" s="107"/>
      <c r="B248" s="107"/>
      <c r="C248" s="107"/>
      <c r="D248">
        <v>2022</v>
      </c>
      <c r="E248">
        <f t="shared" si="33"/>
        <v>0</v>
      </c>
      <c r="F248">
        <v>0</v>
      </c>
      <c r="G248">
        <v>0</v>
      </c>
      <c r="H248">
        <v>0</v>
      </c>
      <c r="I248">
        <v>0</v>
      </c>
      <c r="J248" s="107"/>
      <c r="K248" s="107"/>
    </row>
    <row r="249" spans="1:11" outlineLevel="1" x14ac:dyDescent="0.25">
      <c r="A249" s="107"/>
      <c r="B249" s="107"/>
      <c r="C249" s="107"/>
      <c r="D249">
        <v>2023</v>
      </c>
      <c r="E249">
        <f t="shared" si="33"/>
        <v>0</v>
      </c>
      <c r="F249">
        <v>0</v>
      </c>
      <c r="G249">
        <v>0</v>
      </c>
      <c r="H249">
        <v>0</v>
      </c>
      <c r="I249">
        <v>0</v>
      </c>
      <c r="J249" s="107"/>
      <c r="K249" s="107"/>
    </row>
    <row r="250" spans="1:11" outlineLevel="1" x14ac:dyDescent="0.25">
      <c r="A250" s="107"/>
      <c r="B250" s="107"/>
      <c r="C250" s="107"/>
      <c r="D250">
        <v>2024</v>
      </c>
      <c r="E250">
        <f t="shared" si="33"/>
        <v>0</v>
      </c>
      <c r="F250">
        <v>0</v>
      </c>
      <c r="G250">
        <v>0</v>
      </c>
      <c r="H250">
        <v>0</v>
      </c>
      <c r="I250">
        <v>0</v>
      </c>
      <c r="J250" s="107"/>
      <c r="K250" s="107"/>
    </row>
    <row r="251" spans="1:11" outlineLevel="1" x14ac:dyDescent="0.25">
      <c r="A251" s="107"/>
      <c r="B251" s="107"/>
      <c r="C251" s="107"/>
      <c r="D251">
        <v>2025</v>
      </c>
      <c r="E251">
        <f t="shared" si="33"/>
        <v>0</v>
      </c>
      <c r="F251">
        <v>0</v>
      </c>
      <c r="G251">
        <v>0</v>
      </c>
      <c r="H251">
        <v>0</v>
      </c>
      <c r="I251">
        <v>0</v>
      </c>
      <c r="J251" s="107"/>
      <c r="K251" s="107"/>
    </row>
    <row r="252" spans="1:11" ht="15" customHeight="1" outlineLevel="1" x14ac:dyDescent="0.25">
      <c r="A252" s="107" t="s">
        <v>548</v>
      </c>
      <c r="B252" s="107" t="s">
        <v>442</v>
      </c>
      <c r="C252" s="107">
        <v>2021</v>
      </c>
      <c r="D252" t="s">
        <v>8</v>
      </c>
      <c r="E252">
        <f>SUM(E253:E257)</f>
        <v>40997.273918741805</v>
      </c>
      <c r="F252">
        <f>SUM(F253:F257)</f>
        <v>31280.92</v>
      </c>
      <c r="G252">
        <f>SUM(G253:G257)</f>
        <v>0</v>
      </c>
      <c r="H252">
        <f>SUM(H253:H257)</f>
        <v>9716.3539187418082</v>
      </c>
      <c r="I252">
        <f>SUM(I253:I257)</f>
        <v>0</v>
      </c>
      <c r="J252" s="107" t="s">
        <v>549</v>
      </c>
      <c r="K252" s="107" t="s">
        <v>547</v>
      </c>
    </row>
    <row r="253" spans="1:11" outlineLevel="1" x14ac:dyDescent="0.25">
      <c r="A253" s="107"/>
      <c r="B253" s="107"/>
      <c r="C253" s="107"/>
      <c r="D253">
        <v>2021</v>
      </c>
      <c r="E253">
        <f t="shared" ref="E253:E313" si="34">SUM(F253:I253)</f>
        <v>40997.273918741805</v>
      </c>
      <c r="F253">
        <v>31280.92</v>
      </c>
      <c r="G253">
        <v>0</v>
      </c>
      <c r="H253">
        <f>F253/76.3*23.7</f>
        <v>9716.3539187418082</v>
      </c>
      <c r="I253">
        <v>0</v>
      </c>
      <c r="J253" s="107"/>
      <c r="K253" s="107"/>
    </row>
    <row r="254" spans="1:11" outlineLevel="1" x14ac:dyDescent="0.25">
      <c r="A254" s="107"/>
      <c r="B254" s="107"/>
      <c r="C254" s="107"/>
      <c r="D254">
        <v>2022</v>
      </c>
      <c r="E254">
        <f t="shared" si="34"/>
        <v>0</v>
      </c>
      <c r="F254">
        <v>0</v>
      </c>
      <c r="G254">
        <v>0</v>
      </c>
      <c r="H254">
        <v>0</v>
      </c>
      <c r="I254">
        <v>0</v>
      </c>
      <c r="J254" s="107"/>
      <c r="K254" s="107"/>
    </row>
    <row r="255" spans="1:11" outlineLevel="1" x14ac:dyDescent="0.25">
      <c r="A255" s="107"/>
      <c r="B255" s="107"/>
      <c r="C255" s="107"/>
      <c r="D255">
        <v>2023</v>
      </c>
      <c r="E255">
        <f t="shared" si="34"/>
        <v>0</v>
      </c>
      <c r="F255">
        <v>0</v>
      </c>
      <c r="G255">
        <v>0</v>
      </c>
      <c r="H255">
        <v>0</v>
      </c>
      <c r="I255">
        <v>0</v>
      </c>
      <c r="J255" s="107"/>
      <c r="K255" s="107"/>
    </row>
    <row r="256" spans="1:11" outlineLevel="1" x14ac:dyDescent="0.25">
      <c r="A256" s="107"/>
      <c r="B256" s="107"/>
      <c r="C256" s="107"/>
      <c r="D256">
        <v>2024</v>
      </c>
      <c r="E256">
        <f t="shared" si="34"/>
        <v>0</v>
      </c>
      <c r="F256">
        <v>0</v>
      </c>
      <c r="G256">
        <v>0</v>
      </c>
      <c r="H256">
        <v>0</v>
      </c>
      <c r="I256">
        <v>0</v>
      </c>
      <c r="J256" s="107"/>
      <c r="K256" s="107"/>
    </row>
    <row r="257" spans="1:11" outlineLevel="1" x14ac:dyDescent="0.25">
      <c r="A257" s="107"/>
      <c r="B257" s="107"/>
      <c r="C257" s="107"/>
      <c r="D257">
        <v>2025</v>
      </c>
      <c r="E257">
        <f t="shared" si="34"/>
        <v>0</v>
      </c>
      <c r="F257">
        <v>0</v>
      </c>
      <c r="G257">
        <v>0</v>
      </c>
      <c r="H257">
        <v>0</v>
      </c>
      <c r="I257">
        <v>0</v>
      </c>
      <c r="J257" s="107"/>
      <c r="K257" s="107"/>
    </row>
    <row r="258" spans="1:11" ht="15" customHeight="1" outlineLevel="1" x14ac:dyDescent="0.25">
      <c r="A258" s="107" t="s">
        <v>550</v>
      </c>
      <c r="B258" s="107" t="s">
        <v>551</v>
      </c>
      <c r="C258" s="107">
        <v>2021</v>
      </c>
      <c r="D258" t="s">
        <v>8</v>
      </c>
      <c r="E258">
        <f t="shared" si="34"/>
        <v>1505.5</v>
      </c>
      <c r="F258">
        <f>SUM(F259:F263)</f>
        <v>1505.5</v>
      </c>
      <c r="G258">
        <f>SUM(G259:G263)</f>
        <v>0</v>
      </c>
      <c r="H258">
        <f>SUM(H259:H263)</f>
        <v>0</v>
      </c>
      <c r="I258">
        <f>SUM(I259:I263)</f>
        <v>0</v>
      </c>
      <c r="J258" s="107" t="s">
        <v>552</v>
      </c>
      <c r="K258" s="107" t="s">
        <v>553</v>
      </c>
    </row>
    <row r="259" spans="1:11" ht="15" customHeight="1" outlineLevel="1" x14ac:dyDescent="0.25">
      <c r="A259" s="107"/>
      <c r="B259" s="107"/>
      <c r="C259" s="107"/>
      <c r="D259">
        <v>2021</v>
      </c>
      <c r="E259">
        <f t="shared" si="34"/>
        <v>1505.5</v>
      </c>
      <c r="F259">
        <v>1505.5</v>
      </c>
      <c r="G259">
        <v>0</v>
      </c>
      <c r="H259">
        <v>0</v>
      </c>
      <c r="I259">
        <v>0</v>
      </c>
      <c r="J259" s="107"/>
      <c r="K259" s="107"/>
    </row>
    <row r="260" spans="1:11" outlineLevel="1" x14ac:dyDescent="0.25">
      <c r="A260" s="107"/>
      <c r="B260" s="107"/>
      <c r="C260" s="107"/>
      <c r="D260">
        <v>2022</v>
      </c>
      <c r="E260">
        <f t="shared" si="34"/>
        <v>0</v>
      </c>
      <c r="F260">
        <v>0</v>
      </c>
      <c r="G260">
        <v>0</v>
      </c>
      <c r="H260">
        <v>0</v>
      </c>
      <c r="I260">
        <v>0</v>
      </c>
      <c r="J260" s="107"/>
      <c r="K260" s="107"/>
    </row>
    <row r="261" spans="1:11" outlineLevel="1" x14ac:dyDescent="0.25">
      <c r="A261" s="107"/>
      <c r="B261" s="107"/>
      <c r="C261" s="107"/>
      <c r="D261">
        <v>2023</v>
      </c>
      <c r="E261">
        <f t="shared" si="34"/>
        <v>0</v>
      </c>
      <c r="F261">
        <v>0</v>
      </c>
      <c r="G261">
        <v>0</v>
      </c>
      <c r="H261">
        <v>0</v>
      </c>
      <c r="I261">
        <v>0</v>
      </c>
      <c r="J261" s="107"/>
      <c r="K261" s="107"/>
    </row>
    <row r="262" spans="1:11" outlineLevel="1" x14ac:dyDescent="0.25">
      <c r="A262" s="107"/>
      <c r="B262" s="107"/>
      <c r="C262" s="107"/>
      <c r="D262">
        <v>2024</v>
      </c>
      <c r="E262">
        <f t="shared" si="34"/>
        <v>0</v>
      </c>
      <c r="F262">
        <v>0</v>
      </c>
      <c r="G262">
        <v>0</v>
      </c>
      <c r="H262">
        <v>0</v>
      </c>
      <c r="I262">
        <v>0</v>
      </c>
      <c r="J262" s="107"/>
      <c r="K262" s="107"/>
    </row>
    <row r="263" spans="1:11" outlineLevel="1" x14ac:dyDescent="0.25">
      <c r="A263" s="107"/>
      <c r="B263" s="107"/>
      <c r="C263" s="107"/>
      <c r="D263">
        <v>2025</v>
      </c>
      <c r="E263">
        <f t="shared" si="34"/>
        <v>0</v>
      </c>
      <c r="F263">
        <v>0</v>
      </c>
      <c r="G263">
        <v>0</v>
      </c>
      <c r="H263">
        <v>0</v>
      </c>
      <c r="I263">
        <v>0</v>
      </c>
      <c r="J263" s="107"/>
      <c r="K263" s="107"/>
    </row>
    <row r="264" spans="1:11" ht="15" hidden="1" customHeight="1" outlineLevel="1" x14ac:dyDescent="0.25">
      <c r="A264" s="107" t="s">
        <v>554</v>
      </c>
      <c r="B264" s="107" t="s">
        <v>555</v>
      </c>
      <c r="C264" s="107">
        <v>2021</v>
      </c>
      <c r="D264" t="s">
        <v>8</v>
      </c>
      <c r="E264">
        <f t="shared" si="34"/>
        <v>0</v>
      </c>
      <c r="F264">
        <f>SUM(F265:F269)</f>
        <v>0</v>
      </c>
      <c r="G264">
        <f>SUM(G265:G269)</f>
        <v>0</v>
      </c>
      <c r="H264">
        <f>SUM(H265:H269)</f>
        <v>0</v>
      </c>
      <c r="I264">
        <f>SUM(I265:I269)</f>
        <v>0</v>
      </c>
      <c r="J264" s="107" t="s">
        <v>556</v>
      </c>
      <c r="K264" s="107" t="s">
        <v>515</v>
      </c>
    </row>
    <row r="265" spans="1:11" hidden="1" outlineLevel="1" x14ac:dyDescent="0.25">
      <c r="A265" s="107"/>
      <c r="B265" s="107"/>
      <c r="C265" s="107"/>
      <c r="D265">
        <v>2021</v>
      </c>
      <c r="E265">
        <f t="shared" si="34"/>
        <v>0</v>
      </c>
      <c r="F265">
        <v>0</v>
      </c>
      <c r="G265">
        <v>0</v>
      </c>
      <c r="H265">
        <v>0</v>
      </c>
      <c r="I265">
        <v>0</v>
      </c>
      <c r="J265" s="107"/>
      <c r="K265" s="107"/>
    </row>
    <row r="266" spans="1:11" hidden="1" outlineLevel="1" x14ac:dyDescent="0.25">
      <c r="A266" s="107"/>
      <c r="B266" s="107"/>
      <c r="C266" s="107"/>
      <c r="D266">
        <v>2022</v>
      </c>
      <c r="E266">
        <f t="shared" si="34"/>
        <v>0</v>
      </c>
      <c r="F266">
        <v>0</v>
      </c>
      <c r="G266">
        <v>0</v>
      </c>
      <c r="H266">
        <v>0</v>
      </c>
      <c r="I266">
        <v>0</v>
      </c>
      <c r="J266" s="107"/>
      <c r="K266" s="107"/>
    </row>
    <row r="267" spans="1:11" hidden="1" outlineLevel="1" x14ac:dyDescent="0.25">
      <c r="A267" s="107"/>
      <c r="B267" s="107"/>
      <c r="C267" s="107"/>
      <c r="D267">
        <v>2023</v>
      </c>
      <c r="E267">
        <f t="shared" si="34"/>
        <v>0</v>
      </c>
      <c r="F267">
        <v>0</v>
      </c>
      <c r="G267">
        <v>0</v>
      </c>
      <c r="H267">
        <v>0</v>
      </c>
      <c r="I267">
        <v>0</v>
      </c>
      <c r="J267" s="107"/>
      <c r="K267" s="107"/>
    </row>
    <row r="268" spans="1:11" hidden="1" outlineLevel="1" x14ac:dyDescent="0.25">
      <c r="A268" s="107"/>
      <c r="B268" s="107"/>
      <c r="C268" s="107"/>
      <c r="D268">
        <v>2024</v>
      </c>
      <c r="E268">
        <f t="shared" si="34"/>
        <v>0</v>
      </c>
      <c r="F268">
        <v>0</v>
      </c>
      <c r="G268">
        <v>0</v>
      </c>
      <c r="H268">
        <v>0</v>
      </c>
      <c r="I268">
        <v>0</v>
      </c>
      <c r="J268" s="107"/>
      <c r="K268" s="107"/>
    </row>
    <row r="269" spans="1:11" ht="84.75" hidden="1" customHeight="1" outlineLevel="1" x14ac:dyDescent="0.25">
      <c r="A269" s="107"/>
      <c r="B269" s="107"/>
      <c r="C269" s="107"/>
      <c r="D269">
        <v>2025</v>
      </c>
      <c r="E269">
        <f t="shared" si="34"/>
        <v>0</v>
      </c>
      <c r="F269">
        <v>0</v>
      </c>
      <c r="G269">
        <v>0</v>
      </c>
      <c r="H269">
        <v>0</v>
      </c>
      <c r="I269">
        <v>0</v>
      </c>
      <c r="J269" s="107"/>
      <c r="K269" s="107"/>
    </row>
    <row r="270" spans="1:11" ht="15" customHeight="1" outlineLevel="1" x14ac:dyDescent="0.25">
      <c r="A270" s="107" t="s">
        <v>557</v>
      </c>
      <c r="B270" s="107" t="s">
        <v>558</v>
      </c>
      <c r="C270" s="107">
        <v>2021</v>
      </c>
      <c r="D270" t="s">
        <v>8</v>
      </c>
      <c r="E270">
        <f t="shared" si="34"/>
        <v>121547.26</v>
      </c>
      <c r="F270">
        <f>SUM(F271:F275)</f>
        <v>92740.549999999988</v>
      </c>
      <c r="G270">
        <f>SUM(G271:G275)</f>
        <v>0</v>
      </c>
      <c r="H270">
        <f>SUM(H271:H275)</f>
        <v>28806.710000000003</v>
      </c>
      <c r="I270">
        <f>SUM(I271:I275)</f>
        <v>0</v>
      </c>
      <c r="J270" s="107" t="s">
        <v>559</v>
      </c>
      <c r="K270" s="107" t="s">
        <v>547</v>
      </c>
    </row>
    <row r="271" spans="1:11" ht="15" customHeight="1" outlineLevel="1" x14ac:dyDescent="0.25">
      <c r="A271" s="107"/>
      <c r="B271" s="107"/>
      <c r="C271" s="107"/>
      <c r="D271">
        <v>2021</v>
      </c>
      <c r="E271">
        <f t="shared" si="34"/>
        <v>10446.799999999999</v>
      </c>
      <c r="F271">
        <v>7970.9</v>
      </c>
      <c r="G271">
        <v>0</v>
      </c>
      <c r="H271">
        <v>2475.9</v>
      </c>
      <c r="I271">
        <v>0</v>
      </c>
      <c r="J271" s="107"/>
      <c r="K271" s="107"/>
    </row>
    <row r="272" spans="1:11" ht="15" customHeight="1" outlineLevel="1" x14ac:dyDescent="0.25">
      <c r="A272" s="107"/>
      <c r="B272" s="107"/>
      <c r="C272" s="107"/>
      <c r="D272">
        <v>2022</v>
      </c>
      <c r="E272">
        <f t="shared" si="34"/>
        <v>111100.45999999999</v>
      </c>
      <c r="F272">
        <v>84769.65</v>
      </c>
      <c r="G272">
        <v>0</v>
      </c>
      <c r="H272">
        <v>26330.81</v>
      </c>
      <c r="I272">
        <v>0</v>
      </c>
      <c r="J272" s="107"/>
      <c r="K272" s="107"/>
    </row>
    <row r="273" spans="1:15" ht="15" customHeight="1" outlineLevel="1" x14ac:dyDescent="0.25">
      <c r="A273" s="107"/>
      <c r="B273" s="107"/>
      <c r="C273" s="107"/>
      <c r="D273">
        <v>2023</v>
      </c>
      <c r="E273">
        <f t="shared" si="34"/>
        <v>0</v>
      </c>
      <c r="F273">
        <v>0</v>
      </c>
      <c r="G273">
        <v>0</v>
      </c>
      <c r="H273">
        <v>0</v>
      </c>
      <c r="I273">
        <v>0</v>
      </c>
      <c r="J273" s="107"/>
      <c r="K273" s="107"/>
    </row>
    <row r="274" spans="1:15" ht="15" customHeight="1" outlineLevel="1" x14ac:dyDescent="0.25">
      <c r="A274" s="107"/>
      <c r="B274" s="107"/>
      <c r="C274" s="107"/>
      <c r="D274">
        <v>2024</v>
      </c>
      <c r="E274">
        <f t="shared" si="34"/>
        <v>0</v>
      </c>
      <c r="F274">
        <v>0</v>
      </c>
      <c r="G274">
        <v>0</v>
      </c>
      <c r="H274">
        <v>0</v>
      </c>
      <c r="I274">
        <v>0</v>
      </c>
      <c r="J274" s="107"/>
      <c r="K274" s="107"/>
    </row>
    <row r="275" spans="1:15" ht="15" customHeight="1" outlineLevel="1" x14ac:dyDescent="0.25">
      <c r="A275" s="107"/>
      <c r="B275" s="107"/>
      <c r="C275" s="107"/>
      <c r="D275">
        <v>2025</v>
      </c>
      <c r="E275">
        <f t="shared" si="34"/>
        <v>0</v>
      </c>
      <c r="F275">
        <v>0</v>
      </c>
      <c r="G275">
        <v>0</v>
      </c>
      <c r="H275">
        <v>0</v>
      </c>
      <c r="I275">
        <v>0</v>
      </c>
      <c r="J275" s="107"/>
      <c r="K275" s="107"/>
    </row>
    <row r="276" spans="1:15" ht="15" customHeight="1" outlineLevel="1" x14ac:dyDescent="0.25">
      <c r="A276" s="107" t="s">
        <v>560</v>
      </c>
      <c r="B276" s="107" t="s">
        <v>561</v>
      </c>
      <c r="C276" s="107">
        <v>2021</v>
      </c>
      <c r="D276" t="s">
        <v>8</v>
      </c>
      <c r="E276">
        <f t="shared" si="34"/>
        <v>10135.290000000001</v>
      </c>
      <c r="F276">
        <f>SUM(F277:F281)</f>
        <v>10135.290000000001</v>
      </c>
      <c r="G276">
        <f>SUM(G277:G281)</f>
        <v>0</v>
      </c>
      <c r="H276">
        <f>SUM(H277:H281)</f>
        <v>0</v>
      </c>
      <c r="I276">
        <f>SUM(I277:I281)</f>
        <v>0</v>
      </c>
      <c r="J276" s="107" t="s">
        <v>562</v>
      </c>
      <c r="K276" s="107" t="s">
        <v>563</v>
      </c>
    </row>
    <row r="277" spans="1:15" ht="15" customHeight="1" outlineLevel="1" x14ac:dyDescent="0.25">
      <c r="A277" s="107"/>
      <c r="B277" s="107"/>
      <c r="C277" s="107"/>
      <c r="D277">
        <v>2021</v>
      </c>
      <c r="E277">
        <f t="shared" si="34"/>
        <v>10135.290000000001</v>
      </c>
      <c r="F277">
        <v>10135.290000000001</v>
      </c>
      <c r="G277">
        <v>0</v>
      </c>
      <c r="H277">
        <v>0</v>
      </c>
      <c r="I277">
        <v>0</v>
      </c>
      <c r="J277" s="107"/>
      <c r="K277" s="107"/>
    </row>
    <row r="278" spans="1:15" ht="15" customHeight="1" outlineLevel="1" x14ac:dyDescent="0.25">
      <c r="A278" s="107"/>
      <c r="B278" s="107"/>
      <c r="C278" s="107"/>
      <c r="D278">
        <v>2022</v>
      </c>
      <c r="E278">
        <f t="shared" si="34"/>
        <v>0</v>
      </c>
      <c r="F278">
        <v>0</v>
      </c>
      <c r="G278">
        <v>0</v>
      </c>
      <c r="H278">
        <v>0</v>
      </c>
      <c r="I278">
        <v>0</v>
      </c>
      <c r="J278" s="107"/>
      <c r="K278" s="107"/>
    </row>
    <row r="279" spans="1:15" ht="15" customHeight="1" outlineLevel="1" x14ac:dyDescent="0.25">
      <c r="A279" s="107"/>
      <c r="B279" s="107"/>
      <c r="C279" s="107"/>
      <c r="D279">
        <v>2023</v>
      </c>
      <c r="E279">
        <f t="shared" si="34"/>
        <v>0</v>
      </c>
      <c r="F279">
        <v>0</v>
      </c>
      <c r="G279">
        <v>0</v>
      </c>
      <c r="H279">
        <v>0</v>
      </c>
      <c r="I279">
        <v>0</v>
      </c>
      <c r="J279" s="107"/>
      <c r="K279" s="107"/>
    </row>
    <row r="280" spans="1:15" ht="15" customHeight="1" outlineLevel="1" x14ac:dyDescent="0.25">
      <c r="A280" s="107"/>
      <c r="B280" s="107"/>
      <c r="C280" s="107"/>
      <c r="D280">
        <v>2024</v>
      </c>
      <c r="E280">
        <f t="shared" si="34"/>
        <v>0</v>
      </c>
      <c r="F280">
        <v>0</v>
      </c>
      <c r="G280">
        <v>0</v>
      </c>
      <c r="H280">
        <v>0</v>
      </c>
      <c r="I280">
        <v>0</v>
      </c>
      <c r="J280" s="107"/>
      <c r="K280" s="107"/>
    </row>
    <row r="281" spans="1:15" ht="15" customHeight="1" outlineLevel="1" x14ac:dyDescent="0.25">
      <c r="A281" s="107"/>
      <c r="B281" s="107"/>
      <c r="C281" s="107"/>
      <c r="D281">
        <v>2025</v>
      </c>
      <c r="E281">
        <f t="shared" si="34"/>
        <v>0</v>
      </c>
      <c r="F281">
        <v>0</v>
      </c>
      <c r="G281">
        <v>0</v>
      </c>
      <c r="H281">
        <v>0</v>
      </c>
      <c r="I281">
        <v>0</v>
      </c>
      <c r="J281" s="107"/>
      <c r="K281" s="107"/>
    </row>
    <row r="282" spans="1:15" ht="15" customHeight="1" outlineLevel="1" x14ac:dyDescent="0.25">
      <c r="A282" s="107" t="s">
        <v>104</v>
      </c>
      <c r="B282" s="107" t="s">
        <v>105</v>
      </c>
      <c r="C282" s="107" t="s">
        <v>14</v>
      </c>
      <c r="D282" t="s">
        <v>8</v>
      </c>
      <c r="E282">
        <f t="shared" si="34"/>
        <v>216981.80646063431</v>
      </c>
      <c r="F282">
        <f>SUM(F283:F287)</f>
        <v>201394.26287999999</v>
      </c>
      <c r="G282">
        <f>SUM(G283:G287)</f>
        <v>0</v>
      </c>
      <c r="H282">
        <f>SUM(H283:H287)</f>
        <v>15587.543580634321</v>
      </c>
      <c r="I282">
        <f>SUM(I283:I287)</f>
        <v>0</v>
      </c>
      <c r="J282" s="107" t="s">
        <v>106</v>
      </c>
      <c r="K282" s="107" t="s">
        <v>564</v>
      </c>
      <c r="L282" s="107"/>
      <c r="M282" s="107"/>
      <c r="N282" s="107"/>
      <c r="O282" s="107"/>
    </row>
    <row r="283" spans="1:15" outlineLevel="1" x14ac:dyDescent="0.25">
      <c r="A283" s="107"/>
      <c r="B283" s="107"/>
      <c r="C283" s="107"/>
      <c r="D283">
        <v>2021</v>
      </c>
      <c r="E283">
        <f t="shared" si="34"/>
        <v>192981.80646063431</v>
      </c>
      <c r="F283">
        <f>SUM(F289+F295+F301+F307+F313+F319+F325+F331+F337+F343+F349+F355+F361+F367+F373)</f>
        <v>177394.26287999999</v>
      </c>
      <c r="G283">
        <f t="shared" ref="F283:I287" si="35">SUM(G289+G295+G301+G307+G313+G319+G325+G331+G337+G343+G349+G355+G361)</f>
        <v>0</v>
      </c>
      <c r="H283">
        <f>SUM(H289+H295+H301+H307+H313+H319+H325+H331+H337+H343+H349+H355+H361+H367+H373)</f>
        <v>15587.543580634321</v>
      </c>
      <c r="I283">
        <f t="shared" si="35"/>
        <v>0</v>
      </c>
      <c r="J283" s="107"/>
      <c r="K283" s="107"/>
      <c r="L283" s="107"/>
      <c r="M283" s="107"/>
      <c r="N283" s="107"/>
      <c r="O283" s="107"/>
    </row>
    <row r="284" spans="1:15" outlineLevel="1" x14ac:dyDescent="0.25">
      <c r="A284" s="107"/>
      <c r="B284" s="107"/>
      <c r="C284" s="107"/>
      <c r="D284">
        <v>2022</v>
      </c>
      <c r="E284">
        <f t="shared" si="34"/>
        <v>6000</v>
      </c>
      <c r="F284">
        <f t="shared" si="35"/>
        <v>6000</v>
      </c>
      <c r="G284">
        <f t="shared" si="35"/>
        <v>0</v>
      </c>
      <c r="H284">
        <f t="shared" si="35"/>
        <v>0</v>
      </c>
      <c r="I284">
        <f t="shared" si="35"/>
        <v>0</v>
      </c>
      <c r="J284" s="107"/>
      <c r="K284" s="107"/>
      <c r="L284" s="107"/>
      <c r="M284" s="107"/>
      <c r="N284" s="107"/>
      <c r="O284" s="107"/>
    </row>
    <row r="285" spans="1:15" outlineLevel="1" x14ac:dyDescent="0.25">
      <c r="A285" s="107"/>
      <c r="B285" s="107"/>
      <c r="C285" s="107"/>
      <c r="D285">
        <v>2023</v>
      </c>
      <c r="E285">
        <f t="shared" si="34"/>
        <v>6000</v>
      </c>
      <c r="F285">
        <f t="shared" si="35"/>
        <v>6000</v>
      </c>
      <c r="G285">
        <f t="shared" si="35"/>
        <v>0</v>
      </c>
      <c r="H285">
        <f t="shared" si="35"/>
        <v>0</v>
      </c>
      <c r="I285">
        <f t="shared" si="35"/>
        <v>0</v>
      </c>
      <c r="J285" s="107"/>
      <c r="K285" s="107"/>
    </row>
    <row r="286" spans="1:15" outlineLevel="1" x14ac:dyDescent="0.25">
      <c r="A286" s="107"/>
      <c r="B286" s="107"/>
      <c r="C286" s="107"/>
      <c r="D286">
        <v>2024</v>
      </c>
      <c r="E286">
        <f t="shared" si="34"/>
        <v>6000</v>
      </c>
      <c r="F286">
        <f t="shared" si="35"/>
        <v>6000</v>
      </c>
      <c r="G286">
        <f t="shared" si="35"/>
        <v>0</v>
      </c>
      <c r="H286">
        <f t="shared" si="35"/>
        <v>0</v>
      </c>
      <c r="I286">
        <f t="shared" si="35"/>
        <v>0</v>
      </c>
      <c r="J286" s="107"/>
      <c r="K286" s="107"/>
    </row>
    <row r="287" spans="1:15" outlineLevel="1" x14ac:dyDescent="0.25">
      <c r="A287" s="107"/>
      <c r="B287" s="107"/>
      <c r="C287" s="107"/>
      <c r="D287">
        <v>2025</v>
      </c>
      <c r="E287">
        <f t="shared" si="34"/>
        <v>6000</v>
      </c>
      <c r="F287">
        <f t="shared" si="35"/>
        <v>6000</v>
      </c>
      <c r="G287">
        <f t="shared" si="35"/>
        <v>0</v>
      </c>
      <c r="H287">
        <f t="shared" si="35"/>
        <v>0</v>
      </c>
      <c r="I287">
        <f t="shared" si="35"/>
        <v>0</v>
      </c>
      <c r="J287" s="107"/>
      <c r="K287" s="107"/>
    </row>
    <row r="288" spans="1:15" ht="17.100000000000001" customHeight="1" outlineLevel="1" x14ac:dyDescent="0.25">
      <c r="A288" s="107" t="s">
        <v>108</v>
      </c>
      <c r="B288" s="107" t="s">
        <v>109</v>
      </c>
      <c r="C288" s="107">
        <v>2021</v>
      </c>
      <c r="D288" t="s">
        <v>8</v>
      </c>
      <c r="E288">
        <f t="shared" si="34"/>
        <v>27027.03</v>
      </c>
      <c r="F288">
        <f>SUM(F289:F293)</f>
        <v>25000</v>
      </c>
      <c r="G288">
        <f>SUM(G289:G293)</f>
        <v>0</v>
      </c>
      <c r="H288">
        <f>SUM(H289:H293)</f>
        <v>2027.03</v>
      </c>
      <c r="I288">
        <f>SUM(I289:I293)</f>
        <v>0</v>
      </c>
      <c r="J288" s="107" t="s">
        <v>565</v>
      </c>
      <c r="K288" s="107" t="s">
        <v>566</v>
      </c>
    </row>
    <row r="289" spans="1:11" ht="17.100000000000001" customHeight="1" outlineLevel="1" x14ac:dyDescent="0.25">
      <c r="A289" s="107"/>
      <c r="B289" s="107"/>
      <c r="C289" s="107"/>
      <c r="D289">
        <v>2021</v>
      </c>
      <c r="E289">
        <f t="shared" si="34"/>
        <v>27027.03</v>
      </c>
      <c r="F289">
        <v>25000</v>
      </c>
      <c r="G289">
        <v>0</v>
      </c>
      <c r="H289">
        <v>2027.03</v>
      </c>
      <c r="I289">
        <v>0</v>
      </c>
      <c r="J289" s="107"/>
      <c r="K289" s="107"/>
    </row>
    <row r="290" spans="1:11" ht="17.100000000000001" customHeight="1" outlineLevel="1" x14ac:dyDescent="0.25">
      <c r="A290" s="107"/>
      <c r="B290" s="107"/>
      <c r="C290" s="107"/>
      <c r="D290">
        <v>2022</v>
      </c>
      <c r="E290">
        <f t="shared" si="34"/>
        <v>0</v>
      </c>
      <c r="F290">
        <v>0</v>
      </c>
      <c r="G290">
        <v>0</v>
      </c>
      <c r="H290">
        <f>+H308</f>
        <v>0</v>
      </c>
      <c r="I290">
        <v>0</v>
      </c>
      <c r="J290" s="107"/>
      <c r="K290" s="107"/>
    </row>
    <row r="291" spans="1:11" ht="17.100000000000001" customHeight="1" outlineLevel="1" x14ac:dyDescent="0.25">
      <c r="A291" s="107"/>
      <c r="B291" s="107"/>
      <c r="C291" s="107"/>
      <c r="D291">
        <v>2023</v>
      </c>
      <c r="E291">
        <f t="shared" si="34"/>
        <v>0</v>
      </c>
      <c r="F291">
        <v>0</v>
      </c>
      <c r="G291">
        <v>0</v>
      </c>
      <c r="H291">
        <v>0</v>
      </c>
      <c r="I291">
        <v>0</v>
      </c>
      <c r="J291" s="107"/>
      <c r="K291" s="107"/>
    </row>
    <row r="292" spans="1:11" outlineLevel="1" x14ac:dyDescent="0.25">
      <c r="A292" s="107"/>
      <c r="B292" s="107"/>
      <c r="C292" s="107"/>
      <c r="D292">
        <v>2024</v>
      </c>
      <c r="E292">
        <f t="shared" si="34"/>
        <v>0</v>
      </c>
      <c r="F292">
        <v>0</v>
      </c>
      <c r="G292">
        <v>0</v>
      </c>
      <c r="H292">
        <v>0</v>
      </c>
      <c r="I292">
        <v>0</v>
      </c>
      <c r="J292" s="107"/>
      <c r="K292" s="107"/>
    </row>
    <row r="293" spans="1:11" outlineLevel="1" x14ac:dyDescent="0.25">
      <c r="A293" s="107"/>
      <c r="B293" s="107"/>
      <c r="C293" s="107"/>
      <c r="D293">
        <v>2025</v>
      </c>
      <c r="E293">
        <f t="shared" si="34"/>
        <v>0</v>
      </c>
      <c r="F293">
        <v>0</v>
      </c>
      <c r="G293">
        <v>0</v>
      </c>
      <c r="H293">
        <v>0</v>
      </c>
      <c r="I293">
        <v>0</v>
      </c>
      <c r="J293" s="107"/>
      <c r="K293" s="107"/>
    </row>
    <row r="294" spans="1:11" ht="17.100000000000001" customHeight="1" outlineLevel="1" x14ac:dyDescent="0.25">
      <c r="A294" s="107" t="s">
        <v>112</v>
      </c>
      <c r="B294" s="107" t="s">
        <v>113</v>
      </c>
      <c r="C294" s="107" t="s">
        <v>14</v>
      </c>
      <c r="D294" t="s">
        <v>8</v>
      </c>
      <c r="E294">
        <f t="shared" si="34"/>
        <v>30000</v>
      </c>
      <c r="F294">
        <f>SUM(F295:F299)</f>
        <v>30000</v>
      </c>
      <c r="G294">
        <f>SUM(G295:G299)</f>
        <v>0</v>
      </c>
      <c r="H294">
        <f>SUM(H295:H299)</f>
        <v>0</v>
      </c>
      <c r="I294">
        <f>SUM(I295:I299)</f>
        <v>0</v>
      </c>
      <c r="J294" s="107" t="s">
        <v>567</v>
      </c>
      <c r="K294" s="107" t="s">
        <v>563</v>
      </c>
    </row>
    <row r="295" spans="1:11" ht="17.100000000000001" customHeight="1" outlineLevel="1" x14ac:dyDescent="0.25">
      <c r="A295" s="107"/>
      <c r="B295" s="107"/>
      <c r="C295" s="107"/>
      <c r="D295">
        <v>2021</v>
      </c>
      <c r="E295">
        <f t="shared" si="34"/>
        <v>6000</v>
      </c>
      <c r="F295">
        <v>6000</v>
      </c>
      <c r="G295">
        <v>0</v>
      </c>
      <c r="H295">
        <v>0</v>
      </c>
      <c r="I295">
        <v>0</v>
      </c>
      <c r="J295" s="107"/>
      <c r="K295" s="107"/>
    </row>
    <row r="296" spans="1:11" ht="17.100000000000001" customHeight="1" outlineLevel="1" x14ac:dyDescent="0.25">
      <c r="A296" s="107"/>
      <c r="B296" s="107"/>
      <c r="C296" s="107"/>
      <c r="D296">
        <v>2022</v>
      </c>
      <c r="E296">
        <f t="shared" si="34"/>
        <v>6000</v>
      </c>
      <c r="F296">
        <v>6000</v>
      </c>
      <c r="G296">
        <v>0</v>
      </c>
      <c r="H296">
        <v>0</v>
      </c>
      <c r="I296">
        <v>0</v>
      </c>
      <c r="J296" s="107"/>
      <c r="K296" s="107"/>
    </row>
    <row r="297" spans="1:11" ht="17.100000000000001" customHeight="1" outlineLevel="1" x14ac:dyDescent="0.25">
      <c r="A297" s="107"/>
      <c r="B297" s="107"/>
      <c r="C297" s="107"/>
      <c r="D297">
        <v>2023</v>
      </c>
      <c r="E297">
        <f t="shared" si="34"/>
        <v>6000</v>
      </c>
      <c r="F297">
        <v>6000</v>
      </c>
      <c r="G297">
        <v>0</v>
      </c>
      <c r="H297">
        <v>0</v>
      </c>
      <c r="I297">
        <v>0</v>
      </c>
      <c r="J297" s="107"/>
      <c r="K297" s="107"/>
    </row>
    <row r="298" spans="1:11" outlineLevel="1" x14ac:dyDescent="0.25">
      <c r="A298" s="107"/>
      <c r="B298" s="107"/>
      <c r="C298" s="107"/>
      <c r="D298">
        <v>2024</v>
      </c>
      <c r="E298">
        <f t="shared" si="34"/>
        <v>6000</v>
      </c>
      <c r="F298">
        <v>6000</v>
      </c>
      <c r="G298">
        <v>0</v>
      </c>
      <c r="H298">
        <v>0</v>
      </c>
      <c r="I298">
        <v>0</v>
      </c>
      <c r="J298" s="107"/>
      <c r="K298" s="107"/>
    </row>
    <row r="299" spans="1:11" outlineLevel="1" x14ac:dyDescent="0.25">
      <c r="A299" s="107"/>
      <c r="B299" s="107"/>
      <c r="C299" s="107"/>
      <c r="D299">
        <v>2025</v>
      </c>
      <c r="E299">
        <f t="shared" si="34"/>
        <v>6000</v>
      </c>
      <c r="F299">
        <v>6000</v>
      </c>
      <c r="G299">
        <v>0</v>
      </c>
      <c r="H299">
        <v>0</v>
      </c>
      <c r="I299">
        <v>0</v>
      </c>
      <c r="J299" s="107"/>
      <c r="K299" s="107"/>
    </row>
    <row r="300" spans="1:11" ht="17.100000000000001" customHeight="1" outlineLevel="1" x14ac:dyDescent="0.25">
      <c r="A300" s="107" t="s">
        <v>568</v>
      </c>
      <c r="B300" s="107" t="s">
        <v>569</v>
      </c>
      <c r="C300" s="107">
        <v>2021</v>
      </c>
      <c r="D300" t="s">
        <v>8</v>
      </c>
      <c r="E300">
        <f t="shared" si="34"/>
        <v>3963.1770000000001</v>
      </c>
      <c r="F300">
        <f>SUM(F301:F305)</f>
        <v>3963.1770000000001</v>
      </c>
      <c r="G300">
        <f>SUM(G301:G305)</f>
        <v>0</v>
      </c>
      <c r="H300">
        <f>SUM(H301:H305)</f>
        <v>0</v>
      </c>
      <c r="I300">
        <f>SUM(I301:I305)</f>
        <v>0</v>
      </c>
      <c r="J300" s="107" t="s">
        <v>570</v>
      </c>
      <c r="K300" s="107" t="s">
        <v>486</v>
      </c>
    </row>
    <row r="301" spans="1:11" ht="17.100000000000001" customHeight="1" outlineLevel="1" x14ac:dyDescent="0.25">
      <c r="A301" s="107"/>
      <c r="B301" s="107"/>
      <c r="C301" s="107"/>
      <c r="D301">
        <v>2021</v>
      </c>
      <c r="E301">
        <f t="shared" si="34"/>
        <v>3963.1770000000001</v>
      </c>
      <c r="F301">
        <f>3963177/1000</f>
        <v>3963.1770000000001</v>
      </c>
      <c r="G301">
        <v>0</v>
      </c>
      <c r="H301">
        <v>0</v>
      </c>
      <c r="I301">
        <v>0</v>
      </c>
      <c r="J301" s="107"/>
      <c r="K301" s="107"/>
    </row>
    <row r="302" spans="1:11" ht="17.100000000000001" customHeight="1" outlineLevel="1" x14ac:dyDescent="0.25">
      <c r="A302" s="107"/>
      <c r="B302" s="107"/>
      <c r="C302" s="107"/>
      <c r="D302">
        <v>2022</v>
      </c>
      <c r="E302">
        <v>0</v>
      </c>
      <c r="F302">
        <v>0</v>
      </c>
      <c r="G302">
        <v>0</v>
      </c>
      <c r="H302">
        <v>0</v>
      </c>
      <c r="I302">
        <v>0</v>
      </c>
      <c r="J302" s="107"/>
      <c r="K302" s="107"/>
    </row>
    <row r="303" spans="1:11" ht="17.100000000000001" customHeight="1" outlineLevel="1" x14ac:dyDescent="0.25">
      <c r="A303" s="107"/>
      <c r="B303" s="107"/>
      <c r="C303" s="107"/>
      <c r="D303">
        <v>2023</v>
      </c>
      <c r="E303">
        <v>0</v>
      </c>
      <c r="F303">
        <v>0</v>
      </c>
      <c r="G303">
        <v>0</v>
      </c>
      <c r="H303">
        <v>0</v>
      </c>
      <c r="I303">
        <v>0</v>
      </c>
      <c r="J303" s="107"/>
      <c r="K303" s="107"/>
    </row>
    <row r="304" spans="1:11" outlineLevel="1" x14ac:dyDescent="0.25">
      <c r="A304" s="107"/>
      <c r="B304" s="107"/>
      <c r="C304" s="107"/>
      <c r="D304">
        <v>2024</v>
      </c>
      <c r="E304">
        <v>0</v>
      </c>
      <c r="F304">
        <v>0</v>
      </c>
      <c r="G304">
        <v>0</v>
      </c>
      <c r="H304">
        <v>0</v>
      </c>
      <c r="I304">
        <v>0</v>
      </c>
      <c r="J304" s="107"/>
      <c r="K304" s="107"/>
    </row>
    <row r="305" spans="1:11" outlineLevel="1" x14ac:dyDescent="0.25">
      <c r="A305" s="107"/>
      <c r="B305" s="107"/>
      <c r="C305" s="107"/>
      <c r="D305">
        <v>2025</v>
      </c>
      <c r="E305">
        <v>0</v>
      </c>
      <c r="F305">
        <v>0</v>
      </c>
      <c r="G305">
        <v>0</v>
      </c>
      <c r="H305">
        <v>0</v>
      </c>
      <c r="I305">
        <v>0</v>
      </c>
      <c r="J305" s="107"/>
      <c r="K305" s="107"/>
    </row>
    <row r="306" spans="1:11" ht="17.100000000000001" customHeight="1" outlineLevel="1" x14ac:dyDescent="0.25">
      <c r="A306" s="107" t="s">
        <v>571</v>
      </c>
      <c r="B306" s="107" t="s">
        <v>572</v>
      </c>
      <c r="C306" s="107">
        <v>2021</v>
      </c>
      <c r="D306" t="s">
        <v>8</v>
      </c>
      <c r="E306">
        <f t="shared" si="34"/>
        <v>22778.260870000002</v>
      </c>
      <c r="F306">
        <f>SUM(F307:F311)</f>
        <v>18860.400000000001</v>
      </c>
      <c r="G306">
        <f>SUM(G307:G311)</f>
        <v>0</v>
      </c>
      <c r="H306">
        <f>SUM(H307:H311)</f>
        <v>3917.86087</v>
      </c>
      <c r="I306">
        <f>SUM(I307:I311)</f>
        <v>0</v>
      </c>
      <c r="J306" s="107" t="s">
        <v>573</v>
      </c>
      <c r="K306" s="107" t="s">
        <v>566</v>
      </c>
    </row>
    <row r="307" spans="1:11" ht="17.100000000000001" customHeight="1" outlineLevel="1" x14ac:dyDescent="0.25">
      <c r="A307" s="107"/>
      <c r="B307" s="107"/>
      <c r="C307" s="107"/>
      <c r="D307">
        <v>2021</v>
      </c>
      <c r="E307">
        <f t="shared" si="34"/>
        <v>22778.260870000002</v>
      </c>
      <c r="F307">
        <v>18860.400000000001</v>
      </c>
      <c r="G307">
        <v>0</v>
      </c>
      <c r="H307">
        <v>3917.86087</v>
      </c>
      <c r="I307">
        <v>0</v>
      </c>
      <c r="J307" s="107"/>
      <c r="K307" s="107"/>
    </row>
    <row r="308" spans="1:11" ht="17.100000000000001" customHeight="1" outlineLevel="1" x14ac:dyDescent="0.25">
      <c r="A308" s="107"/>
      <c r="B308" s="107"/>
      <c r="C308" s="107"/>
      <c r="D308">
        <v>2022</v>
      </c>
      <c r="E308">
        <v>0</v>
      </c>
      <c r="F308">
        <v>0</v>
      </c>
      <c r="G308">
        <v>0</v>
      </c>
      <c r="H308">
        <v>0</v>
      </c>
      <c r="I308">
        <v>0</v>
      </c>
      <c r="J308" s="107"/>
      <c r="K308" s="107"/>
    </row>
    <row r="309" spans="1:11" ht="17.100000000000001" customHeight="1" outlineLevel="1" x14ac:dyDescent="0.25">
      <c r="A309" s="107"/>
      <c r="B309" s="107"/>
      <c r="C309" s="107"/>
      <c r="D309">
        <v>2023</v>
      </c>
      <c r="E309">
        <v>0</v>
      </c>
      <c r="F309">
        <v>0</v>
      </c>
      <c r="G309">
        <v>0</v>
      </c>
      <c r="H309">
        <v>0</v>
      </c>
      <c r="I309">
        <v>0</v>
      </c>
      <c r="J309" s="107"/>
      <c r="K309" s="107"/>
    </row>
    <row r="310" spans="1:11" outlineLevel="1" x14ac:dyDescent="0.25">
      <c r="A310" s="107"/>
      <c r="B310" s="107"/>
      <c r="C310" s="107"/>
      <c r="D310">
        <v>2024</v>
      </c>
      <c r="E310">
        <v>0</v>
      </c>
      <c r="F310">
        <v>0</v>
      </c>
      <c r="G310">
        <v>0</v>
      </c>
      <c r="H310">
        <v>0</v>
      </c>
      <c r="I310">
        <v>0</v>
      </c>
      <c r="J310" s="107"/>
      <c r="K310" s="107"/>
    </row>
    <row r="311" spans="1:11" outlineLevel="1" x14ac:dyDescent="0.25">
      <c r="A311" s="107"/>
      <c r="B311" s="107"/>
      <c r="C311" s="107"/>
      <c r="D311">
        <v>2025</v>
      </c>
      <c r="E311">
        <v>0</v>
      </c>
      <c r="F311">
        <v>0</v>
      </c>
      <c r="G311">
        <v>0</v>
      </c>
      <c r="H311">
        <v>0</v>
      </c>
      <c r="I311">
        <v>0</v>
      </c>
      <c r="J311" s="107"/>
      <c r="K311" s="107"/>
    </row>
    <row r="312" spans="1:11" ht="17.100000000000001" customHeight="1" outlineLevel="1" x14ac:dyDescent="0.25">
      <c r="A312" s="107" t="s">
        <v>574</v>
      </c>
      <c r="B312" s="107" t="s">
        <v>575</v>
      </c>
      <c r="C312" s="107">
        <v>2021</v>
      </c>
      <c r="D312" t="s">
        <v>8</v>
      </c>
      <c r="E312">
        <f t="shared" si="34"/>
        <v>13210.697336842104</v>
      </c>
      <c r="F312">
        <f>SUM(F313:F317)</f>
        <v>12550.162469999999</v>
      </c>
      <c r="G312">
        <f>SUM(G313:G317)</f>
        <v>0</v>
      </c>
      <c r="H312">
        <f>SUM(H313:H317)</f>
        <v>660.5348668421052</v>
      </c>
      <c r="I312">
        <f>SUM(I313:I317)</f>
        <v>0</v>
      </c>
      <c r="J312" s="107" t="s">
        <v>576</v>
      </c>
      <c r="K312" s="107" t="s">
        <v>547</v>
      </c>
    </row>
    <row r="313" spans="1:11" ht="17.100000000000001" customHeight="1" outlineLevel="1" x14ac:dyDescent="0.25">
      <c r="A313" s="107"/>
      <c r="B313" s="107"/>
      <c r="C313" s="107"/>
      <c r="D313">
        <v>2021</v>
      </c>
      <c r="E313">
        <f t="shared" si="34"/>
        <v>13210.697336842104</v>
      </c>
      <c r="F313">
        <v>12550.162469999999</v>
      </c>
      <c r="G313">
        <v>0</v>
      </c>
      <c r="H313">
        <f>F313/95*5</f>
        <v>660.5348668421052</v>
      </c>
      <c r="I313">
        <v>0</v>
      </c>
      <c r="J313" s="107"/>
      <c r="K313" s="107"/>
    </row>
    <row r="314" spans="1:11" ht="17.100000000000001" customHeight="1" outlineLevel="1" x14ac:dyDescent="0.25">
      <c r="A314" s="107"/>
      <c r="B314" s="107"/>
      <c r="C314" s="107"/>
      <c r="D314">
        <v>2022</v>
      </c>
      <c r="E314">
        <v>0</v>
      </c>
      <c r="F314">
        <v>0</v>
      </c>
      <c r="G314">
        <v>0</v>
      </c>
      <c r="H314">
        <v>0</v>
      </c>
      <c r="I314">
        <v>0</v>
      </c>
      <c r="J314" s="107"/>
      <c r="K314" s="107"/>
    </row>
    <row r="315" spans="1:11" ht="17.100000000000001" customHeight="1" outlineLevel="1" x14ac:dyDescent="0.25">
      <c r="A315" s="107"/>
      <c r="B315" s="107"/>
      <c r="C315" s="107"/>
      <c r="D315">
        <v>2023</v>
      </c>
      <c r="E315">
        <v>0</v>
      </c>
      <c r="F315">
        <v>0</v>
      </c>
      <c r="G315">
        <v>0</v>
      </c>
      <c r="H315">
        <v>0</v>
      </c>
      <c r="I315">
        <v>0</v>
      </c>
      <c r="J315" s="107"/>
      <c r="K315" s="107"/>
    </row>
    <row r="316" spans="1:11" outlineLevel="1" x14ac:dyDescent="0.25">
      <c r="A316" s="107"/>
      <c r="B316" s="107"/>
      <c r="C316" s="107"/>
      <c r="D316">
        <v>2024</v>
      </c>
      <c r="E316">
        <v>0</v>
      </c>
      <c r="F316">
        <v>0</v>
      </c>
      <c r="G316">
        <v>0</v>
      </c>
      <c r="H316">
        <v>0</v>
      </c>
      <c r="I316">
        <v>0</v>
      </c>
      <c r="J316" s="107"/>
      <c r="K316" s="107"/>
    </row>
    <row r="317" spans="1:11" outlineLevel="1" x14ac:dyDescent="0.25">
      <c r="A317" s="107"/>
      <c r="B317" s="107"/>
      <c r="C317" s="107"/>
      <c r="D317">
        <v>2025</v>
      </c>
      <c r="E317">
        <v>0</v>
      </c>
      <c r="F317">
        <v>0</v>
      </c>
      <c r="G317">
        <v>0</v>
      </c>
      <c r="H317">
        <v>0</v>
      </c>
      <c r="I317">
        <v>0</v>
      </c>
      <c r="J317" s="107"/>
      <c r="K317" s="107"/>
    </row>
    <row r="318" spans="1:11" ht="17.100000000000001" customHeight="1" outlineLevel="1" x14ac:dyDescent="0.25">
      <c r="A318" s="107" t="s">
        <v>577</v>
      </c>
      <c r="B318" s="107" t="s">
        <v>578</v>
      </c>
      <c r="C318" s="107">
        <v>2021</v>
      </c>
      <c r="D318" t="s">
        <v>8</v>
      </c>
      <c r="E318">
        <f t="shared" ref="E318:E380" si="36">SUM(F318:I318)</f>
        <v>7451.59</v>
      </c>
      <c r="F318">
        <f>SUM(F319:F323)</f>
        <v>7079.0105000000003</v>
      </c>
      <c r="G318">
        <f>SUM(G319:G323)</f>
        <v>0</v>
      </c>
      <c r="H318">
        <f>SUM(H319:H323)</f>
        <v>372.5795</v>
      </c>
      <c r="I318">
        <f>SUM(I319:I323)</f>
        <v>0</v>
      </c>
      <c r="J318" s="107" t="s">
        <v>579</v>
      </c>
      <c r="K318" s="107" t="s">
        <v>547</v>
      </c>
    </row>
    <row r="319" spans="1:11" ht="17.100000000000001" customHeight="1" outlineLevel="1" x14ac:dyDescent="0.25">
      <c r="A319" s="107"/>
      <c r="B319" s="107"/>
      <c r="C319" s="107"/>
      <c r="D319">
        <v>2021</v>
      </c>
      <c r="E319">
        <f t="shared" si="36"/>
        <v>7451.59</v>
      </c>
      <c r="F319">
        <v>7079.0105000000003</v>
      </c>
      <c r="G319">
        <v>0</v>
      </c>
      <c r="H319">
        <f>F319/95*5</f>
        <v>372.5795</v>
      </c>
      <c r="I319">
        <v>0</v>
      </c>
      <c r="J319" s="107"/>
      <c r="K319" s="107"/>
    </row>
    <row r="320" spans="1:11" ht="17.100000000000001" customHeight="1" outlineLevel="1" x14ac:dyDescent="0.25">
      <c r="A320" s="107"/>
      <c r="B320" s="107"/>
      <c r="C320" s="107"/>
      <c r="D320">
        <v>2022</v>
      </c>
      <c r="E320">
        <v>0</v>
      </c>
      <c r="F320">
        <v>0</v>
      </c>
      <c r="G320">
        <v>0</v>
      </c>
      <c r="H320">
        <v>0</v>
      </c>
      <c r="I320">
        <v>0</v>
      </c>
      <c r="J320" s="107"/>
      <c r="K320" s="107"/>
    </row>
    <row r="321" spans="1:11" ht="17.100000000000001" customHeight="1" outlineLevel="1" x14ac:dyDescent="0.25">
      <c r="A321" s="107"/>
      <c r="B321" s="107"/>
      <c r="C321" s="107"/>
      <c r="D321">
        <v>2023</v>
      </c>
      <c r="E321">
        <v>0</v>
      </c>
      <c r="F321">
        <v>0</v>
      </c>
      <c r="G321">
        <v>0</v>
      </c>
      <c r="H321">
        <v>0</v>
      </c>
      <c r="I321">
        <v>0</v>
      </c>
      <c r="J321" s="107"/>
      <c r="K321" s="107"/>
    </row>
    <row r="322" spans="1:11" outlineLevel="1" x14ac:dyDescent="0.25">
      <c r="A322" s="107"/>
      <c r="B322" s="107"/>
      <c r="C322" s="107"/>
      <c r="D322">
        <v>2024</v>
      </c>
      <c r="E322">
        <v>0</v>
      </c>
      <c r="F322">
        <v>0</v>
      </c>
      <c r="G322">
        <v>0</v>
      </c>
      <c r="H322">
        <v>0</v>
      </c>
      <c r="I322">
        <v>0</v>
      </c>
      <c r="J322" s="107"/>
      <c r="K322" s="107"/>
    </row>
    <row r="323" spans="1:11" outlineLevel="1" x14ac:dyDescent="0.25">
      <c r="A323" s="107"/>
      <c r="B323" s="107"/>
      <c r="C323" s="107"/>
      <c r="D323">
        <v>2025</v>
      </c>
      <c r="E323">
        <v>0</v>
      </c>
      <c r="F323">
        <v>0</v>
      </c>
      <c r="G323">
        <v>0</v>
      </c>
      <c r="H323">
        <v>0</v>
      </c>
      <c r="I323">
        <v>0</v>
      </c>
      <c r="J323" s="107"/>
      <c r="K323" s="107"/>
    </row>
    <row r="324" spans="1:11" ht="17.100000000000001" customHeight="1" outlineLevel="1" x14ac:dyDescent="0.25">
      <c r="A324" s="107" t="s">
        <v>580</v>
      </c>
      <c r="B324" s="107" t="s">
        <v>416</v>
      </c>
      <c r="C324" s="107">
        <v>2021</v>
      </c>
      <c r="D324" t="s">
        <v>8</v>
      </c>
      <c r="E324">
        <f t="shared" si="36"/>
        <v>50013.516600000003</v>
      </c>
      <c r="F324">
        <f>SUM(F325:F329)</f>
        <v>47512.840770000003</v>
      </c>
      <c r="G324">
        <f>SUM(G325:G329)</f>
        <v>0</v>
      </c>
      <c r="H324">
        <f>SUM(H325:H329)</f>
        <v>2500.6758300000001</v>
      </c>
      <c r="I324">
        <f>SUM(I325:I329)</f>
        <v>0</v>
      </c>
      <c r="J324" s="107" t="s">
        <v>581</v>
      </c>
      <c r="K324" s="107" t="s">
        <v>547</v>
      </c>
    </row>
    <row r="325" spans="1:11" ht="17.100000000000001" customHeight="1" outlineLevel="1" x14ac:dyDescent="0.25">
      <c r="A325" s="107"/>
      <c r="B325" s="107"/>
      <c r="C325" s="107"/>
      <c r="D325">
        <v>2021</v>
      </c>
      <c r="E325">
        <f t="shared" si="36"/>
        <v>50013.516600000003</v>
      </c>
      <c r="F325">
        <v>47512.840770000003</v>
      </c>
      <c r="G325">
        <v>0</v>
      </c>
      <c r="H325">
        <f>F325/95*5</f>
        <v>2500.6758300000001</v>
      </c>
      <c r="I325">
        <v>0</v>
      </c>
      <c r="J325" s="107"/>
      <c r="K325" s="107"/>
    </row>
    <row r="326" spans="1:11" ht="17.100000000000001" customHeight="1" outlineLevel="1" x14ac:dyDescent="0.25">
      <c r="A326" s="107"/>
      <c r="B326" s="107"/>
      <c r="C326" s="107"/>
      <c r="D326">
        <v>2022</v>
      </c>
      <c r="E326">
        <v>0</v>
      </c>
      <c r="F326">
        <v>0</v>
      </c>
      <c r="G326">
        <v>0</v>
      </c>
      <c r="H326">
        <v>0</v>
      </c>
      <c r="I326">
        <v>0</v>
      </c>
      <c r="J326" s="107"/>
      <c r="K326" s="107"/>
    </row>
    <row r="327" spans="1:11" ht="17.100000000000001" customHeight="1" outlineLevel="1" x14ac:dyDescent="0.25">
      <c r="A327" s="107"/>
      <c r="B327" s="107"/>
      <c r="C327" s="107"/>
      <c r="D327">
        <v>2023</v>
      </c>
      <c r="E327">
        <v>0</v>
      </c>
      <c r="F327">
        <v>0</v>
      </c>
      <c r="G327">
        <v>0</v>
      </c>
      <c r="H327">
        <v>0</v>
      </c>
      <c r="I327">
        <v>0</v>
      </c>
      <c r="J327" s="107"/>
      <c r="K327" s="107"/>
    </row>
    <row r="328" spans="1:11" outlineLevel="1" x14ac:dyDescent="0.25">
      <c r="A328" s="107"/>
      <c r="B328" s="107"/>
      <c r="C328" s="107"/>
      <c r="D328">
        <v>2024</v>
      </c>
      <c r="E328">
        <v>0</v>
      </c>
      <c r="F328">
        <v>0</v>
      </c>
      <c r="G328">
        <v>0</v>
      </c>
      <c r="H328">
        <v>0</v>
      </c>
      <c r="I328">
        <v>0</v>
      </c>
      <c r="J328" s="107"/>
      <c r="K328" s="107"/>
    </row>
    <row r="329" spans="1:11" outlineLevel="1" x14ac:dyDescent="0.25">
      <c r="A329" s="107"/>
      <c r="B329" s="107"/>
      <c r="C329" s="107"/>
      <c r="D329">
        <v>2025</v>
      </c>
      <c r="E329">
        <v>0</v>
      </c>
      <c r="F329">
        <v>0</v>
      </c>
      <c r="G329">
        <v>0</v>
      </c>
      <c r="H329">
        <v>0</v>
      </c>
      <c r="I329">
        <v>0</v>
      </c>
      <c r="J329" s="107"/>
      <c r="K329" s="107"/>
    </row>
    <row r="330" spans="1:11" ht="17.100000000000001" customHeight="1" outlineLevel="1" x14ac:dyDescent="0.25">
      <c r="A330" s="107" t="s">
        <v>582</v>
      </c>
      <c r="B330" s="107" t="s">
        <v>419</v>
      </c>
      <c r="C330" s="107">
        <v>2021</v>
      </c>
      <c r="D330" t="s">
        <v>8</v>
      </c>
      <c r="E330">
        <f t="shared" si="36"/>
        <v>9928.3460643185299</v>
      </c>
      <c r="F330">
        <f>SUM(F331:F335)</f>
        <v>6483.2099799999996</v>
      </c>
      <c r="G330">
        <f>SUM(G331:G335)</f>
        <v>0</v>
      </c>
      <c r="H330">
        <f>SUM(H331:H335)</f>
        <v>3445.1360843185298</v>
      </c>
      <c r="I330">
        <f>SUM(I331:I335)</f>
        <v>0</v>
      </c>
      <c r="J330" s="107" t="s">
        <v>583</v>
      </c>
      <c r="K330" s="107" t="s">
        <v>547</v>
      </c>
    </row>
    <row r="331" spans="1:11" ht="17.100000000000001" customHeight="1" outlineLevel="1" x14ac:dyDescent="0.25">
      <c r="A331" s="107"/>
      <c r="B331" s="107"/>
      <c r="C331" s="107"/>
      <c r="D331">
        <v>2021</v>
      </c>
      <c r="E331">
        <f t="shared" si="36"/>
        <v>9928.3460643185299</v>
      </c>
      <c r="F331">
        <v>6483.2099799999996</v>
      </c>
      <c r="G331">
        <v>0</v>
      </c>
      <c r="H331">
        <f>F331/65.3*34.7</f>
        <v>3445.1360843185298</v>
      </c>
      <c r="I331">
        <v>0</v>
      </c>
      <c r="J331" s="107"/>
      <c r="K331" s="107"/>
    </row>
    <row r="332" spans="1:11" ht="17.100000000000001" customHeight="1" outlineLevel="1" x14ac:dyDescent="0.25">
      <c r="A332" s="107"/>
      <c r="B332" s="107"/>
      <c r="C332" s="107"/>
      <c r="D332">
        <v>2022</v>
      </c>
      <c r="E332">
        <v>0</v>
      </c>
      <c r="F332">
        <v>0</v>
      </c>
      <c r="G332">
        <v>0</v>
      </c>
      <c r="H332">
        <v>0</v>
      </c>
      <c r="I332">
        <v>0</v>
      </c>
      <c r="J332" s="107"/>
      <c r="K332" s="107"/>
    </row>
    <row r="333" spans="1:11" ht="17.100000000000001" customHeight="1" outlineLevel="1" x14ac:dyDescent="0.25">
      <c r="A333" s="107"/>
      <c r="B333" s="107"/>
      <c r="C333" s="107"/>
      <c r="D333">
        <v>2023</v>
      </c>
      <c r="E333">
        <v>0</v>
      </c>
      <c r="F333">
        <v>0</v>
      </c>
      <c r="G333">
        <v>0</v>
      </c>
      <c r="H333">
        <v>0</v>
      </c>
      <c r="I333">
        <v>0</v>
      </c>
      <c r="J333" s="107"/>
      <c r="K333" s="107"/>
    </row>
    <row r="334" spans="1:11" outlineLevel="1" x14ac:dyDescent="0.25">
      <c r="A334" s="107"/>
      <c r="B334" s="107"/>
      <c r="C334" s="107"/>
      <c r="D334">
        <v>2024</v>
      </c>
      <c r="E334">
        <v>0</v>
      </c>
      <c r="F334">
        <v>0</v>
      </c>
      <c r="G334">
        <v>0</v>
      </c>
      <c r="H334">
        <v>0</v>
      </c>
      <c r="I334">
        <v>0</v>
      </c>
      <c r="J334" s="107"/>
      <c r="K334" s="107"/>
    </row>
    <row r="335" spans="1:11" outlineLevel="1" x14ac:dyDescent="0.25">
      <c r="A335" s="107"/>
      <c r="B335" s="107"/>
      <c r="C335" s="107"/>
      <c r="D335">
        <v>2025</v>
      </c>
      <c r="E335">
        <v>0</v>
      </c>
      <c r="F335">
        <v>0</v>
      </c>
      <c r="G335">
        <v>0</v>
      </c>
      <c r="H335">
        <v>0</v>
      </c>
      <c r="I335">
        <v>0</v>
      </c>
      <c r="J335" s="107"/>
      <c r="K335" s="107"/>
    </row>
    <row r="336" spans="1:11" ht="16.5" hidden="1" customHeight="1" outlineLevel="1" x14ac:dyDescent="0.25">
      <c r="A336" s="107" t="s">
        <v>584</v>
      </c>
      <c r="B336" s="107" t="s">
        <v>424</v>
      </c>
      <c r="C336" s="107">
        <v>2021</v>
      </c>
      <c r="D336" t="s">
        <v>8</v>
      </c>
      <c r="E336">
        <f t="shared" si="36"/>
        <v>0</v>
      </c>
      <c r="F336">
        <f>SUM(F337:F341)</f>
        <v>0</v>
      </c>
      <c r="G336">
        <f>SUM(G337:G341)</f>
        <v>0</v>
      </c>
      <c r="H336">
        <f>SUM(H337:H341)</f>
        <v>0</v>
      </c>
      <c r="I336">
        <f>SUM(I337:I341)</f>
        <v>0</v>
      </c>
      <c r="J336" s="107" t="s">
        <v>585</v>
      </c>
      <c r="K336" s="107" t="s">
        <v>103</v>
      </c>
    </row>
    <row r="337" spans="1:11" ht="16.5" hidden="1" customHeight="1" outlineLevel="1" x14ac:dyDescent="0.25">
      <c r="A337" s="107"/>
      <c r="B337" s="107"/>
      <c r="C337" s="107"/>
      <c r="D337">
        <v>2021</v>
      </c>
      <c r="E337">
        <f t="shared" si="36"/>
        <v>0</v>
      </c>
      <c r="F337">
        <v>0</v>
      </c>
      <c r="G337">
        <v>0</v>
      </c>
      <c r="H337">
        <f>F337/95*5</f>
        <v>0</v>
      </c>
      <c r="I337">
        <v>0</v>
      </c>
      <c r="J337" s="107"/>
      <c r="K337" s="107"/>
    </row>
    <row r="338" spans="1:11" ht="16.5" hidden="1" customHeight="1" outlineLevel="1" x14ac:dyDescent="0.25">
      <c r="A338" s="107"/>
      <c r="B338" s="107"/>
      <c r="C338" s="107"/>
      <c r="D338">
        <v>2022</v>
      </c>
      <c r="E338">
        <v>0</v>
      </c>
      <c r="F338">
        <v>0</v>
      </c>
      <c r="G338">
        <v>0</v>
      </c>
      <c r="H338">
        <v>0</v>
      </c>
      <c r="I338">
        <v>0</v>
      </c>
      <c r="J338" s="107"/>
      <c r="K338" s="107"/>
    </row>
    <row r="339" spans="1:11" ht="16.5" hidden="1" customHeight="1" outlineLevel="1" x14ac:dyDescent="0.25">
      <c r="A339" s="107"/>
      <c r="B339" s="107"/>
      <c r="C339" s="107"/>
      <c r="D339">
        <v>2023</v>
      </c>
      <c r="E339">
        <v>0</v>
      </c>
      <c r="F339">
        <v>0</v>
      </c>
      <c r="G339">
        <v>0</v>
      </c>
      <c r="H339">
        <v>0</v>
      </c>
      <c r="I339">
        <v>0</v>
      </c>
      <c r="J339" s="107"/>
      <c r="K339" s="107"/>
    </row>
    <row r="340" spans="1:11" hidden="1" outlineLevel="1" x14ac:dyDescent="0.25">
      <c r="A340" s="107"/>
      <c r="B340" s="107"/>
      <c r="C340" s="107"/>
      <c r="D340">
        <v>2024</v>
      </c>
      <c r="E340">
        <v>0</v>
      </c>
      <c r="F340">
        <v>0</v>
      </c>
      <c r="G340">
        <v>0</v>
      </c>
      <c r="H340">
        <v>0</v>
      </c>
      <c r="I340">
        <v>0</v>
      </c>
      <c r="J340" s="107"/>
      <c r="K340" s="107"/>
    </row>
    <row r="341" spans="1:11" hidden="1" outlineLevel="1" x14ac:dyDescent="0.25">
      <c r="A341" s="107"/>
      <c r="B341" s="107"/>
      <c r="C341" s="107"/>
      <c r="D341">
        <v>2025</v>
      </c>
      <c r="E341">
        <v>0</v>
      </c>
      <c r="F341">
        <v>0</v>
      </c>
      <c r="G341">
        <v>0</v>
      </c>
      <c r="H341">
        <v>0</v>
      </c>
      <c r="I341">
        <v>0</v>
      </c>
      <c r="J341" s="107"/>
      <c r="K341" s="107"/>
    </row>
    <row r="342" spans="1:11" ht="15" customHeight="1" outlineLevel="1" x14ac:dyDescent="0.25">
      <c r="A342" s="107" t="s">
        <v>586</v>
      </c>
      <c r="B342" s="107" t="s">
        <v>587</v>
      </c>
      <c r="C342" s="107">
        <v>2021</v>
      </c>
      <c r="D342" t="s">
        <v>8</v>
      </c>
      <c r="E342">
        <f t="shared" si="36"/>
        <v>26585.427536842104</v>
      </c>
      <c r="F342">
        <f>SUM(F343:F347)</f>
        <v>25256.156159999999</v>
      </c>
      <c r="G342">
        <f>SUM(G343:G347)</f>
        <v>0</v>
      </c>
      <c r="H342">
        <f>SUM(H343:H347)</f>
        <v>1329.2713768421052</v>
      </c>
      <c r="I342">
        <f>SUM(I343:I347)</f>
        <v>0</v>
      </c>
      <c r="J342" s="107" t="s">
        <v>588</v>
      </c>
      <c r="K342" s="107" t="s">
        <v>547</v>
      </c>
    </row>
    <row r="343" spans="1:11" ht="15" customHeight="1" outlineLevel="1" x14ac:dyDescent="0.25">
      <c r="A343" s="107"/>
      <c r="B343" s="107"/>
      <c r="C343" s="107"/>
      <c r="D343">
        <v>2021</v>
      </c>
      <c r="E343">
        <f t="shared" si="36"/>
        <v>26585.427536842104</v>
      </c>
      <c r="F343">
        <v>25256.156159999999</v>
      </c>
      <c r="G343">
        <v>0</v>
      </c>
      <c r="H343">
        <f>F343/95*5</f>
        <v>1329.2713768421052</v>
      </c>
      <c r="I343">
        <v>0</v>
      </c>
      <c r="J343" s="107"/>
      <c r="K343" s="107"/>
    </row>
    <row r="344" spans="1:11" ht="15" customHeight="1" outlineLevel="1" x14ac:dyDescent="0.25">
      <c r="A344" s="107"/>
      <c r="B344" s="107"/>
      <c r="C344" s="107"/>
      <c r="D344">
        <v>2022</v>
      </c>
      <c r="E344">
        <v>0</v>
      </c>
      <c r="F344">
        <v>0</v>
      </c>
      <c r="G344">
        <v>0</v>
      </c>
      <c r="H344">
        <v>0</v>
      </c>
      <c r="I344">
        <v>0</v>
      </c>
      <c r="J344" s="107"/>
      <c r="K344" s="107"/>
    </row>
    <row r="345" spans="1:11" ht="15" customHeight="1" outlineLevel="1" x14ac:dyDescent="0.25">
      <c r="A345" s="107"/>
      <c r="B345" s="107"/>
      <c r="C345" s="107"/>
      <c r="D345">
        <v>2023</v>
      </c>
      <c r="E345">
        <v>0</v>
      </c>
      <c r="F345">
        <v>0</v>
      </c>
      <c r="G345">
        <v>0</v>
      </c>
      <c r="H345">
        <v>0</v>
      </c>
      <c r="I345">
        <v>0</v>
      </c>
      <c r="J345" s="107"/>
      <c r="K345" s="107"/>
    </row>
    <row r="346" spans="1:11" ht="15" customHeight="1" outlineLevel="1" x14ac:dyDescent="0.25">
      <c r="A346" s="107"/>
      <c r="B346" s="107"/>
      <c r="C346" s="107"/>
      <c r="D346">
        <v>2024</v>
      </c>
      <c r="E346">
        <v>0</v>
      </c>
      <c r="F346">
        <v>0</v>
      </c>
      <c r="G346">
        <v>0</v>
      </c>
      <c r="H346">
        <v>0</v>
      </c>
      <c r="I346">
        <v>0</v>
      </c>
      <c r="J346" s="107"/>
      <c r="K346" s="107"/>
    </row>
    <row r="347" spans="1:11" ht="15" customHeight="1" outlineLevel="1" x14ac:dyDescent="0.25">
      <c r="A347" s="107"/>
      <c r="B347" s="107"/>
      <c r="C347" s="107"/>
      <c r="D347">
        <v>2025</v>
      </c>
      <c r="E347">
        <v>0</v>
      </c>
      <c r="F347">
        <v>0</v>
      </c>
      <c r="G347">
        <v>0</v>
      </c>
      <c r="H347">
        <v>0</v>
      </c>
      <c r="I347">
        <v>0</v>
      </c>
      <c r="J347" s="107"/>
      <c r="K347" s="107"/>
    </row>
    <row r="348" spans="1:11" ht="15" customHeight="1" outlineLevel="1" x14ac:dyDescent="0.25">
      <c r="A348" s="107" t="s">
        <v>589</v>
      </c>
      <c r="B348" s="107" t="s">
        <v>590</v>
      </c>
      <c r="C348" s="107">
        <v>2021</v>
      </c>
      <c r="D348" t="s">
        <v>8</v>
      </c>
      <c r="E348">
        <f t="shared" si="36"/>
        <v>2270.6600000000003</v>
      </c>
      <c r="F348">
        <f>SUM(F349:F353)</f>
        <v>2100.36</v>
      </c>
      <c r="G348">
        <f>SUM(G349:G353)</f>
        <v>0</v>
      </c>
      <c r="H348">
        <f>SUM(H349:H353)</f>
        <v>170.3</v>
      </c>
      <c r="I348">
        <f>SUM(I349:I353)</f>
        <v>0</v>
      </c>
      <c r="J348" s="107" t="s">
        <v>591</v>
      </c>
      <c r="K348" s="107" t="s">
        <v>547</v>
      </c>
    </row>
    <row r="349" spans="1:11" ht="15" customHeight="1" outlineLevel="1" x14ac:dyDescent="0.25">
      <c r="A349" s="107"/>
      <c r="B349" s="107"/>
      <c r="C349" s="107"/>
      <c r="D349">
        <v>2021</v>
      </c>
      <c r="E349">
        <f t="shared" si="36"/>
        <v>2270.6600000000003</v>
      </c>
      <c r="F349">
        <v>2100.36</v>
      </c>
      <c r="G349">
        <v>0</v>
      </c>
      <c r="H349">
        <v>170.3</v>
      </c>
      <c r="I349">
        <v>0</v>
      </c>
      <c r="J349" s="107"/>
      <c r="K349" s="107"/>
    </row>
    <row r="350" spans="1:11" ht="15" customHeight="1" outlineLevel="1" x14ac:dyDescent="0.25">
      <c r="A350" s="107"/>
      <c r="B350" s="107"/>
      <c r="C350" s="107"/>
      <c r="D350">
        <v>2022</v>
      </c>
      <c r="E350">
        <f t="shared" si="36"/>
        <v>0</v>
      </c>
      <c r="F350">
        <v>0</v>
      </c>
      <c r="G350">
        <v>0</v>
      </c>
      <c r="H350">
        <v>0</v>
      </c>
      <c r="I350">
        <v>0</v>
      </c>
      <c r="J350" s="107"/>
      <c r="K350" s="107"/>
    </row>
    <row r="351" spans="1:11" ht="15" customHeight="1" outlineLevel="1" x14ac:dyDescent="0.25">
      <c r="A351" s="107"/>
      <c r="B351" s="107"/>
      <c r="C351" s="107"/>
      <c r="D351">
        <v>2023</v>
      </c>
      <c r="E351">
        <f t="shared" si="36"/>
        <v>0</v>
      </c>
      <c r="F351">
        <v>0</v>
      </c>
      <c r="G351">
        <v>0</v>
      </c>
      <c r="H351">
        <v>0</v>
      </c>
      <c r="I351">
        <v>0</v>
      </c>
      <c r="J351" s="107"/>
      <c r="K351" s="107"/>
    </row>
    <row r="352" spans="1:11" ht="15" customHeight="1" outlineLevel="1" x14ac:dyDescent="0.25">
      <c r="A352" s="107"/>
      <c r="B352" s="107"/>
      <c r="C352" s="107"/>
      <c r="D352">
        <v>2024</v>
      </c>
      <c r="E352">
        <f t="shared" si="36"/>
        <v>0</v>
      </c>
      <c r="F352">
        <v>0</v>
      </c>
      <c r="G352">
        <v>0</v>
      </c>
      <c r="H352">
        <v>0</v>
      </c>
      <c r="I352">
        <v>0</v>
      </c>
      <c r="J352" s="107"/>
      <c r="K352" s="107"/>
    </row>
    <row r="353" spans="1:11" ht="14.25" customHeight="1" outlineLevel="1" x14ac:dyDescent="0.25">
      <c r="A353" s="107"/>
      <c r="B353" s="107"/>
      <c r="C353" s="107"/>
      <c r="D353">
        <v>2025</v>
      </c>
      <c r="E353">
        <f t="shared" si="36"/>
        <v>0</v>
      </c>
      <c r="F353">
        <v>0</v>
      </c>
      <c r="G353">
        <v>0</v>
      </c>
      <c r="H353">
        <v>0</v>
      </c>
      <c r="I353">
        <v>0</v>
      </c>
      <c r="J353" s="107"/>
      <c r="K353" s="107"/>
    </row>
    <row r="354" spans="1:11" ht="15" hidden="1" customHeight="1" outlineLevel="1" x14ac:dyDescent="0.25">
      <c r="A354" s="107" t="s">
        <v>592</v>
      </c>
      <c r="B354" s="107" t="s">
        <v>593</v>
      </c>
      <c r="C354" s="107">
        <v>2021</v>
      </c>
      <c r="D354" t="s">
        <v>8</v>
      </c>
      <c r="J354" s="107" t="s">
        <v>594</v>
      </c>
      <c r="K354" s="107" t="s">
        <v>103</v>
      </c>
    </row>
    <row r="355" spans="1:11" ht="14.25" hidden="1" customHeight="1" outlineLevel="1" x14ac:dyDescent="0.25">
      <c r="A355" s="107"/>
      <c r="B355" s="107"/>
      <c r="C355" s="107"/>
      <c r="D355">
        <v>2021</v>
      </c>
      <c r="J355" s="107"/>
      <c r="K355" s="107"/>
    </row>
    <row r="356" spans="1:11" ht="12.75" hidden="1" customHeight="1" outlineLevel="1" x14ac:dyDescent="0.25">
      <c r="A356" s="107"/>
      <c r="B356" s="107"/>
      <c r="C356" s="107"/>
      <c r="D356">
        <v>2022</v>
      </c>
      <c r="J356" s="107"/>
      <c r="K356" s="107"/>
    </row>
    <row r="357" spans="1:11" ht="12.75" hidden="1" customHeight="1" outlineLevel="1" x14ac:dyDescent="0.25">
      <c r="A357" s="107"/>
      <c r="B357" s="107"/>
      <c r="C357" s="107"/>
      <c r="D357">
        <v>2023</v>
      </c>
      <c r="J357" s="107"/>
      <c r="K357" s="107"/>
    </row>
    <row r="358" spans="1:11" ht="12.75" hidden="1" customHeight="1" outlineLevel="1" x14ac:dyDescent="0.25">
      <c r="A358" s="107"/>
      <c r="B358" s="107"/>
      <c r="C358" s="107"/>
      <c r="D358">
        <v>2024</v>
      </c>
      <c r="J358" s="107"/>
      <c r="K358" s="107"/>
    </row>
    <row r="359" spans="1:11" ht="20.25" hidden="1" customHeight="1" outlineLevel="1" x14ac:dyDescent="0.25">
      <c r="A359" s="107"/>
      <c r="B359" s="107"/>
      <c r="C359" s="107"/>
      <c r="D359">
        <v>2025</v>
      </c>
      <c r="J359" s="107"/>
      <c r="K359" s="107"/>
    </row>
    <row r="360" spans="1:11" ht="12.75" customHeight="1" outlineLevel="1" x14ac:dyDescent="0.25">
      <c r="A360" s="107" t="s">
        <v>592</v>
      </c>
      <c r="B360" s="107" t="s">
        <v>595</v>
      </c>
      <c r="C360" s="107">
        <v>2021</v>
      </c>
      <c r="D360" t="s">
        <v>8</v>
      </c>
      <c r="E360">
        <f t="shared" si="36"/>
        <v>470</v>
      </c>
      <c r="F360">
        <f>SUM(F361:F365)</f>
        <v>470</v>
      </c>
      <c r="G360">
        <f>SUM(G361:G365)</f>
        <v>0</v>
      </c>
      <c r="H360">
        <f>SUM(H361:H365)</f>
        <v>0</v>
      </c>
      <c r="I360">
        <f>SUM(I361:I365)</f>
        <v>0</v>
      </c>
      <c r="J360" s="107" t="s">
        <v>596</v>
      </c>
      <c r="K360" s="107" t="s">
        <v>597</v>
      </c>
    </row>
    <row r="361" spans="1:11" ht="12.75" customHeight="1" outlineLevel="1" x14ac:dyDescent="0.25">
      <c r="A361" s="107"/>
      <c r="B361" s="107"/>
      <c r="C361" s="107"/>
      <c r="D361">
        <v>2021</v>
      </c>
      <c r="E361">
        <f t="shared" si="36"/>
        <v>470</v>
      </c>
      <c r="F361">
        <v>470</v>
      </c>
      <c r="G361">
        <v>0</v>
      </c>
      <c r="H361">
        <v>0</v>
      </c>
      <c r="I361">
        <v>0</v>
      </c>
      <c r="J361" s="107"/>
      <c r="K361" s="107"/>
    </row>
    <row r="362" spans="1:11" ht="12.75" customHeight="1" outlineLevel="1" x14ac:dyDescent="0.25">
      <c r="A362" s="107"/>
      <c r="B362" s="107"/>
      <c r="C362" s="107"/>
      <c r="D362">
        <v>2022</v>
      </c>
      <c r="E362">
        <f t="shared" si="36"/>
        <v>0</v>
      </c>
      <c r="F362">
        <v>0</v>
      </c>
      <c r="G362">
        <v>0</v>
      </c>
      <c r="H362">
        <v>0</v>
      </c>
      <c r="I362">
        <v>0</v>
      </c>
      <c r="J362" s="107"/>
      <c r="K362" s="107"/>
    </row>
    <row r="363" spans="1:11" ht="12.75" customHeight="1" outlineLevel="1" x14ac:dyDescent="0.25">
      <c r="A363" s="107"/>
      <c r="B363" s="107"/>
      <c r="C363" s="107"/>
      <c r="D363">
        <v>2023</v>
      </c>
      <c r="E363">
        <f t="shared" si="36"/>
        <v>0</v>
      </c>
      <c r="F363">
        <v>0</v>
      </c>
      <c r="G363">
        <v>0</v>
      </c>
      <c r="H363">
        <v>0</v>
      </c>
      <c r="I363">
        <v>0</v>
      </c>
      <c r="J363" s="107"/>
      <c r="K363" s="107"/>
    </row>
    <row r="364" spans="1:11" ht="12.75" customHeight="1" outlineLevel="1" x14ac:dyDescent="0.25">
      <c r="A364" s="107"/>
      <c r="B364" s="107"/>
      <c r="C364" s="107"/>
      <c r="D364">
        <v>2024</v>
      </c>
      <c r="E364">
        <f t="shared" si="36"/>
        <v>0</v>
      </c>
      <c r="F364">
        <v>0</v>
      </c>
      <c r="G364">
        <v>0</v>
      </c>
      <c r="H364">
        <v>0</v>
      </c>
      <c r="I364">
        <v>0</v>
      </c>
      <c r="J364" s="107"/>
      <c r="K364" s="107"/>
    </row>
    <row r="365" spans="1:11" ht="12.75" customHeight="1" outlineLevel="1" x14ac:dyDescent="0.25">
      <c r="A365" s="107"/>
      <c r="B365" s="107"/>
      <c r="C365" s="107"/>
      <c r="D365">
        <v>2025</v>
      </c>
      <c r="E365">
        <f t="shared" si="36"/>
        <v>0</v>
      </c>
      <c r="F365">
        <v>0</v>
      </c>
      <c r="G365">
        <v>0</v>
      </c>
      <c r="H365">
        <v>0</v>
      </c>
      <c r="I365">
        <v>0</v>
      </c>
      <c r="J365" s="107"/>
      <c r="K365" s="107"/>
    </row>
    <row r="366" spans="1:11" ht="12.75" customHeight="1" outlineLevel="1" x14ac:dyDescent="0.25">
      <c r="A366" s="107" t="s">
        <v>598</v>
      </c>
      <c r="B366" s="107" t="s">
        <v>599</v>
      </c>
      <c r="C366" s="107">
        <v>2021</v>
      </c>
      <c r="D366" t="s">
        <v>8</v>
      </c>
      <c r="E366">
        <f t="shared" si="36"/>
        <v>8226.4694736842102</v>
      </c>
      <c r="F366">
        <f>SUM(F367:F371)</f>
        <v>7815.1459999999997</v>
      </c>
      <c r="G366">
        <f>SUM(G367:G371)</f>
        <v>0</v>
      </c>
      <c r="H366">
        <f>SUM(H367:H371)</f>
        <v>411.32347368421051</v>
      </c>
      <c r="I366">
        <f>SUM(I367:I371)</f>
        <v>0</v>
      </c>
      <c r="J366" s="107" t="s">
        <v>600</v>
      </c>
      <c r="K366" s="107" t="s">
        <v>547</v>
      </c>
    </row>
    <row r="367" spans="1:11" ht="12.75" customHeight="1" outlineLevel="1" x14ac:dyDescent="0.25">
      <c r="A367" s="107"/>
      <c r="B367" s="107"/>
      <c r="C367" s="107"/>
      <c r="D367">
        <v>2021</v>
      </c>
      <c r="E367">
        <f t="shared" si="36"/>
        <v>8226.4694736842102</v>
      </c>
      <c r="F367">
        <v>7815.1459999999997</v>
      </c>
      <c r="G367">
        <v>0</v>
      </c>
      <c r="H367">
        <f>F367/95*5</f>
        <v>411.32347368421051</v>
      </c>
      <c r="I367">
        <v>0</v>
      </c>
      <c r="J367" s="107"/>
      <c r="K367" s="107"/>
    </row>
    <row r="368" spans="1:11" ht="12.75" customHeight="1" outlineLevel="1" x14ac:dyDescent="0.25">
      <c r="A368" s="107"/>
      <c r="B368" s="107"/>
      <c r="C368" s="107"/>
      <c r="D368">
        <v>2022</v>
      </c>
      <c r="E368">
        <f t="shared" si="36"/>
        <v>0</v>
      </c>
      <c r="F368">
        <v>0</v>
      </c>
      <c r="G368">
        <v>0</v>
      </c>
      <c r="H368">
        <v>0</v>
      </c>
      <c r="I368">
        <v>0</v>
      </c>
      <c r="J368" s="107"/>
      <c r="K368" s="107"/>
    </row>
    <row r="369" spans="1:11" ht="12.75" customHeight="1" outlineLevel="1" x14ac:dyDescent="0.25">
      <c r="A369" s="107"/>
      <c r="B369" s="107"/>
      <c r="C369" s="107"/>
      <c r="D369">
        <v>2023</v>
      </c>
      <c r="E369">
        <f t="shared" si="36"/>
        <v>0</v>
      </c>
      <c r="F369">
        <v>0</v>
      </c>
      <c r="G369">
        <v>0</v>
      </c>
      <c r="H369">
        <v>0</v>
      </c>
      <c r="I369">
        <v>0</v>
      </c>
      <c r="J369" s="107"/>
      <c r="K369" s="107"/>
    </row>
    <row r="370" spans="1:11" ht="12.75" customHeight="1" outlineLevel="1" x14ac:dyDescent="0.25">
      <c r="A370" s="107"/>
      <c r="B370" s="107"/>
      <c r="C370" s="107"/>
      <c r="D370">
        <v>2024</v>
      </c>
      <c r="E370">
        <f t="shared" si="36"/>
        <v>0</v>
      </c>
      <c r="F370">
        <v>0</v>
      </c>
      <c r="G370">
        <v>0</v>
      </c>
      <c r="H370">
        <v>0</v>
      </c>
      <c r="I370">
        <v>0</v>
      </c>
      <c r="J370" s="107"/>
      <c r="K370" s="107"/>
    </row>
    <row r="371" spans="1:11" ht="12.75" customHeight="1" outlineLevel="1" x14ac:dyDescent="0.25">
      <c r="A371" s="107"/>
      <c r="B371" s="107"/>
      <c r="C371" s="107"/>
      <c r="D371">
        <v>2025</v>
      </c>
      <c r="E371">
        <f t="shared" si="36"/>
        <v>0</v>
      </c>
      <c r="F371">
        <v>0</v>
      </c>
      <c r="G371">
        <v>0</v>
      </c>
      <c r="H371">
        <v>0</v>
      </c>
      <c r="I371">
        <v>0</v>
      </c>
      <c r="J371" s="107"/>
      <c r="K371" s="107"/>
    </row>
    <row r="372" spans="1:11" ht="16.5" customHeight="1" outlineLevel="1" x14ac:dyDescent="0.25">
      <c r="A372" s="107" t="s">
        <v>612</v>
      </c>
      <c r="B372" s="107" t="s">
        <v>613</v>
      </c>
      <c r="C372" s="107">
        <v>2021</v>
      </c>
      <c r="D372" t="s">
        <v>8</v>
      </c>
      <c r="E372">
        <f t="shared" si="36"/>
        <v>15056.631578947368</v>
      </c>
      <c r="F372">
        <f>SUM(F373:F377)</f>
        <v>14303.8</v>
      </c>
      <c r="G372">
        <f>SUM(G373:G377)</f>
        <v>0</v>
      </c>
      <c r="H372">
        <f>SUM(H373:H377)</f>
        <v>752.83157894736837</v>
      </c>
      <c r="I372">
        <f t="shared" ref="I372:I378" si="37">SUM(I373:I377)</f>
        <v>0</v>
      </c>
      <c r="J372" s="107" t="s">
        <v>614</v>
      </c>
      <c r="K372" s="107" t="s">
        <v>547</v>
      </c>
    </row>
    <row r="373" spans="1:11" ht="16.5" customHeight="1" outlineLevel="1" x14ac:dyDescent="0.25">
      <c r="A373" s="107"/>
      <c r="B373" s="107"/>
      <c r="C373" s="107"/>
      <c r="D373">
        <v>2021</v>
      </c>
      <c r="E373">
        <f t="shared" si="36"/>
        <v>15056.631578947368</v>
      </c>
      <c r="F373">
        <v>14303.8</v>
      </c>
      <c r="G373">
        <v>0</v>
      </c>
      <c r="H373">
        <f>F373/95*5</f>
        <v>752.83157894736837</v>
      </c>
      <c r="I373">
        <f t="shared" si="37"/>
        <v>0</v>
      </c>
      <c r="J373" s="107"/>
      <c r="K373" s="107"/>
    </row>
    <row r="374" spans="1:11" ht="16.5" customHeight="1" outlineLevel="1" x14ac:dyDescent="0.25">
      <c r="A374" s="107"/>
      <c r="B374" s="107"/>
      <c r="C374" s="107"/>
      <c r="D374">
        <v>2022</v>
      </c>
      <c r="E374">
        <f t="shared" si="36"/>
        <v>0</v>
      </c>
      <c r="F374">
        <v>0</v>
      </c>
      <c r="G374">
        <v>0</v>
      </c>
      <c r="H374">
        <v>0</v>
      </c>
      <c r="I374">
        <v>0</v>
      </c>
      <c r="J374" s="107"/>
      <c r="K374" s="107"/>
    </row>
    <row r="375" spans="1:11" ht="16.5" customHeight="1" outlineLevel="1" x14ac:dyDescent="0.25">
      <c r="A375" s="107"/>
      <c r="B375" s="107"/>
      <c r="C375" s="107"/>
      <c r="D375">
        <v>2023</v>
      </c>
      <c r="E375">
        <f t="shared" si="36"/>
        <v>0</v>
      </c>
      <c r="F375">
        <v>0</v>
      </c>
      <c r="G375">
        <v>0</v>
      </c>
      <c r="H375">
        <v>0</v>
      </c>
      <c r="I375">
        <v>0</v>
      </c>
      <c r="J375" s="107"/>
      <c r="K375" s="107"/>
    </row>
    <row r="376" spans="1:11" ht="16.5" customHeight="1" outlineLevel="1" x14ac:dyDescent="0.25">
      <c r="A376" s="107"/>
      <c r="B376" s="107"/>
      <c r="C376" s="107"/>
      <c r="D376">
        <v>2024</v>
      </c>
      <c r="E376">
        <f t="shared" si="36"/>
        <v>0</v>
      </c>
      <c r="F376">
        <v>0</v>
      </c>
      <c r="G376">
        <v>0</v>
      </c>
      <c r="H376">
        <v>0</v>
      </c>
      <c r="I376">
        <v>0</v>
      </c>
      <c r="J376" s="107"/>
      <c r="K376" s="107"/>
    </row>
    <row r="377" spans="1:11" ht="16.5" customHeight="1" outlineLevel="1" x14ac:dyDescent="0.25">
      <c r="A377" s="107"/>
      <c r="B377" s="107"/>
      <c r="C377" s="107"/>
      <c r="D377">
        <v>2025</v>
      </c>
      <c r="E377">
        <f t="shared" si="36"/>
        <v>0</v>
      </c>
      <c r="F377">
        <v>0</v>
      </c>
      <c r="G377">
        <v>0</v>
      </c>
      <c r="H377">
        <v>0</v>
      </c>
      <c r="I377">
        <v>0</v>
      </c>
      <c r="J377" s="107"/>
      <c r="K377" s="107"/>
    </row>
    <row r="378" spans="1:11" ht="12.75" customHeight="1" outlineLevel="1" x14ac:dyDescent="0.25">
      <c r="A378" s="107" t="s">
        <v>116</v>
      </c>
      <c r="B378" s="107" t="s">
        <v>40</v>
      </c>
      <c r="C378" s="107" t="s">
        <v>41</v>
      </c>
      <c r="D378" t="s">
        <v>8</v>
      </c>
      <c r="E378">
        <f t="shared" si="36"/>
        <v>841463.16291684215</v>
      </c>
      <c r="F378">
        <f>SUM(F379:F383)</f>
        <v>322883.04746000003</v>
      </c>
      <c r="G378">
        <f>SUM(G379:G383)</f>
        <v>502391</v>
      </c>
      <c r="H378">
        <f>SUM(H379:H383)</f>
        <v>16189.115456842106</v>
      </c>
      <c r="I378">
        <f t="shared" si="37"/>
        <v>0</v>
      </c>
      <c r="J378" s="107" t="s">
        <v>117</v>
      </c>
      <c r="K378" s="107" t="s">
        <v>601</v>
      </c>
    </row>
    <row r="379" spans="1:11" outlineLevel="1" x14ac:dyDescent="0.25">
      <c r="A379" s="107"/>
      <c r="B379" s="107"/>
      <c r="C379" s="107"/>
      <c r="D379">
        <v>2021</v>
      </c>
      <c r="E379">
        <f t="shared" si="36"/>
        <v>277471.33299000002</v>
      </c>
      <c r="F379">
        <f>F385+F391+F397+F403</f>
        <v>19160.860530000002</v>
      </c>
      <c r="G379">
        <f t="shared" ref="F379:I383" si="38">G385+G391+G397+G403</f>
        <v>257488.7</v>
      </c>
      <c r="H379">
        <f t="shared" si="38"/>
        <v>821.77245999999991</v>
      </c>
      <c r="I379">
        <f t="shared" si="38"/>
        <v>0</v>
      </c>
      <c r="J379" s="107"/>
      <c r="K379" s="107"/>
    </row>
    <row r="380" spans="1:11" outlineLevel="1" x14ac:dyDescent="0.25">
      <c r="A380" s="107"/>
      <c r="B380" s="107"/>
      <c r="C380" s="107"/>
      <c r="D380">
        <v>2022</v>
      </c>
      <c r="E380">
        <f t="shared" si="36"/>
        <v>420368.93519000005</v>
      </c>
      <c r="F380">
        <f t="shared" si="38"/>
        <v>287896.88693000004</v>
      </c>
      <c r="G380">
        <f t="shared" si="38"/>
        <v>117511.3</v>
      </c>
      <c r="H380">
        <f t="shared" si="38"/>
        <v>14960.74826</v>
      </c>
      <c r="I380">
        <f t="shared" si="38"/>
        <v>0</v>
      </c>
      <c r="J380" s="107"/>
      <c r="K380" s="107"/>
    </row>
    <row r="381" spans="1:11" outlineLevel="1" x14ac:dyDescent="0.25">
      <c r="A381" s="107"/>
      <c r="B381" s="107"/>
      <c r="C381" s="107"/>
      <c r="D381">
        <v>2023</v>
      </c>
      <c r="E381">
        <f t="shared" ref="E381:E425" si="39">SUM(F381:I381)</f>
        <v>139572.89473684211</v>
      </c>
      <c r="F381">
        <f t="shared" si="38"/>
        <v>11775.3</v>
      </c>
      <c r="G381">
        <f t="shared" si="38"/>
        <v>127391</v>
      </c>
      <c r="H381">
        <f t="shared" si="38"/>
        <v>406.59473684210525</v>
      </c>
      <c r="I381">
        <f t="shared" si="38"/>
        <v>0</v>
      </c>
      <c r="J381" s="107"/>
      <c r="K381" s="107"/>
    </row>
    <row r="382" spans="1:11" outlineLevel="1" x14ac:dyDescent="0.25">
      <c r="A382" s="107"/>
      <c r="B382" s="107"/>
      <c r="C382" s="107"/>
      <c r="D382">
        <v>2024</v>
      </c>
      <c r="E382">
        <f t="shared" si="39"/>
        <v>4050</v>
      </c>
      <c r="F382">
        <f t="shared" si="38"/>
        <v>4050</v>
      </c>
      <c r="G382">
        <f t="shared" si="38"/>
        <v>0</v>
      </c>
      <c r="H382">
        <f t="shared" si="38"/>
        <v>0</v>
      </c>
      <c r="I382">
        <f t="shared" si="38"/>
        <v>0</v>
      </c>
      <c r="J382" s="107"/>
      <c r="K382" s="107"/>
    </row>
    <row r="383" spans="1:11" outlineLevel="1" x14ac:dyDescent="0.25">
      <c r="A383" s="107"/>
      <c r="B383" s="107"/>
      <c r="C383" s="107"/>
      <c r="D383">
        <v>2025</v>
      </c>
      <c r="E383">
        <f t="shared" si="39"/>
        <v>0</v>
      </c>
      <c r="F383">
        <f t="shared" si="38"/>
        <v>0</v>
      </c>
      <c r="G383">
        <f t="shared" si="38"/>
        <v>0</v>
      </c>
      <c r="H383">
        <f t="shared" si="38"/>
        <v>0</v>
      </c>
      <c r="I383">
        <f>I389+I395+I401+I407</f>
        <v>0</v>
      </c>
      <c r="J383" s="107"/>
      <c r="K383" s="107"/>
    </row>
    <row r="384" spans="1:11" x14ac:dyDescent="0.25">
      <c r="A384" s="107" t="s">
        <v>119</v>
      </c>
      <c r="B384" s="107" t="s">
        <v>120</v>
      </c>
      <c r="C384" s="107" t="s">
        <v>41</v>
      </c>
      <c r="D384" t="s">
        <v>8</v>
      </c>
      <c r="E384">
        <f t="shared" si="39"/>
        <v>15470.7</v>
      </c>
      <c r="F384">
        <f>SUM(F385:F389)</f>
        <v>15470.7</v>
      </c>
      <c r="G384">
        <f>SUM(G385:G389)</f>
        <v>0</v>
      </c>
      <c r="H384">
        <f>SUM(H385:H389)</f>
        <v>0</v>
      </c>
      <c r="I384">
        <f>SUM(I385:I389)</f>
        <v>0</v>
      </c>
      <c r="J384" s="107" t="s">
        <v>121</v>
      </c>
      <c r="K384" s="107" t="s">
        <v>484</v>
      </c>
    </row>
    <row r="385" spans="1:11" ht="14.25" customHeight="1" x14ac:dyDescent="0.25">
      <c r="A385" s="107"/>
      <c r="B385" s="107"/>
      <c r="C385" s="107"/>
      <c r="D385">
        <v>2021</v>
      </c>
      <c r="E385">
        <f t="shared" si="39"/>
        <v>3320.7</v>
      </c>
      <c r="F385">
        <v>3320.7</v>
      </c>
      <c r="G385">
        <v>0</v>
      </c>
      <c r="H385">
        <v>0</v>
      </c>
      <c r="I385">
        <v>0</v>
      </c>
      <c r="J385" s="107"/>
      <c r="K385" s="107"/>
    </row>
    <row r="386" spans="1:11" x14ac:dyDescent="0.25">
      <c r="A386" s="107"/>
      <c r="B386" s="107"/>
      <c r="C386" s="107"/>
      <c r="D386">
        <v>2022</v>
      </c>
      <c r="E386">
        <f t="shared" si="39"/>
        <v>4050</v>
      </c>
      <c r="F386">
        <v>4050</v>
      </c>
      <c r="G386">
        <v>0</v>
      </c>
      <c r="H386">
        <v>0</v>
      </c>
      <c r="I386">
        <v>0</v>
      </c>
      <c r="J386" s="107"/>
      <c r="K386" s="107"/>
    </row>
    <row r="387" spans="1:11" x14ac:dyDescent="0.25">
      <c r="A387" s="107"/>
      <c r="B387" s="107"/>
      <c r="C387" s="107"/>
      <c r="D387">
        <v>2023</v>
      </c>
      <c r="E387">
        <f t="shared" si="39"/>
        <v>4050</v>
      </c>
      <c r="F387">
        <v>4050</v>
      </c>
      <c r="G387">
        <v>0</v>
      </c>
      <c r="H387">
        <v>0</v>
      </c>
      <c r="I387">
        <v>0</v>
      </c>
      <c r="J387" s="107"/>
      <c r="K387" s="107"/>
    </row>
    <row r="388" spans="1:11" x14ac:dyDescent="0.25">
      <c r="A388" s="107"/>
      <c r="B388" s="107"/>
      <c r="C388" s="107"/>
      <c r="D388">
        <v>2024</v>
      </c>
      <c r="E388">
        <f t="shared" si="39"/>
        <v>4050</v>
      </c>
      <c r="F388">
        <v>4050</v>
      </c>
      <c r="G388">
        <v>0</v>
      </c>
      <c r="H388">
        <v>0</v>
      </c>
      <c r="I388">
        <v>0</v>
      </c>
      <c r="J388" s="107"/>
      <c r="K388" s="107"/>
    </row>
    <row r="389" spans="1:11" x14ac:dyDescent="0.25">
      <c r="A389" s="107"/>
      <c r="B389" s="107"/>
      <c r="C389" s="107"/>
      <c r="D389">
        <v>2025</v>
      </c>
      <c r="E389">
        <f t="shared" si="39"/>
        <v>0</v>
      </c>
      <c r="F389">
        <v>0</v>
      </c>
      <c r="G389">
        <v>0</v>
      </c>
      <c r="H389">
        <v>0</v>
      </c>
      <c r="I389">
        <v>0</v>
      </c>
      <c r="J389" s="107"/>
      <c r="K389" s="107"/>
    </row>
    <row r="390" spans="1:11" x14ac:dyDescent="0.25">
      <c r="A390" s="107" t="s">
        <v>122</v>
      </c>
      <c r="B390" s="107" t="s">
        <v>123</v>
      </c>
      <c r="C390" s="107" t="s">
        <v>124</v>
      </c>
      <c r="D390" t="s">
        <v>8</v>
      </c>
      <c r="E390">
        <f t="shared" si="39"/>
        <v>286452.78574999998</v>
      </c>
      <c r="F390">
        <f>SUM(F391:F395)</f>
        <v>156936.07866999999</v>
      </c>
      <c r="G390">
        <f>SUM(G391:G395)</f>
        <v>121253.24861000001</v>
      </c>
      <c r="H390">
        <f>SUM(H391:H395)</f>
        <v>8263.4584699999996</v>
      </c>
      <c r="I390">
        <f>SUM(I391:I395)</f>
        <v>0</v>
      </c>
      <c r="J390" s="107" t="s">
        <v>602</v>
      </c>
      <c r="K390" s="107" t="s">
        <v>547</v>
      </c>
    </row>
    <row r="391" spans="1:11" ht="14.25" customHeight="1" x14ac:dyDescent="0.25">
      <c r="A391" s="107"/>
      <c r="B391" s="107"/>
      <c r="C391" s="107"/>
      <c r="D391">
        <v>2021</v>
      </c>
      <c r="E391">
        <f t="shared" si="39"/>
        <v>94465.110319999992</v>
      </c>
      <c r="F391">
        <v>5458.1035300000003</v>
      </c>
      <c r="G391">
        <v>88723.845570000005</v>
      </c>
      <c r="H391">
        <v>283.16122000000001</v>
      </c>
      <c r="I391">
        <v>0</v>
      </c>
      <c r="J391" s="107"/>
      <c r="K391" s="107"/>
    </row>
    <row r="392" spans="1:11" x14ac:dyDescent="0.25">
      <c r="A392" s="107"/>
      <c r="B392" s="107"/>
      <c r="C392" s="107"/>
      <c r="D392">
        <v>2022</v>
      </c>
      <c r="E392">
        <f t="shared" si="39"/>
        <v>191987.67543</v>
      </c>
      <c r="F392">
        <v>151477.97514</v>
      </c>
      <c r="G392">
        <v>32529.403040000001</v>
      </c>
      <c r="H392">
        <v>7980.2972499999996</v>
      </c>
      <c r="I392">
        <v>0</v>
      </c>
      <c r="J392" s="107"/>
      <c r="K392" s="107"/>
    </row>
    <row r="393" spans="1:11" x14ac:dyDescent="0.25">
      <c r="A393" s="107"/>
      <c r="B393" s="107"/>
      <c r="C393" s="107"/>
      <c r="D393">
        <v>2023</v>
      </c>
      <c r="E393">
        <f t="shared" si="39"/>
        <v>0</v>
      </c>
      <c r="F393">
        <v>0</v>
      </c>
      <c r="G393">
        <v>0</v>
      </c>
      <c r="H393">
        <v>0</v>
      </c>
      <c r="I393">
        <v>0</v>
      </c>
      <c r="J393" s="107"/>
      <c r="K393" s="107"/>
    </row>
    <row r="394" spans="1:11" x14ac:dyDescent="0.25">
      <c r="A394" s="107"/>
      <c r="B394" s="107"/>
      <c r="C394" s="107"/>
      <c r="D394">
        <v>2024</v>
      </c>
      <c r="E394">
        <f t="shared" si="39"/>
        <v>0</v>
      </c>
      <c r="F394">
        <v>0</v>
      </c>
      <c r="G394">
        <v>0</v>
      </c>
      <c r="H394">
        <v>0</v>
      </c>
      <c r="I394">
        <v>0</v>
      </c>
      <c r="J394" s="107"/>
      <c r="K394" s="107"/>
    </row>
    <row r="395" spans="1:11" x14ac:dyDescent="0.25">
      <c r="A395" s="107"/>
      <c r="B395" s="107"/>
      <c r="C395" s="107"/>
      <c r="D395">
        <v>2025</v>
      </c>
      <c r="E395">
        <f t="shared" si="39"/>
        <v>0</v>
      </c>
      <c r="F395">
        <v>0</v>
      </c>
      <c r="G395">
        <v>0</v>
      </c>
      <c r="H395">
        <v>0</v>
      </c>
      <c r="I395">
        <v>0</v>
      </c>
      <c r="J395" s="107"/>
      <c r="K395" s="107"/>
    </row>
    <row r="396" spans="1:11" ht="15" customHeight="1" x14ac:dyDescent="0.25">
      <c r="A396" s="107" t="s">
        <v>126</v>
      </c>
      <c r="B396" s="107" t="s">
        <v>127</v>
      </c>
      <c r="C396" s="107" t="s">
        <v>124</v>
      </c>
      <c r="D396" t="s">
        <v>8</v>
      </c>
      <c r="E396">
        <f t="shared" si="39"/>
        <v>404016.78243000002</v>
      </c>
      <c r="F396">
        <f>SUM(F397:F401)</f>
        <v>142750.96879000001</v>
      </c>
      <c r="G396">
        <f>SUM(G397:G401)</f>
        <v>253746.75138999999</v>
      </c>
      <c r="H396">
        <f>SUM(H397:H401)</f>
        <v>7519.0622499999999</v>
      </c>
      <c r="I396">
        <f>SUM(I397:I401)</f>
        <v>0</v>
      </c>
      <c r="J396" s="107" t="s">
        <v>603</v>
      </c>
      <c r="K396" s="107" t="s">
        <v>547</v>
      </c>
    </row>
    <row r="397" spans="1:11" x14ac:dyDescent="0.25">
      <c r="A397" s="107"/>
      <c r="B397" s="107"/>
      <c r="C397" s="107"/>
      <c r="D397">
        <v>2021</v>
      </c>
      <c r="E397">
        <f t="shared" si="39"/>
        <v>179685.52267000001</v>
      </c>
      <c r="F397">
        <v>10382.057000000001</v>
      </c>
      <c r="G397">
        <v>168764.85443000001</v>
      </c>
      <c r="H397">
        <v>538.61123999999995</v>
      </c>
      <c r="I397">
        <v>0</v>
      </c>
      <c r="J397" s="107"/>
      <c r="K397" s="107"/>
    </row>
    <row r="398" spans="1:11" x14ac:dyDescent="0.25">
      <c r="A398" s="107"/>
      <c r="B398" s="107"/>
      <c r="C398" s="107"/>
      <c r="D398">
        <v>2022</v>
      </c>
      <c r="E398">
        <f t="shared" si="39"/>
        <v>224331.25976000002</v>
      </c>
      <c r="F398">
        <v>132368.91179000001</v>
      </c>
      <c r="G398">
        <v>84981.896959999998</v>
      </c>
      <c r="H398">
        <v>6980.4510099999998</v>
      </c>
      <c r="I398">
        <v>0</v>
      </c>
      <c r="J398" s="107"/>
      <c r="K398" s="107"/>
    </row>
    <row r="399" spans="1:11" x14ac:dyDescent="0.25">
      <c r="A399" s="107"/>
      <c r="B399" s="107"/>
      <c r="C399" s="107"/>
      <c r="D399">
        <v>2023</v>
      </c>
      <c r="E399">
        <f t="shared" si="39"/>
        <v>0</v>
      </c>
      <c r="F399">
        <v>0</v>
      </c>
      <c r="G399">
        <v>0</v>
      </c>
      <c r="H399">
        <v>0</v>
      </c>
      <c r="I399">
        <v>0</v>
      </c>
      <c r="J399" s="107"/>
      <c r="K399" s="107"/>
    </row>
    <row r="400" spans="1:11" x14ac:dyDescent="0.25">
      <c r="A400" s="107"/>
      <c r="B400" s="107"/>
      <c r="C400" s="107"/>
      <c r="D400">
        <v>2024</v>
      </c>
      <c r="E400">
        <f t="shared" si="39"/>
        <v>0</v>
      </c>
      <c r="F400">
        <v>0</v>
      </c>
      <c r="G400">
        <v>0</v>
      </c>
      <c r="H400">
        <v>0</v>
      </c>
      <c r="I400">
        <v>0</v>
      </c>
      <c r="J400" s="107"/>
      <c r="K400" s="107"/>
    </row>
    <row r="401" spans="1:11" x14ac:dyDescent="0.25">
      <c r="A401" s="107"/>
      <c r="B401" s="107"/>
      <c r="C401" s="107"/>
      <c r="D401">
        <v>2025</v>
      </c>
      <c r="E401">
        <f t="shared" si="39"/>
        <v>0</v>
      </c>
      <c r="F401">
        <v>0</v>
      </c>
      <c r="G401">
        <v>0</v>
      </c>
      <c r="H401">
        <v>0</v>
      </c>
      <c r="I401">
        <v>0</v>
      </c>
      <c r="J401" s="107"/>
      <c r="K401" s="107"/>
    </row>
    <row r="402" spans="1:11" ht="15" customHeight="1" x14ac:dyDescent="0.25">
      <c r="A402" s="107" t="s">
        <v>128</v>
      </c>
      <c r="B402" s="107" t="s">
        <v>129</v>
      </c>
      <c r="C402" s="107">
        <v>2023</v>
      </c>
      <c r="D402" t="s">
        <v>8</v>
      </c>
      <c r="E402">
        <f t="shared" si="39"/>
        <v>135522.89473684211</v>
      </c>
      <c r="F402">
        <f>SUM(F403:F407)</f>
        <v>7725.3</v>
      </c>
      <c r="G402">
        <f>SUM(G403:G407)</f>
        <v>127391</v>
      </c>
      <c r="H402">
        <f>SUM(H403:H407)</f>
        <v>406.59473684210525</v>
      </c>
      <c r="I402">
        <f>SUM(I403:I407)</f>
        <v>0</v>
      </c>
      <c r="J402" s="107" t="s">
        <v>604</v>
      </c>
      <c r="K402" s="107" t="s">
        <v>547</v>
      </c>
    </row>
    <row r="403" spans="1:11" x14ac:dyDescent="0.25">
      <c r="A403" s="107"/>
      <c r="B403" s="107"/>
      <c r="C403" s="107"/>
      <c r="D403">
        <v>2021</v>
      </c>
      <c r="E403">
        <f t="shared" si="39"/>
        <v>0</v>
      </c>
      <c r="F403">
        <v>0</v>
      </c>
      <c r="G403">
        <v>0</v>
      </c>
      <c r="H403">
        <v>0</v>
      </c>
      <c r="I403">
        <v>0</v>
      </c>
      <c r="J403" s="107"/>
      <c r="K403" s="107"/>
    </row>
    <row r="404" spans="1:11" x14ac:dyDescent="0.25">
      <c r="A404" s="107"/>
      <c r="B404" s="107"/>
      <c r="C404" s="107"/>
      <c r="D404">
        <v>2022</v>
      </c>
      <c r="E404">
        <f t="shared" si="39"/>
        <v>0</v>
      </c>
      <c r="F404">
        <v>0</v>
      </c>
      <c r="G404">
        <v>0</v>
      </c>
      <c r="H404">
        <v>0</v>
      </c>
      <c r="I404">
        <v>0</v>
      </c>
      <c r="J404" s="107"/>
      <c r="K404" s="107"/>
    </row>
    <row r="405" spans="1:11" x14ac:dyDescent="0.25">
      <c r="A405" s="107"/>
      <c r="B405" s="107"/>
      <c r="C405" s="107"/>
      <c r="D405">
        <v>2023</v>
      </c>
      <c r="E405">
        <f t="shared" si="39"/>
        <v>135522.89473684211</v>
      </c>
      <c r="F405">
        <v>7725.3</v>
      </c>
      <c r="G405">
        <v>127391</v>
      </c>
      <c r="H405">
        <f>F405/95*5</f>
        <v>406.59473684210525</v>
      </c>
      <c r="I405">
        <v>0</v>
      </c>
      <c r="J405" s="107"/>
      <c r="K405" s="107"/>
    </row>
    <row r="406" spans="1:11" x14ac:dyDescent="0.25">
      <c r="A406" s="107"/>
      <c r="B406" s="107"/>
      <c r="C406" s="107"/>
      <c r="D406">
        <v>2024</v>
      </c>
      <c r="E406">
        <f t="shared" si="39"/>
        <v>0</v>
      </c>
      <c r="F406">
        <v>0</v>
      </c>
      <c r="G406">
        <v>0</v>
      </c>
      <c r="H406">
        <v>0</v>
      </c>
      <c r="I406">
        <v>0</v>
      </c>
      <c r="J406" s="107"/>
      <c r="K406" s="107"/>
    </row>
    <row r="407" spans="1:11" x14ac:dyDescent="0.25">
      <c r="A407" s="107"/>
      <c r="B407" s="107"/>
      <c r="C407" s="107"/>
      <c r="D407">
        <v>2025</v>
      </c>
      <c r="E407">
        <f t="shared" si="39"/>
        <v>0</v>
      </c>
      <c r="F407">
        <v>0</v>
      </c>
      <c r="G407">
        <v>0</v>
      </c>
      <c r="H407">
        <v>0</v>
      </c>
      <c r="I407">
        <v>0</v>
      </c>
      <c r="J407" s="107"/>
      <c r="K407" s="107"/>
    </row>
    <row r="408" spans="1:11" x14ac:dyDescent="0.25">
      <c r="A408" s="107" t="s">
        <v>131</v>
      </c>
      <c r="B408" s="107" t="s">
        <v>132</v>
      </c>
      <c r="C408" s="107" t="s">
        <v>14</v>
      </c>
      <c r="D408" t="s">
        <v>8</v>
      </c>
      <c r="E408">
        <f t="shared" si="39"/>
        <v>205769.80323999998</v>
      </c>
      <c r="F408">
        <f>SUM(F409:F413)</f>
        <v>205769.80323999998</v>
      </c>
      <c r="G408">
        <f>SUM(G409:G413)</f>
        <v>0</v>
      </c>
      <c r="H408">
        <f>SUM(H409:H413)</f>
        <v>0</v>
      </c>
      <c r="I408">
        <f>SUM(I409:I413)</f>
        <v>0</v>
      </c>
      <c r="J408" s="107"/>
      <c r="K408" s="107" t="s">
        <v>484</v>
      </c>
    </row>
    <row r="409" spans="1:11" x14ac:dyDescent="0.25">
      <c r="A409" s="107"/>
      <c r="B409" s="107"/>
      <c r="C409" s="107"/>
      <c r="D409">
        <v>2021</v>
      </c>
      <c r="E409">
        <f t="shared" si="39"/>
        <v>40283.9</v>
      </c>
      <c r="F409">
        <f t="shared" ref="F409:I413" si="40">F415</f>
        <v>40283.9</v>
      </c>
      <c r="G409">
        <f t="shared" si="40"/>
        <v>0</v>
      </c>
      <c r="H409">
        <f t="shared" si="40"/>
        <v>0</v>
      </c>
      <c r="I409">
        <f t="shared" si="40"/>
        <v>0</v>
      </c>
      <c r="J409" s="107"/>
      <c r="K409" s="107"/>
    </row>
    <row r="410" spans="1:11" x14ac:dyDescent="0.25">
      <c r="A410" s="107"/>
      <c r="B410" s="107"/>
      <c r="C410" s="107"/>
      <c r="D410">
        <v>2022</v>
      </c>
      <c r="E410">
        <f t="shared" si="39"/>
        <v>35824.54262</v>
      </c>
      <c r="F410">
        <f t="shared" si="40"/>
        <v>35824.54262</v>
      </c>
      <c r="G410">
        <f t="shared" si="40"/>
        <v>0</v>
      </c>
      <c r="H410">
        <f t="shared" si="40"/>
        <v>0</v>
      </c>
      <c r="I410">
        <f t="shared" si="40"/>
        <v>0</v>
      </c>
      <c r="J410" s="107"/>
      <c r="K410" s="107"/>
    </row>
    <row r="411" spans="1:11" x14ac:dyDescent="0.25">
      <c r="A411" s="107"/>
      <c r="B411" s="107"/>
      <c r="C411" s="107"/>
      <c r="D411">
        <v>2023</v>
      </c>
      <c r="E411">
        <f t="shared" si="39"/>
        <v>35824.54262</v>
      </c>
      <c r="F411">
        <f t="shared" si="40"/>
        <v>35824.54262</v>
      </c>
      <c r="G411">
        <f t="shared" si="40"/>
        <v>0</v>
      </c>
      <c r="H411">
        <f t="shared" si="40"/>
        <v>0</v>
      </c>
      <c r="I411">
        <f t="shared" si="40"/>
        <v>0</v>
      </c>
      <c r="J411" s="107"/>
      <c r="K411" s="107"/>
    </row>
    <row r="412" spans="1:11" x14ac:dyDescent="0.25">
      <c r="A412" s="107"/>
      <c r="B412" s="107"/>
      <c r="C412" s="107"/>
      <c r="D412">
        <v>2024</v>
      </c>
      <c r="E412">
        <f t="shared" si="39"/>
        <v>46918.409</v>
      </c>
      <c r="F412">
        <f t="shared" si="40"/>
        <v>46918.409</v>
      </c>
      <c r="G412">
        <f t="shared" si="40"/>
        <v>0</v>
      </c>
      <c r="H412">
        <f t="shared" si="40"/>
        <v>0</v>
      </c>
      <c r="I412">
        <f t="shared" si="40"/>
        <v>0</v>
      </c>
      <c r="J412" s="107"/>
      <c r="K412" s="107"/>
    </row>
    <row r="413" spans="1:11" x14ac:dyDescent="0.25">
      <c r="A413" s="107"/>
      <c r="B413" s="107"/>
      <c r="C413" s="107"/>
      <c r="D413">
        <v>2025</v>
      </c>
      <c r="E413">
        <f t="shared" si="39"/>
        <v>46918.409</v>
      </c>
      <c r="F413">
        <f t="shared" si="40"/>
        <v>46918.409</v>
      </c>
      <c r="G413">
        <f t="shared" si="40"/>
        <v>0</v>
      </c>
      <c r="H413">
        <f t="shared" si="40"/>
        <v>0</v>
      </c>
      <c r="I413">
        <f t="shared" si="40"/>
        <v>0</v>
      </c>
      <c r="J413" s="107"/>
      <c r="K413" s="107"/>
    </row>
    <row r="414" spans="1:11" ht="15" customHeight="1" x14ac:dyDescent="0.25">
      <c r="A414" s="107" t="s">
        <v>133</v>
      </c>
      <c r="B414" s="107" t="s">
        <v>134</v>
      </c>
      <c r="C414" s="107" t="s">
        <v>14</v>
      </c>
      <c r="D414" t="s">
        <v>8</v>
      </c>
      <c r="E414">
        <f t="shared" si="39"/>
        <v>205769.80323999998</v>
      </c>
      <c r="F414">
        <f>SUM(F415:F419)</f>
        <v>205769.80323999998</v>
      </c>
      <c r="G414">
        <f>SUM(G415:G419)</f>
        <v>0</v>
      </c>
      <c r="H414">
        <f>SUM(H415:H419)</f>
        <v>0</v>
      </c>
      <c r="I414">
        <f>SUM(I415:I419)</f>
        <v>0</v>
      </c>
      <c r="J414" s="107" t="s">
        <v>605</v>
      </c>
      <c r="K414" s="107" t="s">
        <v>484</v>
      </c>
    </row>
    <row r="415" spans="1:11" x14ac:dyDescent="0.25">
      <c r="A415" s="107"/>
      <c r="B415" s="107"/>
      <c r="C415" s="107"/>
      <c r="D415">
        <v>2021</v>
      </c>
      <c r="E415">
        <f t="shared" si="39"/>
        <v>40283.9</v>
      </c>
      <c r="F415">
        <f t="shared" ref="F415:I419" si="41">F421</f>
        <v>40283.9</v>
      </c>
      <c r="G415">
        <f t="shared" si="41"/>
        <v>0</v>
      </c>
      <c r="H415">
        <f t="shared" si="41"/>
        <v>0</v>
      </c>
      <c r="I415">
        <f t="shared" si="41"/>
        <v>0</v>
      </c>
      <c r="J415" s="107"/>
      <c r="K415" s="107"/>
    </row>
    <row r="416" spans="1:11" x14ac:dyDescent="0.25">
      <c r="A416" s="107"/>
      <c r="B416" s="107"/>
      <c r="C416" s="107"/>
      <c r="D416">
        <v>2022</v>
      </c>
      <c r="E416">
        <f t="shared" si="39"/>
        <v>35824.54262</v>
      </c>
      <c r="F416">
        <f t="shared" si="41"/>
        <v>35824.54262</v>
      </c>
      <c r="G416">
        <f t="shared" si="41"/>
        <v>0</v>
      </c>
      <c r="H416">
        <f t="shared" si="41"/>
        <v>0</v>
      </c>
      <c r="I416">
        <f t="shared" si="41"/>
        <v>0</v>
      </c>
      <c r="J416" s="107"/>
      <c r="K416" s="107"/>
    </row>
    <row r="417" spans="1:11" x14ac:dyDescent="0.25">
      <c r="A417" s="107"/>
      <c r="B417" s="107"/>
      <c r="C417" s="107"/>
      <c r="D417">
        <v>2023</v>
      </c>
      <c r="E417">
        <f t="shared" si="39"/>
        <v>35824.54262</v>
      </c>
      <c r="F417">
        <f t="shared" si="41"/>
        <v>35824.54262</v>
      </c>
      <c r="G417">
        <f t="shared" si="41"/>
        <v>0</v>
      </c>
      <c r="H417">
        <f t="shared" si="41"/>
        <v>0</v>
      </c>
      <c r="I417">
        <f t="shared" si="41"/>
        <v>0</v>
      </c>
      <c r="J417" s="107"/>
      <c r="K417" s="107"/>
    </row>
    <row r="418" spans="1:11" x14ac:dyDescent="0.25">
      <c r="A418" s="107"/>
      <c r="B418" s="107"/>
      <c r="C418" s="107"/>
      <c r="D418">
        <v>2024</v>
      </c>
      <c r="E418">
        <f t="shared" si="39"/>
        <v>46918.409</v>
      </c>
      <c r="F418">
        <f t="shared" si="41"/>
        <v>46918.409</v>
      </c>
      <c r="G418">
        <f t="shared" si="41"/>
        <v>0</v>
      </c>
      <c r="H418">
        <f t="shared" si="41"/>
        <v>0</v>
      </c>
      <c r="I418">
        <f t="shared" si="41"/>
        <v>0</v>
      </c>
      <c r="J418" s="107"/>
      <c r="K418" s="107"/>
    </row>
    <row r="419" spans="1:11" ht="52.5" customHeight="1" x14ac:dyDescent="0.25">
      <c r="A419" s="107"/>
      <c r="B419" s="107"/>
      <c r="C419" s="107"/>
      <c r="D419">
        <v>2025</v>
      </c>
      <c r="E419">
        <f t="shared" si="39"/>
        <v>46918.409</v>
      </c>
      <c r="F419">
        <f t="shared" si="41"/>
        <v>46918.409</v>
      </c>
      <c r="G419">
        <f>G425</f>
        <v>0</v>
      </c>
      <c r="H419">
        <f>H425</f>
        <v>0</v>
      </c>
      <c r="I419">
        <f>I425</f>
        <v>0</v>
      </c>
      <c r="J419" s="107"/>
      <c r="K419" s="107"/>
    </row>
    <row r="420" spans="1:11" x14ac:dyDescent="0.25">
      <c r="A420" s="107" t="s">
        <v>135</v>
      </c>
      <c r="B420" s="107" t="s">
        <v>606</v>
      </c>
      <c r="C420" s="107" t="s">
        <v>14</v>
      </c>
      <c r="D420" t="s">
        <v>8</v>
      </c>
      <c r="E420">
        <f t="shared" si="39"/>
        <v>205769.80323999998</v>
      </c>
      <c r="F420">
        <f>SUM(F421:F425)</f>
        <v>205769.80323999998</v>
      </c>
      <c r="G420">
        <f>SUM(G421:G425)</f>
        <v>0</v>
      </c>
      <c r="H420">
        <f>SUM(H421:H425)</f>
        <v>0</v>
      </c>
      <c r="I420">
        <f>SUM(I421:I425)</f>
        <v>0</v>
      </c>
      <c r="J420" s="107" t="s">
        <v>607</v>
      </c>
      <c r="K420" s="107" t="s">
        <v>484</v>
      </c>
    </row>
    <row r="421" spans="1:11" x14ac:dyDescent="0.25">
      <c r="A421" s="107"/>
      <c r="B421" s="107"/>
      <c r="C421" s="107"/>
      <c r="D421">
        <v>2021</v>
      </c>
      <c r="E421">
        <f t="shared" si="39"/>
        <v>40283.9</v>
      </c>
      <c r="F421">
        <v>40283.9</v>
      </c>
      <c r="G421">
        <v>0</v>
      </c>
      <c r="H421">
        <v>0</v>
      </c>
      <c r="I421">
        <v>0</v>
      </c>
      <c r="J421" s="107"/>
      <c r="K421" s="107"/>
    </row>
    <row r="422" spans="1:11" x14ac:dyDescent="0.25">
      <c r="A422" s="107"/>
      <c r="B422" s="107"/>
      <c r="C422" s="107"/>
      <c r="D422">
        <v>2022</v>
      </c>
      <c r="E422">
        <f t="shared" si="39"/>
        <v>35824.54262</v>
      </c>
      <c r="F422">
        <v>35824.54262</v>
      </c>
      <c r="G422">
        <v>0</v>
      </c>
      <c r="H422">
        <v>0</v>
      </c>
      <c r="I422">
        <v>0</v>
      </c>
      <c r="J422" s="107"/>
      <c r="K422" s="107"/>
    </row>
    <row r="423" spans="1:11" x14ac:dyDescent="0.25">
      <c r="A423" s="107"/>
      <c r="B423" s="107"/>
      <c r="C423" s="107"/>
      <c r="D423">
        <v>2023</v>
      </c>
      <c r="E423">
        <f t="shared" si="39"/>
        <v>35824.54262</v>
      </c>
      <c r="F423">
        <v>35824.54262</v>
      </c>
      <c r="G423">
        <v>0</v>
      </c>
      <c r="H423">
        <v>0</v>
      </c>
      <c r="I423">
        <v>0</v>
      </c>
      <c r="J423" s="107"/>
      <c r="K423" s="107"/>
    </row>
    <row r="424" spans="1:11" x14ac:dyDescent="0.25">
      <c r="A424" s="107"/>
      <c r="B424" s="107"/>
      <c r="C424" s="107"/>
      <c r="D424">
        <v>2024</v>
      </c>
      <c r="E424">
        <f t="shared" si="39"/>
        <v>46918.409</v>
      </c>
      <c r="F424">
        <v>46918.409</v>
      </c>
      <c r="G424">
        <v>0</v>
      </c>
      <c r="H424">
        <v>0</v>
      </c>
      <c r="I424">
        <v>0</v>
      </c>
      <c r="J424" s="107"/>
      <c r="K424" s="107"/>
    </row>
    <row r="425" spans="1:11" x14ac:dyDescent="0.25">
      <c r="A425" s="107"/>
      <c r="B425" s="107"/>
      <c r="C425" s="107"/>
      <c r="D425">
        <v>2025</v>
      </c>
      <c r="E425">
        <f t="shared" si="39"/>
        <v>46918.409</v>
      </c>
      <c r="F425">
        <v>46918.409</v>
      </c>
      <c r="G425">
        <v>0</v>
      </c>
      <c r="H425">
        <v>0</v>
      </c>
      <c r="I425">
        <v>0</v>
      </c>
      <c r="J425" s="107"/>
      <c r="K425" s="107"/>
    </row>
  </sheetData>
  <autoFilter ref="A4:L407">
    <filterColumn colId="3">
      <colorFilter dxfId="2"/>
    </filterColumn>
  </autoFilter>
  <mergeCells count="355">
    <mergeCell ref="A420:A425"/>
    <mergeCell ref="B420:B425"/>
    <mergeCell ref="C420:C425"/>
    <mergeCell ref="J420:J425"/>
    <mergeCell ref="K420:K425"/>
    <mergeCell ref="A408:A413"/>
    <mergeCell ref="B408:B413"/>
    <mergeCell ref="C408:C413"/>
    <mergeCell ref="J408:J413"/>
    <mergeCell ref="K408:K413"/>
    <mergeCell ref="A414:A419"/>
    <mergeCell ref="B414:B419"/>
    <mergeCell ref="C414:C419"/>
    <mergeCell ref="J414:J419"/>
    <mergeCell ref="K414:K419"/>
    <mergeCell ref="A396:A401"/>
    <mergeCell ref="B396:B401"/>
    <mergeCell ref="C396:C401"/>
    <mergeCell ref="J396:J401"/>
    <mergeCell ref="K396:K401"/>
    <mergeCell ref="A402:A407"/>
    <mergeCell ref="B402:B407"/>
    <mergeCell ref="C402:C407"/>
    <mergeCell ref="J402:J407"/>
    <mergeCell ref="K402:K407"/>
    <mergeCell ref="A384:A389"/>
    <mergeCell ref="B384:B389"/>
    <mergeCell ref="C384:C389"/>
    <mergeCell ref="J384:J389"/>
    <mergeCell ref="K384:K389"/>
    <mergeCell ref="A390:A395"/>
    <mergeCell ref="B390:B395"/>
    <mergeCell ref="C390:C395"/>
    <mergeCell ref="J390:J395"/>
    <mergeCell ref="K390:K395"/>
    <mergeCell ref="A372:A377"/>
    <mergeCell ref="B372:B377"/>
    <mergeCell ref="C372:C377"/>
    <mergeCell ref="J372:J377"/>
    <mergeCell ref="K372:K377"/>
    <mergeCell ref="A378:A383"/>
    <mergeCell ref="B378:B383"/>
    <mergeCell ref="C378:C383"/>
    <mergeCell ref="J378:J383"/>
    <mergeCell ref="K378:K383"/>
    <mergeCell ref="A360:A365"/>
    <mergeCell ref="B360:B365"/>
    <mergeCell ref="C360:C365"/>
    <mergeCell ref="J360:J365"/>
    <mergeCell ref="K360:K365"/>
    <mergeCell ref="A366:A371"/>
    <mergeCell ref="B366:B371"/>
    <mergeCell ref="C366:C371"/>
    <mergeCell ref="J366:J371"/>
    <mergeCell ref="K366:K371"/>
    <mergeCell ref="A348:A353"/>
    <mergeCell ref="B348:B353"/>
    <mergeCell ref="C348:C353"/>
    <mergeCell ref="J348:J353"/>
    <mergeCell ref="K348:K353"/>
    <mergeCell ref="A354:A359"/>
    <mergeCell ref="B354:B359"/>
    <mergeCell ref="C354:C359"/>
    <mergeCell ref="J354:J359"/>
    <mergeCell ref="K354:K359"/>
    <mergeCell ref="A336:A341"/>
    <mergeCell ref="B336:B341"/>
    <mergeCell ref="C336:C341"/>
    <mergeCell ref="J336:J341"/>
    <mergeCell ref="K336:K341"/>
    <mergeCell ref="A342:A347"/>
    <mergeCell ref="B342:B347"/>
    <mergeCell ref="C342:C347"/>
    <mergeCell ref="J342:J347"/>
    <mergeCell ref="K342:K347"/>
    <mergeCell ref="A324:A329"/>
    <mergeCell ref="B324:B329"/>
    <mergeCell ref="C324:C329"/>
    <mergeCell ref="J324:J329"/>
    <mergeCell ref="K324:K329"/>
    <mergeCell ref="A330:A335"/>
    <mergeCell ref="B330:B335"/>
    <mergeCell ref="C330:C335"/>
    <mergeCell ref="J330:J335"/>
    <mergeCell ref="K330:K335"/>
    <mergeCell ref="A312:A317"/>
    <mergeCell ref="B312:B317"/>
    <mergeCell ref="C312:C317"/>
    <mergeCell ref="J312:J317"/>
    <mergeCell ref="K312:K317"/>
    <mergeCell ref="A318:A323"/>
    <mergeCell ref="B318:B323"/>
    <mergeCell ref="C318:C323"/>
    <mergeCell ref="J318:J323"/>
    <mergeCell ref="K318:K323"/>
    <mergeCell ref="A300:A305"/>
    <mergeCell ref="B300:B305"/>
    <mergeCell ref="C300:C305"/>
    <mergeCell ref="J300:J305"/>
    <mergeCell ref="K300:K305"/>
    <mergeCell ref="A306:A311"/>
    <mergeCell ref="B306:B311"/>
    <mergeCell ref="C306:C311"/>
    <mergeCell ref="J306:J311"/>
    <mergeCell ref="K306:K311"/>
    <mergeCell ref="L282:O284"/>
    <mergeCell ref="A288:A293"/>
    <mergeCell ref="B288:B293"/>
    <mergeCell ref="C288:C293"/>
    <mergeCell ref="J288:J293"/>
    <mergeCell ref="K288:K293"/>
    <mergeCell ref="A294:A299"/>
    <mergeCell ref="B294:B299"/>
    <mergeCell ref="C294:C299"/>
    <mergeCell ref="J294:J299"/>
    <mergeCell ref="K294:K299"/>
    <mergeCell ref="A276:A281"/>
    <mergeCell ref="B276:B281"/>
    <mergeCell ref="C276:C281"/>
    <mergeCell ref="J276:J281"/>
    <mergeCell ref="K276:K281"/>
    <mergeCell ref="A282:A287"/>
    <mergeCell ref="B282:B287"/>
    <mergeCell ref="C282:C287"/>
    <mergeCell ref="J282:J287"/>
    <mergeCell ref="K282:K287"/>
    <mergeCell ref="A264:A269"/>
    <mergeCell ref="B264:B269"/>
    <mergeCell ref="C264:C269"/>
    <mergeCell ref="J264:J269"/>
    <mergeCell ref="K264:K269"/>
    <mergeCell ref="A270:A275"/>
    <mergeCell ref="B270:B275"/>
    <mergeCell ref="C270:C275"/>
    <mergeCell ref="J270:J275"/>
    <mergeCell ref="K270:K275"/>
    <mergeCell ref="A252:A257"/>
    <mergeCell ref="B252:B257"/>
    <mergeCell ref="C252:C257"/>
    <mergeCell ref="J252:J257"/>
    <mergeCell ref="K252:K257"/>
    <mergeCell ref="A258:A263"/>
    <mergeCell ref="B258:B263"/>
    <mergeCell ref="C258:C263"/>
    <mergeCell ref="J258:J263"/>
    <mergeCell ref="K258:K263"/>
    <mergeCell ref="A235:A240"/>
    <mergeCell ref="B235:B240"/>
    <mergeCell ref="C235:C240"/>
    <mergeCell ref="J235:J240"/>
    <mergeCell ref="K235:K240"/>
    <mergeCell ref="A246:A251"/>
    <mergeCell ref="B246:B251"/>
    <mergeCell ref="C246:C251"/>
    <mergeCell ref="J246:J251"/>
    <mergeCell ref="K246:K251"/>
    <mergeCell ref="A223:A228"/>
    <mergeCell ref="B223:B228"/>
    <mergeCell ref="C223:C228"/>
    <mergeCell ref="J223:J228"/>
    <mergeCell ref="K223:K228"/>
    <mergeCell ref="A229:A234"/>
    <mergeCell ref="B229:B234"/>
    <mergeCell ref="C229:C234"/>
    <mergeCell ref="J229:J234"/>
    <mergeCell ref="K229:K234"/>
    <mergeCell ref="A211:A216"/>
    <mergeCell ref="B211:B216"/>
    <mergeCell ref="C211:C216"/>
    <mergeCell ref="J211:J216"/>
    <mergeCell ref="K211:K216"/>
    <mergeCell ref="A217:A222"/>
    <mergeCell ref="B217:B222"/>
    <mergeCell ref="C217:C222"/>
    <mergeCell ref="J217:J222"/>
    <mergeCell ref="K217:K222"/>
    <mergeCell ref="A199:A204"/>
    <mergeCell ref="B199:B204"/>
    <mergeCell ref="C199:C204"/>
    <mergeCell ref="J199:J204"/>
    <mergeCell ref="K199:K204"/>
    <mergeCell ref="A205:A210"/>
    <mergeCell ref="B205:B210"/>
    <mergeCell ref="C205:C210"/>
    <mergeCell ref="J205:J210"/>
    <mergeCell ref="K205:K210"/>
    <mergeCell ref="A187:A192"/>
    <mergeCell ref="B187:B192"/>
    <mergeCell ref="C187:C192"/>
    <mergeCell ref="J187:J192"/>
    <mergeCell ref="K187:K192"/>
    <mergeCell ref="A193:A198"/>
    <mergeCell ref="B193:B198"/>
    <mergeCell ref="C193:C198"/>
    <mergeCell ref="J193:J198"/>
    <mergeCell ref="K193:K198"/>
    <mergeCell ref="A175:A180"/>
    <mergeCell ref="B175:B180"/>
    <mergeCell ref="C175:C180"/>
    <mergeCell ref="J175:J180"/>
    <mergeCell ref="K175:K180"/>
    <mergeCell ref="A181:A186"/>
    <mergeCell ref="B181:B186"/>
    <mergeCell ref="C181:C186"/>
    <mergeCell ref="J181:J186"/>
    <mergeCell ref="K181:K186"/>
    <mergeCell ref="A163:A168"/>
    <mergeCell ref="B163:B168"/>
    <mergeCell ref="C163:C168"/>
    <mergeCell ref="J163:J168"/>
    <mergeCell ref="K163:K168"/>
    <mergeCell ref="A169:A174"/>
    <mergeCell ref="B169:B174"/>
    <mergeCell ref="C169:C174"/>
    <mergeCell ref="J169:J174"/>
    <mergeCell ref="K169:K174"/>
    <mergeCell ref="A151:A156"/>
    <mergeCell ref="B151:B156"/>
    <mergeCell ref="C151:C156"/>
    <mergeCell ref="J151:J156"/>
    <mergeCell ref="K151:K156"/>
    <mergeCell ref="A157:A162"/>
    <mergeCell ref="B157:B162"/>
    <mergeCell ref="C157:C162"/>
    <mergeCell ref="J157:J162"/>
    <mergeCell ref="K157:K162"/>
    <mergeCell ref="A139:A144"/>
    <mergeCell ref="B139:B144"/>
    <mergeCell ref="C139:C144"/>
    <mergeCell ref="J139:J144"/>
    <mergeCell ref="K139:K144"/>
    <mergeCell ref="A145:A150"/>
    <mergeCell ref="B145:B150"/>
    <mergeCell ref="C145:C150"/>
    <mergeCell ref="J145:J150"/>
    <mergeCell ref="K145:K150"/>
    <mergeCell ref="L121:N126"/>
    <mergeCell ref="A127:A132"/>
    <mergeCell ref="B127:B132"/>
    <mergeCell ref="C127:C132"/>
    <mergeCell ref="J127:J132"/>
    <mergeCell ref="K127:K132"/>
    <mergeCell ref="L127:N132"/>
    <mergeCell ref="A133:A138"/>
    <mergeCell ref="B133:B138"/>
    <mergeCell ref="C133:C138"/>
    <mergeCell ref="J133:J138"/>
    <mergeCell ref="K133:K138"/>
    <mergeCell ref="L133:N138"/>
    <mergeCell ref="A115:A120"/>
    <mergeCell ref="B115:B120"/>
    <mergeCell ref="C115:C120"/>
    <mergeCell ref="J115:J120"/>
    <mergeCell ref="K115:K120"/>
    <mergeCell ref="A121:A126"/>
    <mergeCell ref="B121:B126"/>
    <mergeCell ref="C121:C126"/>
    <mergeCell ref="J121:J126"/>
    <mergeCell ref="K121:K126"/>
    <mergeCell ref="A103:A108"/>
    <mergeCell ref="B103:B108"/>
    <mergeCell ref="C103:C108"/>
    <mergeCell ref="J103:J108"/>
    <mergeCell ref="K103:K108"/>
    <mergeCell ref="L103:N108"/>
    <mergeCell ref="A109:A114"/>
    <mergeCell ref="B109:B114"/>
    <mergeCell ref="C109:C114"/>
    <mergeCell ref="J109:J114"/>
    <mergeCell ref="K109:K114"/>
    <mergeCell ref="A86:A91"/>
    <mergeCell ref="B86:B91"/>
    <mergeCell ref="C86:C91"/>
    <mergeCell ref="J86:J91"/>
    <mergeCell ref="K86:K91"/>
    <mergeCell ref="A92:A97"/>
    <mergeCell ref="B92:B97"/>
    <mergeCell ref="C92:C97"/>
    <mergeCell ref="J92:J97"/>
    <mergeCell ref="K92:K97"/>
    <mergeCell ref="A74:A79"/>
    <mergeCell ref="B74:B79"/>
    <mergeCell ref="C74:C79"/>
    <mergeCell ref="J74:J79"/>
    <mergeCell ref="K74:K79"/>
    <mergeCell ref="A80:A85"/>
    <mergeCell ref="B80:B85"/>
    <mergeCell ref="C80:C85"/>
    <mergeCell ref="J80:J85"/>
    <mergeCell ref="K80:K85"/>
    <mergeCell ref="A62:A67"/>
    <mergeCell ref="B62:B67"/>
    <mergeCell ref="C62:C67"/>
    <mergeCell ref="J62:J67"/>
    <mergeCell ref="K62:K67"/>
    <mergeCell ref="A68:A73"/>
    <mergeCell ref="B68:B73"/>
    <mergeCell ref="C68:C73"/>
    <mergeCell ref="J68:J73"/>
    <mergeCell ref="K68:K73"/>
    <mergeCell ref="L41:N46"/>
    <mergeCell ref="A50:A55"/>
    <mergeCell ref="B50:B55"/>
    <mergeCell ref="C50:C55"/>
    <mergeCell ref="J50:J55"/>
    <mergeCell ref="K50:K55"/>
    <mergeCell ref="A56:A61"/>
    <mergeCell ref="B56:B61"/>
    <mergeCell ref="C56:C61"/>
    <mergeCell ref="J56:J61"/>
    <mergeCell ref="K56:K61"/>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L23:N28"/>
    <mergeCell ref="A29:A34"/>
    <mergeCell ref="B29:B34"/>
    <mergeCell ref="C29:C34"/>
    <mergeCell ref="J29:J34"/>
    <mergeCell ref="K29:K34"/>
    <mergeCell ref="L29:N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X178"/>
  <sheetViews>
    <sheetView topLeftCell="A46" zoomScale="75" workbookViewId="0">
      <selection activeCell="R53" sqref="R53"/>
    </sheetView>
  </sheetViews>
  <sheetFormatPr defaultColWidth="11.42578125" defaultRowHeight="15" x14ac:dyDescent="0.25"/>
  <cols>
    <col min="1" max="1" width="9.140625" customWidth="1"/>
    <col min="2" max="2" width="41.140625" customWidth="1"/>
    <col min="3" max="3" width="6.42578125" customWidth="1"/>
    <col min="4" max="4" width="11.140625" customWidth="1"/>
    <col min="5" max="5" width="12" customWidth="1"/>
    <col min="6" max="6" width="10.140625" bestFit="1" customWidth="1"/>
    <col min="7" max="7" width="8.7109375" bestFit="1" customWidth="1"/>
    <col min="8" max="8" width="8.140625" customWidth="1"/>
    <col min="9" max="9" width="50.85546875" customWidth="1"/>
    <col min="10" max="10" width="11" customWidth="1"/>
    <col min="11" max="11" width="12.42578125" customWidth="1"/>
    <col min="12" max="14" width="10.140625" customWidth="1"/>
    <col min="15" max="15" width="45.28515625" customWidth="1"/>
    <col min="16" max="16" width="8.140625" customWidth="1"/>
    <col min="17" max="17" width="11.7109375" customWidth="1"/>
    <col min="18" max="18" width="11.42578125" customWidth="1"/>
    <col min="19" max="19" width="12" customWidth="1"/>
    <col min="20" max="21" width="10.140625" customWidth="1"/>
    <col min="22" max="22" width="51.42578125" customWidth="1"/>
    <col min="23" max="23" width="71.140625" customWidth="1"/>
    <col min="24" max="24" width="41.28515625" customWidth="1"/>
  </cols>
  <sheetData>
    <row r="1" spans="1:23" ht="19.5" customHeight="1" x14ac:dyDescent="0.25">
      <c r="T1" s="107" t="s">
        <v>615</v>
      </c>
      <c r="U1" s="107"/>
      <c r="V1" s="107"/>
      <c r="W1" s="107"/>
    </row>
    <row r="2" spans="1:23" ht="19.5" customHeight="1" x14ac:dyDescent="0.25">
      <c r="A2" s="107" t="s">
        <v>616</v>
      </c>
      <c r="B2" s="107"/>
      <c r="C2" s="107"/>
      <c r="D2" s="107"/>
      <c r="E2" s="107"/>
      <c r="F2" s="107"/>
      <c r="G2" s="107"/>
      <c r="H2" s="107"/>
      <c r="I2" s="107"/>
      <c r="J2" s="107"/>
      <c r="K2" s="107"/>
      <c r="L2" s="107"/>
      <c r="M2" s="107"/>
      <c r="N2" s="107"/>
      <c r="O2" s="107"/>
      <c r="P2" s="107"/>
      <c r="Q2" s="107"/>
      <c r="R2" s="107"/>
      <c r="S2" s="107"/>
      <c r="T2" s="107"/>
      <c r="U2" s="107"/>
      <c r="V2" s="107"/>
      <c r="W2" s="107"/>
    </row>
    <row r="3" spans="1:23" ht="19.5" customHeight="1" x14ac:dyDescent="0.25"/>
    <row r="4" spans="1:23" ht="31.5" customHeight="1" x14ac:dyDescent="0.25">
      <c r="A4" s="107" t="s">
        <v>617</v>
      </c>
      <c r="B4" s="107" t="s">
        <v>618</v>
      </c>
      <c r="C4" s="107"/>
      <c r="D4" s="107"/>
      <c r="E4" s="107"/>
      <c r="F4" s="107"/>
      <c r="G4" s="107"/>
      <c r="H4" s="107"/>
      <c r="I4" s="107"/>
      <c r="J4" s="107" t="s">
        <v>619</v>
      </c>
      <c r="K4" s="107"/>
      <c r="L4" s="107"/>
      <c r="M4" s="107"/>
      <c r="N4" s="107"/>
      <c r="O4" s="107" t="s">
        <v>620</v>
      </c>
      <c r="P4" s="107"/>
      <c r="Q4" s="107"/>
      <c r="R4" s="107"/>
      <c r="S4" s="107"/>
      <c r="T4" s="107"/>
      <c r="U4" s="107"/>
      <c r="V4" s="107"/>
      <c r="W4" s="107" t="s">
        <v>621</v>
      </c>
    </row>
    <row r="5" spans="1:23" ht="52.5" customHeight="1" x14ac:dyDescent="0.25">
      <c r="A5" s="107"/>
      <c r="B5" s="107"/>
      <c r="C5" t="s">
        <v>7</v>
      </c>
      <c r="D5" t="s">
        <v>8</v>
      </c>
      <c r="E5" t="s">
        <v>9</v>
      </c>
      <c r="F5" t="s">
        <v>10</v>
      </c>
      <c r="G5" t="s">
        <v>11</v>
      </c>
      <c r="H5" t="s">
        <v>12</v>
      </c>
      <c r="I5" t="s">
        <v>5</v>
      </c>
      <c r="J5" t="s">
        <v>8</v>
      </c>
      <c r="K5" t="s">
        <v>9</v>
      </c>
      <c r="L5" t="s">
        <v>10</v>
      </c>
      <c r="M5" t="s">
        <v>11</v>
      </c>
      <c r="N5" t="s">
        <v>12</v>
      </c>
      <c r="O5" t="s">
        <v>618</v>
      </c>
      <c r="Q5" t="s">
        <v>8</v>
      </c>
      <c r="R5" t="s">
        <v>9</v>
      </c>
      <c r="S5" t="s">
        <v>10</v>
      </c>
      <c r="T5" t="s">
        <v>11</v>
      </c>
      <c r="U5" t="s">
        <v>12</v>
      </c>
      <c r="V5" t="s">
        <v>5</v>
      </c>
      <c r="W5" s="107"/>
    </row>
    <row r="6" spans="1:23" ht="19.5" customHeight="1" x14ac:dyDescent="0.25">
      <c r="A6" s="107"/>
      <c r="B6" s="107" t="s">
        <v>622</v>
      </c>
      <c r="C6" t="s">
        <v>8</v>
      </c>
      <c r="D6">
        <f>'План реализации _ 10'!E5</f>
        <v>5519498.5184192872</v>
      </c>
      <c r="E6">
        <f>'План реализации _ 10'!F5</f>
        <v>4843282.6545299999</v>
      </c>
      <c r="F6">
        <f>'План реализации _ 10'!G5</f>
        <v>592630.10000000009</v>
      </c>
      <c r="G6">
        <f>'План реализации _ 10'!H5</f>
        <v>83585.763889287147</v>
      </c>
      <c r="H6">
        <f>'План реализации _ 10'!I5</f>
        <v>0</v>
      </c>
      <c r="I6" s="107"/>
      <c r="J6">
        <f t="shared" ref="J6:N17" si="0">Q6-D6</f>
        <v>13231.619908946566</v>
      </c>
      <c r="K6">
        <f t="shared" si="0"/>
        <v>12478.788329999894</v>
      </c>
      <c r="L6">
        <f t="shared" si="0"/>
        <v>0</v>
      </c>
      <c r="M6">
        <f t="shared" si="0"/>
        <v>752.83157894737087</v>
      </c>
      <c r="N6">
        <f t="shared" si="0"/>
        <v>0</v>
      </c>
      <c r="O6" s="107" t="s">
        <v>623</v>
      </c>
      <c r="P6" t="s">
        <v>8</v>
      </c>
      <c r="Q6">
        <f>'План реализации _ 11'!E5</f>
        <v>5532730.1383282337</v>
      </c>
      <c r="R6">
        <f>'План реализации _ 11'!F5</f>
        <v>4855761.4428599998</v>
      </c>
      <c r="S6">
        <f>'План реализации _ 11'!G5</f>
        <v>592630.10000000009</v>
      </c>
      <c r="T6">
        <f>'План реализации _ 11'!H5</f>
        <v>84338.595468234518</v>
      </c>
      <c r="U6">
        <f>'План реализации _ 11'!I5</f>
        <v>0</v>
      </c>
      <c r="V6" s="107"/>
      <c r="W6" s="107"/>
    </row>
    <row r="7" spans="1:23" ht="19.5" customHeight="1" x14ac:dyDescent="0.25">
      <c r="A7" s="107"/>
      <c r="B7" s="107"/>
      <c r="C7">
        <v>2021</v>
      </c>
      <c r="D7">
        <f>'План реализации _ 10'!E6</f>
        <v>1610012.4609524454</v>
      </c>
      <c r="E7">
        <f>'План реализации _ 10'!F6</f>
        <v>1258822.7500600002</v>
      </c>
      <c r="F7">
        <f>'План реализации _ 10'!G6</f>
        <v>309302.10000000003</v>
      </c>
      <c r="G7">
        <f>'План реализации _ 10'!H6</f>
        <v>41887.610892445038</v>
      </c>
      <c r="H7">
        <f>'План реализации _ 10'!I6</f>
        <v>0</v>
      </c>
      <c r="I7" s="107"/>
      <c r="J7">
        <f t="shared" si="0"/>
        <v>13231.619908947032</v>
      </c>
      <c r="K7">
        <f t="shared" si="0"/>
        <v>12478.788329999661</v>
      </c>
      <c r="L7">
        <f t="shared" si="0"/>
        <v>0</v>
      </c>
      <c r="M7">
        <f t="shared" si="0"/>
        <v>752.8315789473636</v>
      </c>
      <c r="N7">
        <f t="shared" si="0"/>
        <v>0</v>
      </c>
      <c r="O7" s="107"/>
      <c r="P7">
        <v>2021</v>
      </c>
      <c r="Q7">
        <f>'План реализации _ 11'!E6</f>
        <v>1623244.0808613924</v>
      </c>
      <c r="R7">
        <f>'План реализации _ 11'!F6</f>
        <v>1271301.5383899999</v>
      </c>
      <c r="S7">
        <f>'План реализации _ 11'!G6</f>
        <v>309302.10000000003</v>
      </c>
      <c r="T7">
        <f>'План реализации _ 11'!H6</f>
        <v>42640.442471392402</v>
      </c>
      <c r="U7">
        <f>'План реализации _ 11'!I6</f>
        <v>0</v>
      </c>
      <c r="V7" s="107"/>
      <c r="W7" s="107"/>
    </row>
    <row r="8" spans="1:23" ht="19.5" customHeight="1" x14ac:dyDescent="0.25">
      <c r="A8" s="107"/>
      <c r="B8" s="107"/>
      <c r="C8">
        <v>2022</v>
      </c>
      <c r="D8">
        <f>'План реализации _ 10'!E7</f>
        <v>1286009.02868</v>
      </c>
      <c r="E8">
        <f>'План реализации _ 10'!F7</f>
        <v>1108398.6704199999</v>
      </c>
      <c r="F8">
        <f>'План реализации _ 10'!G7</f>
        <v>136318.79999999999</v>
      </c>
      <c r="G8">
        <f>'План реализации _ 10'!H7</f>
        <v>41291.558260000005</v>
      </c>
      <c r="H8">
        <f>'План реализации _ 10'!I7</f>
        <v>0</v>
      </c>
      <c r="I8" s="107"/>
      <c r="J8">
        <f t="shared" si="0"/>
        <v>0</v>
      </c>
      <c r="K8">
        <f t="shared" si="0"/>
        <v>0</v>
      </c>
      <c r="L8">
        <f t="shared" si="0"/>
        <v>0</v>
      </c>
      <c r="M8">
        <f t="shared" si="0"/>
        <v>0</v>
      </c>
      <c r="N8">
        <f t="shared" ref="N8:N9" si="1">U8-H8</f>
        <v>0</v>
      </c>
      <c r="O8" s="107"/>
      <c r="P8">
        <v>2022</v>
      </c>
      <c r="Q8">
        <f>'План реализации _ 11'!E7</f>
        <v>1286009.02868</v>
      </c>
      <c r="R8">
        <f>'План реализации _ 11'!F7</f>
        <v>1108398.6704199999</v>
      </c>
      <c r="S8">
        <f>'План реализации _ 11'!G7</f>
        <v>136318.79999999999</v>
      </c>
      <c r="T8">
        <f>'План реализации _ 11'!H7</f>
        <v>41291.558260000005</v>
      </c>
      <c r="U8">
        <f>'План реализации _ 11'!I7</f>
        <v>0</v>
      </c>
      <c r="V8" s="107"/>
      <c r="W8" s="107"/>
    </row>
    <row r="9" spans="1:23" ht="19.5" customHeight="1" x14ac:dyDescent="0.25">
      <c r="A9" s="107"/>
      <c r="B9" s="107"/>
      <c r="C9">
        <v>2023</v>
      </c>
      <c r="D9">
        <f>'План реализации _ 10'!E8</f>
        <v>974087.27133684221</v>
      </c>
      <c r="E9">
        <f>'План реализации _ 10'!F8</f>
        <v>826671.47660000005</v>
      </c>
      <c r="F9">
        <f>'План реализации _ 10'!G8</f>
        <v>147009.20000000001</v>
      </c>
      <c r="G9">
        <f>'План реализации _ 10'!H8</f>
        <v>406.59473684210525</v>
      </c>
      <c r="H9">
        <f>'План реализации _ 10'!I8</f>
        <v>0</v>
      </c>
      <c r="I9" s="107"/>
      <c r="J9">
        <f t="shared" si="0"/>
        <v>0</v>
      </c>
      <c r="K9">
        <f t="shared" si="0"/>
        <v>0</v>
      </c>
      <c r="L9">
        <f t="shared" si="0"/>
        <v>0</v>
      </c>
      <c r="M9">
        <f t="shared" si="0"/>
        <v>0</v>
      </c>
      <c r="N9">
        <f t="shared" si="1"/>
        <v>0</v>
      </c>
      <c r="O9" s="107"/>
      <c r="P9">
        <v>2023</v>
      </c>
      <c r="Q9">
        <f>'План реализации _ 11'!E8</f>
        <v>974087.27133684221</v>
      </c>
      <c r="R9">
        <f>'План реализации _ 11'!F8</f>
        <v>826671.47660000005</v>
      </c>
      <c r="S9">
        <f>'План реализации _ 11'!G8</f>
        <v>147009.20000000001</v>
      </c>
      <c r="T9">
        <f>'План реализации _ 11'!H8</f>
        <v>406.59473684210525</v>
      </c>
      <c r="U9">
        <f>'План реализации _ 11'!I8</f>
        <v>0</v>
      </c>
      <c r="V9" s="107"/>
      <c r="W9" s="107"/>
    </row>
    <row r="10" spans="1:23" ht="19.5" customHeight="1" x14ac:dyDescent="0.25">
      <c r="A10" s="107"/>
      <c r="B10" s="107" t="s">
        <v>483</v>
      </c>
      <c r="C10" t="s">
        <v>8</v>
      </c>
      <c r="D10">
        <f>'План реализации _ 10'!E11</f>
        <v>4405596.3602799997</v>
      </c>
      <c r="E10">
        <f>'План реализации _ 10'!F11</f>
        <v>4296094.6692000004</v>
      </c>
      <c r="F10">
        <f>'План реализации _ 10'!G11</f>
        <v>90239.1</v>
      </c>
      <c r="G10">
        <f>'План реализации _ 10'!H11</f>
        <v>19262.591080000002</v>
      </c>
      <c r="H10">
        <f>'План реализации _ 10'!I11</f>
        <v>0</v>
      </c>
      <c r="I10" s="107"/>
      <c r="J10">
        <f t="shared" si="0"/>
        <v>-1825.0116700008512</v>
      </c>
      <c r="K10">
        <f t="shared" si="0"/>
        <v>-1825.0116700008512</v>
      </c>
      <c r="L10">
        <f t="shared" si="0"/>
        <v>0</v>
      </c>
      <c r="M10">
        <f t="shared" si="0"/>
        <v>0</v>
      </c>
      <c r="N10">
        <f t="shared" si="0"/>
        <v>0</v>
      </c>
      <c r="O10" s="107" t="s">
        <v>483</v>
      </c>
      <c r="P10" t="s">
        <v>8</v>
      </c>
      <c r="Q10">
        <f>'План реализации _ 11'!E11</f>
        <v>4403771.3486099988</v>
      </c>
      <c r="R10">
        <f>'План реализации _ 11'!F11</f>
        <v>4294269.6575299995</v>
      </c>
      <c r="S10">
        <f>'План реализации _ 11'!G11</f>
        <v>90239.1</v>
      </c>
      <c r="T10">
        <f>'План реализации _ 11'!H11</f>
        <v>19262.591080000002</v>
      </c>
      <c r="U10">
        <f>'План реализации _ 11'!I11</f>
        <v>0</v>
      </c>
      <c r="V10" s="107"/>
      <c r="W10" s="107"/>
    </row>
    <row r="11" spans="1:23" ht="19.5" customHeight="1" x14ac:dyDescent="0.25">
      <c r="A11" s="107"/>
      <c r="B11" s="107"/>
      <c r="C11">
        <v>2021</v>
      </c>
      <c r="D11">
        <f>'План реализации _ 10'!E12</f>
        <v>1159052.59274</v>
      </c>
      <c r="E11">
        <f>'План реализации _ 10'!F12</f>
        <v>1087976.6016600002</v>
      </c>
      <c r="F11">
        <f>'План реализации _ 10'!G12</f>
        <v>51813.4</v>
      </c>
      <c r="G11">
        <f>'План реализации _ 10'!H12</f>
        <v>19262.591080000002</v>
      </c>
      <c r="H11">
        <f>'План реализации _ 10'!I12</f>
        <v>0</v>
      </c>
      <c r="I11" s="107"/>
      <c r="J11">
        <f t="shared" si="0"/>
        <v>-1825.0116700001527</v>
      </c>
      <c r="K11">
        <f t="shared" si="0"/>
        <v>-1825.0116700001527</v>
      </c>
      <c r="L11">
        <f t="shared" si="0"/>
        <v>0</v>
      </c>
      <c r="M11">
        <f t="shared" si="0"/>
        <v>0</v>
      </c>
      <c r="N11">
        <f t="shared" si="0"/>
        <v>0</v>
      </c>
      <c r="O11" s="107"/>
      <c r="P11">
        <v>2021</v>
      </c>
      <c r="Q11">
        <f>'План реализации _ 11'!E12</f>
        <v>1157227.5810699998</v>
      </c>
      <c r="R11">
        <f>'План реализации _ 11'!F12</f>
        <v>1086151.58999</v>
      </c>
      <c r="S11">
        <f>'План реализации _ 11'!G12</f>
        <v>51813.4</v>
      </c>
      <c r="T11">
        <f>'План реализации _ 11'!H12</f>
        <v>19262.591080000002</v>
      </c>
      <c r="U11">
        <f>'План реализации _ 11'!I12</f>
        <v>0</v>
      </c>
      <c r="V11" s="107"/>
      <c r="W11" s="107"/>
    </row>
    <row r="12" spans="1:23" ht="19.5" customHeight="1" x14ac:dyDescent="0.25">
      <c r="A12" s="107"/>
      <c r="B12" s="107"/>
      <c r="C12">
        <v>2022</v>
      </c>
      <c r="D12">
        <f>'План реализации _ 10'!E13</f>
        <v>758589.6334899998</v>
      </c>
      <c r="E12">
        <f>'План реализации _ 10'!F13</f>
        <v>739782.1334899998</v>
      </c>
      <c r="F12">
        <f>'План реализации _ 10'!G13</f>
        <v>18807.499999999985</v>
      </c>
      <c r="G12">
        <f>'План реализации _ 10'!H13</f>
        <v>0</v>
      </c>
      <c r="H12">
        <f>'План реализации _ 10'!I13</f>
        <v>0</v>
      </c>
      <c r="I12" s="107"/>
      <c r="J12">
        <f t="shared" si="0"/>
        <v>0</v>
      </c>
      <c r="K12">
        <f t="shared" si="0"/>
        <v>0</v>
      </c>
      <c r="L12">
        <f t="shared" si="0"/>
        <v>0</v>
      </c>
      <c r="M12">
        <f t="shared" si="0"/>
        <v>0</v>
      </c>
      <c r="N12">
        <f t="shared" ref="N12:N13" si="2">U12-H12</f>
        <v>0</v>
      </c>
      <c r="O12" s="107"/>
      <c r="P12">
        <v>2022</v>
      </c>
      <c r="Q12">
        <f>'План реализации _ 11'!E13</f>
        <v>758589.6334899998</v>
      </c>
      <c r="R12">
        <f>'План реализации _ 11'!F13</f>
        <v>739782.1334899998</v>
      </c>
      <c r="S12">
        <f>'План реализации _ 11'!G13</f>
        <v>18807.499999999985</v>
      </c>
      <c r="T12">
        <f>'План реализации _ 11'!H13</f>
        <v>0</v>
      </c>
      <c r="U12">
        <f>'План реализации _ 11'!I13</f>
        <v>0</v>
      </c>
      <c r="V12" s="107"/>
      <c r="W12" s="107"/>
    </row>
    <row r="13" spans="1:23" ht="19.5" customHeight="1" x14ac:dyDescent="0.25">
      <c r="A13" s="107"/>
      <c r="B13" s="107"/>
      <c r="C13">
        <v>2023</v>
      </c>
      <c r="D13">
        <f>'План реализации _ 10'!E14</f>
        <v>838564.37660000008</v>
      </c>
      <c r="E13">
        <f>'План реализации _ 10'!F14</f>
        <v>818946.17660000001</v>
      </c>
      <c r="F13">
        <f>'План реализации _ 10'!G14</f>
        <v>19618.200000000012</v>
      </c>
      <c r="G13">
        <f>'План реализации _ 10'!H14</f>
        <v>0</v>
      </c>
      <c r="H13">
        <f>'План реализации _ 10'!I14</f>
        <v>0</v>
      </c>
      <c r="I13" s="107"/>
      <c r="J13">
        <f t="shared" si="0"/>
        <v>0</v>
      </c>
      <c r="K13">
        <f t="shared" si="0"/>
        <v>0</v>
      </c>
      <c r="L13">
        <f t="shared" si="0"/>
        <v>0</v>
      </c>
      <c r="M13">
        <f t="shared" si="0"/>
        <v>0</v>
      </c>
      <c r="N13">
        <f t="shared" si="2"/>
        <v>0</v>
      </c>
      <c r="O13" s="107"/>
      <c r="P13">
        <v>2023</v>
      </c>
      <c r="Q13">
        <f>'План реализации _ 11'!E14</f>
        <v>838564.37660000008</v>
      </c>
      <c r="R13">
        <f>'План реализации _ 11'!F14</f>
        <v>818946.17660000001</v>
      </c>
      <c r="S13">
        <f>'План реализации _ 11'!G14</f>
        <v>19618.200000000012</v>
      </c>
      <c r="T13">
        <f>'План реализации _ 11'!H14</f>
        <v>0</v>
      </c>
      <c r="U13">
        <f>'План реализации _ 11'!I14</f>
        <v>0</v>
      </c>
      <c r="V13" s="107"/>
      <c r="W13" s="107"/>
    </row>
    <row r="14" spans="1:23" ht="19.5" customHeight="1" x14ac:dyDescent="0.25">
      <c r="A14" s="107"/>
      <c r="B14" s="107" t="s">
        <v>624</v>
      </c>
      <c r="C14" t="s">
        <v>8</v>
      </c>
      <c r="D14">
        <f>'План реализации _ 10'!E17</f>
        <v>1113902.1581392873</v>
      </c>
      <c r="E14">
        <f>'План реализации _ 10'!F17</f>
        <v>547187.98533000005</v>
      </c>
      <c r="F14">
        <f>'План реализации _ 10'!G17</f>
        <v>502391</v>
      </c>
      <c r="G14">
        <f>'План реализации _ 10'!H17</f>
        <v>64323.172809287142</v>
      </c>
      <c r="H14">
        <f>'План реализации _ 10'!I17</f>
        <v>0</v>
      </c>
      <c r="I14" s="107"/>
      <c r="J14">
        <f t="shared" si="0"/>
        <v>15056.631578947417</v>
      </c>
      <c r="K14">
        <f t="shared" si="0"/>
        <v>14303.800000000047</v>
      </c>
      <c r="L14">
        <f t="shared" si="0"/>
        <v>0</v>
      </c>
      <c r="M14">
        <f t="shared" si="0"/>
        <v>752.8315789473636</v>
      </c>
      <c r="N14">
        <f t="shared" si="0"/>
        <v>0</v>
      </c>
      <c r="O14" s="107" t="s">
        <v>624</v>
      </c>
      <c r="P14" t="s">
        <v>8</v>
      </c>
      <c r="Q14">
        <f>'План реализации _ 11'!E17</f>
        <v>1128958.7897182347</v>
      </c>
      <c r="R14">
        <f>'План реализации _ 11'!F17</f>
        <v>561491.7853300001</v>
      </c>
      <c r="S14">
        <f>'План реализации _ 11'!G17</f>
        <v>502391</v>
      </c>
      <c r="T14">
        <f>'План реализации _ 11'!H17</f>
        <v>65076.004388234505</v>
      </c>
      <c r="U14">
        <f>'План реализации _ 11'!I17</f>
        <v>0</v>
      </c>
      <c r="V14" s="107"/>
      <c r="W14" s="107"/>
    </row>
    <row r="15" spans="1:23" ht="19.5" customHeight="1" x14ac:dyDescent="0.25">
      <c r="A15" s="107"/>
      <c r="B15" s="107"/>
      <c r="C15">
        <v>2021</v>
      </c>
      <c r="D15">
        <f>'План реализации _ 10'!E18</f>
        <v>450959.86821244506</v>
      </c>
      <c r="E15">
        <f>'План реализации _ 10'!F18</f>
        <v>170846.14839999998</v>
      </c>
      <c r="F15">
        <f>'План реализации _ 10'!G18</f>
        <v>257488.7</v>
      </c>
      <c r="G15">
        <f>'План реализации _ 10'!H18</f>
        <v>22625.019812445033</v>
      </c>
      <c r="H15">
        <f>'План реализации _ 10'!I18</f>
        <v>0</v>
      </c>
      <c r="I15" s="107"/>
      <c r="J15">
        <f t="shared" si="0"/>
        <v>15056.631578947301</v>
      </c>
      <c r="K15">
        <f t="shared" si="0"/>
        <v>14303.799999999988</v>
      </c>
      <c r="L15">
        <f t="shared" si="0"/>
        <v>0</v>
      </c>
      <c r="M15">
        <f t="shared" si="0"/>
        <v>752.83157894736723</v>
      </c>
      <c r="N15">
        <f t="shared" si="0"/>
        <v>0</v>
      </c>
      <c r="O15" s="107"/>
      <c r="P15">
        <v>2021</v>
      </c>
      <c r="Q15">
        <f>'План реализации _ 11'!E18</f>
        <v>466016.49979139236</v>
      </c>
      <c r="R15">
        <f>'План реализации _ 11'!F18</f>
        <v>185149.94839999996</v>
      </c>
      <c r="S15">
        <f>'План реализации _ 11'!G18</f>
        <v>257488.7</v>
      </c>
      <c r="T15">
        <f>'План реализации _ 11'!H18</f>
        <v>23377.8513913924</v>
      </c>
      <c r="U15">
        <f>'План реализации _ 11'!I18</f>
        <v>0</v>
      </c>
      <c r="V15" s="107"/>
      <c r="W15" s="107"/>
    </row>
    <row r="16" spans="1:23" ht="19.5" customHeight="1" x14ac:dyDescent="0.25">
      <c r="A16" s="107" t="s">
        <v>625</v>
      </c>
      <c r="B16" s="107" t="s">
        <v>626</v>
      </c>
      <c r="C16" t="s">
        <v>8</v>
      </c>
      <c r="D16">
        <f>'План реализации _ 10'!E23</f>
        <v>280285.22365</v>
      </c>
      <c r="E16">
        <f>'План реализации _ 10'!F23</f>
        <v>255381.12364999999</v>
      </c>
      <c r="F16">
        <f>'План реализации _ 10'!G23</f>
        <v>24904.1</v>
      </c>
      <c r="G16">
        <f>'План реализации _ 10'!H23</f>
        <v>0</v>
      </c>
      <c r="H16">
        <f>'План реализации _ 10'!I23</f>
        <v>0</v>
      </c>
      <c r="I16" s="107"/>
      <c r="J16">
        <f t="shared" si="0"/>
        <v>-704.5</v>
      </c>
      <c r="K16">
        <f t="shared" si="0"/>
        <v>-704.5</v>
      </c>
      <c r="L16">
        <f t="shared" si="0"/>
        <v>0</v>
      </c>
      <c r="M16">
        <f t="shared" si="0"/>
        <v>0</v>
      </c>
      <c r="N16">
        <f t="shared" si="0"/>
        <v>0</v>
      </c>
      <c r="O16" s="107" t="s">
        <v>627</v>
      </c>
      <c r="P16" t="s">
        <v>8</v>
      </c>
      <c r="Q16">
        <f>'План реализации _ 11'!E23</f>
        <v>279580.72365</v>
      </c>
      <c r="R16">
        <f>'План реализации _ 11'!F23</f>
        <v>254676.62364999999</v>
      </c>
      <c r="S16">
        <f>'План реализации _ 11'!G23</f>
        <v>24904.1</v>
      </c>
      <c r="T16">
        <f>'План реализации _ 11'!H23</f>
        <v>0</v>
      </c>
      <c r="U16">
        <f>'План реализации _ 11'!I23</f>
        <v>0</v>
      </c>
      <c r="V16" s="107"/>
      <c r="W16" s="107"/>
    </row>
    <row r="17" spans="1:24" ht="19.5" customHeight="1" x14ac:dyDescent="0.25">
      <c r="A17" s="107"/>
      <c r="B17" s="107"/>
      <c r="C17">
        <v>2021</v>
      </c>
      <c r="D17">
        <f>'План реализации _ 10'!E24</f>
        <v>145391.97261</v>
      </c>
      <c r="E17">
        <f>'План реализации _ 10'!F24</f>
        <v>124124.57260999999</v>
      </c>
      <c r="F17">
        <f>'План реализации _ 10'!G24</f>
        <v>21267.4</v>
      </c>
      <c r="G17">
        <f>'План реализации _ 10'!H24</f>
        <v>0</v>
      </c>
      <c r="H17">
        <f>'План реализации _ 10'!I20</f>
        <v>0</v>
      </c>
      <c r="I17" s="107"/>
      <c r="J17">
        <f t="shared" si="0"/>
        <v>-704.5</v>
      </c>
      <c r="K17">
        <f t="shared" si="0"/>
        <v>-704.5</v>
      </c>
      <c r="L17">
        <f t="shared" si="0"/>
        <v>0</v>
      </c>
      <c r="M17">
        <f t="shared" si="0"/>
        <v>0</v>
      </c>
      <c r="N17">
        <f t="shared" si="0"/>
        <v>0</v>
      </c>
      <c r="O17" s="107"/>
      <c r="P17">
        <v>2021</v>
      </c>
      <c r="Q17">
        <f>'План реализации _ 11'!E24</f>
        <v>144687.47261</v>
      </c>
      <c r="R17">
        <f>'План реализации _ 11'!F24</f>
        <v>123420.07260999999</v>
      </c>
      <c r="S17">
        <f>'План реализации _ 11'!G24</f>
        <v>21267.4</v>
      </c>
      <c r="T17">
        <f>'План реализации _ 11'!H24</f>
        <v>0</v>
      </c>
      <c r="U17">
        <f>'План реализации _ 11'!I24</f>
        <v>0</v>
      </c>
      <c r="V17" s="107"/>
      <c r="W17" s="107"/>
    </row>
    <row r="18" spans="1:24" ht="9.75" hidden="1" customHeight="1" x14ac:dyDescent="0.25">
      <c r="A18" s="107" t="s">
        <v>628</v>
      </c>
      <c r="B18" s="107" t="s">
        <v>629</v>
      </c>
      <c r="C18" t="s">
        <v>8</v>
      </c>
      <c r="I18" s="107" t="s">
        <v>32</v>
      </c>
      <c r="J18">
        <f t="shared" ref="J18:N81" si="3">Q18-D18</f>
        <v>0</v>
      </c>
      <c r="K18">
        <f t="shared" si="3"/>
        <v>0</v>
      </c>
      <c r="L18">
        <f t="shared" si="3"/>
        <v>0</v>
      </c>
      <c r="M18">
        <f t="shared" si="3"/>
        <v>0</v>
      </c>
      <c r="N18">
        <f t="shared" si="3"/>
        <v>0</v>
      </c>
      <c r="O18" s="107" t="s">
        <v>31</v>
      </c>
      <c r="P18" t="s">
        <v>8</v>
      </c>
      <c r="V18" s="107" t="s">
        <v>32</v>
      </c>
      <c r="W18" s="107"/>
    </row>
    <row r="19" spans="1:24" ht="57" hidden="1" customHeight="1" x14ac:dyDescent="0.25">
      <c r="A19" s="107"/>
      <c r="B19" s="107"/>
      <c r="C19">
        <v>2021</v>
      </c>
      <c r="I19" s="107"/>
      <c r="J19">
        <f t="shared" si="3"/>
        <v>0</v>
      </c>
      <c r="K19">
        <f t="shared" si="3"/>
        <v>0</v>
      </c>
      <c r="L19">
        <f t="shared" si="3"/>
        <v>0</v>
      </c>
      <c r="M19">
        <f t="shared" si="3"/>
        <v>0</v>
      </c>
      <c r="N19">
        <f t="shared" si="3"/>
        <v>0</v>
      </c>
      <c r="O19" s="107"/>
      <c r="P19">
        <v>2021</v>
      </c>
      <c r="V19" s="107"/>
      <c r="W19" s="107"/>
    </row>
    <row r="20" spans="1:24" ht="25.5" hidden="1" customHeight="1" x14ac:dyDescent="0.25">
      <c r="A20" s="107" t="s">
        <v>630</v>
      </c>
      <c r="B20" s="107" t="s">
        <v>496</v>
      </c>
      <c r="C20" t="s">
        <v>8</v>
      </c>
      <c r="I20" s="107" t="s">
        <v>631</v>
      </c>
      <c r="J20">
        <f t="shared" si="3"/>
        <v>0</v>
      </c>
      <c r="K20">
        <f t="shared" si="3"/>
        <v>0</v>
      </c>
      <c r="L20">
        <f t="shared" si="3"/>
        <v>0</v>
      </c>
      <c r="M20">
        <f t="shared" si="3"/>
        <v>0</v>
      </c>
      <c r="N20">
        <f t="shared" si="3"/>
        <v>0</v>
      </c>
      <c r="O20" s="107" t="s">
        <v>496</v>
      </c>
      <c r="P20" t="s">
        <v>8</v>
      </c>
      <c r="V20" s="107" t="s">
        <v>35</v>
      </c>
      <c r="W20" s="107" t="s">
        <v>632</v>
      </c>
      <c r="X20" s="107"/>
    </row>
    <row r="21" spans="1:24" ht="0.75" hidden="1" customHeight="1" x14ac:dyDescent="0.25">
      <c r="A21" s="107"/>
      <c r="B21" s="107"/>
      <c r="C21">
        <v>2021</v>
      </c>
      <c r="I21" s="107"/>
      <c r="J21">
        <f t="shared" si="3"/>
        <v>0</v>
      </c>
      <c r="K21">
        <f t="shared" si="3"/>
        <v>0</v>
      </c>
      <c r="L21">
        <f t="shared" si="3"/>
        <v>0</v>
      </c>
      <c r="M21">
        <f t="shared" si="3"/>
        <v>0</v>
      </c>
      <c r="N21">
        <f t="shared" si="3"/>
        <v>0</v>
      </c>
      <c r="O21" s="107"/>
      <c r="P21">
        <v>2021</v>
      </c>
      <c r="V21" s="107"/>
      <c r="W21" s="107"/>
      <c r="X21" s="107"/>
    </row>
    <row r="22" spans="1:24" ht="68.25" customHeight="1" x14ac:dyDescent="0.25">
      <c r="A22" s="107" t="s">
        <v>633</v>
      </c>
      <c r="B22" s="107" t="s">
        <v>629</v>
      </c>
      <c r="C22" t="s">
        <v>8</v>
      </c>
      <c r="D22">
        <f>'План реализации _ 10'!E50</f>
        <v>229136.894</v>
      </c>
      <c r="E22">
        <f>'План реализации _ 10'!F50</f>
        <v>229136.894</v>
      </c>
      <c r="F22">
        <f>'План реализации _ 10'!G50</f>
        <v>0</v>
      </c>
      <c r="G22">
        <f>'План реализации _ 10'!H50</f>
        <v>0</v>
      </c>
      <c r="H22">
        <f>'План реализации _ 10'!I50</f>
        <v>0</v>
      </c>
      <c r="I22" s="107" t="s">
        <v>32</v>
      </c>
      <c r="J22">
        <f t="shared" si="3"/>
        <v>-700</v>
      </c>
      <c r="K22">
        <f t="shared" si="3"/>
        <v>-700</v>
      </c>
      <c r="L22">
        <f t="shared" si="3"/>
        <v>0</v>
      </c>
      <c r="M22">
        <f t="shared" si="3"/>
        <v>0</v>
      </c>
      <c r="N22">
        <f t="shared" si="3"/>
        <v>0</v>
      </c>
      <c r="O22" s="107" t="s">
        <v>629</v>
      </c>
      <c r="P22" t="s">
        <v>8</v>
      </c>
      <c r="Q22">
        <f>'План реализации _ 11'!E50</f>
        <v>228436.894</v>
      </c>
      <c r="R22">
        <f>'План реализации _ 11'!F50</f>
        <v>228436.894</v>
      </c>
      <c r="S22">
        <f>'План реализации _ 11'!G50</f>
        <v>0</v>
      </c>
      <c r="T22">
        <f>'План реализации _ 11'!H50</f>
        <v>0</v>
      </c>
      <c r="U22">
        <f>'План реализации _ 11'!I50</f>
        <v>0</v>
      </c>
      <c r="V22" s="107" t="s">
        <v>634</v>
      </c>
      <c r="W22" s="107"/>
    </row>
    <row r="23" spans="1:24" ht="117" customHeight="1" x14ac:dyDescent="0.25">
      <c r="A23" s="107"/>
      <c r="B23" s="107"/>
      <c r="C23">
        <v>2021</v>
      </c>
      <c r="D23">
        <f>'План реализации _ 10'!E51</f>
        <v>109136.894</v>
      </c>
      <c r="E23">
        <f>'План реализации _ 10'!F51</f>
        <v>109136.894</v>
      </c>
      <c r="F23">
        <f>'План реализации _ 10'!G30</f>
        <v>0</v>
      </c>
      <c r="G23">
        <f>'План реализации _ 10'!H51</f>
        <v>0</v>
      </c>
      <c r="H23">
        <f>'План реализации _ 10'!I51</f>
        <v>0</v>
      </c>
      <c r="I23" s="107"/>
      <c r="J23">
        <f t="shared" si="3"/>
        <v>-700</v>
      </c>
      <c r="K23">
        <f t="shared" si="3"/>
        <v>-700</v>
      </c>
      <c r="L23">
        <f t="shared" si="3"/>
        <v>0</v>
      </c>
      <c r="M23">
        <f t="shared" si="3"/>
        <v>0</v>
      </c>
      <c r="N23">
        <f t="shared" si="3"/>
        <v>0</v>
      </c>
      <c r="O23" s="107"/>
      <c r="P23">
        <v>2021</v>
      </c>
      <c r="Q23">
        <f>'План реализации _ 11'!E51</f>
        <v>108436.894</v>
      </c>
      <c r="R23">
        <f>'План реализации _ 11'!F51</f>
        <v>108436.894</v>
      </c>
      <c r="S23">
        <f>'План реализации _ 11'!G51</f>
        <v>0</v>
      </c>
      <c r="T23">
        <f>'План реализации _ 11'!H51</f>
        <v>0</v>
      </c>
      <c r="U23">
        <f>'План реализации _ 11'!I51</f>
        <v>0</v>
      </c>
      <c r="V23" s="107"/>
      <c r="W23" s="107"/>
    </row>
    <row r="24" spans="1:24" ht="27" customHeight="1" x14ac:dyDescent="0.25">
      <c r="A24" s="107" t="s">
        <v>635</v>
      </c>
      <c r="B24" s="107" t="s">
        <v>504</v>
      </c>
      <c r="C24" t="s">
        <v>8</v>
      </c>
      <c r="D24">
        <f>'План реализации _ 10'!E74</f>
        <v>2700</v>
      </c>
      <c r="E24">
        <f>'План реализации _ 10'!F74</f>
        <v>2700</v>
      </c>
      <c r="F24">
        <f>'План реализации _ 10'!G74</f>
        <v>0</v>
      </c>
      <c r="G24">
        <f>'План реализации _ 10'!H74</f>
        <v>0</v>
      </c>
      <c r="H24">
        <f>'План реализации _ 10'!I74</f>
        <v>0</v>
      </c>
      <c r="I24" s="107" t="s">
        <v>505</v>
      </c>
      <c r="J24">
        <f t="shared" si="3"/>
        <v>-700</v>
      </c>
      <c r="K24">
        <f t="shared" si="3"/>
        <v>-700</v>
      </c>
      <c r="L24">
        <f t="shared" si="3"/>
        <v>0</v>
      </c>
      <c r="M24">
        <f t="shared" si="3"/>
        <v>0</v>
      </c>
      <c r="N24">
        <f t="shared" si="3"/>
        <v>0</v>
      </c>
      <c r="O24" s="107" t="s">
        <v>504</v>
      </c>
      <c r="P24" t="s">
        <v>8</v>
      </c>
      <c r="Q24">
        <f>'План реализации _ 11'!E74</f>
        <v>2000</v>
      </c>
      <c r="R24">
        <f>'План реализации _ 11'!F74</f>
        <v>2000</v>
      </c>
      <c r="S24">
        <f>'План реализации _ 11'!G74</f>
        <v>0</v>
      </c>
      <c r="T24">
        <f>'План реализации _ 11'!H74</f>
        <v>0</v>
      </c>
      <c r="U24">
        <f>'План реализации _ 11'!I74</f>
        <v>0</v>
      </c>
      <c r="V24" s="107" t="s">
        <v>505</v>
      </c>
      <c r="W24" s="107" t="s">
        <v>636</v>
      </c>
      <c r="X24" s="107"/>
    </row>
    <row r="25" spans="1:24" ht="23.25" customHeight="1" x14ac:dyDescent="0.25">
      <c r="A25" s="107"/>
      <c r="B25" s="107"/>
      <c r="C25">
        <v>2021</v>
      </c>
      <c r="D25">
        <f>'План реализации _ 10'!E75</f>
        <v>2700</v>
      </c>
      <c r="E25">
        <f>'План реализации _ 10'!F75</f>
        <v>2700</v>
      </c>
      <c r="F25">
        <f>'План реализации _ 10'!G75</f>
        <v>0</v>
      </c>
      <c r="G25">
        <f>'План реализации _ 10'!H75</f>
        <v>0</v>
      </c>
      <c r="H25">
        <f>'План реализации _ 10'!I75</f>
        <v>0</v>
      </c>
      <c r="I25" s="107"/>
      <c r="J25">
        <f t="shared" si="3"/>
        <v>-700</v>
      </c>
      <c r="K25">
        <f t="shared" si="3"/>
        <v>-700</v>
      </c>
      <c r="L25">
        <f t="shared" si="3"/>
        <v>0</v>
      </c>
      <c r="M25">
        <f t="shared" si="3"/>
        <v>0</v>
      </c>
      <c r="N25">
        <f t="shared" si="3"/>
        <v>0</v>
      </c>
      <c r="O25" s="107"/>
      <c r="P25">
        <v>2021</v>
      </c>
      <c r="Q25">
        <f>'План реализации _ 11'!E75</f>
        <v>2000</v>
      </c>
      <c r="R25">
        <f>'План реализации _ 11'!F75</f>
        <v>2000</v>
      </c>
      <c r="S25">
        <f>'План реализации _ 11'!G75</f>
        <v>0</v>
      </c>
      <c r="T25">
        <f>'План реализации _ 11'!H75</f>
        <v>0</v>
      </c>
      <c r="U25">
        <f>'План реализации _ 11'!I75</f>
        <v>0</v>
      </c>
      <c r="V25" s="107"/>
      <c r="W25" s="107"/>
      <c r="X25" s="107"/>
    </row>
    <row r="26" spans="1:24" ht="19.5" hidden="1" customHeight="1" x14ac:dyDescent="0.25">
      <c r="A26" s="107" t="s">
        <v>637</v>
      </c>
      <c r="B26" s="107" t="s">
        <v>498</v>
      </c>
      <c r="C26" t="s">
        <v>8</v>
      </c>
      <c r="I26" s="107" t="s">
        <v>499</v>
      </c>
      <c r="J26">
        <f t="shared" si="3"/>
        <v>0</v>
      </c>
      <c r="K26">
        <f t="shared" si="3"/>
        <v>0</v>
      </c>
      <c r="L26">
        <f t="shared" si="3"/>
        <v>0</v>
      </c>
      <c r="M26">
        <f t="shared" si="3"/>
        <v>0</v>
      </c>
      <c r="N26">
        <f t="shared" si="3"/>
        <v>0</v>
      </c>
      <c r="O26" s="107" t="s">
        <v>498</v>
      </c>
      <c r="P26" t="s">
        <v>8</v>
      </c>
      <c r="V26" s="107" t="s">
        <v>499</v>
      </c>
      <c r="W26" s="107" t="s">
        <v>638</v>
      </c>
      <c r="X26" s="107"/>
    </row>
    <row r="27" spans="1:24" ht="19.5" hidden="1" customHeight="1" x14ac:dyDescent="0.25">
      <c r="A27" s="107"/>
      <c r="B27" s="107"/>
      <c r="C27" t="s">
        <v>8</v>
      </c>
      <c r="I27" s="107"/>
      <c r="J27">
        <f t="shared" si="3"/>
        <v>0</v>
      </c>
      <c r="K27">
        <f t="shared" ref="K27:K28" si="4">R27-E27</f>
        <v>0</v>
      </c>
      <c r="L27">
        <f t="shared" ref="L27:L28" si="5">S27-F27</f>
        <v>0</v>
      </c>
      <c r="M27">
        <f t="shared" ref="M27:M28" si="6">T27-G27</f>
        <v>0</v>
      </c>
      <c r="N27">
        <f t="shared" ref="N27:N28" si="7">U27-H27</f>
        <v>0</v>
      </c>
      <c r="O27" s="107"/>
      <c r="P27" t="s">
        <v>8</v>
      </c>
      <c r="V27" s="107"/>
      <c r="W27" s="107"/>
      <c r="X27" s="107"/>
    </row>
    <row r="28" spans="1:24" ht="19.5" hidden="1" customHeight="1" x14ac:dyDescent="0.25">
      <c r="A28" s="107"/>
      <c r="B28" s="107"/>
      <c r="C28">
        <v>2021</v>
      </c>
      <c r="I28" s="107"/>
      <c r="J28">
        <f t="shared" si="3"/>
        <v>0</v>
      </c>
      <c r="K28">
        <f t="shared" si="4"/>
        <v>0</v>
      </c>
      <c r="L28">
        <f t="shared" si="5"/>
        <v>0</v>
      </c>
      <c r="M28">
        <f t="shared" si="6"/>
        <v>0</v>
      </c>
      <c r="N28">
        <f t="shared" si="7"/>
        <v>0</v>
      </c>
      <c r="O28" s="107"/>
      <c r="P28">
        <v>2021</v>
      </c>
      <c r="V28" s="107"/>
      <c r="W28" s="107"/>
      <c r="X28" s="107"/>
    </row>
    <row r="29" spans="1:24" ht="19.5" hidden="1" customHeight="1" x14ac:dyDescent="0.25">
      <c r="A29" s="107" t="s">
        <v>639</v>
      </c>
      <c r="B29" s="107" t="s">
        <v>507</v>
      </c>
      <c r="C29" t="s">
        <v>8</v>
      </c>
      <c r="I29" s="107" t="s">
        <v>508</v>
      </c>
      <c r="J29">
        <f t="shared" si="3"/>
        <v>0</v>
      </c>
      <c r="K29">
        <f t="shared" si="3"/>
        <v>0</v>
      </c>
      <c r="L29">
        <f t="shared" si="3"/>
        <v>0</v>
      </c>
      <c r="M29">
        <f t="shared" si="3"/>
        <v>0</v>
      </c>
      <c r="N29">
        <f t="shared" si="3"/>
        <v>0</v>
      </c>
      <c r="O29" s="107" t="s">
        <v>507</v>
      </c>
      <c r="P29" t="s">
        <v>8</v>
      </c>
      <c r="V29" s="107" t="s">
        <v>508</v>
      </c>
      <c r="W29" s="107" t="s">
        <v>640</v>
      </c>
      <c r="X29" s="107"/>
    </row>
    <row r="30" spans="1:24" ht="19.5" hidden="1" customHeight="1" x14ac:dyDescent="0.25">
      <c r="A30" s="107"/>
      <c r="B30" s="107"/>
      <c r="C30">
        <v>2021</v>
      </c>
      <c r="I30" s="107"/>
      <c r="J30">
        <f t="shared" si="3"/>
        <v>0</v>
      </c>
      <c r="K30">
        <f t="shared" si="3"/>
        <v>0</v>
      </c>
      <c r="L30">
        <f t="shared" si="3"/>
        <v>0</v>
      </c>
      <c r="M30">
        <f t="shared" si="3"/>
        <v>0</v>
      </c>
      <c r="N30">
        <f t="shared" si="3"/>
        <v>0</v>
      </c>
      <c r="O30" s="107"/>
      <c r="P30">
        <v>2021</v>
      </c>
      <c r="V30" s="107"/>
      <c r="W30" s="107"/>
      <c r="X30" s="107"/>
    </row>
    <row r="31" spans="1:24" ht="19.5" hidden="1" customHeight="1" x14ac:dyDescent="0.25">
      <c r="A31" s="107" t="s">
        <v>39</v>
      </c>
      <c r="B31" s="107" t="s">
        <v>40</v>
      </c>
      <c r="C31" t="s">
        <v>8</v>
      </c>
      <c r="I31" s="107" t="s">
        <v>42</v>
      </c>
      <c r="J31">
        <f t="shared" si="3"/>
        <v>0</v>
      </c>
      <c r="K31">
        <f t="shared" si="3"/>
        <v>0</v>
      </c>
      <c r="L31">
        <f t="shared" si="3"/>
        <v>0</v>
      </c>
      <c r="M31">
        <f t="shared" si="3"/>
        <v>0</v>
      </c>
      <c r="N31">
        <f t="shared" si="3"/>
        <v>0</v>
      </c>
      <c r="O31" s="107" t="s">
        <v>40</v>
      </c>
      <c r="P31" t="s">
        <v>8</v>
      </c>
      <c r="V31" s="107" t="s">
        <v>42</v>
      </c>
      <c r="W31" s="107"/>
    </row>
    <row r="32" spans="1:24" ht="19.5" hidden="1" customHeight="1" x14ac:dyDescent="0.25">
      <c r="A32" s="107"/>
      <c r="B32" s="107"/>
      <c r="C32">
        <v>2021</v>
      </c>
      <c r="I32" s="107"/>
      <c r="J32">
        <f t="shared" si="3"/>
        <v>0</v>
      </c>
      <c r="K32">
        <f t="shared" si="3"/>
        <v>0</v>
      </c>
      <c r="L32">
        <f t="shared" si="3"/>
        <v>0</v>
      </c>
      <c r="M32">
        <f t="shared" si="3"/>
        <v>0</v>
      </c>
      <c r="N32">
        <f t="shared" si="3"/>
        <v>0</v>
      </c>
      <c r="O32" s="107"/>
      <c r="P32">
        <v>2021</v>
      </c>
      <c r="V32" s="107"/>
      <c r="W32" s="107"/>
    </row>
    <row r="33" spans="1:24" ht="42.75" hidden="1" customHeight="1" x14ac:dyDescent="0.25">
      <c r="A33" s="107" t="s">
        <v>51</v>
      </c>
      <c r="B33" s="107" t="s">
        <v>52</v>
      </c>
      <c r="C33" t="s">
        <v>8</v>
      </c>
      <c r="I33" s="107" t="s">
        <v>53</v>
      </c>
      <c r="J33">
        <f t="shared" si="3"/>
        <v>0</v>
      </c>
      <c r="K33">
        <f t="shared" si="3"/>
        <v>0</v>
      </c>
      <c r="L33">
        <f t="shared" si="3"/>
        <v>0</v>
      </c>
      <c r="M33">
        <f t="shared" si="3"/>
        <v>0</v>
      </c>
      <c r="N33">
        <f t="shared" si="3"/>
        <v>0</v>
      </c>
      <c r="O33" s="107" t="s">
        <v>52</v>
      </c>
      <c r="P33" t="s">
        <v>8</v>
      </c>
      <c r="V33" s="107" t="s">
        <v>53</v>
      </c>
      <c r="W33" s="107" t="s">
        <v>641</v>
      </c>
      <c r="X33" s="107"/>
    </row>
    <row r="34" spans="1:24" ht="42.75" hidden="1" customHeight="1" x14ac:dyDescent="0.25">
      <c r="A34" s="107"/>
      <c r="B34" s="107"/>
      <c r="C34">
        <v>2021</v>
      </c>
      <c r="I34" s="107"/>
      <c r="J34">
        <f t="shared" si="3"/>
        <v>0</v>
      </c>
      <c r="K34">
        <f t="shared" si="3"/>
        <v>0</v>
      </c>
      <c r="L34">
        <f t="shared" si="3"/>
        <v>0</v>
      </c>
      <c r="M34">
        <f t="shared" si="3"/>
        <v>0</v>
      </c>
      <c r="N34">
        <f t="shared" si="3"/>
        <v>0</v>
      </c>
      <c r="O34" s="107"/>
      <c r="P34">
        <v>2021</v>
      </c>
      <c r="V34" s="107"/>
      <c r="W34" s="107"/>
      <c r="X34" s="107"/>
    </row>
    <row r="35" spans="1:24" ht="19.5" hidden="1" customHeight="1" x14ac:dyDescent="0.25">
      <c r="A35" s="107" t="s">
        <v>516</v>
      </c>
      <c r="B35" s="107" t="s">
        <v>642</v>
      </c>
      <c r="C35" t="s">
        <v>8</v>
      </c>
      <c r="I35" s="107"/>
      <c r="J35">
        <f t="shared" si="3"/>
        <v>0</v>
      </c>
      <c r="K35">
        <f t="shared" si="3"/>
        <v>0</v>
      </c>
      <c r="L35">
        <f t="shared" si="3"/>
        <v>0</v>
      </c>
      <c r="M35">
        <f t="shared" si="3"/>
        <v>0</v>
      </c>
      <c r="N35">
        <f t="shared" si="3"/>
        <v>0</v>
      </c>
      <c r="O35" s="107" t="s">
        <v>45</v>
      </c>
      <c r="P35" t="s">
        <v>8</v>
      </c>
      <c r="V35" s="107" t="s">
        <v>517</v>
      </c>
      <c r="W35" s="107" t="s">
        <v>643</v>
      </c>
      <c r="X35" s="107"/>
    </row>
    <row r="36" spans="1:24" ht="19.5" hidden="1" customHeight="1" x14ac:dyDescent="0.25">
      <c r="A36" s="107"/>
      <c r="B36" s="107"/>
      <c r="C36">
        <v>2021</v>
      </c>
      <c r="I36" s="107"/>
      <c r="J36">
        <f t="shared" si="3"/>
        <v>0</v>
      </c>
      <c r="K36">
        <f t="shared" si="3"/>
        <v>0</v>
      </c>
      <c r="L36">
        <f t="shared" si="3"/>
        <v>0</v>
      </c>
      <c r="M36">
        <f t="shared" si="3"/>
        <v>0</v>
      </c>
      <c r="N36">
        <f t="shared" si="3"/>
        <v>0</v>
      </c>
      <c r="O36" s="107"/>
      <c r="P36">
        <v>2021</v>
      </c>
      <c r="V36" s="107"/>
      <c r="W36" s="107"/>
      <c r="X36" s="107"/>
    </row>
    <row r="37" spans="1:24" ht="19.5" customHeight="1" x14ac:dyDescent="0.25">
      <c r="A37" s="107" t="s">
        <v>39</v>
      </c>
      <c r="B37" s="107" t="s">
        <v>40</v>
      </c>
      <c r="C37" t="s">
        <v>8</v>
      </c>
      <c r="D37">
        <f>'План реализации _ 10'!E86</f>
        <v>43149.664649999999</v>
      </c>
      <c r="E37">
        <f>'План реализации _ 10'!F86</f>
        <v>18245.56465</v>
      </c>
      <c r="F37">
        <f>'План реализации _ 10'!G86</f>
        <v>24904.1</v>
      </c>
      <c r="G37">
        <f>'План реализации _ 10'!H86</f>
        <v>0</v>
      </c>
      <c r="H37">
        <f>'План реализации _ 10'!I86</f>
        <v>0</v>
      </c>
      <c r="I37" s="107" t="s">
        <v>42</v>
      </c>
      <c r="J37">
        <f t="shared" si="3"/>
        <v>-4.5</v>
      </c>
      <c r="K37">
        <f t="shared" si="3"/>
        <v>-4.5</v>
      </c>
      <c r="L37">
        <f t="shared" si="3"/>
        <v>0</v>
      </c>
      <c r="M37">
        <f t="shared" si="3"/>
        <v>0</v>
      </c>
      <c r="N37">
        <f t="shared" si="3"/>
        <v>0</v>
      </c>
      <c r="O37" s="107" t="s">
        <v>40</v>
      </c>
      <c r="P37" t="s">
        <v>8</v>
      </c>
      <c r="Q37">
        <f>'План реализации _ 11'!E86</f>
        <v>43145.164649999999</v>
      </c>
      <c r="R37">
        <f>'План реализации _ 11'!F86</f>
        <v>18241.06465</v>
      </c>
      <c r="S37">
        <f>'План реализации _ 11'!G86</f>
        <v>24904.1</v>
      </c>
      <c r="T37">
        <f>'План реализации _ 11'!H86</f>
        <v>0</v>
      </c>
      <c r="U37">
        <f>'План реализации _ 11'!I86</f>
        <v>0</v>
      </c>
      <c r="V37" s="107" t="s">
        <v>42</v>
      </c>
      <c r="W37" s="107"/>
    </row>
    <row r="38" spans="1:24" ht="19.5" customHeight="1" x14ac:dyDescent="0.25">
      <c r="A38" s="107"/>
      <c r="B38" s="107"/>
      <c r="C38">
        <v>2021</v>
      </c>
      <c r="D38">
        <f>'План реализации _ 10'!E87</f>
        <v>28256.413610000003</v>
      </c>
      <c r="E38">
        <f>'План реализации _ 10'!F87</f>
        <v>6989.01361</v>
      </c>
      <c r="F38">
        <f>'План реализации _ 10'!G87</f>
        <v>21267.4</v>
      </c>
      <c r="G38">
        <f>'План реализации _ 10'!H87</f>
        <v>0</v>
      </c>
      <c r="H38">
        <f>'План реализации _ 10'!I87</f>
        <v>0</v>
      </c>
      <c r="I38" s="107"/>
      <c r="J38">
        <f t="shared" si="3"/>
        <v>-4.5</v>
      </c>
      <c r="K38">
        <f t="shared" si="3"/>
        <v>-4.5</v>
      </c>
      <c r="L38">
        <f t="shared" si="3"/>
        <v>0</v>
      </c>
      <c r="M38">
        <f t="shared" si="3"/>
        <v>0</v>
      </c>
      <c r="N38">
        <f t="shared" si="3"/>
        <v>0</v>
      </c>
      <c r="O38" s="107"/>
      <c r="P38">
        <v>2021</v>
      </c>
      <c r="Q38">
        <f>'План реализации _ 11'!E87</f>
        <v>28251.913610000003</v>
      </c>
      <c r="R38">
        <f>'План реализации _ 11'!F87</f>
        <v>6984.51361</v>
      </c>
      <c r="S38">
        <f>'План реализации _ 11'!G87</f>
        <v>21267.4</v>
      </c>
      <c r="T38">
        <f>'План реализации _ 11'!H87</f>
        <v>0</v>
      </c>
      <c r="U38">
        <f>'План реализации _ 11'!I87</f>
        <v>0</v>
      </c>
      <c r="V38" s="107"/>
      <c r="W38" s="107"/>
    </row>
    <row r="39" spans="1:24" ht="19.5" customHeight="1" x14ac:dyDescent="0.25">
      <c r="A39" s="107"/>
      <c r="B39" s="107"/>
      <c r="C39">
        <v>2022</v>
      </c>
      <c r="D39">
        <f>'План реализации _ 10'!E88</f>
        <v>5570.2489399999995</v>
      </c>
      <c r="E39">
        <f>'План реализации _ 10'!F88</f>
        <v>3752.14894</v>
      </c>
      <c r="F39">
        <f>'План реализации _ 10'!G88</f>
        <v>1818.1</v>
      </c>
      <c r="G39">
        <f>'План реализации _ 10'!H88</f>
        <v>0</v>
      </c>
      <c r="H39">
        <f>'План реализации _ 10'!I88</f>
        <v>0</v>
      </c>
      <c r="I39" s="107"/>
      <c r="J39">
        <f t="shared" si="3"/>
        <v>0</v>
      </c>
      <c r="K39">
        <f t="shared" si="3"/>
        <v>0</v>
      </c>
      <c r="L39">
        <f t="shared" si="3"/>
        <v>0</v>
      </c>
      <c r="M39">
        <f t="shared" si="3"/>
        <v>0</v>
      </c>
      <c r="N39">
        <f t="shared" si="3"/>
        <v>0</v>
      </c>
      <c r="O39" s="107"/>
      <c r="P39">
        <v>2022</v>
      </c>
      <c r="Q39">
        <f>'План реализации _ 11'!E88</f>
        <v>5570.2489399999995</v>
      </c>
      <c r="R39">
        <f>'План реализации _ 11'!F88</f>
        <v>3752.14894</v>
      </c>
      <c r="S39">
        <f>'План реализации _ 11'!G88</f>
        <v>1818.1</v>
      </c>
      <c r="T39">
        <f>'План реализации _ 11'!H88</f>
        <v>0</v>
      </c>
      <c r="U39">
        <f>'План реализации _ 11'!I88</f>
        <v>0</v>
      </c>
      <c r="V39" s="107"/>
      <c r="W39" s="107"/>
    </row>
    <row r="40" spans="1:24" ht="19.5" customHeight="1" x14ac:dyDescent="0.25">
      <c r="A40" s="107"/>
      <c r="B40" s="107"/>
      <c r="C40">
        <v>2023</v>
      </c>
      <c r="D40">
        <f>'План реализации _ 10'!E89</f>
        <v>5570.80105</v>
      </c>
      <c r="E40">
        <f>'План реализации _ 10'!F89</f>
        <v>3752.2010500000001</v>
      </c>
      <c r="F40">
        <f>'План реализации _ 10'!G89</f>
        <v>1818.6</v>
      </c>
      <c r="G40">
        <f>'План реализации _ 10'!H89</f>
        <v>0</v>
      </c>
      <c r="H40">
        <f>'План реализации _ 10'!I89</f>
        <v>0</v>
      </c>
      <c r="I40" s="107"/>
      <c r="J40">
        <f t="shared" si="3"/>
        <v>0</v>
      </c>
      <c r="K40">
        <f t="shared" si="3"/>
        <v>0</v>
      </c>
      <c r="L40">
        <f t="shared" si="3"/>
        <v>0</v>
      </c>
      <c r="M40">
        <f t="shared" si="3"/>
        <v>0</v>
      </c>
      <c r="N40">
        <f t="shared" si="3"/>
        <v>0</v>
      </c>
      <c r="O40" s="107"/>
      <c r="P40">
        <v>2023</v>
      </c>
      <c r="Q40">
        <f>'План реализации _ 11'!E89</f>
        <v>5570.80105</v>
      </c>
      <c r="R40">
        <f>'План реализации _ 11'!F89</f>
        <v>3752.2010500000001</v>
      </c>
      <c r="S40">
        <f>'План реализации _ 11'!G89</f>
        <v>1818.6</v>
      </c>
      <c r="T40">
        <f>'План реализации _ 11'!H89</f>
        <v>0</v>
      </c>
      <c r="U40">
        <f>'План реализации _ 11'!I89</f>
        <v>0</v>
      </c>
      <c r="V40" s="107"/>
      <c r="W40" s="107"/>
    </row>
    <row r="41" spans="1:24" ht="19.5" customHeight="1" x14ac:dyDescent="0.25">
      <c r="A41" s="107"/>
      <c r="B41" s="107"/>
      <c r="C41">
        <v>2024</v>
      </c>
      <c r="D41">
        <f>'План реализации _ 10'!E90</f>
        <v>3752.2010500000001</v>
      </c>
      <c r="E41">
        <f>'План реализации _ 10'!F90</f>
        <v>3752.2010500000001</v>
      </c>
      <c r="F41">
        <f>'План реализации _ 10'!G90</f>
        <v>0</v>
      </c>
      <c r="G41">
        <f>'План реализации _ 10'!H90</f>
        <v>0</v>
      </c>
      <c r="H41">
        <f>'План реализации _ 10'!I90</f>
        <v>0</v>
      </c>
      <c r="I41" s="107"/>
      <c r="J41">
        <f t="shared" si="3"/>
        <v>0</v>
      </c>
      <c r="K41">
        <f t="shared" si="3"/>
        <v>0</v>
      </c>
      <c r="L41">
        <f t="shared" si="3"/>
        <v>0</v>
      </c>
      <c r="M41">
        <f t="shared" si="3"/>
        <v>0</v>
      </c>
      <c r="N41">
        <f t="shared" si="3"/>
        <v>0</v>
      </c>
      <c r="O41" s="107"/>
      <c r="P41">
        <v>2024</v>
      </c>
      <c r="Q41">
        <f>'План реализации _ 11'!E90</f>
        <v>3752.2010500000001</v>
      </c>
      <c r="R41">
        <f>'План реализации _ 11'!F90</f>
        <v>3752.2010500000001</v>
      </c>
      <c r="S41">
        <f>'План реализации _ 11'!G90</f>
        <v>0</v>
      </c>
      <c r="T41">
        <f>'План реализации _ 11'!H90</f>
        <v>0</v>
      </c>
      <c r="U41">
        <f>'План реализации _ 11'!I90</f>
        <v>0</v>
      </c>
      <c r="V41" s="107"/>
      <c r="W41" s="107"/>
    </row>
    <row r="42" spans="1:24" ht="19.5" customHeight="1" x14ac:dyDescent="0.25">
      <c r="A42" s="107" t="s">
        <v>51</v>
      </c>
      <c r="B42" s="107" t="s">
        <v>52</v>
      </c>
      <c r="C42" t="s">
        <v>8</v>
      </c>
      <c r="D42">
        <f>'План реализации _ 10'!E109</f>
        <v>10000</v>
      </c>
      <c r="E42">
        <f>'План реализации _ 10'!F109</f>
        <v>10000</v>
      </c>
      <c r="F42">
        <f>'План реализации _ 10'!G109</f>
        <v>0</v>
      </c>
      <c r="G42">
        <f>'План реализации _ 10'!H109</f>
        <v>0</v>
      </c>
      <c r="H42">
        <f>'План реализации _ 10'!I109</f>
        <v>0</v>
      </c>
      <c r="I42" s="107" t="s">
        <v>514</v>
      </c>
      <c r="J42">
        <f t="shared" si="3"/>
        <v>-4.5</v>
      </c>
      <c r="K42">
        <f t="shared" si="3"/>
        <v>-4.5</v>
      </c>
      <c r="L42">
        <f t="shared" si="3"/>
        <v>0</v>
      </c>
      <c r="M42">
        <f t="shared" si="3"/>
        <v>0</v>
      </c>
      <c r="N42">
        <f t="shared" si="3"/>
        <v>0</v>
      </c>
      <c r="O42" s="107" t="s">
        <v>52</v>
      </c>
      <c r="P42" t="s">
        <v>8</v>
      </c>
      <c r="Q42">
        <f>'План реализации _ 11'!E109</f>
        <v>9995.5</v>
      </c>
      <c r="R42">
        <f>'План реализации _ 11'!F109</f>
        <v>9995.5</v>
      </c>
      <c r="S42">
        <f>'План реализации _ 11'!G109</f>
        <v>0</v>
      </c>
      <c r="T42">
        <f>'План реализации _ 11'!H109</f>
        <v>0</v>
      </c>
      <c r="U42">
        <f>'План реализации _ 11'!I109</f>
        <v>0</v>
      </c>
      <c r="V42" s="107" t="s">
        <v>514</v>
      </c>
      <c r="W42" s="107" t="s">
        <v>644</v>
      </c>
    </row>
    <row r="43" spans="1:24" ht="25.5" customHeight="1" x14ac:dyDescent="0.25">
      <c r="A43" s="107"/>
      <c r="B43" s="107"/>
      <c r="C43">
        <v>2021</v>
      </c>
      <c r="D43">
        <f>'План реализации _ 10'!E110</f>
        <v>4000</v>
      </c>
      <c r="E43">
        <f>'План реализации _ 10'!F110</f>
        <v>4000</v>
      </c>
      <c r="F43">
        <f>'План реализации _ 10'!G110</f>
        <v>0</v>
      </c>
      <c r="G43">
        <f>'План реализации _ 10'!H110</f>
        <v>0</v>
      </c>
      <c r="H43">
        <f>'План реализации _ 10'!I110</f>
        <v>0</v>
      </c>
      <c r="I43" s="107"/>
      <c r="J43">
        <f t="shared" si="3"/>
        <v>-4.5</v>
      </c>
      <c r="K43">
        <f t="shared" si="3"/>
        <v>-4.5</v>
      </c>
      <c r="L43">
        <f t="shared" si="3"/>
        <v>0</v>
      </c>
      <c r="M43">
        <f t="shared" si="3"/>
        <v>0</v>
      </c>
      <c r="N43">
        <f t="shared" si="3"/>
        <v>0</v>
      </c>
      <c r="O43" s="107"/>
      <c r="P43">
        <v>2021</v>
      </c>
      <c r="Q43">
        <f>'План реализации _ 11'!E110</f>
        <v>3995.5</v>
      </c>
      <c r="R43">
        <f>'План реализации _ 11'!F110</f>
        <v>3995.5</v>
      </c>
      <c r="S43">
        <f>'План реализации _ 11'!G110</f>
        <v>0</v>
      </c>
      <c r="T43">
        <f>'План реализации _ 11'!H110</f>
        <v>0</v>
      </c>
      <c r="U43">
        <f>'План реализации _ 11'!I110</f>
        <v>0</v>
      </c>
      <c r="V43" s="107"/>
      <c r="W43" s="107"/>
    </row>
    <row r="44" spans="1:24" ht="25.5" customHeight="1" x14ac:dyDescent="0.25">
      <c r="A44" s="107"/>
      <c r="B44" s="107"/>
      <c r="C44">
        <v>2022</v>
      </c>
      <c r="D44">
        <f>'План реализации _ 10'!E111</f>
        <v>2000</v>
      </c>
      <c r="E44">
        <f>'План реализации _ 10'!F111</f>
        <v>2000</v>
      </c>
      <c r="F44">
        <f>'План реализации _ 10'!G111</f>
        <v>0</v>
      </c>
      <c r="G44">
        <f>'План реализации _ 10'!H111</f>
        <v>0</v>
      </c>
      <c r="H44">
        <f>'План реализации _ 10'!I111</f>
        <v>0</v>
      </c>
      <c r="I44" s="107"/>
      <c r="J44">
        <f t="shared" si="3"/>
        <v>0</v>
      </c>
      <c r="K44">
        <f t="shared" si="3"/>
        <v>0</v>
      </c>
      <c r="L44">
        <f t="shared" si="3"/>
        <v>0</v>
      </c>
      <c r="M44">
        <f t="shared" si="3"/>
        <v>0</v>
      </c>
      <c r="N44">
        <f t="shared" si="3"/>
        <v>0</v>
      </c>
      <c r="O44" s="107"/>
      <c r="P44">
        <v>2022</v>
      </c>
      <c r="Q44">
        <f>'План реализации _ 11'!E111</f>
        <v>2000</v>
      </c>
      <c r="R44">
        <f>'План реализации _ 11'!F111</f>
        <v>2000</v>
      </c>
      <c r="S44">
        <f>'План реализации _ 11'!G111</f>
        <v>0</v>
      </c>
      <c r="T44">
        <f>'План реализации _ 11'!H111</f>
        <v>0</v>
      </c>
      <c r="U44">
        <f>'План реализации _ 11'!I111</f>
        <v>0</v>
      </c>
      <c r="V44" s="107"/>
      <c r="W44" s="107"/>
    </row>
    <row r="45" spans="1:24" ht="39.75" customHeight="1" x14ac:dyDescent="0.25">
      <c r="A45" s="107"/>
      <c r="B45" s="107"/>
      <c r="C45">
        <v>2023</v>
      </c>
      <c r="D45">
        <f>'План реализации _ 10'!E112</f>
        <v>2000</v>
      </c>
      <c r="E45">
        <f>'План реализации _ 10'!F112</f>
        <v>2000</v>
      </c>
      <c r="F45">
        <f>'План реализации _ 10'!G112</f>
        <v>0</v>
      </c>
      <c r="G45">
        <f>'План реализации _ 10'!H112</f>
        <v>0</v>
      </c>
      <c r="H45">
        <f>'План реализации _ 10'!I112</f>
        <v>0</v>
      </c>
      <c r="I45" s="107"/>
      <c r="J45">
        <f t="shared" si="3"/>
        <v>0</v>
      </c>
      <c r="K45">
        <f t="shared" si="3"/>
        <v>0</v>
      </c>
      <c r="L45">
        <f t="shared" si="3"/>
        <v>0</v>
      </c>
      <c r="M45">
        <f t="shared" si="3"/>
        <v>0</v>
      </c>
      <c r="N45">
        <f t="shared" si="3"/>
        <v>0</v>
      </c>
      <c r="O45" s="107"/>
      <c r="P45">
        <v>2023</v>
      </c>
      <c r="Q45">
        <f>'План реализации _ 11'!E112</f>
        <v>2000</v>
      </c>
      <c r="R45">
        <f>'План реализации _ 11'!F112</f>
        <v>2000</v>
      </c>
      <c r="S45">
        <f>'План реализации _ 11'!G112</f>
        <v>0</v>
      </c>
      <c r="T45">
        <f>'План реализации _ 11'!H112</f>
        <v>0</v>
      </c>
      <c r="U45">
        <f>'План реализации _ 11'!I112</f>
        <v>0</v>
      </c>
      <c r="V45" s="107"/>
      <c r="W45" s="107"/>
    </row>
    <row r="46" spans="1:24" ht="39.75" customHeight="1" x14ac:dyDescent="0.25">
      <c r="A46" s="107"/>
      <c r="B46" s="107"/>
      <c r="C46">
        <v>2024</v>
      </c>
      <c r="D46">
        <f>'План реализации _ 10'!E113</f>
        <v>2000</v>
      </c>
      <c r="E46">
        <f>'План реализации _ 10'!F113</f>
        <v>2000</v>
      </c>
      <c r="F46">
        <f>'План реализации _ 10'!G113</f>
        <v>0</v>
      </c>
      <c r="G46">
        <f>'План реализации _ 10'!H113</f>
        <v>0</v>
      </c>
      <c r="H46">
        <f>'План реализации _ 10'!I113</f>
        <v>0</v>
      </c>
      <c r="I46" s="107"/>
      <c r="J46">
        <f t="shared" si="3"/>
        <v>0</v>
      </c>
      <c r="K46">
        <f t="shared" si="3"/>
        <v>0</v>
      </c>
      <c r="L46">
        <f t="shared" si="3"/>
        <v>0</v>
      </c>
      <c r="M46">
        <f t="shared" si="3"/>
        <v>0</v>
      </c>
      <c r="N46">
        <f t="shared" si="3"/>
        <v>0</v>
      </c>
      <c r="O46" s="107"/>
      <c r="P46">
        <v>2024</v>
      </c>
      <c r="Q46">
        <f>'План реализации _ 11'!E113</f>
        <v>2000</v>
      </c>
      <c r="R46">
        <f>'План реализации _ 11'!F113</f>
        <v>2000</v>
      </c>
      <c r="S46">
        <f>'План реализации _ 11'!G113</f>
        <v>0</v>
      </c>
      <c r="T46">
        <f>'План реализации _ 11'!H113</f>
        <v>0</v>
      </c>
      <c r="U46">
        <f>'План реализации _ 11'!I113</f>
        <v>0</v>
      </c>
      <c r="V46" s="107"/>
      <c r="W46" s="107"/>
    </row>
    <row r="47" spans="1:24" ht="39.75" customHeight="1" x14ac:dyDescent="0.25">
      <c r="A47" s="107" t="s">
        <v>645</v>
      </c>
      <c r="B47" s="107" t="s">
        <v>646</v>
      </c>
      <c r="C47" t="s">
        <v>8</v>
      </c>
      <c r="D47">
        <f>'План реализации _ 10'!E121</f>
        <v>3810972.2388499998</v>
      </c>
      <c r="E47">
        <f>'План реализации _ 10'!F121</f>
        <v>3732319.5386399999</v>
      </c>
      <c r="F47">
        <f>'План реализации _ 10'!G121</f>
        <v>65335</v>
      </c>
      <c r="G47">
        <f>'План реализации _ 10'!H121</f>
        <v>13317.700210000001</v>
      </c>
      <c r="H47">
        <f>'План реализации _ 10'!I121</f>
        <v>0</v>
      </c>
      <c r="I47" s="107"/>
      <c r="J47">
        <f t="shared" si="3"/>
        <v>-2395.875</v>
      </c>
      <c r="K47">
        <f t="shared" si="3"/>
        <v>-2395.875</v>
      </c>
      <c r="L47">
        <f t="shared" si="3"/>
        <v>0</v>
      </c>
      <c r="M47">
        <f t="shared" si="3"/>
        <v>0</v>
      </c>
      <c r="N47">
        <f t="shared" si="3"/>
        <v>0</v>
      </c>
      <c r="O47" s="107" t="s">
        <v>646</v>
      </c>
      <c r="P47" t="s">
        <v>8</v>
      </c>
      <c r="Q47">
        <f>'План реализации _ 11'!E121</f>
        <v>3808576.3638499998</v>
      </c>
      <c r="R47">
        <f>'План реализации _ 11'!F121</f>
        <v>3729923.6636399999</v>
      </c>
      <c r="S47">
        <f>'План реализации _ 11'!G121</f>
        <v>65335</v>
      </c>
      <c r="T47">
        <f>'План реализации _ 11'!H121</f>
        <v>13317.700210000001</v>
      </c>
      <c r="U47">
        <f>'План реализации _ 11'!I121</f>
        <v>0</v>
      </c>
      <c r="V47" s="107"/>
      <c r="W47" s="107"/>
    </row>
    <row r="48" spans="1:24" ht="39.75" customHeight="1" x14ac:dyDescent="0.25">
      <c r="A48" s="107"/>
      <c r="B48" s="107"/>
      <c r="C48">
        <v>2021</v>
      </c>
      <c r="D48">
        <f>'План реализации _ 10'!E122</f>
        <v>900957.62559000007</v>
      </c>
      <c r="E48">
        <f>'План реализации _ 10'!F122</f>
        <v>857093.92538000003</v>
      </c>
      <c r="F48">
        <f>'План реализации _ 10'!G122</f>
        <v>30546</v>
      </c>
      <c r="G48">
        <f>'План реализации _ 10'!H122</f>
        <v>13317.700210000001</v>
      </c>
      <c r="H48">
        <f>'План реализации _ 10'!I122</f>
        <v>0</v>
      </c>
      <c r="I48" s="107"/>
      <c r="J48">
        <f t="shared" si="3"/>
        <v>-2395.875</v>
      </c>
      <c r="K48">
        <f t="shared" si="3"/>
        <v>-2395.875</v>
      </c>
      <c r="L48">
        <f t="shared" si="3"/>
        <v>0</v>
      </c>
      <c r="M48">
        <f t="shared" si="3"/>
        <v>0</v>
      </c>
      <c r="N48">
        <f t="shared" si="3"/>
        <v>0</v>
      </c>
      <c r="O48" s="107"/>
      <c r="P48">
        <v>2021</v>
      </c>
      <c r="Q48">
        <f>'План реализации _ 11'!E122</f>
        <v>898561.75059000007</v>
      </c>
      <c r="R48">
        <f>'План реализации _ 11'!F122</f>
        <v>854698.05038000003</v>
      </c>
      <c r="S48">
        <f>'План реализации _ 11'!G122</f>
        <v>30546</v>
      </c>
      <c r="T48">
        <f>'План реализации _ 11'!H122</f>
        <v>13317.700210000001</v>
      </c>
      <c r="U48">
        <f>'План реализации _ 11'!I122</f>
        <v>0</v>
      </c>
      <c r="V48" s="107"/>
      <c r="W48" s="107"/>
    </row>
    <row r="49" spans="1:24" ht="39.75" customHeight="1" x14ac:dyDescent="0.25">
      <c r="A49" s="107"/>
      <c r="B49" s="107"/>
      <c r="C49">
        <v>2022</v>
      </c>
      <c r="D49">
        <f>'План реализации _ 10'!E123</f>
        <v>677144.84193</v>
      </c>
      <c r="E49">
        <f>'План реализации _ 10'!F123</f>
        <v>660155.44192999997</v>
      </c>
      <c r="F49">
        <f>'План реализации _ 10'!G123</f>
        <v>16989.400000000001</v>
      </c>
      <c r="G49">
        <f>'План реализации _ 10'!H123</f>
        <v>0</v>
      </c>
      <c r="H49">
        <f>'План реализации _ 10'!I123</f>
        <v>0</v>
      </c>
      <c r="I49" s="107"/>
      <c r="J49">
        <f t="shared" si="3"/>
        <v>0</v>
      </c>
      <c r="K49">
        <f t="shared" si="3"/>
        <v>0</v>
      </c>
      <c r="L49">
        <f t="shared" si="3"/>
        <v>0</v>
      </c>
      <c r="M49">
        <f t="shared" si="3"/>
        <v>0</v>
      </c>
      <c r="N49">
        <f t="shared" si="3"/>
        <v>0</v>
      </c>
      <c r="O49" s="107"/>
      <c r="P49">
        <v>2022</v>
      </c>
      <c r="Q49">
        <f>'План реализации _ 11'!E123</f>
        <v>677144.84193</v>
      </c>
      <c r="R49">
        <f>'План реализации _ 11'!F123</f>
        <v>660155.44192999997</v>
      </c>
      <c r="S49">
        <f>'План реализации _ 11'!G123</f>
        <v>16989.400000000001</v>
      </c>
      <c r="T49">
        <f>'План реализации _ 11'!H123</f>
        <v>0</v>
      </c>
      <c r="U49">
        <f>'План реализации _ 11'!I123</f>
        <v>0</v>
      </c>
      <c r="V49" s="107"/>
      <c r="W49" s="107"/>
    </row>
    <row r="50" spans="1:24" ht="39.75" customHeight="1" x14ac:dyDescent="0.25">
      <c r="A50" s="107"/>
      <c r="B50" s="107"/>
      <c r="C50">
        <v>2023</v>
      </c>
      <c r="D50">
        <f>'План реализации _ 10'!E124</f>
        <v>757119.03292999999</v>
      </c>
      <c r="E50">
        <f>'План реализации _ 10'!F124</f>
        <v>739319.43293000001</v>
      </c>
      <c r="F50">
        <f>'План реализации _ 10'!G124</f>
        <v>17799.599999999999</v>
      </c>
      <c r="G50">
        <f>'План реализации _ 10'!H124</f>
        <v>0</v>
      </c>
      <c r="H50">
        <f>'План реализации _ 10'!I124</f>
        <v>0</v>
      </c>
      <c r="I50" s="107"/>
      <c r="J50">
        <f t="shared" si="3"/>
        <v>0</v>
      </c>
      <c r="K50">
        <f t="shared" si="3"/>
        <v>0</v>
      </c>
      <c r="L50">
        <f t="shared" si="3"/>
        <v>0</v>
      </c>
      <c r="M50">
        <f t="shared" si="3"/>
        <v>0</v>
      </c>
      <c r="N50">
        <f t="shared" si="3"/>
        <v>0</v>
      </c>
      <c r="O50" s="107"/>
      <c r="P50">
        <v>2023</v>
      </c>
      <c r="Q50">
        <f>'План реализации _ 11'!E124</f>
        <v>757119.03292999999</v>
      </c>
      <c r="R50">
        <f>'План реализации _ 11'!F124</f>
        <v>739319.43293000001</v>
      </c>
      <c r="S50">
        <f>'План реализации _ 11'!G124</f>
        <v>17799.599999999999</v>
      </c>
      <c r="T50">
        <f>'План реализации _ 11'!H124</f>
        <v>0</v>
      </c>
      <c r="U50">
        <f>'План реализации _ 11'!I124</f>
        <v>0</v>
      </c>
      <c r="V50" s="107"/>
      <c r="W50" s="107"/>
    </row>
    <row r="51" spans="1:24" ht="39.75" customHeight="1" x14ac:dyDescent="0.25">
      <c r="A51" s="107"/>
      <c r="B51" s="107"/>
      <c r="C51">
        <v>2024</v>
      </c>
      <c r="D51">
        <f>'План реализации _ 10'!E125</f>
        <v>739221.28540000005</v>
      </c>
      <c r="E51">
        <f>'План реализации _ 10'!F125</f>
        <v>739221.28540000005</v>
      </c>
      <c r="F51">
        <f>'План реализации _ 10'!G125</f>
        <v>0</v>
      </c>
      <c r="G51">
        <f>'План реализации _ 10'!H125</f>
        <v>0</v>
      </c>
      <c r="H51">
        <f>'План реализации _ 10'!I125</f>
        <v>0</v>
      </c>
      <c r="I51" s="107"/>
      <c r="J51">
        <f t="shared" si="3"/>
        <v>0</v>
      </c>
      <c r="K51">
        <f t="shared" si="3"/>
        <v>0</v>
      </c>
      <c r="L51">
        <f t="shared" si="3"/>
        <v>0</v>
      </c>
      <c r="M51">
        <f t="shared" si="3"/>
        <v>0</v>
      </c>
      <c r="N51">
        <f t="shared" si="3"/>
        <v>0</v>
      </c>
      <c r="O51" s="107"/>
      <c r="P51">
        <v>2024</v>
      </c>
      <c r="Q51">
        <f>'План реализации _ 11'!E125</f>
        <v>739221.28540000005</v>
      </c>
      <c r="R51">
        <f>'План реализации _ 11'!F125</f>
        <v>739221.28540000005</v>
      </c>
      <c r="S51">
        <f>'План реализации _ 11'!G125</f>
        <v>0</v>
      </c>
      <c r="T51">
        <f>'План реализации _ 11'!H125</f>
        <v>0</v>
      </c>
      <c r="U51">
        <f>'План реализации _ 11'!I125</f>
        <v>0</v>
      </c>
      <c r="V51" s="107"/>
      <c r="W51" s="107"/>
    </row>
    <row r="52" spans="1:24" ht="39.75" customHeight="1" x14ac:dyDescent="0.25">
      <c r="A52" s="107" t="s">
        <v>647</v>
      </c>
      <c r="B52" s="107" t="s">
        <v>518</v>
      </c>
      <c r="C52" t="s">
        <v>8</v>
      </c>
      <c r="D52">
        <f>'План реализации _ 10'!E127</f>
        <v>3679188.1416999996</v>
      </c>
      <c r="E52">
        <f>'План реализации _ 10'!F127</f>
        <v>3679188.1416999996</v>
      </c>
      <c r="F52">
        <f>'План реализации _ 10'!G127</f>
        <v>0</v>
      </c>
      <c r="G52">
        <f>'План реализации _ 10'!H127</f>
        <v>0</v>
      </c>
      <c r="H52">
        <f>'План реализации _ 10'!I127</f>
        <v>0</v>
      </c>
      <c r="I52" s="107" t="s">
        <v>58</v>
      </c>
      <c r="J52">
        <f t="shared" si="3"/>
        <v>-2395.875</v>
      </c>
      <c r="K52">
        <f t="shared" si="3"/>
        <v>-2395.875</v>
      </c>
      <c r="L52">
        <f t="shared" si="3"/>
        <v>0</v>
      </c>
      <c r="M52">
        <f t="shared" si="3"/>
        <v>0</v>
      </c>
      <c r="N52">
        <f t="shared" si="3"/>
        <v>0</v>
      </c>
      <c r="O52" s="107" t="s">
        <v>518</v>
      </c>
      <c r="P52" t="s">
        <v>8</v>
      </c>
      <c r="Q52">
        <f>'План реализации _ 11'!E127</f>
        <v>3676792.2666999996</v>
      </c>
      <c r="R52">
        <f>'План реализации _ 11'!F127</f>
        <v>3676792.2666999996</v>
      </c>
      <c r="S52">
        <f>'План реализации _ 11'!G127</f>
        <v>0</v>
      </c>
      <c r="T52">
        <f>'План реализации _ 11'!H127</f>
        <v>0</v>
      </c>
      <c r="U52">
        <f>'План реализации _ 11'!I127</f>
        <v>0</v>
      </c>
      <c r="V52" s="107" t="s">
        <v>58</v>
      </c>
      <c r="W52" s="107"/>
    </row>
    <row r="53" spans="1:24" ht="39.75" customHeight="1" x14ac:dyDescent="0.25">
      <c r="A53" s="107"/>
      <c r="B53" s="107"/>
      <c r="C53">
        <v>2021</v>
      </c>
      <c r="D53">
        <f>'План реализации _ 10'!E128</f>
        <v>812182.60270000005</v>
      </c>
      <c r="E53">
        <f>'План реализации _ 10'!F128</f>
        <v>812182.60270000005</v>
      </c>
      <c r="F53">
        <f>'План реализации _ 10'!G128</f>
        <v>0</v>
      </c>
      <c r="G53">
        <f>'План реализации _ 10'!H128</f>
        <v>0</v>
      </c>
      <c r="H53">
        <f>'План реализации _ 10'!I128</f>
        <v>0</v>
      </c>
      <c r="I53" s="107"/>
      <c r="J53">
        <f t="shared" si="3"/>
        <v>-2395.875</v>
      </c>
      <c r="K53">
        <f t="shared" si="3"/>
        <v>-2395.875</v>
      </c>
      <c r="L53">
        <f t="shared" si="3"/>
        <v>0</v>
      </c>
      <c r="M53">
        <f t="shared" si="3"/>
        <v>0</v>
      </c>
      <c r="N53">
        <f t="shared" si="3"/>
        <v>0</v>
      </c>
      <c r="O53" s="107"/>
      <c r="P53">
        <v>2021</v>
      </c>
      <c r="Q53">
        <f>'План реализации _ 11'!E128</f>
        <v>809786.72770000005</v>
      </c>
      <c r="R53">
        <f>'План реализации _ 11'!F128</f>
        <v>809786.72770000005</v>
      </c>
      <c r="S53">
        <f>'План реализации _ 11'!G128</f>
        <v>0</v>
      </c>
      <c r="T53">
        <f>'План реализации _ 11'!H128</f>
        <v>0</v>
      </c>
      <c r="U53">
        <f>'План реализации _ 11'!I128</f>
        <v>0</v>
      </c>
      <c r="V53" s="107"/>
      <c r="W53" s="107"/>
    </row>
    <row r="54" spans="1:24" ht="39.75" customHeight="1" x14ac:dyDescent="0.25">
      <c r="A54" s="107"/>
      <c r="B54" s="107"/>
      <c r="C54">
        <v>2022</v>
      </c>
      <c r="D54">
        <f>'План реализации _ 10'!E129</f>
        <v>657417.17700000003</v>
      </c>
      <c r="E54">
        <f>'План реализации _ 10'!F129</f>
        <v>657417.17700000003</v>
      </c>
      <c r="F54">
        <f>'План реализации _ 10'!G129</f>
        <v>0</v>
      </c>
      <c r="G54">
        <f>'План реализации _ 10'!H129</f>
        <v>0</v>
      </c>
      <c r="H54">
        <f>'План реализации _ 10'!I129</f>
        <v>0</v>
      </c>
      <c r="I54" s="107"/>
      <c r="J54">
        <f t="shared" si="3"/>
        <v>0</v>
      </c>
      <c r="K54">
        <f t="shared" si="3"/>
        <v>0</v>
      </c>
      <c r="L54">
        <f t="shared" si="3"/>
        <v>0</v>
      </c>
      <c r="M54">
        <f t="shared" si="3"/>
        <v>0</v>
      </c>
      <c r="N54">
        <f t="shared" si="3"/>
        <v>0</v>
      </c>
      <c r="O54" s="107"/>
      <c r="P54">
        <v>2022</v>
      </c>
      <c r="Q54">
        <f>'План реализации _ 11'!E129</f>
        <v>657417.17700000003</v>
      </c>
      <c r="R54">
        <f>'План реализации _ 11'!F129</f>
        <v>657417.17700000003</v>
      </c>
      <c r="S54">
        <f>'План реализации _ 11'!G129</f>
        <v>0</v>
      </c>
      <c r="T54">
        <f>'План реализации _ 11'!H129</f>
        <v>0</v>
      </c>
      <c r="U54">
        <f>'План реализации _ 11'!I129</f>
        <v>0</v>
      </c>
      <c r="V54" s="107"/>
      <c r="W54" s="107"/>
    </row>
    <row r="55" spans="1:24" ht="39.75" customHeight="1" x14ac:dyDescent="0.25">
      <c r="A55" s="107"/>
      <c r="B55" s="107"/>
      <c r="C55">
        <v>2023</v>
      </c>
      <c r="D55">
        <f>'План реализации _ 10'!E130</f>
        <v>736529.45299999998</v>
      </c>
      <c r="E55">
        <f>'План реализации _ 10'!F130</f>
        <v>736529.45299999998</v>
      </c>
      <c r="F55">
        <f>'План реализации _ 10'!G130</f>
        <v>0</v>
      </c>
      <c r="G55">
        <f>'План реализации _ 10'!H130</f>
        <v>0</v>
      </c>
      <c r="H55">
        <f>'План реализации _ 10'!I130</f>
        <v>0</v>
      </c>
      <c r="I55" s="107"/>
      <c r="J55">
        <f t="shared" si="3"/>
        <v>0</v>
      </c>
      <c r="K55">
        <f t="shared" si="3"/>
        <v>0</v>
      </c>
      <c r="L55">
        <f t="shared" si="3"/>
        <v>0</v>
      </c>
      <c r="M55">
        <f t="shared" si="3"/>
        <v>0</v>
      </c>
      <c r="N55">
        <f t="shared" si="3"/>
        <v>0</v>
      </c>
      <c r="O55" s="107"/>
      <c r="P55">
        <v>2023</v>
      </c>
      <c r="Q55">
        <f>'План реализации _ 11'!E130</f>
        <v>736529.45299999998</v>
      </c>
      <c r="R55">
        <f>'План реализации _ 11'!F130</f>
        <v>736529.45299999998</v>
      </c>
      <c r="S55">
        <f>'План реализации _ 11'!G130</f>
        <v>0</v>
      </c>
      <c r="T55">
        <f>'План реализации _ 11'!H130</f>
        <v>0</v>
      </c>
      <c r="U55">
        <f>'План реализации _ 11'!I130</f>
        <v>0</v>
      </c>
      <c r="V55" s="107"/>
      <c r="W55" s="107"/>
    </row>
    <row r="56" spans="1:24" ht="39.75" customHeight="1" x14ac:dyDescent="0.25">
      <c r="A56" s="107"/>
      <c r="B56" s="107"/>
      <c r="C56">
        <v>2024</v>
      </c>
      <c r="D56">
        <f>'План реализации _ 10'!E131</f>
        <v>736529.45600000001</v>
      </c>
      <c r="E56">
        <f>'План реализации _ 10'!F131</f>
        <v>736529.45600000001</v>
      </c>
      <c r="F56">
        <f>'План реализации _ 10'!G131</f>
        <v>0</v>
      </c>
      <c r="G56">
        <f>'План реализации _ 10'!H131</f>
        <v>0</v>
      </c>
      <c r="H56">
        <f>'План реализации _ 10'!I131</f>
        <v>0</v>
      </c>
      <c r="I56" s="107"/>
      <c r="J56">
        <f t="shared" si="3"/>
        <v>0</v>
      </c>
      <c r="K56">
        <f t="shared" si="3"/>
        <v>0</v>
      </c>
      <c r="L56">
        <f t="shared" si="3"/>
        <v>0</v>
      </c>
      <c r="M56">
        <f t="shared" si="3"/>
        <v>0</v>
      </c>
      <c r="N56">
        <f t="shared" si="3"/>
        <v>0</v>
      </c>
      <c r="O56" s="107"/>
      <c r="P56">
        <v>2024</v>
      </c>
      <c r="Q56">
        <f>'План реализации _ 11'!E131</f>
        <v>736529.45600000001</v>
      </c>
      <c r="R56">
        <f>'План реализации _ 11'!F131</f>
        <v>736529.45600000001</v>
      </c>
      <c r="S56">
        <f>'План реализации _ 11'!G131</f>
        <v>0</v>
      </c>
      <c r="T56">
        <f>'План реализации _ 11'!H131</f>
        <v>0</v>
      </c>
      <c r="U56">
        <f>'План реализации _ 11'!I131</f>
        <v>0</v>
      </c>
      <c r="V56" s="107"/>
      <c r="W56" s="107"/>
    </row>
    <row r="57" spans="1:24" ht="24.75" customHeight="1" x14ac:dyDescent="0.25">
      <c r="A57" s="107" t="s">
        <v>70</v>
      </c>
      <c r="B57" s="107" t="s">
        <v>71</v>
      </c>
      <c r="C57" t="s">
        <v>8</v>
      </c>
      <c r="D57">
        <f>'План реализации _ 10'!E151</f>
        <v>3593845.3790000002</v>
      </c>
      <c r="E57">
        <f>'План реализации _ 10'!F151</f>
        <v>3593845.3790000002</v>
      </c>
      <c r="F57">
        <f>'План реализации _ 10'!G151</f>
        <v>0</v>
      </c>
      <c r="G57">
        <f>'План реализации _ 10'!H151</f>
        <v>0</v>
      </c>
      <c r="H57">
        <f>'План реализации _ 10'!I151</f>
        <v>0</v>
      </c>
      <c r="I57" s="107" t="s">
        <v>72</v>
      </c>
      <c r="J57">
        <f t="shared" si="3"/>
        <v>13349.951999999583</v>
      </c>
      <c r="K57">
        <f t="shared" si="3"/>
        <v>13349.951999999583</v>
      </c>
      <c r="L57">
        <f t="shared" si="3"/>
        <v>0</v>
      </c>
      <c r="M57">
        <f t="shared" si="3"/>
        <v>0</v>
      </c>
      <c r="N57">
        <f t="shared" si="3"/>
        <v>0</v>
      </c>
      <c r="O57" s="107" t="s">
        <v>71</v>
      </c>
      <c r="P57" t="s">
        <v>8</v>
      </c>
      <c r="Q57">
        <f>'План реализации _ 11'!E151</f>
        <v>3607195.3309999998</v>
      </c>
      <c r="R57">
        <f>'План реализации _ 11'!F151</f>
        <v>3607195.3309999998</v>
      </c>
      <c r="S57">
        <f>'План реализации _ 11'!G151</f>
        <v>0</v>
      </c>
      <c r="T57">
        <f>'План реализации _ 11'!H151</f>
        <v>0</v>
      </c>
      <c r="U57">
        <f>'План реализации _ 11'!I151</f>
        <v>0</v>
      </c>
      <c r="V57" s="107" t="s">
        <v>72</v>
      </c>
      <c r="W57" s="107" t="s">
        <v>648</v>
      </c>
      <c r="X57" s="107"/>
    </row>
    <row r="58" spans="1:24" ht="23.25" customHeight="1" x14ac:dyDescent="0.25">
      <c r="A58" s="107"/>
      <c r="B58" s="107"/>
      <c r="C58">
        <v>2021</v>
      </c>
      <c r="D58">
        <f>'План реализации _ 10'!E152</f>
        <v>753975.94799999997</v>
      </c>
      <c r="E58">
        <f>'План реализации _ 10'!F152</f>
        <v>753975.94799999997</v>
      </c>
      <c r="F58">
        <f>'План реализации _ 10'!G152</f>
        <v>0</v>
      </c>
      <c r="G58">
        <f>'План реализации _ 10'!H152</f>
        <v>0</v>
      </c>
      <c r="H58">
        <f>'План реализации _ 10'!I152</f>
        <v>0</v>
      </c>
      <c r="I58" s="107"/>
      <c r="J58">
        <f t="shared" si="3"/>
        <v>13349.952000000048</v>
      </c>
      <c r="K58">
        <f t="shared" si="3"/>
        <v>13349.952000000048</v>
      </c>
      <c r="L58">
        <f t="shared" si="3"/>
        <v>0</v>
      </c>
      <c r="M58">
        <f t="shared" si="3"/>
        <v>0</v>
      </c>
      <c r="N58">
        <f t="shared" si="3"/>
        <v>0</v>
      </c>
      <c r="O58" s="107"/>
      <c r="P58">
        <v>2021</v>
      </c>
      <c r="Q58">
        <f>'План реализации _ 11'!E152</f>
        <v>767325.9</v>
      </c>
      <c r="R58">
        <f>'План реализации _ 11'!F152</f>
        <v>767325.9</v>
      </c>
      <c r="S58">
        <f>'План реализации _ 11'!G152</f>
        <v>0</v>
      </c>
      <c r="T58">
        <f>'План реализации _ 11'!H152</f>
        <v>0</v>
      </c>
      <c r="U58">
        <f>'План реализации _ 11'!I152</f>
        <v>0</v>
      </c>
      <c r="V58" s="107"/>
      <c r="W58" s="107"/>
      <c r="X58" s="107"/>
    </row>
    <row r="59" spans="1:24" ht="19.5" hidden="1" customHeight="1" x14ac:dyDescent="0.25">
      <c r="A59" s="107" t="s">
        <v>524</v>
      </c>
      <c r="B59" s="107" t="s">
        <v>642</v>
      </c>
      <c r="C59" t="s">
        <v>8</v>
      </c>
      <c r="D59">
        <v>0</v>
      </c>
      <c r="E59">
        <v>0</v>
      </c>
      <c r="F59">
        <v>0</v>
      </c>
      <c r="G59">
        <v>0</v>
      </c>
      <c r="H59">
        <v>0</v>
      </c>
      <c r="I59" s="107"/>
      <c r="J59" t="e">
        <f t="shared" si="3"/>
        <v>#REF!</v>
      </c>
      <c r="K59" t="e">
        <f t="shared" si="3"/>
        <v>#REF!</v>
      </c>
      <c r="L59" t="e">
        <f t="shared" si="3"/>
        <v>#REF!</v>
      </c>
      <c r="M59" t="e">
        <f t="shared" si="3"/>
        <v>#REF!</v>
      </c>
      <c r="N59" t="e">
        <f t="shared" si="3"/>
        <v>#REF!</v>
      </c>
      <c r="O59" s="107" t="s">
        <v>649</v>
      </c>
      <c r="P59" t="s">
        <v>8</v>
      </c>
      <c r="Q59" t="e">
        <f>#REF!</f>
        <v>#REF!</v>
      </c>
      <c r="R59" t="e">
        <f>#REF!</f>
        <v>#REF!</v>
      </c>
      <c r="S59" t="e">
        <f>#REF!</f>
        <v>#REF!</v>
      </c>
      <c r="T59" t="e">
        <f>#REF!</f>
        <v>#REF!</v>
      </c>
      <c r="U59" t="e">
        <f>#REF!</f>
        <v>#REF!</v>
      </c>
      <c r="V59" s="107" t="s">
        <v>650</v>
      </c>
      <c r="W59" s="107" t="s">
        <v>636</v>
      </c>
      <c r="X59" s="107"/>
    </row>
    <row r="60" spans="1:24" ht="19.5" hidden="1" customHeight="1" x14ac:dyDescent="0.25">
      <c r="A60" s="107"/>
      <c r="B60" s="107"/>
      <c r="C60">
        <v>2019</v>
      </c>
      <c r="D60">
        <v>0</v>
      </c>
      <c r="E60">
        <v>0</v>
      </c>
      <c r="F60">
        <v>0</v>
      </c>
      <c r="G60">
        <v>0</v>
      </c>
      <c r="H60">
        <v>0</v>
      </c>
      <c r="I60" s="107"/>
      <c r="J60" t="e">
        <f t="shared" si="3"/>
        <v>#REF!</v>
      </c>
      <c r="K60" t="e">
        <f t="shared" si="3"/>
        <v>#REF!</v>
      </c>
      <c r="L60" t="e">
        <f t="shared" si="3"/>
        <v>#REF!</v>
      </c>
      <c r="M60" t="e">
        <f t="shared" si="3"/>
        <v>#REF!</v>
      </c>
      <c r="N60" t="e">
        <f t="shared" si="3"/>
        <v>#REF!</v>
      </c>
      <c r="O60" s="107"/>
      <c r="P60">
        <v>2021</v>
      </c>
      <c r="Q60" t="e">
        <f>#REF!</f>
        <v>#REF!</v>
      </c>
      <c r="R60" t="e">
        <f>#REF!</f>
        <v>#REF!</v>
      </c>
      <c r="S60" t="e">
        <f>#REF!</f>
        <v>#REF!</v>
      </c>
      <c r="T60" t="e">
        <f>#REF!</f>
        <v>#REF!</v>
      </c>
      <c r="U60" t="e">
        <f>#REF!</f>
        <v>#REF!</v>
      </c>
      <c r="V60" s="107"/>
      <c r="W60" s="107"/>
      <c r="X60" s="107"/>
    </row>
    <row r="61" spans="1:24" ht="19.5" hidden="1" customHeight="1" x14ac:dyDescent="0.25">
      <c r="A61" s="107" t="s">
        <v>528</v>
      </c>
      <c r="B61" s="107" t="s">
        <v>642</v>
      </c>
      <c r="C61" t="s">
        <v>8</v>
      </c>
      <c r="D61">
        <v>0</v>
      </c>
      <c r="E61">
        <v>0</v>
      </c>
      <c r="F61">
        <v>0</v>
      </c>
      <c r="G61">
        <v>0</v>
      </c>
      <c r="H61">
        <v>0</v>
      </c>
      <c r="I61" s="107"/>
      <c r="J61" t="e">
        <f t="shared" si="3"/>
        <v>#REF!</v>
      </c>
      <c r="K61" t="e">
        <f t="shared" si="3"/>
        <v>#REF!</v>
      </c>
      <c r="L61" t="e">
        <f t="shared" si="3"/>
        <v>#REF!</v>
      </c>
      <c r="M61" t="e">
        <f t="shared" si="3"/>
        <v>#REF!</v>
      </c>
      <c r="N61" t="e">
        <f t="shared" si="3"/>
        <v>#REF!</v>
      </c>
      <c r="O61" s="107" t="s">
        <v>651</v>
      </c>
      <c r="P61" t="s">
        <v>8</v>
      </c>
      <c r="Q61" t="e">
        <f>#REF!</f>
        <v>#REF!</v>
      </c>
      <c r="R61" t="e">
        <f>#REF!</f>
        <v>#REF!</v>
      </c>
      <c r="S61" t="e">
        <f>#REF!</f>
        <v>#REF!</v>
      </c>
      <c r="T61" t="e">
        <f>#REF!</f>
        <v>#REF!</v>
      </c>
      <c r="U61" t="e">
        <f>#REF!</f>
        <v>#REF!</v>
      </c>
      <c r="V61" s="107" t="s">
        <v>652</v>
      </c>
      <c r="W61" s="107" t="s">
        <v>636</v>
      </c>
      <c r="X61" s="107"/>
    </row>
    <row r="62" spans="1:24" ht="19.5" hidden="1" customHeight="1" x14ac:dyDescent="0.25">
      <c r="A62" s="107"/>
      <c r="B62" s="107"/>
      <c r="C62">
        <v>2019</v>
      </c>
      <c r="D62">
        <v>0</v>
      </c>
      <c r="E62">
        <v>0</v>
      </c>
      <c r="F62">
        <v>0</v>
      </c>
      <c r="G62">
        <v>0</v>
      </c>
      <c r="H62">
        <v>0</v>
      </c>
      <c r="I62" s="107"/>
      <c r="J62" t="e">
        <f t="shared" si="3"/>
        <v>#REF!</v>
      </c>
      <c r="K62" t="e">
        <f t="shared" si="3"/>
        <v>#REF!</v>
      </c>
      <c r="L62" t="e">
        <f t="shared" si="3"/>
        <v>#REF!</v>
      </c>
      <c r="M62" t="e">
        <f t="shared" si="3"/>
        <v>#REF!</v>
      </c>
      <c r="N62" t="e">
        <f t="shared" si="3"/>
        <v>#REF!</v>
      </c>
      <c r="O62" s="107"/>
      <c r="P62">
        <v>2021</v>
      </c>
      <c r="Q62" t="e">
        <f>#REF!</f>
        <v>#REF!</v>
      </c>
      <c r="R62" t="e">
        <f>#REF!</f>
        <v>#REF!</v>
      </c>
      <c r="S62" t="e">
        <f>#REF!</f>
        <v>#REF!</v>
      </c>
      <c r="T62" t="e">
        <f>#REF!</f>
        <v>#REF!</v>
      </c>
      <c r="U62" t="e">
        <f>#REF!</f>
        <v>#REF!</v>
      </c>
      <c r="V62" s="107"/>
      <c r="W62" s="107"/>
      <c r="X62" s="107"/>
    </row>
    <row r="63" spans="1:24" ht="19.5" hidden="1" customHeight="1" x14ac:dyDescent="0.25">
      <c r="A63" s="107" t="s">
        <v>60</v>
      </c>
      <c r="B63" s="107" t="s">
        <v>61</v>
      </c>
      <c r="C63" t="s">
        <v>8</v>
      </c>
      <c r="D63" t="e">
        <f>#REF!</f>
        <v>#REF!</v>
      </c>
      <c r="E63" t="e">
        <f>#REF!</f>
        <v>#REF!</v>
      </c>
      <c r="F63" t="e">
        <f>#REF!</f>
        <v>#REF!</v>
      </c>
      <c r="G63" t="e">
        <f>#REF!</f>
        <v>#REF!</v>
      </c>
      <c r="H63" t="e">
        <f>#REF!</f>
        <v>#REF!</v>
      </c>
      <c r="I63" s="107" t="s">
        <v>62</v>
      </c>
      <c r="J63" t="e">
        <f t="shared" si="3"/>
        <v>#REF!</v>
      </c>
      <c r="K63" t="e">
        <f t="shared" si="3"/>
        <v>#REF!</v>
      </c>
      <c r="L63" t="e">
        <f t="shared" si="3"/>
        <v>#REF!</v>
      </c>
      <c r="M63" t="e">
        <f t="shared" si="3"/>
        <v>#REF!</v>
      </c>
      <c r="N63" t="e">
        <f t="shared" si="3"/>
        <v>#REF!</v>
      </c>
      <c r="O63" s="107" t="s">
        <v>61</v>
      </c>
      <c r="P63" t="s">
        <v>8</v>
      </c>
      <c r="Q63" t="e">
        <f>#REF!</f>
        <v>#REF!</v>
      </c>
      <c r="R63" t="e">
        <f>#REF!</f>
        <v>#REF!</v>
      </c>
      <c r="S63" t="e">
        <f>#REF!</f>
        <v>#REF!</v>
      </c>
      <c r="T63" t="e">
        <f>#REF!</f>
        <v>#REF!</v>
      </c>
      <c r="U63" t="e">
        <f>#REF!</f>
        <v>#REF!</v>
      </c>
      <c r="V63" s="107" t="s">
        <v>62</v>
      </c>
      <c r="W63" s="107" t="s">
        <v>636</v>
      </c>
    </row>
    <row r="64" spans="1:24" ht="19.5" hidden="1" customHeight="1" x14ac:dyDescent="0.25">
      <c r="A64" s="107"/>
      <c r="B64" s="107"/>
      <c r="C64">
        <v>2021</v>
      </c>
      <c r="D64" t="e">
        <f>#REF!</f>
        <v>#REF!</v>
      </c>
      <c r="E64" t="e">
        <f>#REF!</f>
        <v>#REF!</v>
      </c>
      <c r="F64" t="e">
        <f>#REF!</f>
        <v>#REF!</v>
      </c>
      <c r="G64" t="e">
        <f>#REF!</f>
        <v>#REF!</v>
      </c>
      <c r="H64" t="e">
        <f>#REF!</f>
        <v>#REF!</v>
      </c>
      <c r="I64" s="107"/>
      <c r="J64" t="e">
        <f t="shared" si="3"/>
        <v>#REF!</v>
      </c>
      <c r="K64" t="e">
        <f t="shared" si="3"/>
        <v>#REF!</v>
      </c>
      <c r="L64" t="e">
        <f t="shared" si="3"/>
        <v>#REF!</v>
      </c>
      <c r="M64" t="e">
        <f t="shared" si="3"/>
        <v>#REF!</v>
      </c>
      <c r="N64" t="e">
        <f t="shared" si="3"/>
        <v>#REF!</v>
      </c>
      <c r="O64" s="107"/>
      <c r="P64">
        <v>2021</v>
      </c>
      <c r="Q64" t="e">
        <f>#REF!</f>
        <v>#REF!</v>
      </c>
      <c r="R64" t="e">
        <f>#REF!</f>
        <v>#REF!</v>
      </c>
      <c r="S64" t="e">
        <f>#REF!</f>
        <v>#REF!</v>
      </c>
      <c r="T64" t="e">
        <f>#REF!</f>
        <v>#REF!</v>
      </c>
      <c r="U64" t="e">
        <f>#REF!</f>
        <v>#REF!</v>
      </c>
      <c r="V64" s="107"/>
      <c r="W64" s="107"/>
    </row>
    <row r="65" spans="1:24" ht="19.5" hidden="1" customHeight="1" x14ac:dyDescent="0.25">
      <c r="A65" s="107" t="s">
        <v>532</v>
      </c>
      <c r="B65" s="107"/>
      <c r="C65" t="s">
        <v>8</v>
      </c>
      <c r="D65">
        <v>0</v>
      </c>
      <c r="E65">
        <v>0</v>
      </c>
      <c r="F65">
        <v>0</v>
      </c>
      <c r="G65">
        <v>0</v>
      </c>
      <c r="H65">
        <v>0</v>
      </c>
      <c r="I65" s="107"/>
      <c r="J65" t="e">
        <f t="shared" si="3"/>
        <v>#REF!</v>
      </c>
      <c r="K65" t="e">
        <f t="shared" si="3"/>
        <v>#REF!</v>
      </c>
      <c r="L65" t="e">
        <f t="shared" si="3"/>
        <v>#REF!</v>
      </c>
      <c r="M65" t="e">
        <f t="shared" si="3"/>
        <v>#REF!</v>
      </c>
      <c r="N65" t="e">
        <f t="shared" si="3"/>
        <v>#REF!</v>
      </c>
      <c r="O65" s="107" t="s">
        <v>533</v>
      </c>
      <c r="P65" t="s">
        <v>8</v>
      </c>
      <c r="Q65" t="e">
        <f>#REF!</f>
        <v>#REF!</v>
      </c>
      <c r="R65" t="e">
        <f>#REF!</f>
        <v>#REF!</v>
      </c>
      <c r="S65" t="e">
        <f>#REF!</f>
        <v>#REF!</v>
      </c>
      <c r="T65" t="e">
        <f>#REF!</f>
        <v>#REF!</v>
      </c>
      <c r="U65" t="e">
        <f>#REF!</f>
        <v>#REF!</v>
      </c>
      <c r="V65" s="107" t="s">
        <v>76</v>
      </c>
      <c r="W65" s="107" t="s">
        <v>636</v>
      </c>
      <c r="X65" s="107"/>
    </row>
    <row r="66" spans="1:24" ht="19.5" hidden="1" customHeight="1" x14ac:dyDescent="0.25">
      <c r="A66" s="107"/>
      <c r="B66" s="107"/>
      <c r="C66">
        <v>2019</v>
      </c>
      <c r="D66">
        <v>0</v>
      </c>
      <c r="E66">
        <v>0</v>
      </c>
      <c r="F66">
        <v>0</v>
      </c>
      <c r="G66">
        <v>0</v>
      </c>
      <c r="H66">
        <v>0</v>
      </c>
      <c r="I66" s="107"/>
      <c r="J66" t="e">
        <f t="shared" si="3"/>
        <v>#REF!</v>
      </c>
      <c r="K66" t="e">
        <f t="shared" si="3"/>
        <v>#REF!</v>
      </c>
      <c r="L66" t="e">
        <f t="shared" si="3"/>
        <v>#REF!</v>
      </c>
      <c r="M66" t="e">
        <f t="shared" si="3"/>
        <v>#REF!</v>
      </c>
      <c r="N66" t="e">
        <f t="shared" si="3"/>
        <v>#REF!</v>
      </c>
      <c r="O66" s="107"/>
      <c r="P66">
        <v>2021</v>
      </c>
      <c r="Q66" t="e">
        <f>#REF!</f>
        <v>#REF!</v>
      </c>
      <c r="R66" t="e">
        <f>#REF!</f>
        <v>#REF!</v>
      </c>
      <c r="S66" t="e">
        <f>#REF!</f>
        <v>#REF!</v>
      </c>
      <c r="T66" t="e">
        <f>#REF!</f>
        <v>#REF!</v>
      </c>
      <c r="U66" t="e">
        <f>#REF!</f>
        <v>#REF!</v>
      </c>
      <c r="V66" s="107"/>
      <c r="W66" s="107"/>
      <c r="X66" s="107"/>
    </row>
    <row r="67" spans="1:24" ht="19.5" hidden="1" customHeight="1" x14ac:dyDescent="0.25">
      <c r="A67" s="107" t="s">
        <v>63</v>
      </c>
      <c r="B67" s="107" t="s">
        <v>520</v>
      </c>
      <c r="C67" t="s">
        <v>8</v>
      </c>
      <c r="D67" t="e">
        <f>#REF!</f>
        <v>#REF!</v>
      </c>
      <c r="E67" t="e">
        <f>#REF!</f>
        <v>#REF!</v>
      </c>
      <c r="F67" t="e">
        <f>#REF!</f>
        <v>#REF!</v>
      </c>
      <c r="G67" t="e">
        <f>#REF!</f>
        <v>#REF!</v>
      </c>
      <c r="H67" t="e">
        <f>#REF!</f>
        <v>#REF!</v>
      </c>
      <c r="I67" s="107" t="s">
        <v>521</v>
      </c>
      <c r="J67" t="e">
        <f t="shared" si="3"/>
        <v>#REF!</v>
      </c>
      <c r="K67" t="e">
        <f t="shared" si="3"/>
        <v>#REF!</v>
      </c>
      <c r="L67" t="e">
        <f t="shared" si="3"/>
        <v>#REF!</v>
      </c>
      <c r="M67" t="e">
        <f t="shared" si="3"/>
        <v>#REF!</v>
      </c>
      <c r="N67" t="e">
        <f t="shared" si="3"/>
        <v>#REF!</v>
      </c>
      <c r="O67" s="107" t="s">
        <v>520</v>
      </c>
      <c r="P67" t="s">
        <v>8</v>
      </c>
      <c r="Q67" t="e">
        <f>#REF!</f>
        <v>#REF!</v>
      </c>
      <c r="R67" t="e">
        <f>#REF!</f>
        <v>#REF!</v>
      </c>
      <c r="S67" t="e">
        <f>#REF!</f>
        <v>#REF!</v>
      </c>
      <c r="T67" t="e">
        <f>#REF!</f>
        <v>#REF!</v>
      </c>
      <c r="U67" t="e">
        <f>#REF!</f>
        <v>#REF!</v>
      </c>
      <c r="V67" s="107" t="s">
        <v>521</v>
      </c>
      <c r="W67" s="107" t="s">
        <v>636</v>
      </c>
    </row>
    <row r="68" spans="1:24" ht="19.5" hidden="1" customHeight="1" x14ac:dyDescent="0.25">
      <c r="A68" s="107"/>
      <c r="B68" s="107"/>
      <c r="C68">
        <v>2021</v>
      </c>
      <c r="D68" t="e">
        <f>#REF!</f>
        <v>#REF!</v>
      </c>
      <c r="E68" t="e">
        <f>#REF!</f>
        <v>#REF!</v>
      </c>
      <c r="F68" t="e">
        <f>#REF!</f>
        <v>#REF!</v>
      </c>
      <c r="G68" t="e">
        <f>#REF!</f>
        <v>#REF!</v>
      </c>
      <c r="H68" t="e">
        <f>#REF!</f>
        <v>#REF!</v>
      </c>
      <c r="I68" s="107"/>
      <c r="J68" t="e">
        <f t="shared" si="3"/>
        <v>#REF!</v>
      </c>
      <c r="K68" t="e">
        <f t="shared" si="3"/>
        <v>#REF!</v>
      </c>
      <c r="L68" t="e">
        <f t="shared" si="3"/>
        <v>#REF!</v>
      </c>
      <c r="M68" t="e">
        <f t="shared" si="3"/>
        <v>#REF!</v>
      </c>
      <c r="N68" t="e">
        <f t="shared" si="3"/>
        <v>#REF!</v>
      </c>
      <c r="O68" s="107"/>
      <c r="P68">
        <v>2021</v>
      </c>
      <c r="Q68" t="e">
        <f>#REF!</f>
        <v>#REF!</v>
      </c>
      <c r="R68" t="e">
        <f>#REF!</f>
        <v>#REF!</v>
      </c>
      <c r="S68" t="e">
        <f>#REF!</f>
        <v>#REF!</v>
      </c>
      <c r="T68" t="e">
        <f>#REF!</f>
        <v>#REF!</v>
      </c>
      <c r="U68" t="e">
        <f>#REF!</f>
        <v>#REF!</v>
      </c>
      <c r="V68" s="107"/>
      <c r="W68" s="107"/>
    </row>
    <row r="69" spans="1:24" ht="19.5" hidden="1" customHeight="1" x14ac:dyDescent="0.25">
      <c r="A69" s="107" t="s">
        <v>66</v>
      </c>
      <c r="B69" s="107" t="s">
        <v>67</v>
      </c>
      <c r="C69" t="s">
        <v>8</v>
      </c>
      <c r="D69" t="e">
        <f>#REF!</f>
        <v>#REF!</v>
      </c>
      <c r="E69" t="e">
        <f>#REF!</f>
        <v>#REF!</v>
      </c>
      <c r="F69" t="e">
        <f>#REF!</f>
        <v>#REF!</v>
      </c>
      <c r="G69" t="e">
        <f>#REF!</f>
        <v>#REF!</v>
      </c>
      <c r="H69" t="e">
        <f>#REF!</f>
        <v>#REF!</v>
      </c>
      <c r="I69" s="107" t="s">
        <v>522</v>
      </c>
      <c r="J69" t="e">
        <f t="shared" si="3"/>
        <v>#REF!</v>
      </c>
      <c r="K69" t="e">
        <f t="shared" si="3"/>
        <v>#REF!</v>
      </c>
      <c r="L69" t="e">
        <f t="shared" si="3"/>
        <v>#REF!</v>
      </c>
      <c r="M69" t="e">
        <f t="shared" si="3"/>
        <v>#REF!</v>
      </c>
      <c r="N69" t="e">
        <f t="shared" si="3"/>
        <v>#REF!</v>
      </c>
      <c r="O69" s="107" t="s">
        <v>67</v>
      </c>
      <c r="P69" t="s">
        <v>8</v>
      </c>
      <c r="Q69" t="e">
        <f>#REF!</f>
        <v>#REF!</v>
      </c>
      <c r="R69" t="e">
        <f>#REF!</f>
        <v>#REF!</v>
      </c>
      <c r="S69" t="e">
        <f>#REF!</f>
        <v>#REF!</v>
      </c>
      <c r="T69" t="e">
        <f>#REF!</f>
        <v>#REF!</v>
      </c>
      <c r="U69" t="e">
        <f>#REF!</f>
        <v>#REF!</v>
      </c>
      <c r="V69" s="107" t="s">
        <v>522</v>
      </c>
      <c r="W69" s="107" t="s">
        <v>636</v>
      </c>
    </row>
    <row r="70" spans="1:24" ht="19.5" hidden="1" customHeight="1" x14ac:dyDescent="0.25">
      <c r="A70" s="107"/>
      <c r="B70" s="107"/>
      <c r="C70">
        <v>2021</v>
      </c>
      <c r="D70" t="e">
        <f>#REF!</f>
        <v>#REF!</v>
      </c>
      <c r="E70" t="e">
        <f>#REF!</f>
        <v>#REF!</v>
      </c>
      <c r="F70" t="e">
        <f>#REF!</f>
        <v>#REF!</v>
      </c>
      <c r="G70" t="e">
        <f>#REF!</f>
        <v>#REF!</v>
      </c>
      <c r="H70" t="e">
        <f>#REF!</f>
        <v>#REF!</v>
      </c>
      <c r="I70" s="107"/>
      <c r="J70" t="e">
        <f t="shared" si="3"/>
        <v>#REF!</v>
      </c>
      <c r="K70" t="e">
        <f t="shared" si="3"/>
        <v>#REF!</v>
      </c>
      <c r="L70" t="e">
        <f t="shared" si="3"/>
        <v>#REF!</v>
      </c>
      <c r="M70" t="e">
        <f t="shared" si="3"/>
        <v>#REF!</v>
      </c>
      <c r="N70" t="e">
        <f t="shared" si="3"/>
        <v>#REF!</v>
      </c>
      <c r="O70" s="107"/>
      <c r="P70">
        <v>2021</v>
      </c>
      <c r="Q70" t="e">
        <f>#REF!</f>
        <v>#REF!</v>
      </c>
      <c r="R70" t="e">
        <f>#REF!</f>
        <v>#REF!</v>
      </c>
      <c r="S70" t="e">
        <f>#REF!</f>
        <v>#REF!</v>
      </c>
      <c r="T70" t="e">
        <f>#REF!</f>
        <v>#REF!</v>
      </c>
      <c r="U70" t="e">
        <f>#REF!</f>
        <v>#REF!</v>
      </c>
      <c r="V70" s="107"/>
      <c r="W70" s="107"/>
    </row>
    <row r="71" spans="1:24" ht="19.5" hidden="1" customHeight="1" x14ac:dyDescent="0.25">
      <c r="A71" s="107" t="s">
        <v>535</v>
      </c>
      <c r="B71" s="107" t="s">
        <v>642</v>
      </c>
      <c r="C71" t="s">
        <v>8</v>
      </c>
      <c r="I71" s="107"/>
      <c r="J71">
        <f t="shared" si="3"/>
        <v>598.92700000000002</v>
      </c>
      <c r="K71">
        <f t="shared" si="3"/>
        <v>598.92700000000002</v>
      </c>
      <c r="L71" t="e">
        <f t="shared" si="3"/>
        <v>#REF!</v>
      </c>
      <c r="M71" t="e">
        <f t="shared" si="3"/>
        <v>#REF!</v>
      </c>
      <c r="N71" t="e">
        <f t="shared" si="3"/>
        <v>#REF!</v>
      </c>
      <c r="O71" s="107" t="s">
        <v>536</v>
      </c>
      <c r="P71" t="s">
        <v>8</v>
      </c>
      <c r="Q71">
        <v>598.92700000000002</v>
      </c>
      <c r="R71">
        <v>598.92700000000002</v>
      </c>
      <c r="S71" t="e">
        <f>#REF!</f>
        <v>#REF!</v>
      </c>
      <c r="T71" t="e">
        <f>#REF!</f>
        <v>#REF!</v>
      </c>
      <c r="U71" t="e">
        <f>#REF!</f>
        <v>#REF!</v>
      </c>
      <c r="V71" s="107" t="s">
        <v>537</v>
      </c>
      <c r="W71" s="107" t="s">
        <v>636</v>
      </c>
      <c r="X71" s="107"/>
    </row>
    <row r="72" spans="1:24" ht="19.5" hidden="1" customHeight="1" x14ac:dyDescent="0.25">
      <c r="A72" s="107"/>
      <c r="B72" s="107"/>
      <c r="C72">
        <v>2021</v>
      </c>
      <c r="I72" s="107"/>
      <c r="J72">
        <f t="shared" si="3"/>
        <v>598.92700000000002</v>
      </c>
      <c r="K72">
        <f t="shared" si="3"/>
        <v>598.92700000000002</v>
      </c>
      <c r="L72">
        <f t="shared" si="3"/>
        <v>0</v>
      </c>
      <c r="M72">
        <f t="shared" si="3"/>
        <v>0</v>
      </c>
      <c r="N72">
        <f t="shared" si="3"/>
        <v>0</v>
      </c>
      <c r="O72" s="107"/>
      <c r="P72">
        <v>2021</v>
      </c>
      <c r="Q72">
        <f>SUM(R72:U72)</f>
        <v>598.92700000000002</v>
      </c>
      <c r="R72">
        <v>598.92700000000002</v>
      </c>
      <c r="S72">
        <v>0</v>
      </c>
      <c r="T72">
        <v>0</v>
      </c>
      <c r="U72">
        <v>0</v>
      </c>
      <c r="V72" s="107"/>
      <c r="W72" s="107"/>
      <c r="X72" s="107"/>
    </row>
    <row r="73" spans="1:24" ht="28.5" hidden="1" customHeight="1" x14ac:dyDescent="0.25">
      <c r="A73" s="107" t="s">
        <v>653</v>
      </c>
      <c r="B73" s="107" t="s">
        <v>654</v>
      </c>
      <c r="C73" t="s">
        <v>8</v>
      </c>
      <c r="I73" s="107" t="s">
        <v>80</v>
      </c>
      <c r="J73" t="e">
        <f t="shared" si="3"/>
        <v>#REF!</v>
      </c>
      <c r="K73" t="e">
        <f t="shared" si="3"/>
        <v>#REF!</v>
      </c>
      <c r="L73" t="e">
        <f t="shared" si="3"/>
        <v>#REF!</v>
      </c>
      <c r="M73" t="e">
        <f t="shared" si="3"/>
        <v>#REF!</v>
      </c>
      <c r="N73" t="e">
        <f t="shared" si="3"/>
        <v>#REF!</v>
      </c>
      <c r="O73" s="107" t="s">
        <v>654</v>
      </c>
      <c r="P73" t="s">
        <v>8</v>
      </c>
      <c r="Q73" t="e">
        <f>#REF!</f>
        <v>#REF!</v>
      </c>
      <c r="R73" t="e">
        <f>#REF!</f>
        <v>#REF!</v>
      </c>
      <c r="S73" t="e">
        <f>#REF!</f>
        <v>#REF!</v>
      </c>
      <c r="T73" t="e">
        <f>#REF!</f>
        <v>#REF!</v>
      </c>
      <c r="U73" t="e">
        <f>#REF!</f>
        <v>#REF!</v>
      </c>
      <c r="V73" s="107" t="s">
        <v>58</v>
      </c>
      <c r="W73" s="107" t="s">
        <v>636</v>
      </c>
    </row>
    <row r="74" spans="1:24" ht="28.5" hidden="1" customHeight="1" x14ac:dyDescent="0.25">
      <c r="A74" s="107"/>
      <c r="B74" s="107"/>
      <c r="C74">
        <v>2019</v>
      </c>
      <c r="I74" s="107"/>
      <c r="J74" t="e">
        <f t="shared" si="3"/>
        <v>#REF!</v>
      </c>
      <c r="K74" t="e">
        <f t="shared" si="3"/>
        <v>#REF!</v>
      </c>
      <c r="L74" t="e">
        <f t="shared" si="3"/>
        <v>#REF!</v>
      </c>
      <c r="M74" t="e">
        <f t="shared" si="3"/>
        <v>#REF!</v>
      </c>
      <c r="N74" t="e">
        <f t="shared" si="3"/>
        <v>#REF!</v>
      </c>
      <c r="O74" s="107"/>
      <c r="P74">
        <v>2021</v>
      </c>
      <c r="Q74" t="e">
        <f>#REF!</f>
        <v>#REF!</v>
      </c>
      <c r="R74" t="e">
        <f>#REF!</f>
        <v>#REF!</v>
      </c>
      <c r="S74" t="e">
        <f>#REF!</f>
        <v>#REF!</v>
      </c>
      <c r="T74" t="e">
        <f>#REF!</f>
        <v>#REF!</v>
      </c>
      <c r="U74" t="e">
        <f>#REF!</f>
        <v>#REF!</v>
      </c>
      <c r="V74" s="107"/>
      <c r="W74" s="107"/>
    </row>
    <row r="75" spans="1:24" ht="51.75" hidden="1" customHeight="1" x14ac:dyDescent="0.25">
      <c r="A75" s="107" t="s">
        <v>81</v>
      </c>
      <c r="B75" s="107" t="s">
        <v>82</v>
      </c>
      <c r="C75" t="s">
        <v>8</v>
      </c>
      <c r="I75" s="107" t="s">
        <v>83</v>
      </c>
      <c r="J75" t="e">
        <f t="shared" si="3"/>
        <v>#REF!</v>
      </c>
      <c r="K75" t="e">
        <f t="shared" si="3"/>
        <v>#REF!</v>
      </c>
      <c r="L75" t="e">
        <f t="shared" si="3"/>
        <v>#REF!</v>
      </c>
      <c r="M75" t="e">
        <f t="shared" si="3"/>
        <v>#REF!</v>
      </c>
      <c r="N75" t="e">
        <f t="shared" si="3"/>
        <v>#REF!</v>
      </c>
      <c r="O75" s="107" t="s">
        <v>82</v>
      </c>
      <c r="P75" t="s">
        <v>8</v>
      </c>
      <c r="Q75" t="e">
        <f>#REF!</f>
        <v>#REF!</v>
      </c>
      <c r="R75" t="e">
        <f>#REF!</f>
        <v>#REF!</v>
      </c>
      <c r="S75" t="e">
        <f>#REF!</f>
        <v>#REF!</v>
      </c>
      <c r="T75" t="e">
        <f>#REF!</f>
        <v>#REF!</v>
      </c>
      <c r="U75" t="e">
        <f>#REF!</f>
        <v>#REF!</v>
      </c>
      <c r="V75" s="107" t="s">
        <v>83</v>
      </c>
      <c r="W75" s="107" t="s">
        <v>636</v>
      </c>
      <c r="X75" s="107"/>
    </row>
    <row r="76" spans="1:24" ht="51.75" hidden="1" customHeight="1" x14ac:dyDescent="0.25">
      <c r="A76" s="107"/>
      <c r="B76" s="107"/>
      <c r="C76">
        <v>2019</v>
      </c>
      <c r="I76" s="107"/>
      <c r="J76" t="e">
        <f t="shared" si="3"/>
        <v>#REF!</v>
      </c>
      <c r="K76" t="e">
        <f t="shared" si="3"/>
        <v>#REF!</v>
      </c>
      <c r="L76" t="e">
        <f t="shared" si="3"/>
        <v>#REF!</v>
      </c>
      <c r="M76" t="e">
        <f t="shared" si="3"/>
        <v>#REF!</v>
      </c>
      <c r="N76" t="e">
        <f t="shared" si="3"/>
        <v>#REF!</v>
      </c>
      <c r="O76" s="107"/>
      <c r="P76">
        <v>2021</v>
      </c>
      <c r="Q76" t="e">
        <f>#REF!</f>
        <v>#REF!</v>
      </c>
      <c r="R76" t="e">
        <f>#REF!</f>
        <v>#REF!</v>
      </c>
      <c r="S76" t="e">
        <f>#REF!</f>
        <v>#REF!</v>
      </c>
      <c r="T76" t="e">
        <f>#REF!</f>
        <v>#REF!</v>
      </c>
      <c r="U76" t="e">
        <f>#REF!</f>
        <v>#REF!</v>
      </c>
      <c r="V76" s="107"/>
      <c r="W76" s="107"/>
      <c r="X76" s="107"/>
    </row>
    <row r="77" spans="1:24" ht="41.25" hidden="1" customHeight="1" x14ac:dyDescent="0.25">
      <c r="A77" s="107" t="s">
        <v>540</v>
      </c>
      <c r="B77" s="107" t="s">
        <v>642</v>
      </c>
      <c r="C77" t="s">
        <v>8</v>
      </c>
      <c r="I77" s="107"/>
      <c r="J77" t="e">
        <f t="shared" si="3"/>
        <v>#REF!</v>
      </c>
      <c r="K77" t="e">
        <f t="shared" si="3"/>
        <v>#REF!</v>
      </c>
      <c r="L77" t="e">
        <f t="shared" si="3"/>
        <v>#REF!</v>
      </c>
      <c r="M77" t="e">
        <f t="shared" si="3"/>
        <v>#REF!</v>
      </c>
      <c r="N77" t="e">
        <f t="shared" si="3"/>
        <v>#REF!</v>
      </c>
      <c r="O77" s="107" t="s">
        <v>541</v>
      </c>
      <c r="P77" t="s">
        <v>8</v>
      </c>
      <c r="Q77" t="e">
        <f>#REF!</f>
        <v>#REF!</v>
      </c>
      <c r="R77" t="e">
        <f>#REF!</f>
        <v>#REF!</v>
      </c>
      <c r="S77" t="e">
        <f>#REF!</f>
        <v>#REF!</v>
      </c>
      <c r="T77" t="e">
        <f>#REF!</f>
        <v>#REF!</v>
      </c>
      <c r="U77" t="e">
        <f>#REF!</f>
        <v>#REF!</v>
      </c>
      <c r="V77" s="107" t="s">
        <v>72</v>
      </c>
      <c r="W77" s="107" t="s">
        <v>636</v>
      </c>
      <c r="X77" s="107"/>
    </row>
    <row r="78" spans="1:24" ht="41.25" hidden="1" customHeight="1" x14ac:dyDescent="0.25">
      <c r="A78" s="107"/>
      <c r="B78" s="107"/>
      <c r="C78">
        <v>2019</v>
      </c>
      <c r="I78" s="107"/>
      <c r="J78" t="e">
        <f t="shared" si="3"/>
        <v>#REF!</v>
      </c>
      <c r="K78" t="e">
        <f t="shared" si="3"/>
        <v>#REF!</v>
      </c>
      <c r="L78" t="e">
        <f t="shared" si="3"/>
        <v>#REF!</v>
      </c>
      <c r="M78" t="e">
        <f t="shared" si="3"/>
        <v>#REF!</v>
      </c>
      <c r="N78" t="e">
        <f t="shared" si="3"/>
        <v>#REF!</v>
      </c>
      <c r="O78" s="107"/>
      <c r="P78">
        <v>2021</v>
      </c>
      <c r="Q78" t="e">
        <f>#REF!</f>
        <v>#REF!</v>
      </c>
      <c r="R78" t="e">
        <f>#REF!</f>
        <v>#REF!</v>
      </c>
      <c r="S78" t="e">
        <f>#REF!</f>
        <v>#REF!</v>
      </c>
      <c r="T78" t="e">
        <f>#REF!</f>
        <v>#REF!</v>
      </c>
      <c r="U78" t="e">
        <f>#REF!</f>
        <v>#REF!</v>
      </c>
      <c r="V78" s="107"/>
      <c r="W78" s="107"/>
      <c r="X78" s="107"/>
    </row>
    <row r="79" spans="1:24" ht="41.25" customHeight="1" x14ac:dyDescent="0.25">
      <c r="A79" s="107" t="s">
        <v>524</v>
      </c>
      <c r="B79" s="107" t="s">
        <v>525</v>
      </c>
      <c r="C79" t="s">
        <v>8</v>
      </c>
      <c r="D79">
        <f>'План реализации _ 10'!E163</f>
        <v>27000</v>
      </c>
      <c r="E79">
        <f>'План реализации _ 10'!F163</f>
        <v>27000</v>
      </c>
      <c r="F79">
        <f>'План реализации _ 10'!G163</f>
        <v>0</v>
      </c>
      <c r="G79">
        <f>'План реализации _ 10'!H163</f>
        <v>0</v>
      </c>
      <c r="H79">
        <f>'План реализации _ 10'!I163</f>
        <v>0</v>
      </c>
      <c r="I79" s="107" t="s">
        <v>526</v>
      </c>
      <c r="J79">
        <f t="shared" si="3"/>
        <v>-11.900000000001455</v>
      </c>
      <c r="K79">
        <f t="shared" si="3"/>
        <v>-11.900000000001455</v>
      </c>
      <c r="L79">
        <f t="shared" si="3"/>
        <v>0</v>
      </c>
      <c r="M79">
        <f t="shared" si="3"/>
        <v>0</v>
      </c>
      <c r="N79">
        <f t="shared" si="3"/>
        <v>0</v>
      </c>
      <c r="O79" s="107" t="s">
        <v>525</v>
      </c>
      <c r="P79" t="s">
        <v>8</v>
      </c>
      <c r="Q79">
        <f>'План реализации _ 11'!E163</f>
        <v>26988.1</v>
      </c>
      <c r="R79">
        <f>'План реализации _ 11'!F163</f>
        <v>26988.1</v>
      </c>
      <c r="S79">
        <f>'План реализации _ 11'!G163</f>
        <v>0</v>
      </c>
      <c r="T79">
        <f>'План реализации _ 11'!H163</f>
        <v>0</v>
      </c>
      <c r="U79">
        <f>'План реализации _ 11'!I163</f>
        <v>0</v>
      </c>
      <c r="V79" s="107" t="s">
        <v>526</v>
      </c>
      <c r="W79" s="107" t="s">
        <v>636</v>
      </c>
    </row>
    <row r="80" spans="1:24" ht="41.25" customHeight="1" x14ac:dyDescent="0.25">
      <c r="A80" s="107"/>
      <c r="B80" s="107"/>
      <c r="C80">
        <v>2021</v>
      </c>
      <c r="D80">
        <f>'План реализации _ 10'!E164</f>
        <v>27000</v>
      </c>
      <c r="E80">
        <f>'План реализации _ 10'!F164</f>
        <v>27000</v>
      </c>
      <c r="F80">
        <f>'План реализации _ 10'!G164</f>
        <v>0</v>
      </c>
      <c r="G80">
        <f>'План реализации _ 10'!H164</f>
        <v>0</v>
      </c>
      <c r="H80">
        <f>'План реализации _ 10'!I164</f>
        <v>0</v>
      </c>
      <c r="I80" s="107"/>
      <c r="J80">
        <f t="shared" si="3"/>
        <v>-11.900000000001455</v>
      </c>
      <c r="K80">
        <f t="shared" si="3"/>
        <v>-11.900000000001455</v>
      </c>
      <c r="L80">
        <f t="shared" si="3"/>
        <v>0</v>
      </c>
      <c r="M80">
        <f t="shared" si="3"/>
        <v>0</v>
      </c>
      <c r="N80">
        <f t="shared" si="3"/>
        <v>0</v>
      </c>
      <c r="O80" s="107"/>
      <c r="P80">
        <v>2021</v>
      </c>
      <c r="Q80">
        <f>'План реализации _ 11'!E164</f>
        <v>26988.1</v>
      </c>
      <c r="R80">
        <f>'План реализации _ 11'!F164</f>
        <v>26988.1</v>
      </c>
      <c r="S80">
        <f>'План реализации _ 11'!G164</f>
        <v>0</v>
      </c>
      <c r="T80">
        <f>'План реализации _ 11'!H164</f>
        <v>0</v>
      </c>
      <c r="U80">
        <f>'План реализации _ 11'!I164</f>
        <v>0</v>
      </c>
      <c r="V80" s="107"/>
      <c r="W80" s="107"/>
    </row>
    <row r="81" spans="1:24" ht="41.25" customHeight="1" x14ac:dyDescent="0.25">
      <c r="A81" s="107" t="s">
        <v>528</v>
      </c>
      <c r="B81" s="107" t="s">
        <v>529</v>
      </c>
      <c r="C81" t="s">
        <v>8</v>
      </c>
      <c r="D81">
        <f>'План реализации _ 10'!E169</f>
        <v>24356</v>
      </c>
      <c r="E81">
        <f>'План реализации _ 10'!F169</f>
        <v>24356</v>
      </c>
      <c r="F81">
        <f>'План реализации _ 10'!G169</f>
        <v>0</v>
      </c>
      <c r="G81">
        <f>'План реализации _ 10'!H169</f>
        <v>0</v>
      </c>
      <c r="H81">
        <f>'План реализации _ 10'!I169</f>
        <v>0</v>
      </c>
      <c r="I81" s="107" t="s">
        <v>530</v>
      </c>
      <c r="J81">
        <f t="shared" si="3"/>
        <v>-24356</v>
      </c>
      <c r="K81">
        <f t="shared" si="3"/>
        <v>-24356</v>
      </c>
      <c r="L81">
        <f t="shared" si="3"/>
        <v>0</v>
      </c>
      <c r="M81">
        <f t="shared" si="3"/>
        <v>0</v>
      </c>
      <c r="N81">
        <f t="shared" si="3"/>
        <v>0</v>
      </c>
      <c r="O81" s="107" t="s">
        <v>529</v>
      </c>
      <c r="P81" t="s">
        <v>8</v>
      </c>
      <c r="Q81">
        <f>'План реализации _ 11'!E169</f>
        <v>0</v>
      </c>
      <c r="R81">
        <f>'План реализации _ 11'!F169</f>
        <v>0</v>
      </c>
      <c r="S81">
        <f>'План реализации _ 11'!G169</f>
        <v>0</v>
      </c>
      <c r="T81">
        <f>'План реализации _ 11'!H169</f>
        <v>0</v>
      </c>
      <c r="U81">
        <f>'План реализации _ 11'!I169</f>
        <v>0</v>
      </c>
      <c r="V81" s="107" t="s">
        <v>530</v>
      </c>
      <c r="W81" s="107" t="s">
        <v>636</v>
      </c>
    </row>
    <row r="82" spans="1:24" ht="41.25" customHeight="1" x14ac:dyDescent="0.25">
      <c r="A82" s="107"/>
      <c r="B82" s="107"/>
      <c r="C82">
        <v>2021</v>
      </c>
      <c r="D82">
        <f>'План реализации _ 10'!E170</f>
        <v>24356</v>
      </c>
      <c r="E82">
        <f>'План реализации _ 10'!F170</f>
        <v>24356</v>
      </c>
      <c r="F82">
        <f>'План реализации _ 10'!G170</f>
        <v>0</v>
      </c>
      <c r="G82">
        <f>'План реализации _ 10'!H170</f>
        <v>0</v>
      </c>
      <c r="H82">
        <f>'План реализации _ 10'!I170</f>
        <v>0</v>
      </c>
      <c r="I82" s="107"/>
      <c r="J82">
        <f t="shared" ref="J82:N103" si="8">Q82-D82</f>
        <v>-24356</v>
      </c>
      <c r="K82">
        <f t="shared" si="8"/>
        <v>-24356</v>
      </c>
      <c r="L82">
        <f t="shared" si="8"/>
        <v>0</v>
      </c>
      <c r="M82">
        <f t="shared" si="8"/>
        <v>0</v>
      </c>
      <c r="N82">
        <f t="shared" si="8"/>
        <v>0</v>
      </c>
      <c r="O82" s="107"/>
      <c r="P82">
        <v>2021</v>
      </c>
      <c r="Q82">
        <f>'План реализации _ 11'!E170</f>
        <v>0</v>
      </c>
      <c r="R82">
        <f>'План реализации _ 11'!F170</f>
        <v>0</v>
      </c>
      <c r="S82">
        <f>'План реализации _ 11'!G170</f>
        <v>0</v>
      </c>
      <c r="T82">
        <f>'План реализации _ 11'!H170</f>
        <v>0</v>
      </c>
      <c r="U82">
        <f>'План реализации _ 11'!I170</f>
        <v>0</v>
      </c>
      <c r="V82" s="107"/>
      <c r="W82" s="107"/>
    </row>
    <row r="83" spans="1:24" ht="41.25" customHeight="1" x14ac:dyDescent="0.25">
      <c r="A83" s="107" t="s">
        <v>535</v>
      </c>
      <c r="B83" s="107" t="s">
        <v>536</v>
      </c>
      <c r="C83" t="s">
        <v>8</v>
      </c>
      <c r="D83">
        <f>'План реализации _ 10'!E181</f>
        <v>598.92700000000002</v>
      </c>
      <c r="E83">
        <f>'План реализации _ 10'!F181</f>
        <v>598.92700000000002</v>
      </c>
      <c r="F83">
        <f>'План реализации _ 10'!G181</f>
        <v>0</v>
      </c>
      <c r="G83">
        <f>'План реализации _ 10'!H181</f>
        <v>0</v>
      </c>
      <c r="H83">
        <f>'План реализации _ 10'!I181</f>
        <v>0</v>
      </c>
      <c r="I83" s="107" t="s">
        <v>537</v>
      </c>
      <c r="J83">
        <f t="shared" si="8"/>
        <v>-3.9270000000000209</v>
      </c>
      <c r="K83">
        <f t="shared" ref="K83:K89" si="9">R83-E83</f>
        <v>-3.9270000000000209</v>
      </c>
      <c r="L83">
        <f t="shared" ref="L83:L89" si="10">S83-F83</f>
        <v>0</v>
      </c>
      <c r="M83">
        <f t="shared" ref="M83:M89" si="11">T83-G83</f>
        <v>0</v>
      </c>
      <c r="N83">
        <f t="shared" ref="N83:N89" si="12">U83-H83</f>
        <v>0</v>
      </c>
      <c r="O83" s="107" t="s">
        <v>536</v>
      </c>
      <c r="P83" t="s">
        <v>8</v>
      </c>
      <c r="Q83">
        <f>'План реализации _ 11'!E181</f>
        <v>595</v>
      </c>
      <c r="R83">
        <f>'План реализации _ 11'!F181</f>
        <v>595</v>
      </c>
      <c r="S83">
        <f>'План реализации _ 11'!G181</f>
        <v>0</v>
      </c>
      <c r="T83">
        <f>'План реализации _ 11'!H181</f>
        <v>0</v>
      </c>
      <c r="U83">
        <f>'План реализации _ 11'!I181</f>
        <v>0</v>
      </c>
      <c r="V83" s="107" t="s">
        <v>537</v>
      </c>
      <c r="W83" s="107" t="s">
        <v>636</v>
      </c>
    </row>
    <row r="84" spans="1:24" ht="41.25" customHeight="1" x14ac:dyDescent="0.25">
      <c r="A84" s="107"/>
      <c r="B84" s="107"/>
      <c r="C84">
        <v>2021</v>
      </c>
      <c r="D84">
        <f>'План реализации _ 10'!E182</f>
        <v>598.92700000000002</v>
      </c>
      <c r="E84">
        <f>'План реализации _ 10'!F182</f>
        <v>598.92700000000002</v>
      </c>
      <c r="F84">
        <f>'План реализации _ 10'!G182</f>
        <v>0</v>
      </c>
      <c r="G84">
        <f>'План реализации _ 10'!H182</f>
        <v>0</v>
      </c>
      <c r="H84">
        <f>'План реализации _ 10'!I182</f>
        <v>0</v>
      </c>
      <c r="I84" s="107"/>
      <c r="J84">
        <f t="shared" si="8"/>
        <v>-3.9270000000000209</v>
      </c>
      <c r="K84">
        <f t="shared" si="9"/>
        <v>-3.9270000000000209</v>
      </c>
      <c r="L84">
        <f t="shared" si="10"/>
        <v>0</v>
      </c>
      <c r="M84">
        <f t="shared" si="11"/>
        <v>0</v>
      </c>
      <c r="N84">
        <f t="shared" si="12"/>
        <v>0</v>
      </c>
      <c r="O84" s="107"/>
      <c r="P84">
        <v>2021</v>
      </c>
      <c r="Q84">
        <f>'План реализации _ 11'!E182</f>
        <v>595</v>
      </c>
      <c r="R84">
        <f>'План реализации _ 11'!F182</f>
        <v>595</v>
      </c>
      <c r="S84">
        <f>'План реализации _ 11'!G182</f>
        <v>0</v>
      </c>
      <c r="T84">
        <f>'План реализации _ 11'!H182</f>
        <v>0</v>
      </c>
      <c r="U84">
        <f>'План реализации _ 11'!I172</f>
        <v>0</v>
      </c>
      <c r="V84" s="107"/>
      <c r="W84" s="107"/>
    </row>
    <row r="85" spans="1:24" ht="27" customHeight="1" x14ac:dyDescent="0.25">
      <c r="A85" s="107" t="s">
        <v>609</v>
      </c>
      <c r="B85" s="107" t="s">
        <v>642</v>
      </c>
      <c r="C85" t="s">
        <v>8</v>
      </c>
      <c r="D85">
        <v>0</v>
      </c>
      <c r="E85">
        <v>0</v>
      </c>
      <c r="F85">
        <v>0</v>
      </c>
      <c r="G85">
        <v>0</v>
      </c>
      <c r="H85">
        <v>0</v>
      </c>
      <c r="I85" s="107"/>
      <c r="J85">
        <f t="shared" si="8"/>
        <v>8626</v>
      </c>
      <c r="K85">
        <f t="shared" si="9"/>
        <v>8626</v>
      </c>
      <c r="L85">
        <f t="shared" si="10"/>
        <v>0</v>
      </c>
      <c r="M85">
        <f t="shared" si="11"/>
        <v>0</v>
      </c>
      <c r="N85">
        <f t="shared" si="12"/>
        <v>0</v>
      </c>
      <c r="O85" s="107" t="s">
        <v>655</v>
      </c>
      <c r="P85" t="s">
        <v>8</v>
      </c>
      <c r="Q85">
        <f>'План реализации _ 11'!E187</f>
        <v>8626</v>
      </c>
      <c r="R85">
        <f>'План реализации _ 11'!F187</f>
        <v>8626</v>
      </c>
      <c r="S85">
        <f>'План реализации _ 11'!G187</f>
        <v>0</v>
      </c>
      <c r="T85">
        <f>'План реализации _ 11'!H187</f>
        <v>0</v>
      </c>
      <c r="U85">
        <f>'План реализации _ 11'!I187</f>
        <v>0</v>
      </c>
      <c r="V85" s="107" t="s">
        <v>611</v>
      </c>
      <c r="W85" s="107" t="s">
        <v>656</v>
      </c>
    </row>
    <row r="86" spans="1:24" ht="27" customHeight="1" x14ac:dyDescent="0.25">
      <c r="A86" s="107"/>
      <c r="B86" s="107"/>
      <c r="C86">
        <v>2021</v>
      </c>
      <c r="D86">
        <v>0</v>
      </c>
      <c r="E86">
        <v>0</v>
      </c>
      <c r="F86">
        <v>0</v>
      </c>
      <c r="G86">
        <v>0</v>
      </c>
      <c r="H86">
        <v>0</v>
      </c>
      <c r="I86" s="107"/>
      <c r="J86">
        <f t="shared" si="8"/>
        <v>8626</v>
      </c>
      <c r="K86">
        <f t="shared" si="9"/>
        <v>8626</v>
      </c>
      <c r="L86">
        <f t="shared" si="10"/>
        <v>0</v>
      </c>
      <c r="M86">
        <f t="shared" si="11"/>
        <v>0</v>
      </c>
      <c r="N86">
        <f t="shared" si="12"/>
        <v>0</v>
      </c>
      <c r="O86" s="107"/>
      <c r="P86">
        <v>2021</v>
      </c>
      <c r="Q86">
        <f>'План реализации _ 11'!E188</f>
        <v>8626</v>
      </c>
      <c r="R86">
        <f>'План реализации _ 11'!F188</f>
        <v>8626</v>
      </c>
      <c r="S86">
        <f>'План реализации _ 11'!G188</f>
        <v>0</v>
      </c>
      <c r="T86">
        <f>'План реализации _ 11'!H188</f>
        <v>0</v>
      </c>
      <c r="U86">
        <f>'План реализации _ 11'!I188</f>
        <v>0</v>
      </c>
      <c r="V86" s="107"/>
      <c r="W86" s="107"/>
    </row>
    <row r="87" spans="1:24" ht="27" customHeight="1" x14ac:dyDescent="0.25">
      <c r="A87" s="107"/>
      <c r="B87" s="107"/>
      <c r="C87">
        <v>2022</v>
      </c>
      <c r="D87">
        <v>0</v>
      </c>
      <c r="E87">
        <v>0</v>
      </c>
      <c r="F87">
        <v>0</v>
      </c>
      <c r="G87">
        <v>0</v>
      </c>
      <c r="H87">
        <v>0</v>
      </c>
      <c r="I87" s="107"/>
      <c r="J87">
        <f t="shared" si="8"/>
        <v>0</v>
      </c>
      <c r="K87">
        <f t="shared" si="9"/>
        <v>0</v>
      </c>
      <c r="L87">
        <f t="shared" si="10"/>
        <v>0</v>
      </c>
      <c r="M87">
        <f t="shared" si="11"/>
        <v>0</v>
      </c>
      <c r="N87">
        <f t="shared" si="12"/>
        <v>0</v>
      </c>
      <c r="O87" s="107"/>
      <c r="P87">
        <v>2022</v>
      </c>
      <c r="Q87">
        <f>'План реализации _ 11'!E189</f>
        <v>0</v>
      </c>
      <c r="R87">
        <f>'План реализации _ 11'!F189</f>
        <v>0</v>
      </c>
      <c r="S87">
        <f>'План реализации _ 11'!G189</f>
        <v>0</v>
      </c>
      <c r="T87">
        <f>'План реализации _ 11'!H189</f>
        <v>0</v>
      </c>
      <c r="U87">
        <f>'План реализации _ 11'!I189</f>
        <v>0</v>
      </c>
      <c r="V87" s="107"/>
      <c r="W87" s="107"/>
    </row>
    <row r="88" spans="1:24" ht="27" customHeight="1" x14ac:dyDescent="0.25">
      <c r="A88" s="107"/>
      <c r="B88" s="107"/>
      <c r="C88">
        <v>2023</v>
      </c>
      <c r="D88">
        <v>0</v>
      </c>
      <c r="E88">
        <v>0</v>
      </c>
      <c r="F88">
        <v>0</v>
      </c>
      <c r="G88">
        <v>0</v>
      </c>
      <c r="H88">
        <v>0</v>
      </c>
      <c r="I88" s="107"/>
      <c r="J88">
        <f t="shared" si="8"/>
        <v>0</v>
      </c>
      <c r="K88">
        <f t="shared" si="9"/>
        <v>0</v>
      </c>
      <c r="L88">
        <f t="shared" si="10"/>
        <v>0</v>
      </c>
      <c r="M88">
        <f t="shared" si="11"/>
        <v>0</v>
      </c>
      <c r="N88">
        <f t="shared" si="12"/>
        <v>0</v>
      </c>
      <c r="O88" s="107"/>
      <c r="P88">
        <v>2023</v>
      </c>
      <c r="Q88">
        <f>'План реализации _ 11'!E190</f>
        <v>0</v>
      </c>
      <c r="R88">
        <f>'План реализации _ 11'!F190</f>
        <v>0</v>
      </c>
      <c r="S88">
        <f>'План реализации _ 11'!G190</f>
        <v>0</v>
      </c>
      <c r="T88">
        <f>'План реализации _ 11'!H190</f>
        <v>0</v>
      </c>
      <c r="U88">
        <f>'План реализации _ 11'!I190</f>
        <v>0</v>
      </c>
      <c r="V88" s="107"/>
      <c r="W88" s="107"/>
    </row>
    <row r="89" spans="1:24" ht="27" customHeight="1" x14ac:dyDescent="0.25">
      <c r="A89" s="107"/>
      <c r="B89" s="107"/>
      <c r="C89">
        <v>2024</v>
      </c>
      <c r="D89">
        <v>0</v>
      </c>
      <c r="E89">
        <v>0</v>
      </c>
      <c r="F89">
        <v>0</v>
      </c>
      <c r="G89">
        <v>0</v>
      </c>
      <c r="H89">
        <v>0</v>
      </c>
      <c r="I89" s="107"/>
      <c r="J89">
        <f t="shared" si="8"/>
        <v>0</v>
      </c>
      <c r="K89">
        <f t="shared" si="9"/>
        <v>0</v>
      </c>
      <c r="L89">
        <f t="shared" si="10"/>
        <v>0</v>
      </c>
      <c r="M89">
        <f t="shared" si="11"/>
        <v>0</v>
      </c>
      <c r="N89">
        <f t="shared" si="12"/>
        <v>0</v>
      </c>
      <c r="O89" s="107"/>
      <c r="P89">
        <v>2024</v>
      </c>
      <c r="Q89">
        <f>'План реализации _ 11'!E191</f>
        <v>0</v>
      </c>
      <c r="R89">
        <f>'План реализации _ 11'!F191</f>
        <v>0</v>
      </c>
      <c r="S89">
        <f>'План реализации _ 11'!G191</f>
        <v>0</v>
      </c>
      <c r="T89">
        <f>'План реализации _ 11'!H191</f>
        <v>0</v>
      </c>
      <c r="U89">
        <f>'План реализации _ 11'!I191</f>
        <v>0</v>
      </c>
      <c r="V89" s="107"/>
      <c r="W89" s="107"/>
    </row>
    <row r="90" spans="1:24" ht="19.5" hidden="1" customHeight="1" x14ac:dyDescent="0.25">
      <c r="A90" s="107" t="s">
        <v>657</v>
      </c>
      <c r="B90" s="107" t="s">
        <v>658</v>
      </c>
      <c r="C90" t="s">
        <v>8</v>
      </c>
      <c r="I90" s="107" t="s">
        <v>659</v>
      </c>
      <c r="J90">
        <f t="shared" si="8"/>
        <v>17843.7</v>
      </c>
      <c r="K90">
        <f t="shared" si="8"/>
        <v>17843.7</v>
      </c>
      <c r="L90">
        <f t="shared" si="8"/>
        <v>0</v>
      </c>
      <c r="M90">
        <f t="shared" si="8"/>
        <v>0</v>
      </c>
      <c r="N90">
        <f t="shared" si="8"/>
        <v>0</v>
      </c>
      <c r="O90" s="107" t="s">
        <v>660</v>
      </c>
      <c r="P90" t="s">
        <v>8</v>
      </c>
      <c r="Q90">
        <f>'[3]Пр ГП 19-20'!E107</f>
        <v>17843.7</v>
      </c>
      <c r="R90">
        <f>'[3]Пр ГП 19-20'!F107</f>
        <v>17843.7</v>
      </c>
      <c r="S90">
        <f>'[3]Пр ГП 19-20'!G107</f>
        <v>0</v>
      </c>
      <c r="T90">
        <f>'[3]Пр ГП 19-20'!H107</f>
        <v>0</v>
      </c>
      <c r="U90">
        <f>'[3]Пр ГП 19-20'!I107</f>
        <v>0</v>
      </c>
      <c r="V90" s="107" t="s">
        <v>661</v>
      </c>
      <c r="W90" s="107"/>
      <c r="X90" s="107"/>
    </row>
    <row r="91" spans="1:24" ht="19.5" hidden="1" customHeight="1" x14ac:dyDescent="0.25">
      <c r="A91" s="107"/>
      <c r="B91" s="107"/>
      <c r="C91">
        <v>2019</v>
      </c>
      <c r="I91" s="107"/>
      <c r="J91">
        <f t="shared" si="8"/>
        <v>11236.2</v>
      </c>
      <c r="K91">
        <f t="shared" si="8"/>
        <v>11236.2</v>
      </c>
      <c r="L91">
        <f t="shared" si="8"/>
        <v>0</v>
      </c>
      <c r="M91">
        <f t="shared" si="8"/>
        <v>0</v>
      </c>
      <c r="N91">
        <f t="shared" si="8"/>
        <v>0</v>
      </c>
      <c r="O91" s="107"/>
      <c r="P91">
        <v>2019</v>
      </c>
      <c r="Q91">
        <f>'[3]Пр ГП 19-20'!E108</f>
        <v>11236.2</v>
      </c>
      <c r="R91">
        <f>'[3]Пр ГП 19-20'!F108</f>
        <v>11236.2</v>
      </c>
      <c r="S91">
        <f>'[3]Пр ГП 19-20'!G108</f>
        <v>0</v>
      </c>
      <c r="T91">
        <f>'[3]Пр ГП 19-20'!H108</f>
        <v>0</v>
      </c>
      <c r="U91">
        <f>'[3]Пр ГП 19-20'!I108</f>
        <v>0</v>
      </c>
      <c r="V91" s="107"/>
      <c r="W91" s="107"/>
      <c r="X91" s="107"/>
    </row>
    <row r="92" spans="1:24" ht="19.5" hidden="1" customHeight="1" x14ac:dyDescent="0.25">
      <c r="A92" s="107"/>
      <c r="B92" s="107"/>
      <c r="C92">
        <v>2020</v>
      </c>
      <c r="I92" s="107"/>
      <c r="J92">
        <f t="shared" si="8"/>
        <v>6607.5</v>
      </c>
      <c r="K92">
        <f t="shared" si="8"/>
        <v>6607.5</v>
      </c>
      <c r="L92">
        <f t="shared" si="8"/>
        <v>0</v>
      </c>
      <c r="M92">
        <f t="shared" si="8"/>
        <v>0</v>
      </c>
      <c r="N92">
        <f t="shared" si="8"/>
        <v>0</v>
      </c>
      <c r="O92" s="107"/>
      <c r="P92">
        <v>2020</v>
      </c>
      <c r="Q92">
        <f>'[3]Пр ГП 19-20'!E109</f>
        <v>6607.5</v>
      </c>
      <c r="R92">
        <f>'[3]Пр ГП 19-20'!F109</f>
        <v>6607.5</v>
      </c>
      <c r="S92">
        <f>'[3]Пр ГП 19-20'!G109</f>
        <v>0</v>
      </c>
      <c r="T92">
        <f>'[3]Пр ГП 19-20'!H109</f>
        <v>0</v>
      </c>
      <c r="U92">
        <f>'[3]Пр ГП 19-20'!I109</f>
        <v>0</v>
      </c>
      <c r="V92" s="107"/>
      <c r="W92" s="107"/>
      <c r="X92" s="107"/>
    </row>
    <row r="93" spans="1:24" ht="30.75" hidden="1" customHeight="1" x14ac:dyDescent="0.25">
      <c r="A93" s="107" t="s">
        <v>662</v>
      </c>
      <c r="B93" s="107" t="s">
        <v>663</v>
      </c>
      <c r="C93" t="s">
        <v>8</v>
      </c>
      <c r="I93" s="107" t="s">
        <v>664</v>
      </c>
      <c r="J93">
        <f t="shared" si="8"/>
        <v>34180.699999999997</v>
      </c>
      <c r="K93">
        <f t="shared" si="8"/>
        <v>31423.599999999999</v>
      </c>
      <c r="L93">
        <f t="shared" si="8"/>
        <v>0</v>
      </c>
      <c r="M93">
        <f t="shared" si="8"/>
        <v>2757.1</v>
      </c>
      <c r="N93">
        <f t="shared" si="8"/>
        <v>0</v>
      </c>
      <c r="O93" s="107" t="s">
        <v>663</v>
      </c>
      <c r="P93" t="s">
        <v>8</v>
      </c>
      <c r="Q93">
        <f>'[3]Пр ГП 19-20'!E110</f>
        <v>34180.699999999997</v>
      </c>
      <c r="R93">
        <f>'[3]Пр ГП 19-20'!F110</f>
        <v>31423.599999999999</v>
      </c>
      <c r="S93">
        <f>'[3]Пр ГП 19-20'!G110</f>
        <v>0</v>
      </c>
      <c r="T93">
        <f>'[3]Пр ГП 19-20'!H110</f>
        <v>2757.1</v>
      </c>
      <c r="U93">
        <f>'[3]Пр ГП 19-20'!I110</f>
        <v>0</v>
      </c>
      <c r="V93" s="107" t="s">
        <v>664</v>
      </c>
      <c r="W93" s="107"/>
      <c r="X93" s="107"/>
    </row>
    <row r="94" spans="1:24" ht="30.75" hidden="1" customHeight="1" x14ac:dyDescent="0.25">
      <c r="A94" s="107"/>
      <c r="B94" s="107"/>
      <c r="C94">
        <v>2019</v>
      </c>
      <c r="I94" s="107"/>
      <c r="J94">
        <f t="shared" si="8"/>
        <v>0</v>
      </c>
      <c r="K94">
        <f t="shared" si="8"/>
        <v>0</v>
      </c>
      <c r="L94">
        <f t="shared" si="8"/>
        <v>0</v>
      </c>
      <c r="M94">
        <f t="shared" si="8"/>
        <v>0</v>
      </c>
      <c r="N94">
        <f t="shared" si="8"/>
        <v>0</v>
      </c>
      <c r="O94" s="107"/>
      <c r="P94">
        <v>2019</v>
      </c>
      <c r="Q94">
        <f>'[3]Пр ГП 19-20'!E111</f>
        <v>0</v>
      </c>
      <c r="R94">
        <f>'[3]Пр ГП 19-20'!F111</f>
        <v>0</v>
      </c>
      <c r="S94">
        <f>'[3]Пр ГП 19-20'!G111</f>
        <v>0</v>
      </c>
      <c r="T94">
        <f>'[3]Пр ГП 19-20'!H111</f>
        <v>0</v>
      </c>
      <c r="U94">
        <f>'[3]Пр ГП 19-20'!I111</f>
        <v>0</v>
      </c>
      <c r="V94" s="107"/>
      <c r="W94" s="107"/>
      <c r="X94" s="107"/>
    </row>
    <row r="95" spans="1:24" ht="30.75" hidden="1" customHeight="1" x14ac:dyDescent="0.25">
      <c r="A95" s="107"/>
      <c r="B95" s="107"/>
      <c r="C95">
        <v>2020</v>
      </c>
      <c r="I95" s="107"/>
      <c r="J95">
        <f t="shared" si="8"/>
        <v>34180.699999999997</v>
      </c>
      <c r="K95">
        <f t="shared" si="8"/>
        <v>31423.599999999999</v>
      </c>
      <c r="L95">
        <f t="shared" si="8"/>
        <v>0</v>
      </c>
      <c r="M95">
        <f t="shared" si="8"/>
        <v>2757.1</v>
      </c>
      <c r="N95">
        <f t="shared" si="8"/>
        <v>0</v>
      </c>
      <c r="O95" s="107"/>
      <c r="P95">
        <v>2020</v>
      </c>
      <c r="Q95">
        <f>'[3]Пр ГП 19-20'!E112</f>
        <v>34180.699999999997</v>
      </c>
      <c r="R95">
        <f>'[3]Пр ГП 19-20'!F112</f>
        <v>31423.599999999999</v>
      </c>
      <c r="S95">
        <f>'[3]Пр ГП 19-20'!G112</f>
        <v>0</v>
      </c>
      <c r="T95">
        <f>'[3]Пр ГП 19-20'!H112</f>
        <v>2757.1</v>
      </c>
      <c r="U95">
        <f>'[3]Пр ГП 19-20'!I112</f>
        <v>0</v>
      </c>
      <c r="V95" s="107"/>
      <c r="W95" s="107"/>
      <c r="X95" s="107"/>
    </row>
    <row r="96" spans="1:24" ht="30" hidden="1" customHeight="1" x14ac:dyDescent="0.25">
      <c r="A96" s="107" t="s">
        <v>665</v>
      </c>
      <c r="B96" s="107" t="s">
        <v>71</v>
      </c>
      <c r="C96" t="s">
        <v>8</v>
      </c>
      <c r="I96" s="107" t="s">
        <v>666</v>
      </c>
      <c r="J96">
        <f t="shared" si="8"/>
        <v>872992.5</v>
      </c>
      <c r="K96">
        <f t="shared" si="8"/>
        <v>858107.2</v>
      </c>
      <c r="L96">
        <f t="shared" si="8"/>
        <v>14885.3</v>
      </c>
      <c r="M96">
        <f t="shared" si="8"/>
        <v>0</v>
      </c>
      <c r="N96">
        <f t="shared" si="8"/>
        <v>0</v>
      </c>
      <c r="O96" s="107" t="s">
        <v>71</v>
      </c>
      <c r="P96" t="s">
        <v>8</v>
      </c>
      <c r="Q96">
        <f>'[3]Пр ГП 19-20'!E113</f>
        <v>872992.5</v>
      </c>
      <c r="R96">
        <f>'[3]Пр ГП 19-20'!F113</f>
        <v>858107.2</v>
      </c>
      <c r="S96">
        <f>'[3]Пр ГП 19-20'!G113</f>
        <v>14885.3</v>
      </c>
      <c r="T96">
        <f>'[3]Пр ГП 19-20'!H113</f>
        <v>0</v>
      </c>
      <c r="U96">
        <f>'[3]Пр ГП 19-20'!I113</f>
        <v>0</v>
      </c>
      <c r="V96" s="107" t="s">
        <v>667</v>
      </c>
      <c r="W96" s="107"/>
      <c r="X96" s="107"/>
    </row>
    <row r="97" spans="1:24" ht="30" hidden="1" customHeight="1" x14ac:dyDescent="0.25">
      <c r="A97" s="107"/>
      <c r="B97" s="107"/>
      <c r="C97">
        <v>2019</v>
      </c>
      <c r="I97" s="107"/>
      <c r="J97">
        <f t="shared" si="8"/>
        <v>380552</v>
      </c>
      <c r="K97">
        <f t="shared" si="8"/>
        <v>371642.4</v>
      </c>
      <c r="L97">
        <f t="shared" si="8"/>
        <v>8909.6</v>
      </c>
      <c r="M97">
        <f t="shared" si="8"/>
        <v>0</v>
      </c>
      <c r="N97">
        <f t="shared" si="8"/>
        <v>0</v>
      </c>
      <c r="O97" s="107"/>
      <c r="P97">
        <v>2019</v>
      </c>
      <c r="Q97">
        <f>'[3]Пр ГП 19-20'!E114</f>
        <v>380552</v>
      </c>
      <c r="R97">
        <f>'[3]Пр ГП 19-20'!F114</f>
        <v>371642.4</v>
      </c>
      <c r="S97">
        <f>'[3]Пр ГП 19-20'!G114</f>
        <v>8909.6</v>
      </c>
      <c r="T97">
        <f>'[3]Пр ГП 19-20'!H114</f>
        <v>0</v>
      </c>
      <c r="U97">
        <f>'[3]Пр ГП 19-20'!I114</f>
        <v>0</v>
      </c>
      <c r="V97" s="107"/>
      <c r="W97" s="107"/>
      <c r="X97" s="107"/>
    </row>
    <row r="98" spans="1:24" ht="30" hidden="1" customHeight="1" x14ac:dyDescent="0.25">
      <c r="A98" s="107"/>
      <c r="B98" s="107"/>
      <c r="C98">
        <v>2020</v>
      </c>
      <c r="I98" s="107"/>
      <c r="J98">
        <f t="shared" si="8"/>
        <v>492440.5</v>
      </c>
      <c r="K98">
        <f t="shared" si="8"/>
        <v>486464.8</v>
      </c>
      <c r="L98">
        <f t="shared" si="8"/>
        <v>5975.7</v>
      </c>
      <c r="M98">
        <f t="shared" si="8"/>
        <v>0</v>
      </c>
      <c r="N98">
        <f t="shared" si="8"/>
        <v>0</v>
      </c>
      <c r="O98" s="107"/>
      <c r="P98">
        <v>2020</v>
      </c>
      <c r="Q98">
        <f>'[3]Пр ГП 19-20'!E115</f>
        <v>492440.5</v>
      </c>
      <c r="R98">
        <f>'[3]Пр ГП 19-20'!F115</f>
        <v>486464.8</v>
      </c>
      <c r="S98">
        <f>'[3]Пр ГП 19-20'!G115</f>
        <v>5975.7</v>
      </c>
      <c r="T98">
        <f>'[3]Пр ГП 19-20'!H115</f>
        <v>0</v>
      </c>
      <c r="U98">
        <f>'[3]Пр ГП 19-20'!I115</f>
        <v>0</v>
      </c>
      <c r="V98" s="107"/>
      <c r="W98" s="107"/>
      <c r="X98" s="107"/>
    </row>
    <row r="99" spans="1:24" ht="22.5" hidden="1" customHeight="1" x14ac:dyDescent="0.25">
      <c r="A99" s="107" t="s">
        <v>668</v>
      </c>
      <c r="B99" s="107" t="s">
        <v>642</v>
      </c>
      <c r="C99" t="s">
        <v>8</v>
      </c>
      <c r="I99" s="107"/>
      <c r="J99">
        <f t="shared" si="8"/>
        <v>8000</v>
      </c>
      <c r="K99">
        <f t="shared" si="8"/>
        <v>8000</v>
      </c>
      <c r="L99">
        <f t="shared" si="8"/>
        <v>0</v>
      </c>
      <c r="M99">
        <f t="shared" si="8"/>
        <v>0</v>
      </c>
      <c r="N99">
        <f t="shared" si="8"/>
        <v>0</v>
      </c>
      <c r="O99" s="107" t="s">
        <v>669</v>
      </c>
      <c r="P99" t="s">
        <v>8</v>
      </c>
      <c r="Q99">
        <f>'[3]Пр ГП 19-20'!E116</f>
        <v>8000</v>
      </c>
      <c r="R99">
        <f>'[3]Пр ГП 19-20'!F116</f>
        <v>8000</v>
      </c>
      <c r="S99">
        <f>'[3]Пр ГП 19-20'!G116</f>
        <v>0</v>
      </c>
      <c r="T99">
        <f>'[3]Пр ГП 19-20'!H116</f>
        <v>0</v>
      </c>
      <c r="U99">
        <f>'[3]Пр ГП 19-20'!I116</f>
        <v>0</v>
      </c>
      <c r="V99" s="107" t="s">
        <v>670</v>
      </c>
      <c r="W99" s="107"/>
      <c r="X99" s="107"/>
    </row>
    <row r="100" spans="1:24" ht="17.25" hidden="1" customHeight="1" x14ac:dyDescent="0.25">
      <c r="A100" s="107"/>
      <c r="B100" s="107"/>
      <c r="C100">
        <v>2019</v>
      </c>
      <c r="I100" s="107"/>
      <c r="J100">
        <f t="shared" si="8"/>
        <v>0</v>
      </c>
      <c r="K100">
        <f t="shared" si="8"/>
        <v>0</v>
      </c>
      <c r="L100">
        <f t="shared" si="8"/>
        <v>0</v>
      </c>
      <c r="M100">
        <f t="shared" si="8"/>
        <v>0</v>
      </c>
      <c r="N100">
        <f t="shared" si="8"/>
        <v>0</v>
      </c>
      <c r="O100" s="107"/>
      <c r="P100">
        <v>2019</v>
      </c>
      <c r="Q100">
        <f>'[3]Пр ГП 19-20'!E117</f>
        <v>0</v>
      </c>
      <c r="R100">
        <f>'[3]Пр ГП 19-20'!F117</f>
        <v>0</v>
      </c>
      <c r="S100">
        <f>'[3]Пр ГП 19-20'!G117</f>
        <v>0</v>
      </c>
      <c r="T100">
        <f>'[3]Пр ГП 19-20'!H117</f>
        <v>0</v>
      </c>
      <c r="U100">
        <f>'[3]Пр ГП 19-20'!I117</f>
        <v>0</v>
      </c>
      <c r="V100" s="107"/>
      <c r="W100" s="107"/>
      <c r="X100" s="107"/>
    </row>
    <row r="101" spans="1:24" ht="18" hidden="1" customHeight="1" x14ac:dyDescent="0.25">
      <c r="A101" s="107"/>
      <c r="B101" s="107"/>
      <c r="C101">
        <v>2020</v>
      </c>
      <c r="I101" s="107"/>
      <c r="J101">
        <f t="shared" si="8"/>
        <v>8000</v>
      </c>
      <c r="K101">
        <f t="shared" si="8"/>
        <v>8000</v>
      </c>
      <c r="L101">
        <f t="shared" si="8"/>
        <v>0</v>
      </c>
      <c r="M101">
        <f t="shared" si="8"/>
        <v>0</v>
      </c>
      <c r="N101">
        <f t="shared" si="8"/>
        <v>0</v>
      </c>
      <c r="O101" s="107"/>
      <c r="P101">
        <v>2020</v>
      </c>
      <c r="Q101">
        <f>'[3]Пр ГП 19-20'!E118</f>
        <v>8000</v>
      </c>
      <c r="R101">
        <f>'[3]Пр ГП 19-20'!F118</f>
        <v>8000</v>
      </c>
      <c r="S101">
        <f>'[3]Пр ГП 19-20'!G118</f>
        <v>0</v>
      </c>
      <c r="T101">
        <f>'[3]Пр ГП 19-20'!H118</f>
        <v>0</v>
      </c>
      <c r="U101">
        <f>'[3]Пр ГП 19-20'!I118</f>
        <v>0</v>
      </c>
      <c r="V101" s="107"/>
      <c r="W101" s="107"/>
      <c r="X101" s="107"/>
    </row>
    <row r="102" spans="1:24" ht="19.5" customHeight="1" x14ac:dyDescent="0.25">
      <c r="A102" s="107" t="s">
        <v>671</v>
      </c>
      <c r="B102" s="107" t="s">
        <v>94</v>
      </c>
      <c r="C102" t="s">
        <v>8</v>
      </c>
      <c r="D102">
        <v>1224158</v>
      </c>
      <c r="E102">
        <f>'План реализации _ 10'!F223</f>
        <v>651087.55233000009</v>
      </c>
      <c r="F102">
        <f>'План реализации _ 10'!G223</f>
        <v>502391</v>
      </c>
      <c r="G102">
        <v>70679.399999999994</v>
      </c>
      <c r="H102">
        <f>'План реализации _ 10'!I223</f>
        <v>0</v>
      </c>
      <c r="I102" s="107"/>
      <c r="J102">
        <f t="shared" ref="J102:J105" si="13">K102+M102</f>
        <v>15056.600000000046</v>
      </c>
      <c r="K102">
        <f t="shared" si="8"/>
        <v>14303.800000000047</v>
      </c>
      <c r="L102">
        <f t="shared" si="8"/>
        <v>0</v>
      </c>
      <c r="M102">
        <v>752.8</v>
      </c>
      <c r="N102">
        <f t="shared" si="8"/>
        <v>0</v>
      </c>
      <c r="O102" s="107" t="s">
        <v>94</v>
      </c>
      <c r="P102" t="s">
        <v>8</v>
      </c>
      <c r="Q102">
        <v>1239214.6000000001</v>
      </c>
      <c r="R102">
        <f>'План реализации _ 11'!F229</f>
        <v>665391.35233000014</v>
      </c>
      <c r="S102">
        <f>'План реализации _ 11'!G229</f>
        <v>502391</v>
      </c>
      <c r="T102">
        <v>71432.2</v>
      </c>
      <c r="U102">
        <f>'План реализации _ 11'!I229</f>
        <v>0</v>
      </c>
      <c r="V102" s="107"/>
      <c r="W102" s="107"/>
    </row>
    <row r="103" spans="1:24" ht="19.5" customHeight="1" x14ac:dyDescent="0.25">
      <c r="A103" s="107"/>
      <c r="B103" s="107"/>
      <c r="C103">
        <v>2021</v>
      </c>
      <c r="D103">
        <v>525065.69999999995</v>
      </c>
      <c r="E103">
        <f>'План реализации _ 10'!F224</f>
        <v>238595.71540000002</v>
      </c>
      <c r="F103">
        <f>'План реализации _ 10'!G224</f>
        <v>257488.7</v>
      </c>
      <c r="G103">
        <v>28981.3</v>
      </c>
      <c r="H103">
        <f>'План реализации _ 10'!I224</f>
        <v>0</v>
      </c>
      <c r="I103" s="107"/>
      <c r="J103">
        <f t="shared" si="13"/>
        <v>15056.599999999988</v>
      </c>
      <c r="K103">
        <f t="shared" si="8"/>
        <v>14303.799999999988</v>
      </c>
      <c r="L103">
        <f t="shared" si="8"/>
        <v>0</v>
      </c>
      <c r="M103">
        <v>752.8</v>
      </c>
      <c r="N103">
        <f t="shared" si="8"/>
        <v>0</v>
      </c>
      <c r="O103" s="107"/>
      <c r="P103">
        <v>2021</v>
      </c>
      <c r="Q103">
        <v>540122.30000000005</v>
      </c>
      <c r="R103">
        <f>'План реализации _ 11'!F230</f>
        <v>252899.5154</v>
      </c>
      <c r="S103">
        <f>'План реализации _ 11'!G230</f>
        <v>257488.7</v>
      </c>
      <c r="T103">
        <v>29734.1</v>
      </c>
      <c r="U103">
        <f>'План реализации _ 11'!I230</f>
        <v>0</v>
      </c>
      <c r="V103" s="107"/>
      <c r="W103" s="107"/>
    </row>
    <row r="104" spans="1:24" ht="27.75" customHeight="1" x14ac:dyDescent="0.25">
      <c r="A104" s="107" t="s">
        <v>672</v>
      </c>
      <c r="B104" s="107" t="s">
        <v>105</v>
      </c>
      <c r="C104" t="s">
        <v>8</v>
      </c>
      <c r="D104">
        <v>201925.2</v>
      </c>
      <c r="E104">
        <f>'План реализации _ 10'!F276</f>
        <v>187090.46288000001</v>
      </c>
      <c r="F104">
        <f>'План реализации _ 10'!G276</f>
        <v>0</v>
      </c>
      <c r="G104">
        <v>14834.7</v>
      </c>
      <c r="H104">
        <f>'План реализации _ 10'!I276</f>
        <v>0</v>
      </c>
      <c r="I104" s="107" t="s">
        <v>106</v>
      </c>
      <c r="J104">
        <f t="shared" si="13"/>
        <v>15056.599999999988</v>
      </c>
      <c r="K104">
        <f t="shared" ref="J104:N114" si="14">R104-E104</f>
        <v>14303.799999999988</v>
      </c>
      <c r="L104">
        <f t="shared" si="14"/>
        <v>0</v>
      </c>
      <c r="M104">
        <v>752.8</v>
      </c>
      <c r="N104">
        <f t="shared" si="14"/>
        <v>0</v>
      </c>
      <c r="O104" s="107" t="s">
        <v>105</v>
      </c>
      <c r="P104" t="s">
        <v>8</v>
      </c>
      <c r="Q104">
        <v>216981.8</v>
      </c>
      <c r="R104">
        <f>'План реализации _ 11'!F282</f>
        <v>201394.26287999999</v>
      </c>
      <c r="S104">
        <f>'План реализации _ 11'!G282</f>
        <v>0</v>
      </c>
      <c r="T104">
        <v>15587.5</v>
      </c>
      <c r="U104">
        <f>'План реализации _ 11'!I282</f>
        <v>0</v>
      </c>
      <c r="V104" s="107" t="s">
        <v>106</v>
      </c>
      <c r="W104" s="107"/>
    </row>
    <row r="105" spans="1:24" ht="27" customHeight="1" x14ac:dyDescent="0.25">
      <c r="A105" s="107"/>
      <c r="B105" s="107"/>
      <c r="C105">
        <v>2021</v>
      </c>
      <c r="D105">
        <v>177925.2</v>
      </c>
      <c r="E105">
        <f>'План реализации _ 10'!F277</f>
        <v>163090.46288000001</v>
      </c>
      <c r="F105">
        <f>'План реализации _ 10'!G277</f>
        <v>0</v>
      </c>
      <c r="G105">
        <v>14834.7</v>
      </c>
      <c r="H105">
        <f>'План реализации _ 10'!I277</f>
        <v>0</v>
      </c>
      <c r="I105" s="107"/>
      <c r="J105">
        <f t="shared" si="13"/>
        <v>15056.631578947357</v>
      </c>
      <c r="K105">
        <f t="shared" si="14"/>
        <v>14303.799999999988</v>
      </c>
      <c r="L105">
        <f t="shared" si="14"/>
        <v>0</v>
      </c>
      <c r="M105">
        <f>M110</f>
        <v>752.83157894736837</v>
      </c>
      <c r="N105">
        <f t="shared" si="14"/>
        <v>0</v>
      </c>
      <c r="O105" s="107"/>
      <c r="P105">
        <v>2021</v>
      </c>
      <c r="Q105">
        <v>192981.8</v>
      </c>
      <c r="R105">
        <f>'План реализации _ 11'!F283</f>
        <v>177394.26287999999</v>
      </c>
      <c r="S105">
        <f>'План реализации _ 11'!G283</f>
        <v>0</v>
      </c>
      <c r="T105">
        <v>15587.5</v>
      </c>
      <c r="U105">
        <f>'План реализации _ 11'!I283</f>
        <v>0</v>
      </c>
      <c r="V105" s="107"/>
      <c r="W105" s="107"/>
    </row>
    <row r="106" spans="1:24" ht="39" hidden="1" customHeight="1" x14ac:dyDescent="0.25">
      <c r="A106" s="107" t="s">
        <v>568</v>
      </c>
      <c r="B106" s="107" t="s">
        <v>569</v>
      </c>
      <c r="C106" t="s">
        <v>8</v>
      </c>
      <c r="I106" s="107" t="s">
        <v>570</v>
      </c>
      <c r="J106" t="e">
        <f t="shared" si="14"/>
        <v>#REF!</v>
      </c>
      <c r="K106" t="e">
        <f t="shared" si="14"/>
        <v>#REF!</v>
      </c>
      <c r="L106" t="e">
        <f t="shared" si="14"/>
        <v>#REF!</v>
      </c>
      <c r="M106" t="e">
        <f t="shared" si="14"/>
        <v>#REF!</v>
      </c>
      <c r="N106" t="e">
        <f t="shared" si="14"/>
        <v>#REF!</v>
      </c>
      <c r="O106" s="107" t="s">
        <v>569</v>
      </c>
      <c r="P106" t="s">
        <v>8</v>
      </c>
      <c r="Q106" t="e">
        <f>#REF!</f>
        <v>#REF!</v>
      </c>
      <c r="R106" t="e">
        <f>#REF!</f>
        <v>#REF!</v>
      </c>
      <c r="S106" t="e">
        <f>#REF!</f>
        <v>#REF!</v>
      </c>
      <c r="T106" t="e">
        <f>#REF!</f>
        <v>#REF!</v>
      </c>
      <c r="U106" t="e">
        <f>#REF!</f>
        <v>#REF!</v>
      </c>
      <c r="V106" s="107" t="s">
        <v>570</v>
      </c>
      <c r="W106" s="107" t="s">
        <v>640</v>
      </c>
    </row>
    <row r="107" spans="1:24" ht="36" hidden="1" customHeight="1" x14ac:dyDescent="0.25">
      <c r="A107" s="107"/>
      <c r="B107" s="107"/>
      <c r="C107">
        <v>2021</v>
      </c>
      <c r="I107" s="107"/>
      <c r="J107" t="e">
        <f t="shared" si="14"/>
        <v>#REF!</v>
      </c>
      <c r="K107" t="e">
        <f t="shared" si="14"/>
        <v>#REF!</v>
      </c>
      <c r="L107" t="e">
        <f t="shared" si="14"/>
        <v>#REF!</v>
      </c>
      <c r="M107" t="e">
        <f t="shared" si="14"/>
        <v>#REF!</v>
      </c>
      <c r="N107" t="e">
        <f t="shared" si="14"/>
        <v>#REF!</v>
      </c>
      <c r="O107" s="107"/>
      <c r="P107">
        <v>2021</v>
      </c>
      <c r="Q107" t="e">
        <f>#REF!</f>
        <v>#REF!</v>
      </c>
      <c r="R107" t="e">
        <f>#REF!</f>
        <v>#REF!</v>
      </c>
      <c r="S107" t="e">
        <f>#REF!</f>
        <v>#REF!</v>
      </c>
      <c r="T107" t="e">
        <f>#REF!</f>
        <v>#REF!</v>
      </c>
      <c r="U107" t="e">
        <f>#REF!</f>
        <v>#REF!</v>
      </c>
      <c r="V107" s="107"/>
      <c r="W107" s="107"/>
    </row>
    <row r="108" spans="1:24" ht="33" hidden="1" customHeight="1" x14ac:dyDescent="0.25">
      <c r="A108" s="107" t="s">
        <v>571</v>
      </c>
      <c r="B108" s="107" t="s">
        <v>642</v>
      </c>
      <c r="C108" t="s">
        <v>8</v>
      </c>
      <c r="I108" s="107"/>
      <c r="J108" t="e">
        <f t="shared" si="14"/>
        <v>#REF!</v>
      </c>
      <c r="K108" t="e">
        <f t="shared" si="14"/>
        <v>#REF!</v>
      </c>
      <c r="L108" t="e">
        <f t="shared" si="14"/>
        <v>#REF!</v>
      </c>
      <c r="M108" t="e">
        <f t="shared" si="14"/>
        <v>#REF!</v>
      </c>
      <c r="N108" t="e">
        <f t="shared" si="14"/>
        <v>#REF!</v>
      </c>
      <c r="O108" s="107" t="s">
        <v>572</v>
      </c>
      <c r="P108" t="s">
        <v>8</v>
      </c>
      <c r="Q108" t="e">
        <f>#REF!</f>
        <v>#REF!</v>
      </c>
      <c r="R108" t="e">
        <f>#REF!</f>
        <v>#REF!</v>
      </c>
      <c r="S108" t="e">
        <f>#REF!</f>
        <v>#REF!</v>
      </c>
      <c r="T108" t="e">
        <f>#REF!</f>
        <v>#REF!</v>
      </c>
      <c r="U108" t="e">
        <f>#REF!</f>
        <v>#REF!</v>
      </c>
      <c r="V108" s="107" t="s">
        <v>573</v>
      </c>
      <c r="W108" s="107" t="s">
        <v>673</v>
      </c>
    </row>
    <row r="109" spans="1:24" ht="27" hidden="1" customHeight="1" x14ac:dyDescent="0.25">
      <c r="A109" s="107"/>
      <c r="B109" s="107"/>
      <c r="C109">
        <v>2021</v>
      </c>
      <c r="I109" s="107"/>
      <c r="J109" t="e">
        <f t="shared" si="14"/>
        <v>#REF!</v>
      </c>
      <c r="K109" t="e">
        <f t="shared" si="14"/>
        <v>#REF!</v>
      </c>
      <c r="L109" t="e">
        <f t="shared" si="14"/>
        <v>#REF!</v>
      </c>
      <c r="M109" t="e">
        <f t="shared" si="14"/>
        <v>#REF!</v>
      </c>
      <c r="N109" t="e">
        <f t="shared" si="14"/>
        <v>#REF!</v>
      </c>
      <c r="O109" s="107"/>
      <c r="P109">
        <v>2021</v>
      </c>
      <c r="Q109" t="e">
        <f>#REF!</f>
        <v>#REF!</v>
      </c>
      <c r="R109" t="e">
        <f>#REF!</f>
        <v>#REF!</v>
      </c>
      <c r="S109" t="e">
        <f>#REF!</f>
        <v>#REF!</v>
      </c>
      <c r="T109" t="e">
        <f>#REF!</f>
        <v>#REF!</v>
      </c>
      <c r="U109" t="e">
        <f>#REF!</f>
        <v>#REF!</v>
      </c>
      <c r="V109" s="107"/>
      <c r="W109" s="107"/>
    </row>
    <row r="110" spans="1:24" ht="26.25" customHeight="1" x14ac:dyDescent="0.25">
      <c r="A110" s="107" t="s">
        <v>612</v>
      </c>
      <c r="B110" s="107" t="s">
        <v>642</v>
      </c>
      <c r="C110" t="s">
        <v>8</v>
      </c>
      <c r="D110">
        <v>0</v>
      </c>
      <c r="E110">
        <v>0</v>
      </c>
      <c r="F110">
        <v>0</v>
      </c>
      <c r="G110">
        <v>0</v>
      </c>
      <c r="H110">
        <v>0</v>
      </c>
      <c r="I110" s="107"/>
      <c r="J110">
        <f>K110+M110</f>
        <v>15056.631578947368</v>
      </c>
      <c r="K110">
        <f t="shared" si="14"/>
        <v>14303.8</v>
      </c>
      <c r="L110">
        <f t="shared" si="14"/>
        <v>0</v>
      </c>
      <c r="M110">
        <f t="shared" ref="M110:M114" si="15">T110-G110</f>
        <v>752.83157894736837</v>
      </c>
      <c r="N110">
        <f t="shared" si="14"/>
        <v>0</v>
      </c>
      <c r="O110" s="107" t="s">
        <v>613</v>
      </c>
      <c r="P110" t="s">
        <v>8</v>
      </c>
      <c r="Q110">
        <f>'План реализации _ 11'!E372</f>
        <v>15056.631578947368</v>
      </c>
      <c r="R110">
        <f>'План реализации _ 11'!F372</f>
        <v>14303.8</v>
      </c>
      <c r="S110">
        <f>'План реализации _ 11'!G372</f>
        <v>0</v>
      </c>
      <c r="T110">
        <f>'План реализации _ 11'!H372</f>
        <v>752.83157894736837</v>
      </c>
      <c r="U110">
        <f>'План реализации _ 11'!I372</f>
        <v>0</v>
      </c>
      <c r="V110" s="107"/>
      <c r="W110" s="107" t="s">
        <v>674</v>
      </c>
    </row>
    <row r="111" spans="1:24" ht="26.25" customHeight="1" x14ac:dyDescent="0.25">
      <c r="A111" s="107"/>
      <c r="B111" s="107"/>
      <c r="C111">
        <v>2021</v>
      </c>
      <c r="D111">
        <v>0</v>
      </c>
      <c r="E111">
        <v>0</v>
      </c>
      <c r="F111">
        <v>0</v>
      </c>
      <c r="G111">
        <v>0</v>
      </c>
      <c r="H111">
        <v>0</v>
      </c>
      <c r="I111" s="107"/>
      <c r="J111">
        <f t="shared" si="14"/>
        <v>15056.631578947368</v>
      </c>
      <c r="K111">
        <f t="shared" si="14"/>
        <v>14303.8</v>
      </c>
      <c r="L111">
        <f t="shared" si="14"/>
        <v>0</v>
      </c>
      <c r="M111">
        <f t="shared" si="15"/>
        <v>752.83157894736837</v>
      </c>
      <c r="N111">
        <f t="shared" si="14"/>
        <v>0</v>
      </c>
      <c r="O111" s="107"/>
      <c r="P111">
        <v>2021</v>
      </c>
      <c r="Q111">
        <f>'План реализации _ 11'!E373</f>
        <v>15056.631578947368</v>
      </c>
      <c r="R111">
        <f>'План реализации _ 11'!F373</f>
        <v>14303.8</v>
      </c>
      <c r="S111">
        <f>'План реализации _ 11'!G373</f>
        <v>0</v>
      </c>
      <c r="T111">
        <f>'План реализации _ 11'!H373</f>
        <v>752.83157894736837</v>
      </c>
      <c r="U111">
        <f>'План реализации _ 11'!I373</f>
        <v>0</v>
      </c>
      <c r="V111" s="107"/>
      <c r="W111" s="107"/>
    </row>
    <row r="112" spans="1:24" ht="26.25" customHeight="1" x14ac:dyDescent="0.25">
      <c r="A112" s="107"/>
      <c r="B112" s="107"/>
      <c r="C112">
        <v>2022</v>
      </c>
      <c r="D112">
        <v>0</v>
      </c>
      <c r="E112">
        <v>0</v>
      </c>
      <c r="F112">
        <v>0</v>
      </c>
      <c r="G112">
        <v>0</v>
      </c>
      <c r="H112">
        <v>0</v>
      </c>
      <c r="I112" s="107"/>
      <c r="J112">
        <f t="shared" si="14"/>
        <v>0</v>
      </c>
      <c r="K112">
        <f t="shared" si="14"/>
        <v>0</v>
      </c>
      <c r="L112">
        <f t="shared" si="14"/>
        <v>0</v>
      </c>
      <c r="M112">
        <f t="shared" si="15"/>
        <v>0</v>
      </c>
      <c r="N112">
        <f t="shared" si="14"/>
        <v>0</v>
      </c>
      <c r="O112" s="107"/>
      <c r="P112">
        <v>2022</v>
      </c>
      <c r="Q112">
        <f>'План реализации _ 11'!E374</f>
        <v>0</v>
      </c>
      <c r="R112">
        <f>'План реализации _ 11'!F374</f>
        <v>0</v>
      </c>
      <c r="S112">
        <f>'План реализации _ 11'!G374</f>
        <v>0</v>
      </c>
      <c r="T112">
        <f>'План реализации _ 11'!H374</f>
        <v>0</v>
      </c>
      <c r="U112">
        <f>'План реализации _ 11'!I374</f>
        <v>0</v>
      </c>
      <c r="V112" s="107"/>
      <c r="W112" s="107"/>
    </row>
    <row r="113" spans="1:23" ht="26.25" customHeight="1" x14ac:dyDescent="0.25">
      <c r="A113" s="107"/>
      <c r="B113" s="107"/>
      <c r="C113">
        <v>2023</v>
      </c>
      <c r="D113">
        <v>0</v>
      </c>
      <c r="E113">
        <v>0</v>
      </c>
      <c r="F113">
        <v>0</v>
      </c>
      <c r="G113">
        <v>0</v>
      </c>
      <c r="H113">
        <v>0</v>
      </c>
      <c r="I113" s="107"/>
      <c r="J113">
        <f t="shared" si="14"/>
        <v>0</v>
      </c>
      <c r="K113">
        <f t="shared" si="14"/>
        <v>0</v>
      </c>
      <c r="L113">
        <f t="shared" si="14"/>
        <v>0</v>
      </c>
      <c r="M113">
        <f t="shared" si="15"/>
        <v>0</v>
      </c>
      <c r="N113">
        <f t="shared" si="14"/>
        <v>0</v>
      </c>
      <c r="O113" s="107"/>
      <c r="P113">
        <v>2023</v>
      </c>
      <c r="Q113">
        <f>'План реализации _ 11'!E375</f>
        <v>0</v>
      </c>
      <c r="R113">
        <f>'План реализации _ 11'!F375</f>
        <v>0</v>
      </c>
      <c r="S113">
        <f>'План реализации _ 11'!G375</f>
        <v>0</v>
      </c>
      <c r="T113">
        <f>'План реализации _ 11'!H375</f>
        <v>0</v>
      </c>
      <c r="U113">
        <f>'План реализации _ 11'!I375</f>
        <v>0</v>
      </c>
      <c r="V113" s="107"/>
      <c r="W113" s="107"/>
    </row>
    <row r="114" spans="1:23" ht="26.25" customHeight="1" x14ac:dyDescent="0.25">
      <c r="A114" s="107"/>
      <c r="B114" s="107"/>
      <c r="C114">
        <v>2024</v>
      </c>
      <c r="D114">
        <v>0</v>
      </c>
      <c r="E114">
        <v>0</v>
      </c>
      <c r="F114">
        <v>0</v>
      </c>
      <c r="G114">
        <v>0</v>
      </c>
      <c r="H114">
        <v>0</v>
      </c>
      <c r="I114" s="107"/>
      <c r="J114">
        <f t="shared" si="14"/>
        <v>0</v>
      </c>
      <c r="K114">
        <f t="shared" si="14"/>
        <v>0</v>
      </c>
      <c r="L114">
        <f t="shared" si="14"/>
        <v>0</v>
      </c>
      <c r="M114">
        <f t="shared" si="15"/>
        <v>0</v>
      </c>
      <c r="N114">
        <f t="shared" si="14"/>
        <v>0</v>
      </c>
      <c r="O114" s="107"/>
      <c r="P114">
        <v>2024</v>
      </c>
      <c r="Q114">
        <f>'План реализации _ 11'!E376</f>
        <v>0</v>
      </c>
      <c r="R114">
        <f>'План реализации _ 11'!F376</f>
        <v>0</v>
      </c>
      <c r="S114">
        <f>'План реализации _ 11'!G376</f>
        <v>0</v>
      </c>
      <c r="T114">
        <f>'План реализации _ 11'!H376</f>
        <v>0</v>
      </c>
      <c r="U114">
        <f>'План реализации _ 11'!I376</f>
        <v>0</v>
      </c>
      <c r="V114" s="107"/>
      <c r="W114" s="107"/>
    </row>
    <row r="115" spans="1:23" ht="26.25" hidden="1" customHeight="1" x14ac:dyDescent="0.25">
      <c r="A115" s="107" t="s">
        <v>675</v>
      </c>
      <c r="B115" s="107" t="s">
        <v>40</v>
      </c>
      <c r="C115" t="s">
        <v>8</v>
      </c>
      <c r="I115" s="107" t="s">
        <v>676</v>
      </c>
      <c r="J115">
        <f t="shared" ref="J115:N171" si="16">Q115-D115</f>
        <v>1574730.5</v>
      </c>
      <c r="K115">
        <f t="shared" si="16"/>
        <v>566358</v>
      </c>
      <c r="L115">
        <f t="shared" si="16"/>
        <v>822432.8</v>
      </c>
      <c r="M115">
        <f t="shared" si="16"/>
        <v>149939.70000000001</v>
      </c>
      <c r="N115">
        <f t="shared" si="16"/>
        <v>36000</v>
      </c>
      <c r="O115" s="107" t="s">
        <v>40</v>
      </c>
      <c r="P115" t="s">
        <v>8</v>
      </c>
      <c r="Q115">
        <f>'[3]Пр ГП 19-20'!E233</f>
        <v>1574730.5</v>
      </c>
      <c r="R115">
        <f>'[3]Пр ГП 19-20'!F233</f>
        <v>566358</v>
      </c>
      <c r="S115">
        <f>'[3]Пр ГП 19-20'!G233</f>
        <v>822432.8</v>
      </c>
      <c r="T115">
        <f>'[3]Пр ГП 19-20'!H233</f>
        <v>149939.70000000001</v>
      </c>
      <c r="U115">
        <f>'[3]Пр ГП 19-20'!I233</f>
        <v>36000</v>
      </c>
      <c r="V115" s="107" t="s">
        <v>676</v>
      </c>
      <c r="W115" s="107"/>
    </row>
    <row r="116" spans="1:23" ht="26.25" hidden="1" customHeight="1" x14ac:dyDescent="0.25">
      <c r="A116" s="107"/>
      <c r="B116" s="107"/>
      <c r="C116">
        <v>2021</v>
      </c>
      <c r="I116" s="107"/>
      <c r="J116">
        <f t="shared" si="16"/>
        <v>609120.5</v>
      </c>
      <c r="K116">
        <f t="shared" si="16"/>
        <v>201683.10000000003</v>
      </c>
      <c r="L116">
        <f t="shared" si="16"/>
        <v>312087.3</v>
      </c>
      <c r="M116">
        <f t="shared" si="16"/>
        <v>67050.100000000006</v>
      </c>
      <c r="N116">
        <f t="shared" si="16"/>
        <v>28300</v>
      </c>
      <c r="O116" s="107"/>
      <c r="P116">
        <v>2019</v>
      </c>
      <c r="Q116">
        <f>'[3]Пр ГП 19-20'!E234</f>
        <v>609120.5</v>
      </c>
      <c r="R116">
        <f>'[3]Пр ГП 19-20'!F234</f>
        <v>201683.10000000003</v>
      </c>
      <c r="S116">
        <f>'[3]Пр ГП 19-20'!G234</f>
        <v>312087.3</v>
      </c>
      <c r="T116">
        <f>'[3]Пр ГП 19-20'!H234</f>
        <v>67050.100000000006</v>
      </c>
      <c r="U116">
        <f>'[3]Пр ГП 19-20'!I234</f>
        <v>28300</v>
      </c>
      <c r="V116" s="107"/>
      <c r="W116" s="107"/>
    </row>
    <row r="117" spans="1:23" ht="26.25" hidden="1" customHeight="1" x14ac:dyDescent="0.25">
      <c r="A117" s="107" t="s">
        <v>677</v>
      </c>
      <c r="B117" s="107" t="s">
        <v>678</v>
      </c>
      <c r="C117" t="s">
        <v>8</v>
      </c>
      <c r="I117" s="107" t="s">
        <v>679</v>
      </c>
      <c r="J117">
        <f t="shared" si="16"/>
        <v>401380.4</v>
      </c>
      <c r="K117">
        <f t="shared" si="16"/>
        <v>178341.40000000002</v>
      </c>
      <c r="L117">
        <f t="shared" si="16"/>
        <v>223039</v>
      </c>
      <c r="M117">
        <f t="shared" si="16"/>
        <v>0</v>
      </c>
      <c r="N117">
        <f t="shared" si="16"/>
        <v>0</v>
      </c>
      <c r="O117" s="107" t="s">
        <v>678</v>
      </c>
      <c r="P117" t="s">
        <v>8</v>
      </c>
      <c r="Q117">
        <f>'[3]Пр ГП 19-20'!E242</f>
        <v>401380.4</v>
      </c>
      <c r="R117">
        <f>'[3]Пр ГП 19-20'!F242</f>
        <v>178341.40000000002</v>
      </c>
      <c r="S117">
        <f>'[3]Пр ГП 19-20'!G242</f>
        <v>223039</v>
      </c>
      <c r="T117">
        <f>'[3]Пр ГП 19-20'!H242</f>
        <v>0</v>
      </c>
      <c r="U117">
        <f>'[3]Пр ГП 19-20'!I242</f>
        <v>0</v>
      </c>
      <c r="V117" s="107" t="s">
        <v>679</v>
      </c>
      <c r="W117" s="107" t="s">
        <v>680</v>
      </c>
    </row>
    <row r="118" spans="1:23" ht="26.25" hidden="1" customHeight="1" x14ac:dyDescent="0.25">
      <c r="A118" s="107"/>
      <c r="B118" s="107"/>
      <c r="C118">
        <v>2019</v>
      </c>
      <c r="I118" s="107"/>
      <c r="J118">
        <f t="shared" si="16"/>
        <v>88528.6</v>
      </c>
      <c r="K118">
        <f t="shared" si="16"/>
        <v>68528.600000000006</v>
      </c>
      <c r="L118">
        <f t="shared" si="16"/>
        <v>20000</v>
      </c>
      <c r="M118">
        <f t="shared" si="16"/>
        <v>0</v>
      </c>
      <c r="N118">
        <f t="shared" si="16"/>
        <v>0</v>
      </c>
      <c r="O118" s="107"/>
      <c r="P118">
        <v>2019</v>
      </c>
      <c r="Q118">
        <f>'[3]Пр ГП 19-20'!E243</f>
        <v>88528.6</v>
      </c>
      <c r="R118">
        <f>'[3]Пр ГП 19-20'!F243</f>
        <v>68528.600000000006</v>
      </c>
      <c r="S118">
        <f>'[3]Пр ГП 19-20'!G243</f>
        <v>20000</v>
      </c>
      <c r="T118">
        <f>'[3]Пр ГП 19-20'!H243</f>
        <v>0</v>
      </c>
      <c r="U118">
        <f>'[3]Пр ГП 19-20'!I243</f>
        <v>0</v>
      </c>
      <c r="V118" s="107"/>
      <c r="W118" s="107"/>
    </row>
    <row r="119" spans="1:23" ht="4.5" hidden="1" customHeight="1" x14ac:dyDescent="0.25">
      <c r="A119" s="107"/>
      <c r="B119" s="107"/>
      <c r="C119">
        <v>2020</v>
      </c>
      <c r="I119" s="107"/>
      <c r="J119">
        <f t="shared" si="16"/>
        <v>312851.8</v>
      </c>
      <c r="K119">
        <f t="shared" si="16"/>
        <v>109812.8</v>
      </c>
      <c r="L119">
        <f t="shared" si="16"/>
        <v>203039</v>
      </c>
      <c r="M119">
        <f t="shared" si="16"/>
        <v>0</v>
      </c>
      <c r="N119">
        <f t="shared" si="16"/>
        <v>0</v>
      </c>
      <c r="O119" s="107"/>
      <c r="P119">
        <v>2020</v>
      </c>
      <c r="Q119">
        <f>'[3]Пр ГП 19-20'!E244</f>
        <v>312851.8</v>
      </c>
      <c r="R119">
        <f>'[3]Пр ГП 19-20'!F244</f>
        <v>109812.8</v>
      </c>
      <c r="S119">
        <f>'[3]Пр ГП 19-20'!G244</f>
        <v>203039</v>
      </c>
      <c r="T119">
        <f>'[3]Пр ГП 19-20'!H244</f>
        <v>0</v>
      </c>
      <c r="U119">
        <f>'[3]Пр ГП 19-20'!I244</f>
        <v>0</v>
      </c>
      <c r="V119" s="107"/>
      <c r="W119" s="107"/>
    </row>
    <row r="120" spans="1:23" ht="26.25" hidden="1" customHeight="1" x14ac:dyDescent="0.25">
      <c r="A120" s="107" t="s">
        <v>681</v>
      </c>
      <c r="B120" s="107" t="s">
        <v>682</v>
      </c>
      <c r="C120" t="s">
        <v>8</v>
      </c>
      <c r="I120" s="107" t="s">
        <v>683</v>
      </c>
      <c r="J120">
        <f t="shared" si="16"/>
        <v>9265.2000000000007</v>
      </c>
      <c r="K120">
        <f t="shared" si="16"/>
        <v>2686.9</v>
      </c>
      <c r="L120">
        <f t="shared" si="16"/>
        <v>6578.3</v>
      </c>
      <c r="M120">
        <f t="shared" si="16"/>
        <v>0</v>
      </c>
      <c r="N120">
        <f t="shared" si="16"/>
        <v>0</v>
      </c>
      <c r="O120" s="107" t="s">
        <v>682</v>
      </c>
      <c r="P120" t="s">
        <v>8</v>
      </c>
      <c r="Q120">
        <v>9265.2000000000007</v>
      </c>
      <c r="R120">
        <v>2686.9</v>
      </c>
      <c r="S120">
        <v>6578.3</v>
      </c>
      <c r="T120">
        <v>0</v>
      </c>
      <c r="U120">
        <v>0</v>
      </c>
      <c r="V120" s="107" t="s">
        <v>683</v>
      </c>
      <c r="W120" s="107"/>
    </row>
    <row r="121" spans="1:23" ht="26.25" hidden="1" customHeight="1" x14ac:dyDescent="0.25">
      <c r="A121" s="107"/>
      <c r="B121" s="107"/>
      <c r="C121">
        <v>2019</v>
      </c>
      <c r="I121" s="107"/>
      <c r="J121">
        <f t="shared" si="16"/>
        <v>9265.2000000000007</v>
      </c>
      <c r="K121">
        <f t="shared" si="16"/>
        <v>2686.9</v>
      </c>
      <c r="L121">
        <f t="shared" si="16"/>
        <v>6578.3</v>
      </c>
      <c r="M121">
        <f t="shared" si="16"/>
        <v>0</v>
      </c>
      <c r="N121">
        <f t="shared" si="16"/>
        <v>0</v>
      </c>
      <c r="O121" s="107"/>
      <c r="P121">
        <v>2019</v>
      </c>
      <c r="Q121">
        <v>9265.2000000000007</v>
      </c>
      <c r="R121">
        <v>2686.9</v>
      </c>
      <c r="S121">
        <v>6578.3</v>
      </c>
      <c r="T121">
        <v>0</v>
      </c>
      <c r="U121">
        <v>0</v>
      </c>
      <c r="V121" s="107"/>
      <c r="W121" s="107"/>
    </row>
    <row r="122" spans="1:23" ht="26.25" hidden="1" customHeight="1" x14ac:dyDescent="0.25">
      <c r="A122" s="107"/>
      <c r="B122" s="107"/>
      <c r="C122">
        <v>2020</v>
      </c>
      <c r="I122" s="107"/>
      <c r="J122">
        <f t="shared" si="16"/>
        <v>0</v>
      </c>
      <c r="K122">
        <f t="shared" si="16"/>
        <v>0</v>
      </c>
      <c r="L122">
        <f t="shared" si="16"/>
        <v>0</v>
      </c>
      <c r="M122">
        <f t="shared" si="16"/>
        <v>0</v>
      </c>
      <c r="N122">
        <f t="shared" si="16"/>
        <v>0</v>
      </c>
      <c r="O122" s="107"/>
      <c r="P122">
        <v>2020</v>
      </c>
      <c r="Q122">
        <v>0</v>
      </c>
      <c r="R122">
        <v>0</v>
      </c>
      <c r="S122">
        <v>0</v>
      </c>
      <c r="T122">
        <v>0</v>
      </c>
      <c r="U122">
        <v>0</v>
      </c>
      <c r="V122" s="107"/>
      <c r="W122" s="107"/>
    </row>
    <row r="123" spans="1:23" ht="26.25" hidden="1" customHeight="1" x14ac:dyDescent="0.25">
      <c r="A123" s="107" t="s">
        <v>684</v>
      </c>
      <c r="B123" s="107" t="s">
        <v>685</v>
      </c>
      <c r="C123" t="s">
        <v>8</v>
      </c>
      <c r="I123" s="107" t="s">
        <v>686</v>
      </c>
      <c r="J123">
        <f t="shared" si="16"/>
        <v>294615.40000000002</v>
      </c>
      <c r="K123">
        <f t="shared" si="16"/>
        <v>113408.2</v>
      </c>
      <c r="L123">
        <f t="shared" si="16"/>
        <v>181207.2</v>
      </c>
      <c r="M123">
        <f t="shared" si="16"/>
        <v>0</v>
      </c>
      <c r="N123">
        <f t="shared" si="16"/>
        <v>0</v>
      </c>
      <c r="O123" s="107" t="s">
        <v>685</v>
      </c>
      <c r="P123" t="s">
        <v>8</v>
      </c>
      <c r="Q123">
        <v>294615.40000000002</v>
      </c>
      <c r="R123">
        <v>113408.2</v>
      </c>
      <c r="S123">
        <v>181207.2</v>
      </c>
      <c r="T123">
        <v>0</v>
      </c>
      <c r="U123">
        <v>0</v>
      </c>
      <c r="V123" s="107" t="s">
        <v>686</v>
      </c>
      <c r="W123" s="107"/>
    </row>
    <row r="124" spans="1:23" ht="26.25" hidden="1" customHeight="1" x14ac:dyDescent="0.25">
      <c r="A124" s="107"/>
      <c r="B124" s="107"/>
      <c r="C124">
        <v>2019</v>
      </c>
      <c r="I124" s="107"/>
      <c r="J124">
        <f t="shared" si="16"/>
        <v>158588.59999999998</v>
      </c>
      <c r="K124">
        <f t="shared" si="16"/>
        <v>45990.7</v>
      </c>
      <c r="L124">
        <f t="shared" si="16"/>
        <v>112597.9</v>
      </c>
      <c r="M124">
        <f t="shared" si="16"/>
        <v>0</v>
      </c>
      <c r="N124">
        <f t="shared" si="16"/>
        <v>0</v>
      </c>
      <c r="O124" s="107"/>
      <c r="P124">
        <v>2019</v>
      </c>
      <c r="Q124">
        <v>158588.59999999998</v>
      </c>
      <c r="R124">
        <v>45990.7</v>
      </c>
      <c r="S124">
        <v>112597.9</v>
      </c>
      <c r="T124">
        <v>0</v>
      </c>
      <c r="U124">
        <v>0</v>
      </c>
      <c r="V124" s="107"/>
      <c r="W124" s="107"/>
    </row>
    <row r="125" spans="1:23" ht="26.25" hidden="1" customHeight="1" x14ac:dyDescent="0.25">
      <c r="A125" s="107"/>
      <c r="B125" s="107"/>
      <c r="C125">
        <v>2020</v>
      </c>
      <c r="I125" s="107"/>
      <c r="J125">
        <f t="shared" si="16"/>
        <v>136026.79999999999</v>
      </c>
      <c r="K125">
        <f t="shared" si="16"/>
        <v>67417.5</v>
      </c>
      <c r="L125">
        <f t="shared" si="16"/>
        <v>68609.3</v>
      </c>
      <c r="M125">
        <f t="shared" si="16"/>
        <v>0</v>
      </c>
      <c r="N125">
        <f t="shared" si="16"/>
        <v>0</v>
      </c>
      <c r="O125" s="107"/>
      <c r="P125">
        <v>2020</v>
      </c>
      <c r="Q125">
        <v>136026.79999999999</v>
      </c>
      <c r="R125">
        <v>67417.5</v>
      </c>
      <c r="S125">
        <v>68609.3</v>
      </c>
      <c r="T125">
        <v>0</v>
      </c>
      <c r="U125">
        <v>0</v>
      </c>
      <c r="V125" s="107"/>
      <c r="W125" s="107"/>
    </row>
    <row r="126" spans="1:23" ht="26.25" hidden="1" customHeight="1" x14ac:dyDescent="0.25">
      <c r="A126" s="107" t="s">
        <v>687</v>
      </c>
      <c r="B126" s="107" t="s">
        <v>688</v>
      </c>
      <c r="C126" t="s">
        <v>8</v>
      </c>
      <c r="I126" s="107" t="s">
        <v>689</v>
      </c>
      <c r="J126">
        <f t="shared" si="16"/>
        <v>42553.2</v>
      </c>
      <c r="K126">
        <f t="shared" si="16"/>
        <v>2553.1999999999998</v>
      </c>
      <c r="L126">
        <f t="shared" si="16"/>
        <v>40000</v>
      </c>
      <c r="M126">
        <f t="shared" si="16"/>
        <v>0</v>
      </c>
      <c r="N126">
        <f t="shared" si="16"/>
        <v>0</v>
      </c>
      <c r="O126" s="107" t="s">
        <v>688</v>
      </c>
      <c r="P126" t="s">
        <v>8</v>
      </c>
      <c r="Q126">
        <v>42553.2</v>
      </c>
      <c r="R126">
        <v>2553.1999999999998</v>
      </c>
      <c r="S126">
        <v>40000</v>
      </c>
      <c r="T126">
        <v>0</v>
      </c>
      <c r="U126">
        <v>0</v>
      </c>
      <c r="V126" s="107" t="s">
        <v>689</v>
      </c>
      <c r="W126" s="107"/>
    </row>
    <row r="127" spans="1:23" ht="26.25" hidden="1" customHeight="1" x14ac:dyDescent="0.25">
      <c r="A127" s="107"/>
      <c r="B127" s="107"/>
      <c r="C127">
        <v>2019</v>
      </c>
      <c r="I127" s="107"/>
      <c r="J127">
        <f t="shared" si="16"/>
        <v>42553.2</v>
      </c>
      <c r="K127">
        <f t="shared" si="16"/>
        <v>2553.1999999999998</v>
      </c>
      <c r="L127">
        <f t="shared" si="16"/>
        <v>40000</v>
      </c>
      <c r="M127">
        <f t="shared" si="16"/>
        <v>0</v>
      </c>
      <c r="N127">
        <f t="shared" si="16"/>
        <v>0</v>
      </c>
      <c r="O127" s="107"/>
      <c r="P127">
        <v>2019</v>
      </c>
      <c r="Q127">
        <v>42553.2</v>
      </c>
      <c r="R127">
        <v>2553.1999999999998</v>
      </c>
      <c r="S127">
        <v>40000</v>
      </c>
      <c r="T127">
        <v>0</v>
      </c>
      <c r="U127">
        <v>0</v>
      </c>
      <c r="V127" s="107"/>
      <c r="W127" s="107"/>
    </row>
    <row r="128" spans="1:23" ht="26.25" hidden="1" customHeight="1" x14ac:dyDescent="0.25">
      <c r="A128" s="107"/>
      <c r="B128" s="107"/>
      <c r="C128">
        <v>2020</v>
      </c>
      <c r="I128" s="107"/>
      <c r="J128">
        <f t="shared" si="16"/>
        <v>0</v>
      </c>
      <c r="K128">
        <f t="shared" si="16"/>
        <v>0</v>
      </c>
      <c r="L128">
        <f t="shared" si="16"/>
        <v>0</v>
      </c>
      <c r="M128">
        <f t="shared" si="16"/>
        <v>0</v>
      </c>
      <c r="N128">
        <f t="shared" si="16"/>
        <v>0</v>
      </c>
      <c r="O128" s="107"/>
      <c r="P128">
        <v>2020</v>
      </c>
      <c r="Q128">
        <v>0</v>
      </c>
      <c r="R128">
        <v>0</v>
      </c>
      <c r="S128">
        <v>0</v>
      </c>
      <c r="T128">
        <v>0</v>
      </c>
      <c r="U128">
        <v>0</v>
      </c>
      <c r="V128" s="107"/>
      <c r="W128" s="107"/>
    </row>
    <row r="129" spans="1:24" ht="26.25" hidden="1" customHeight="1" x14ac:dyDescent="0.25">
      <c r="A129" s="107" t="s">
        <v>690</v>
      </c>
      <c r="B129" s="107" t="s">
        <v>691</v>
      </c>
      <c r="C129" t="s">
        <v>8</v>
      </c>
      <c r="I129" s="107" t="s">
        <v>692</v>
      </c>
      <c r="J129">
        <f t="shared" si="16"/>
        <v>319568.90000000002</v>
      </c>
      <c r="K129">
        <f t="shared" si="16"/>
        <v>83316</v>
      </c>
      <c r="L129">
        <f t="shared" si="16"/>
        <v>116936.9</v>
      </c>
      <c r="M129">
        <f t="shared" si="16"/>
        <v>83316</v>
      </c>
      <c r="N129">
        <f t="shared" si="16"/>
        <v>36000</v>
      </c>
      <c r="O129" s="107" t="s">
        <v>691</v>
      </c>
      <c r="P129" t="s">
        <v>8</v>
      </c>
      <c r="Q129">
        <v>319568.90000000002</v>
      </c>
      <c r="R129">
        <v>83316</v>
      </c>
      <c r="S129">
        <v>116936.9</v>
      </c>
      <c r="T129">
        <v>83316</v>
      </c>
      <c r="U129">
        <v>36000</v>
      </c>
      <c r="V129" s="107" t="s">
        <v>692</v>
      </c>
      <c r="W129" s="107"/>
    </row>
    <row r="130" spans="1:24" ht="26.25" hidden="1" customHeight="1" x14ac:dyDescent="0.25">
      <c r="A130" s="107"/>
      <c r="B130" s="107"/>
      <c r="C130">
        <v>2019</v>
      </c>
      <c r="I130" s="107"/>
      <c r="J130">
        <f t="shared" si="16"/>
        <v>194936.2</v>
      </c>
      <c r="K130">
        <f t="shared" si="16"/>
        <v>49481.5</v>
      </c>
      <c r="L130">
        <f t="shared" si="16"/>
        <v>67673.2</v>
      </c>
      <c r="M130">
        <f t="shared" si="16"/>
        <v>49481.5</v>
      </c>
      <c r="N130">
        <f t="shared" si="16"/>
        <v>28300</v>
      </c>
      <c r="O130" s="107"/>
      <c r="P130">
        <v>2019</v>
      </c>
      <c r="Q130">
        <v>194936.2</v>
      </c>
      <c r="R130">
        <v>49481.5</v>
      </c>
      <c r="S130">
        <v>67673.2</v>
      </c>
      <c r="T130">
        <v>49481.5</v>
      </c>
      <c r="U130">
        <v>28300</v>
      </c>
      <c r="V130" s="107"/>
      <c r="W130" s="107"/>
    </row>
    <row r="131" spans="1:24" ht="26.25" hidden="1" customHeight="1" x14ac:dyDescent="0.25">
      <c r="A131" s="107"/>
      <c r="B131" s="107"/>
      <c r="C131">
        <v>2020</v>
      </c>
      <c r="I131" s="107"/>
      <c r="J131">
        <f t="shared" si="16"/>
        <v>124632.7</v>
      </c>
      <c r="K131">
        <f t="shared" si="16"/>
        <v>33834.5</v>
      </c>
      <c r="L131">
        <f t="shared" si="16"/>
        <v>49263.7</v>
      </c>
      <c r="M131">
        <f t="shared" si="16"/>
        <v>33834.5</v>
      </c>
      <c r="N131">
        <f t="shared" si="16"/>
        <v>7700</v>
      </c>
      <c r="O131" s="107"/>
      <c r="P131">
        <v>2020</v>
      </c>
      <c r="Q131">
        <v>124632.7</v>
      </c>
      <c r="R131">
        <v>33834.5</v>
      </c>
      <c r="S131">
        <v>49263.7</v>
      </c>
      <c r="T131">
        <v>33834.5</v>
      </c>
      <c r="U131">
        <v>7700</v>
      </c>
      <c r="V131" s="107"/>
      <c r="W131" s="107"/>
    </row>
    <row r="132" spans="1:24" ht="26.25" hidden="1" customHeight="1" x14ac:dyDescent="0.25">
      <c r="A132" s="107" t="s">
        <v>693</v>
      </c>
      <c r="B132" s="107" t="s">
        <v>694</v>
      </c>
      <c r="C132" t="s">
        <v>8</v>
      </c>
      <c r="I132" s="107" t="s">
        <v>695</v>
      </c>
      <c r="J132">
        <f t="shared" si="16"/>
        <v>27027</v>
      </c>
      <c r="K132">
        <f t="shared" si="16"/>
        <v>25000</v>
      </c>
      <c r="L132">
        <f t="shared" si="16"/>
        <v>0</v>
      </c>
      <c r="M132">
        <f t="shared" si="16"/>
        <v>2027</v>
      </c>
      <c r="N132">
        <f t="shared" si="16"/>
        <v>0</v>
      </c>
      <c r="O132" s="107" t="s">
        <v>694</v>
      </c>
      <c r="P132" t="s">
        <v>8</v>
      </c>
      <c r="Q132">
        <v>27027</v>
      </c>
      <c r="R132">
        <v>25000</v>
      </c>
      <c r="S132">
        <v>0</v>
      </c>
      <c r="T132">
        <v>2027</v>
      </c>
      <c r="U132">
        <v>0</v>
      </c>
      <c r="V132" s="107" t="s">
        <v>695</v>
      </c>
      <c r="W132" s="107"/>
    </row>
    <row r="133" spans="1:24" ht="26.25" hidden="1" customHeight="1" x14ac:dyDescent="0.25">
      <c r="A133" s="107"/>
      <c r="B133" s="107"/>
      <c r="C133">
        <v>2019</v>
      </c>
      <c r="I133" s="107"/>
      <c r="J133">
        <f t="shared" si="16"/>
        <v>0</v>
      </c>
      <c r="K133">
        <f t="shared" si="16"/>
        <v>0</v>
      </c>
      <c r="L133">
        <f t="shared" si="16"/>
        <v>0</v>
      </c>
      <c r="M133">
        <f t="shared" si="16"/>
        <v>0</v>
      </c>
      <c r="N133">
        <f t="shared" si="16"/>
        <v>0</v>
      </c>
      <c r="O133" s="107"/>
      <c r="P133">
        <v>2019</v>
      </c>
      <c r="Q133">
        <v>0</v>
      </c>
      <c r="R133">
        <v>0</v>
      </c>
      <c r="S133">
        <v>0</v>
      </c>
      <c r="T133">
        <v>0</v>
      </c>
      <c r="U133">
        <v>0</v>
      </c>
      <c r="V133" s="107"/>
      <c r="W133" s="107"/>
    </row>
    <row r="134" spans="1:24" ht="26.25" hidden="1" customHeight="1" x14ac:dyDescent="0.25">
      <c r="A134" s="107"/>
      <c r="B134" s="107"/>
      <c r="C134">
        <v>2020</v>
      </c>
      <c r="I134" s="107"/>
      <c r="J134">
        <f t="shared" si="16"/>
        <v>27027</v>
      </c>
      <c r="K134">
        <f t="shared" si="16"/>
        <v>25000</v>
      </c>
      <c r="L134">
        <f t="shared" si="16"/>
        <v>0</v>
      </c>
      <c r="M134">
        <f t="shared" si="16"/>
        <v>2027</v>
      </c>
      <c r="N134">
        <f t="shared" si="16"/>
        <v>0</v>
      </c>
      <c r="O134" s="107"/>
      <c r="P134">
        <v>2020</v>
      </c>
      <c r="Q134">
        <v>27027</v>
      </c>
      <c r="R134">
        <v>25000</v>
      </c>
      <c r="S134">
        <v>0</v>
      </c>
      <c r="T134">
        <v>2027</v>
      </c>
      <c r="U134">
        <v>0</v>
      </c>
      <c r="V134" s="107"/>
      <c r="W134" s="107"/>
    </row>
    <row r="135" spans="1:24" ht="26.25" hidden="1" customHeight="1" x14ac:dyDescent="0.25">
      <c r="A135" s="107" t="s">
        <v>696</v>
      </c>
      <c r="B135" s="107" t="s">
        <v>697</v>
      </c>
      <c r="C135" t="s">
        <v>8</v>
      </c>
      <c r="I135" s="107" t="s">
        <v>698</v>
      </c>
      <c r="J135">
        <f t="shared" si="16"/>
        <v>2198.6999999999998</v>
      </c>
      <c r="K135">
        <f t="shared" si="16"/>
        <v>1745.7</v>
      </c>
      <c r="L135">
        <f t="shared" si="16"/>
        <v>0</v>
      </c>
      <c r="M135">
        <f t="shared" si="16"/>
        <v>453</v>
      </c>
      <c r="N135">
        <f t="shared" si="16"/>
        <v>0</v>
      </c>
      <c r="O135" s="107" t="s">
        <v>697</v>
      </c>
      <c r="P135" t="s">
        <v>8</v>
      </c>
      <c r="Q135">
        <v>2198.6999999999998</v>
      </c>
      <c r="R135">
        <v>1745.7</v>
      </c>
      <c r="S135">
        <v>0</v>
      </c>
      <c r="T135">
        <v>453</v>
      </c>
      <c r="U135">
        <v>0</v>
      </c>
      <c r="V135" s="107" t="s">
        <v>698</v>
      </c>
      <c r="W135" s="107"/>
    </row>
    <row r="136" spans="1:24" ht="26.25" hidden="1" customHeight="1" x14ac:dyDescent="0.25">
      <c r="A136" s="107"/>
      <c r="B136" s="107"/>
      <c r="C136">
        <v>2019</v>
      </c>
      <c r="I136" s="107"/>
      <c r="J136">
        <f t="shared" si="16"/>
        <v>2198.6999999999998</v>
      </c>
      <c r="K136">
        <f t="shared" si="16"/>
        <v>1745.7</v>
      </c>
      <c r="L136">
        <f t="shared" si="16"/>
        <v>0</v>
      </c>
      <c r="M136">
        <f t="shared" si="16"/>
        <v>453</v>
      </c>
      <c r="N136">
        <f t="shared" si="16"/>
        <v>0</v>
      </c>
      <c r="O136" s="107"/>
      <c r="P136">
        <v>2019</v>
      </c>
      <c r="Q136">
        <v>2198.6999999999998</v>
      </c>
      <c r="R136">
        <v>1745.7</v>
      </c>
      <c r="S136">
        <v>0</v>
      </c>
      <c r="T136">
        <v>453</v>
      </c>
      <c r="U136">
        <v>0</v>
      </c>
      <c r="V136" s="107"/>
      <c r="W136" s="107"/>
    </row>
    <row r="137" spans="1:24" ht="26.25" hidden="1" customHeight="1" x14ac:dyDescent="0.25">
      <c r="A137" s="107"/>
      <c r="B137" s="107"/>
      <c r="C137">
        <v>2020</v>
      </c>
      <c r="I137" s="107"/>
      <c r="J137">
        <f t="shared" si="16"/>
        <v>0</v>
      </c>
      <c r="K137">
        <f t="shared" si="16"/>
        <v>0</v>
      </c>
      <c r="L137">
        <f t="shared" si="16"/>
        <v>0</v>
      </c>
      <c r="M137">
        <f t="shared" si="16"/>
        <v>0</v>
      </c>
      <c r="N137">
        <f t="shared" si="16"/>
        <v>0</v>
      </c>
      <c r="O137" s="107"/>
      <c r="P137">
        <v>2020</v>
      </c>
      <c r="Q137">
        <v>0</v>
      </c>
      <c r="R137">
        <v>0</v>
      </c>
      <c r="S137">
        <v>0</v>
      </c>
      <c r="T137">
        <v>0</v>
      </c>
      <c r="U137">
        <v>0</v>
      </c>
      <c r="V137" s="107"/>
      <c r="W137" s="107"/>
    </row>
    <row r="138" spans="1:24" ht="26.25" hidden="1" customHeight="1" x14ac:dyDescent="0.25">
      <c r="A138" s="107" t="s">
        <v>699</v>
      </c>
      <c r="B138" s="107" t="s">
        <v>120</v>
      </c>
      <c r="C138" t="s">
        <v>8</v>
      </c>
      <c r="I138" s="107" t="s">
        <v>700</v>
      </c>
      <c r="J138">
        <f t="shared" si="16"/>
        <v>8100</v>
      </c>
      <c r="K138">
        <f t="shared" si="16"/>
        <v>8100</v>
      </c>
      <c r="L138">
        <f t="shared" si="16"/>
        <v>0</v>
      </c>
      <c r="M138">
        <f t="shared" si="16"/>
        <v>0</v>
      </c>
      <c r="N138">
        <f t="shared" si="16"/>
        <v>0</v>
      </c>
      <c r="O138" s="107" t="s">
        <v>120</v>
      </c>
      <c r="P138" t="s">
        <v>8</v>
      </c>
      <c r="Q138">
        <v>8100</v>
      </c>
      <c r="R138">
        <v>8100</v>
      </c>
      <c r="S138">
        <v>0</v>
      </c>
      <c r="T138">
        <v>0</v>
      </c>
      <c r="U138">
        <v>0</v>
      </c>
      <c r="V138" s="107" t="s">
        <v>700</v>
      </c>
      <c r="W138" s="107"/>
    </row>
    <row r="139" spans="1:24" ht="26.25" hidden="1" customHeight="1" x14ac:dyDescent="0.25">
      <c r="A139" s="107"/>
      <c r="B139" s="107"/>
      <c r="C139">
        <v>2019</v>
      </c>
      <c r="I139" s="107"/>
      <c r="J139">
        <f t="shared" si="16"/>
        <v>4050</v>
      </c>
      <c r="K139">
        <f t="shared" si="16"/>
        <v>4050</v>
      </c>
      <c r="L139">
        <f t="shared" si="16"/>
        <v>0</v>
      </c>
      <c r="M139">
        <f t="shared" si="16"/>
        <v>0</v>
      </c>
      <c r="N139">
        <f t="shared" si="16"/>
        <v>0</v>
      </c>
      <c r="O139" s="107"/>
      <c r="P139">
        <v>2019</v>
      </c>
      <c r="Q139">
        <v>4050</v>
      </c>
      <c r="R139">
        <v>4050</v>
      </c>
      <c r="S139">
        <v>0</v>
      </c>
      <c r="T139">
        <v>0</v>
      </c>
      <c r="U139">
        <v>0</v>
      </c>
      <c r="V139" s="107"/>
      <c r="W139" s="107"/>
    </row>
    <row r="140" spans="1:24" ht="2.25" hidden="1" customHeight="1" x14ac:dyDescent="0.25">
      <c r="A140" s="107"/>
      <c r="B140" s="107"/>
      <c r="C140">
        <v>2020</v>
      </c>
      <c r="I140" s="107"/>
      <c r="J140">
        <f t="shared" si="16"/>
        <v>4050</v>
      </c>
      <c r="K140">
        <f t="shared" si="16"/>
        <v>4050</v>
      </c>
      <c r="L140">
        <f t="shared" si="16"/>
        <v>0</v>
      </c>
      <c r="M140">
        <f t="shared" si="16"/>
        <v>0</v>
      </c>
      <c r="N140">
        <f t="shared" si="16"/>
        <v>0</v>
      </c>
      <c r="O140" s="107"/>
      <c r="P140">
        <v>2020</v>
      </c>
      <c r="Q140">
        <v>4050</v>
      </c>
      <c r="R140">
        <v>4050</v>
      </c>
      <c r="S140">
        <v>0</v>
      </c>
      <c r="T140">
        <v>0</v>
      </c>
      <c r="U140">
        <v>0</v>
      </c>
      <c r="V140" s="107"/>
      <c r="W140" s="107"/>
    </row>
    <row r="141" spans="1:24" ht="26.25" hidden="1" customHeight="1" x14ac:dyDescent="0.25">
      <c r="A141" s="107" t="s">
        <v>701</v>
      </c>
      <c r="B141" s="107" t="s">
        <v>702</v>
      </c>
      <c r="C141" t="s">
        <v>8</v>
      </c>
      <c r="I141" s="107" t="s">
        <v>703</v>
      </c>
      <c r="J141">
        <f t="shared" si="16"/>
        <v>201919.7</v>
      </c>
      <c r="K141">
        <f t="shared" si="16"/>
        <v>78860.100000000006</v>
      </c>
      <c r="L141">
        <f t="shared" si="16"/>
        <v>123059.6</v>
      </c>
      <c r="M141">
        <f t="shared" si="16"/>
        <v>0</v>
      </c>
      <c r="N141">
        <f t="shared" si="16"/>
        <v>0</v>
      </c>
      <c r="O141" s="107" t="s">
        <v>702</v>
      </c>
      <c r="P141" t="s">
        <v>8</v>
      </c>
      <c r="Q141">
        <v>201919.7</v>
      </c>
      <c r="R141">
        <v>78860.100000000006</v>
      </c>
      <c r="S141">
        <v>123059.6</v>
      </c>
      <c r="T141">
        <v>0</v>
      </c>
      <c r="U141">
        <v>0</v>
      </c>
      <c r="V141" s="107" t="s">
        <v>703</v>
      </c>
      <c r="W141" s="107"/>
    </row>
    <row r="142" spans="1:24" ht="26.25" hidden="1" customHeight="1" x14ac:dyDescent="0.25">
      <c r="A142" s="107"/>
      <c r="B142" s="107"/>
      <c r="C142">
        <v>2019</v>
      </c>
      <c r="I142" s="107"/>
      <c r="J142">
        <f t="shared" si="16"/>
        <v>0</v>
      </c>
      <c r="K142">
        <f t="shared" si="16"/>
        <v>0</v>
      </c>
      <c r="L142">
        <f t="shared" si="16"/>
        <v>0</v>
      </c>
      <c r="M142">
        <f t="shared" si="16"/>
        <v>0</v>
      </c>
      <c r="N142">
        <f t="shared" si="16"/>
        <v>0</v>
      </c>
      <c r="O142" s="107"/>
      <c r="P142">
        <v>2019</v>
      </c>
      <c r="Q142">
        <v>0</v>
      </c>
      <c r="R142">
        <v>0</v>
      </c>
      <c r="S142">
        <v>0</v>
      </c>
      <c r="T142">
        <v>0</v>
      </c>
      <c r="U142">
        <v>0</v>
      </c>
      <c r="V142" s="107"/>
      <c r="W142" s="107"/>
    </row>
    <row r="143" spans="1:24" ht="26.25" hidden="1" customHeight="1" x14ac:dyDescent="0.25">
      <c r="A143" s="107"/>
      <c r="B143" s="107"/>
      <c r="C143">
        <v>2020</v>
      </c>
      <c r="I143" s="107"/>
      <c r="J143">
        <f t="shared" si="16"/>
        <v>201919.7</v>
      </c>
      <c r="K143">
        <f t="shared" si="16"/>
        <v>78860.100000000006</v>
      </c>
      <c r="L143">
        <f t="shared" si="16"/>
        <v>123059.6</v>
      </c>
      <c r="M143">
        <f t="shared" si="16"/>
        <v>0</v>
      </c>
      <c r="N143">
        <f t="shared" si="16"/>
        <v>0</v>
      </c>
      <c r="O143" s="107"/>
      <c r="P143">
        <v>2020</v>
      </c>
      <c r="Q143">
        <v>201919.7</v>
      </c>
      <c r="R143">
        <v>78860.100000000006</v>
      </c>
      <c r="S143">
        <v>123059.6</v>
      </c>
      <c r="T143">
        <v>0</v>
      </c>
      <c r="U143">
        <v>0</v>
      </c>
      <c r="V143" s="107"/>
      <c r="W143" s="107"/>
    </row>
    <row r="144" spans="1:24" ht="26.25" hidden="1" customHeight="1" x14ac:dyDescent="0.25">
      <c r="A144" s="107" t="s">
        <v>704</v>
      </c>
      <c r="B144" s="107" t="s">
        <v>705</v>
      </c>
      <c r="C144" t="s">
        <v>8</v>
      </c>
      <c r="I144" s="107" t="s">
        <v>706</v>
      </c>
      <c r="J144">
        <f t="shared" si="16"/>
        <v>157773.9</v>
      </c>
      <c r="K144">
        <f t="shared" si="16"/>
        <v>45700</v>
      </c>
      <c r="L144">
        <f t="shared" si="16"/>
        <v>66373.899999999994</v>
      </c>
      <c r="M144">
        <f t="shared" si="16"/>
        <v>45700</v>
      </c>
      <c r="N144">
        <f t="shared" si="16"/>
        <v>0</v>
      </c>
      <c r="O144" s="107" t="s">
        <v>705</v>
      </c>
      <c r="P144" t="s">
        <v>8</v>
      </c>
      <c r="Q144">
        <v>157773.9</v>
      </c>
      <c r="R144">
        <v>45700</v>
      </c>
      <c r="S144">
        <v>66373.899999999994</v>
      </c>
      <c r="T144">
        <v>45700</v>
      </c>
      <c r="U144">
        <v>0</v>
      </c>
      <c r="V144" s="107" t="s">
        <v>706</v>
      </c>
      <c r="W144" s="107" t="s">
        <v>707</v>
      </c>
      <c r="X144" s="107"/>
    </row>
    <row r="145" spans="1:24" ht="26.25" hidden="1" customHeight="1" x14ac:dyDescent="0.25">
      <c r="A145" s="107"/>
      <c r="B145" s="107"/>
      <c r="C145">
        <v>2019</v>
      </c>
      <c r="I145" s="107"/>
      <c r="J145">
        <f t="shared" si="16"/>
        <v>0</v>
      </c>
      <c r="K145">
        <f t="shared" si="16"/>
        <v>0</v>
      </c>
      <c r="L145">
        <f t="shared" si="16"/>
        <v>0</v>
      </c>
      <c r="M145">
        <f t="shared" si="16"/>
        <v>0</v>
      </c>
      <c r="N145">
        <f t="shared" si="16"/>
        <v>0</v>
      </c>
      <c r="O145" s="107"/>
      <c r="P145">
        <v>2019</v>
      </c>
      <c r="Q145">
        <v>0</v>
      </c>
      <c r="R145">
        <v>0</v>
      </c>
      <c r="S145">
        <v>0</v>
      </c>
      <c r="T145">
        <v>0</v>
      </c>
      <c r="U145">
        <v>0</v>
      </c>
      <c r="V145" s="107"/>
      <c r="W145" s="107"/>
      <c r="X145" s="107"/>
    </row>
    <row r="146" spans="1:24" ht="26.25" hidden="1" customHeight="1" x14ac:dyDescent="0.25">
      <c r="A146" s="107"/>
      <c r="B146" s="107"/>
      <c r="C146">
        <v>2020</v>
      </c>
      <c r="I146" s="107"/>
      <c r="J146">
        <f t="shared" si="16"/>
        <v>157773.9</v>
      </c>
      <c r="K146">
        <f t="shared" si="16"/>
        <v>45700</v>
      </c>
      <c r="L146">
        <f t="shared" si="16"/>
        <v>66373.899999999994</v>
      </c>
      <c r="M146">
        <f t="shared" si="16"/>
        <v>45700</v>
      </c>
      <c r="N146">
        <f t="shared" si="16"/>
        <v>0</v>
      </c>
      <c r="O146" s="107"/>
      <c r="P146">
        <v>2020</v>
      </c>
      <c r="Q146">
        <v>157773.9</v>
      </c>
      <c r="R146">
        <v>45700</v>
      </c>
      <c r="S146">
        <v>66373.899999999994</v>
      </c>
      <c r="T146">
        <v>45700</v>
      </c>
      <c r="U146">
        <v>0</v>
      </c>
      <c r="V146" s="107"/>
      <c r="W146" s="107"/>
      <c r="X146" s="107"/>
    </row>
    <row r="147" spans="1:24" ht="26.25" hidden="1" customHeight="1" x14ac:dyDescent="0.25">
      <c r="A147" s="107" t="s">
        <v>708</v>
      </c>
      <c r="B147" s="107" t="s">
        <v>132</v>
      </c>
      <c r="C147" t="s">
        <v>8</v>
      </c>
      <c r="I147" s="107"/>
      <c r="J147">
        <f t="shared" si="16"/>
        <v>77051.199999999997</v>
      </c>
      <c r="K147">
        <f t="shared" si="16"/>
        <v>77051.199999999997</v>
      </c>
      <c r="L147">
        <f t="shared" si="16"/>
        <v>0</v>
      </c>
      <c r="M147">
        <f t="shared" si="16"/>
        <v>0</v>
      </c>
      <c r="N147">
        <f t="shared" si="16"/>
        <v>0</v>
      </c>
      <c r="O147" s="107" t="s">
        <v>132</v>
      </c>
      <c r="P147" t="s">
        <v>8</v>
      </c>
      <c r="Q147">
        <f>'[3]Пр ГП 19-20'!E272</f>
        <v>77051.199999999997</v>
      </c>
      <c r="R147">
        <f>'[3]Пр ГП 19-20'!F272</f>
        <v>77051.199999999997</v>
      </c>
      <c r="S147">
        <f>'[3]Пр ГП 19-20'!G272</f>
        <v>0</v>
      </c>
      <c r="T147">
        <f>'[3]Пр ГП 19-20'!H272</f>
        <v>0</v>
      </c>
      <c r="U147">
        <f>'[3]Пр ГП 19-20'!I272</f>
        <v>0</v>
      </c>
      <c r="V147" s="107"/>
      <c r="W147" s="107"/>
    </row>
    <row r="148" spans="1:24" ht="26.25" hidden="1" customHeight="1" x14ac:dyDescent="0.25">
      <c r="A148" s="107"/>
      <c r="B148" s="107"/>
      <c r="C148">
        <v>2019</v>
      </c>
      <c r="I148" s="107"/>
      <c r="J148">
        <f t="shared" si="16"/>
        <v>29163.3</v>
      </c>
      <c r="K148">
        <f t="shared" si="16"/>
        <v>29163.3</v>
      </c>
      <c r="L148">
        <f t="shared" si="16"/>
        <v>0</v>
      </c>
      <c r="M148">
        <f t="shared" si="16"/>
        <v>0</v>
      </c>
      <c r="N148">
        <f t="shared" si="16"/>
        <v>0</v>
      </c>
      <c r="O148" s="107"/>
      <c r="P148">
        <v>2019</v>
      </c>
      <c r="Q148">
        <f>'[3]Пр ГП 19-20'!E273</f>
        <v>29163.3</v>
      </c>
      <c r="R148">
        <f>'[3]Пр ГП 19-20'!F273</f>
        <v>29163.3</v>
      </c>
      <c r="S148">
        <f>'[3]Пр ГП 19-20'!G273</f>
        <v>0</v>
      </c>
      <c r="T148">
        <f>'[3]Пр ГП 19-20'!H273</f>
        <v>0</v>
      </c>
      <c r="U148">
        <f>'[3]Пр ГП 19-20'!I273</f>
        <v>0</v>
      </c>
      <c r="V148" s="107"/>
      <c r="W148" s="107"/>
    </row>
    <row r="149" spans="1:24" ht="26.25" hidden="1" customHeight="1" x14ac:dyDescent="0.25">
      <c r="A149" s="107"/>
      <c r="B149" s="107"/>
      <c r="C149">
        <v>2020</v>
      </c>
      <c r="I149" s="107"/>
      <c r="J149">
        <f t="shared" si="16"/>
        <v>47887.9</v>
      </c>
      <c r="K149">
        <f t="shared" si="16"/>
        <v>47887.9</v>
      </c>
      <c r="L149">
        <f t="shared" si="16"/>
        <v>0</v>
      </c>
      <c r="M149">
        <f t="shared" si="16"/>
        <v>0</v>
      </c>
      <c r="N149">
        <f t="shared" si="16"/>
        <v>0</v>
      </c>
      <c r="O149" s="107"/>
      <c r="P149">
        <v>2020</v>
      </c>
      <c r="Q149">
        <f>'[3]Пр ГП 19-20'!E274</f>
        <v>47887.9</v>
      </c>
      <c r="R149">
        <f>'[3]Пр ГП 19-20'!F274</f>
        <v>47887.9</v>
      </c>
      <c r="S149">
        <f>'[3]Пр ГП 19-20'!G274</f>
        <v>0</v>
      </c>
      <c r="T149">
        <f>'[3]Пр ГП 19-20'!H274</f>
        <v>0</v>
      </c>
      <c r="U149">
        <f>'[3]Пр ГП 19-20'!I274</f>
        <v>0</v>
      </c>
      <c r="V149" s="107"/>
      <c r="W149" s="107"/>
    </row>
    <row r="150" spans="1:24" ht="26.25" hidden="1" customHeight="1" x14ac:dyDescent="0.25">
      <c r="A150" s="107" t="s">
        <v>709</v>
      </c>
      <c r="B150" s="107" t="s">
        <v>134</v>
      </c>
      <c r="C150" t="s">
        <v>8</v>
      </c>
      <c r="I150" s="107" t="s">
        <v>710</v>
      </c>
      <c r="J150">
        <f t="shared" si="16"/>
        <v>77051.199999999997</v>
      </c>
      <c r="K150">
        <f t="shared" si="16"/>
        <v>77051.199999999997</v>
      </c>
      <c r="L150">
        <f t="shared" si="16"/>
        <v>0</v>
      </c>
      <c r="M150">
        <f t="shared" si="16"/>
        <v>0</v>
      </c>
      <c r="N150">
        <f t="shared" si="16"/>
        <v>0</v>
      </c>
      <c r="O150" s="107" t="s">
        <v>134</v>
      </c>
      <c r="P150" t="s">
        <v>8</v>
      </c>
      <c r="Q150">
        <f>'[3]Пр ГП 19-20'!E275</f>
        <v>77051.199999999997</v>
      </c>
      <c r="R150">
        <f>'[3]Пр ГП 19-20'!F275</f>
        <v>77051.199999999997</v>
      </c>
      <c r="S150">
        <f>'[3]Пр ГП 19-20'!G275</f>
        <v>0</v>
      </c>
      <c r="T150">
        <f>'[3]Пр ГП 19-20'!H275</f>
        <v>0</v>
      </c>
      <c r="U150">
        <f>'[3]Пр ГП 19-20'!I275</f>
        <v>0</v>
      </c>
      <c r="V150" s="107" t="s">
        <v>710</v>
      </c>
      <c r="W150" s="107"/>
    </row>
    <row r="151" spans="1:24" ht="21" hidden="1" customHeight="1" x14ac:dyDescent="0.25">
      <c r="A151" s="107"/>
      <c r="B151" s="107"/>
      <c r="C151">
        <v>2019</v>
      </c>
      <c r="I151" s="107"/>
      <c r="J151">
        <f t="shared" si="16"/>
        <v>29163.3</v>
      </c>
      <c r="K151">
        <f t="shared" si="16"/>
        <v>29163.3</v>
      </c>
      <c r="L151">
        <f t="shared" si="16"/>
        <v>0</v>
      </c>
      <c r="M151">
        <f t="shared" si="16"/>
        <v>0</v>
      </c>
      <c r="N151">
        <f t="shared" si="16"/>
        <v>0</v>
      </c>
      <c r="O151" s="107"/>
      <c r="P151">
        <v>2019</v>
      </c>
      <c r="Q151">
        <f>'[3]Пр ГП 19-20'!E276</f>
        <v>29163.3</v>
      </c>
      <c r="R151">
        <f>'[3]Пр ГП 19-20'!F276</f>
        <v>29163.3</v>
      </c>
      <c r="S151">
        <f>'[3]Пр ГП 19-20'!G276</f>
        <v>0</v>
      </c>
      <c r="T151">
        <f>'[3]Пр ГП 19-20'!H276</f>
        <v>0</v>
      </c>
      <c r="U151">
        <f>'[3]Пр ГП 19-20'!I276</f>
        <v>0</v>
      </c>
      <c r="V151" s="107"/>
      <c r="W151" s="107"/>
    </row>
    <row r="152" spans="1:24" ht="26.25" hidden="1" customHeight="1" x14ac:dyDescent="0.25">
      <c r="A152" s="107"/>
      <c r="B152" s="107"/>
      <c r="C152">
        <v>2020</v>
      </c>
      <c r="I152" s="107"/>
      <c r="J152">
        <f t="shared" si="16"/>
        <v>47887.9</v>
      </c>
      <c r="K152">
        <f t="shared" si="16"/>
        <v>47887.9</v>
      </c>
      <c r="L152">
        <f t="shared" si="16"/>
        <v>0</v>
      </c>
      <c r="M152">
        <f t="shared" si="16"/>
        <v>0</v>
      </c>
      <c r="N152">
        <f t="shared" si="16"/>
        <v>0</v>
      </c>
      <c r="O152" s="107"/>
      <c r="P152">
        <v>2020</v>
      </c>
      <c r="Q152">
        <f>'[3]Пр ГП 19-20'!E277</f>
        <v>47887.9</v>
      </c>
      <c r="R152">
        <f>'[3]Пр ГП 19-20'!F277</f>
        <v>47887.9</v>
      </c>
      <c r="S152">
        <f>'[3]Пр ГП 19-20'!G277</f>
        <v>0</v>
      </c>
      <c r="T152">
        <f>'[3]Пр ГП 19-20'!H277</f>
        <v>0</v>
      </c>
      <c r="U152">
        <f>'[3]Пр ГП 19-20'!I277</f>
        <v>0</v>
      </c>
      <c r="V152" s="107"/>
      <c r="W152" s="107"/>
    </row>
    <row r="153" spans="1:24" ht="26.25" hidden="1" customHeight="1" x14ac:dyDescent="0.25">
      <c r="A153" s="107" t="s">
        <v>711</v>
      </c>
      <c r="B153" s="107" t="s">
        <v>712</v>
      </c>
      <c r="C153" t="s">
        <v>8</v>
      </c>
      <c r="I153" s="107" t="s">
        <v>713</v>
      </c>
      <c r="J153">
        <f t="shared" si="16"/>
        <v>77051.199999999997</v>
      </c>
      <c r="K153">
        <f t="shared" si="16"/>
        <v>77051.199999999997</v>
      </c>
      <c r="L153">
        <f t="shared" si="16"/>
        <v>0</v>
      </c>
      <c r="M153">
        <f t="shared" si="16"/>
        <v>0</v>
      </c>
      <c r="N153">
        <f t="shared" si="16"/>
        <v>0</v>
      </c>
      <c r="O153" s="107" t="s">
        <v>712</v>
      </c>
      <c r="P153" t="s">
        <v>8</v>
      </c>
      <c r="Q153">
        <f>'[3]Пр ГП 19-20'!E278</f>
        <v>77051.199999999997</v>
      </c>
      <c r="R153">
        <f>'[3]Пр ГП 19-20'!F278</f>
        <v>77051.199999999997</v>
      </c>
      <c r="S153">
        <f>'[3]Пр ГП 19-20'!G278</f>
        <v>0</v>
      </c>
      <c r="T153">
        <f>'[3]Пр ГП 19-20'!H278</f>
        <v>0</v>
      </c>
      <c r="U153">
        <f>'[3]Пр ГП 19-20'!I278</f>
        <v>0</v>
      </c>
      <c r="V153" s="107" t="s">
        <v>713</v>
      </c>
      <c r="W153" s="107" t="s">
        <v>714</v>
      </c>
    </row>
    <row r="154" spans="1:24" ht="26.25" hidden="1" customHeight="1" x14ac:dyDescent="0.25">
      <c r="A154" s="107"/>
      <c r="B154" s="107"/>
      <c r="C154">
        <v>2019</v>
      </c>
      <c r="I154" s="107"/>
      <c r="J154">
        <f t="shared" si="16"/>
        <v>29163.3</v>
      </c>
      <c r="K154">
        <f t="shared" si="16"/>
        <v>29163.3</v>
      </c>
      <c r="L154">
        <f t="shared" si="16"/>
        <v>0</v>
      </c>
      <c r="M154">
        <f t="shared" si="16"/>
        <v>0</v>
      </c>
      <c r="N154">
        <f t="shared" si="16"/>
        <v>0</v>
      </c>
      <c r="O154" s="107"/>
      <c r="P154">
        <v>2019</v>
      </c>
      <c r="Q154">
        <f>'[3]Пр ГП 19-20'!E279</f>
        <v>29163.3</v>
      </c>
      <c r="R154">
        <f>'[3]Пр ГП 19-20'!F279</f>
        <v>29163.3</v>
      </c>
      <c r="S154">
        <f>'[3]Пр ГП 19-20'!G279</f>
        <v>0</v>
      </c>
      <c r="T154">
        <f>'[3]Пр ГП 19-20'!H279</f>
        <v>0</v>
      </c>
      <c r="U154">
        <f>'[3]Пр ГП 19-20'!I279</f>
        <v>0</v>
      </c>
      <c r="V154" s="107"/>
      <c r="W154" s="107"/>
    </row>
    <row r="155" spans="1:24" ht="26.25" hidden="1" customHeight="1" x14ac:dyDescent="0.25">
      <c r="A155" s="107"/>
      <c r="B155" s="107"/>
      <c r="C155">
        <v>2020</v>
      </c>
      <c r="I155" s="107"/>
      <c r="J155">
        <f t="shared" si="16"/>
        <v>47887.9</v>
      </c>
      <c r="K155">
        <f t="shared" si="16"/>
        <v>47887.9</v>
      </c>
      <c r="L155">
        <f t="shared" si="16"/>
        <v>0</v>
      </c>
      <c r="M155">
        <f t="shared" si="16"/>
        <v>0</v>
      </c>
      <c r="N155">
        <f t="shared" si="16"/>
        <v>0</v>
      </c>
      <c r="O155" s="107"/>
      <c r="P155">
        <v>2020</v>
      </c>
      <c r="Q155">
        <f>'[3]Пр ГП 19-20'!E280</f>
        <v>47887.9</v>
      </c>
      <c r="R155">
        <f>'[3]Пр ГП 19-20'!F280</f>
        <v>47887.9</v>
      </c>
      <c r="S155">
        <f>'[3]Пр ГП 19-20'!G280</f>
        <v>0</v>
      </c>
      <c r="T155">
        <f>'[3]Пр ГП 19-20'!H280</f>
        <v>0</v>
      </c>
      <c r="U155">
        <f>'[3]Пр ГП 19-20'!I280</f>
        <v>0</v>
      </c>
      <c r="V155" s="107"/>
      <c r="W155" s="107"/>
    </row>
    <row r="156" spans="1:24" ht="26.25" hidden="1" customHeight="1" x14ac:dyDescent="0.25">
      <c r="A156" s="107" t="s">
        <v>584</v>
      </c>
      <c r="B156" s="107" t="s">
        <v>424</v>
      </c>
      <c r="C156" t="s">
        <v>8</v>
      </c>
      <c r="I156" s="107" t="s">
        <v>585</v>
      </c>
      <c r="J156" t="e">
        <f t="shared" si="16"/>
        <v>#REF!</v>
      </c>
      <c r="K156" t="e">
        <f t="shared" si="16"/>
        <v>#REF!</v>
      </c>
      <c r="L156" t="e">
        <f t="shared" si="16"/>
        <v>#REF!</v>
      </c>
      <c r="M156" t="e">
        <f t="shared" si="16"/>
        <v>#REF!</v>
      </c>
      <c r="N156" t="e">
        <f t="shared" si="16"/>
        <v>#REF!</v>
      </c>
      <c r="O156" s="107" t="s">
        <v>715</v>
      </c>
      <c r="P156" t="s">
        <v>8</v>
      </c>
      <c r="Q156" t="e">
        <f>#REF!</f>
        <v>#REF!</v>
      </c>
      <c r="R156" t="e">
        <f>#REF!</f>
        <v>#REF!</v>
      </c>
      <c r="S156" t="e">
        <f>#REF!</f>
        <v>#REF!</v>
      </c>
      <c r="T156" t="e">
        <f>#REF!</f>
        <v>#REF!</v>
      </c>
      <c r="U156" t="e">
        <f>#REF!</f>
        <v>#REF!</v>
      </c>
      <c r="V156" s="107"/>
      <c r="W156" s="107" t="s">
        <v>716</v>
      </c>
    </row>
    <row r="157" spans="1:24" ht="26.25" hidden="1" customHeight="1" x14ac:dyDescent="0.25">
      <c r="A157" s="107"/>
      <c r="B157" s="107"/>
      <c r="C157">
        <v>2021</v>
      </c>
      <c r="I157" s="107"/>
      <c r="J157" t="e">
        <f t="shared" si="16"/>
        <v>#REF!</v>
      </c>
      <c r="K157" t="e">
        <f t="shared" si="16"/>
        <v>#REF!</v>
      </c>
      <c r="L157" t="e">
        <f t="shared" si="16"/>
        <v>#REF!</v>
      </c>
      <c r="M157" t="e">
        <f t="shared" si="16"/>
        <v>#REF!</v>
      </c>
      <c r="N157" t="e">
        <f t="shared" si="16"/>
        <v>#REF!</v>
      </c>
      <c r="O157" s="107"/>
      <c r="P157">
        <v>2021</v>
      </c>
      <c r="Q157" t="e">
        <f>#REF!</f>
        <v>#REF!</v>
      </c>
      <c r="R157" t="e">
        <f>#REF!</f>
        <v>#REF!</v>
      </c>
      <c r="S157" t="e">
        <f>#REF!</f>
        <v>#REF!</v>
      </c>
      <c r="T157" t="e">
        <f>#REF!</f>
        <v>#REF!</v>
      </c>
      <c r="U157" t="e">
        <f>#REF!</f>
        <v>#REF!</v>
      </c>
      <c r="V157" s="107"/>
      <c r="W157" s="107"/>
    </row>
    <row r="158" spans="1:24" ht="26.25" hidden="1" customHeight="1" x14ac:dyDescent="0.25">
      <c r="A158" s="107" t="s">
        <v>589</v>
      </c>
      <c r="B158" s="107" t="s">
        <v>642</v>
      </c>
      <c r="C158" t="s">
        <v>8</v>
      </c>
      <c r="I158" s="107"/>
      <c r="J158" t="e">
        <f t="shared" si="16"/>
        <v>#REF!</v>
      </c>
      <c r="K158" t="e">
        <f t="shared" si="16"/>
        <v>#REF!</v>
      </c>
      <c r="L158" t="e">
        <f t="shared" si="16"/>
        <v>#REF!</v>
      </c>
      <c r="M158" t="e">
        <f t="shared" si="16"/>
        <v>#REF!</v>
      </c>
      <c r="N158" t="e">
        <f t="shared" si="16"/>
        <v>#REF!</v>
      </c>
      <c r="O158" s="107" t="s">
        <v>590</v>
      </c>
      <c r="P158" t="s">
        <v>8</v>
      </c>
      <c r="Q158" t="e">
        <f>#REF!</f>
        <v>#REF!</v>
      </c>
      <c r="R158" t="e">
        <f>#REF!</f>
        <v>#REF!</v>
      </c>
      <c r="S158" t="e">
        <f>#REF!</f>
        <v>#REF!</v>
      </c>
      <c r="T158" t="e">
        <f>#REF!</f>
        <v>#REF!</v>
      </c>
      <c r="U158" t="e">
        <f>#REF!</f>
        <v>#REF!</v>
      </c>
      <c r="V158" s="107" t="s">
        <v>717</v>
      </c>
      <c r="W158" s="107" t="s">
        <v>718</v>
      </c>
    </row>
    <row r="159" spans="1:24" ht="26.25" hidden="1" customHeight="1" x14ac:dyDescent="0.25">
      <c r="A159" s="107"/>
      <c r="B159" s="107"/>
      <c r="C159">
        <v>2021</v>
      </c>
      <c r="I159" s="107"/>
      <c r="J159" t="e">
        <f t="shared" si="16"/>
        <v>#REF!</v>
      </c>
      <c r="K159" t="e">
        <f t="shared" si="16"/>
        <v>#REF!</v>
      </c>
      <c r="L159" t="e">
        <f t="shared" si="16"/>
        <v>#REF!</v>
      </c>
      <c r="M159" t="e">
        <f t="shared" si="16"/>
        <v>#REF!</v>
      </c>
      <c r="N159" t="e">
        <f t="shared" si="16"/>
        <v>#REF!</v>
      </c>
      <c r="O159" s="107"/>
      <c r="P159">
        <v>2021</v>
      </c>
      <c r="Q159" t="e">
        <f>#REF!</f>
        <v>#REF!</v>
      </c>
      <c r="R159" t="e">
        <f>#REF!</f>
        <v>#REF!</v>
      </c>
      <c r="S159" t="e">
        <f>#REF!</f>
        <v>#REF!</v>
      </c>
      <c r="T159" t="e">
        <f>#REF!</f>
        <v>#REF!</v>
      </c>
      <c r="U159" t="e">
        <f>#REF!</f>
        <v>#REF!</v>
      </c>
      <c r="V159" s="107"/>
      <c r="W159" s="107"/>
    </row>
    <row r="160" spans="1:24" ht="26.25" hidden="1" customHeight="1" x14ac:dyDescent="0.25">
      <c r="A160" s="107" t="s">
        <v>592</v>
      </c>
      <c r="B160" s="107" t="s">
        <v>642</v>
      </c>
      <c r="C160" t="s">
        <v>8</v>
      </c>
      <c r="I160" s="107"/>
      <c r="J160">
        <f t="shared" si="16"/>
        <v>0</v>
      </c>
      <c r="K160">
        <f t="shared" si="16"/>
        <v>0</v>
      </c>
      <c r="L160">
        <f t="shared" si="16"/>
        <v>0</v>
      </c>
      <c r="M160">
        <f t="shared" si="16"/>
        <v>0</v>
      </c>
      <c r="N160">
        <f t="shared" si="16"/>
        <v>0</v>
      </c>
      <c r="O160" s="107" t="s">
        <v>593</v>
      </c>
      <c r="P160" t="s">
        <v>8</v>
      </c>
      <c r="V160" s="107" t="s">
        <v>717</v>
      </c>
      <c r="W160" s="107" t="s">
        <v>719</v>
      </c>
    </row>
    <row r="161" spans="1:23" ht="26.25" hidden="1" customHeight="1" x14ac:dyDescent="0.25">
      <c r="A161" s="107"/>
      <c r="B161" s="107"/>
      <c r="C161">
        <v>2021</v>
      </c>
      <c r="I161" s="107"/>
      <c r="J161">
        <f t="shared" si="16"/>
        <v>0</v>
      </c>
      <c r="K161">
        <f t="shared" si="16"/>
        <v>0</v>
      </c>
      <c r="L161">
        <f t="shared" si="16"/>
        <v>0</v>
      </c>
      <c r="M161">
        <f t="shared" si="16"/>
        <v>0</v>
      </c>
      <c r="N161">
        <f t="shared" si="16"/>
        <v>0</v>
      </c>
      <c r="O161" s="107"/>
      <c r="P161">
        <v>2021</v>
      </c>
      <c r="V161" s="107"/>
      <c r="W161" s="107"/>
    </row>
    <row r="162" spans="1:23" ht="26.25" hidden="1" customHeight="1" x14ac:dyDescent="0.25">
      <c r="A162" s="107" t="s">
        <v>592</v>
      </c>
      <c r="B162" s="107" t="s">
        <v>642</v>
      </c>
      <c r="C162" t="s">
        <v>8</v>
      </c>
      <c r="I162" s="107"/>
      <c r="J162" t="e">
        <f t="shared" si="16"/>
        <v>#REF!</v>
      </c>
      <c r="K162" t="e">
        <f t="shared" si="16"/>
        <v>#REF!</v>
      </c>
      <c r="L162" t="e">
        <f t="shared" si="16"/>
        <v>#REF!</v>
      </c>
      <c r="M162" t="e">
        <f t="shared" si="16"/>
        <v>#REF!</v>
      </c>
      <c r="N162" t="e">
        <f t="shared" si="16"/>
        <v>#REF!</v>
      </c>
      <c r="O162" s="107" t="s">
        <v>595</v>
      </c>
      <c r="P162" t="s">
        <v>8</v>
      </c>
      <c r="Q162" t="e">
        <f>#REF!</f>
        <v>#REF!</v>
      </c>
      <c r="R162" t="e">
        <f>#REF!</f>
        <v>#REF!</v>
      </c>
      <c r="S162" t="e">
        <f>#REF!</f>
        <v>#REF!</v>
      </c>
      <c r="T162" t="e">
        <f>#REF!</f>
        <v>#REF!</v>
      </c>
      <c r="U162" t="e">
        <f>#REF!</f>
        <v>#REF!</v>
      </c>
      <c r="V162" s="107" t="s">
        <v>720</v>
      </c>
      <c r="W162" s="107" t="s">
        <v>721</v>
      </c>
    </row>
    <row r="163" spans="1:23" ht="7.5" hidden="1" customHeight="1" x14ac:dyDescent="0.25">
      <c r="A163" s="107"/>
      <c r="B163" s="107"/>
      <c r="C163">
        <v>2021</v>
      </c>
      <c r="I163" s="107"/>
      <c r="J163" t="e">
        <f t="shared" si="16"/>
        <v>#REF!</v>
      </c>
      <c r="K163" t="e">
        <f t="shared" si="16"/>
        <v>#REF!</v>
      </c>
      <c r="L163" t="e">
        <f t="shared" si="16"/>
        <v>#REF!</v>
      </c>
      <c r="M163" t="e">
        <f t="shared" si="16"/>
        <v>#REF!</v>
      </c>
      <c r="N163" t="e">
        <f t="shared" si="16"/>
        <v>#REF!</v>
      </c>
      <c r="O163" s="107"/>
      <c r="P163">
        <v>2021</v>
      </c>
      <c r="Q163" t="e">
        <f>#REF!</f>
        <v>#REF!</v>
      </c>
      <c r="R163" t="e">
        <f>#REF!</f>
        <v>#REF!</v>
      </c>
      <c r="S163" t="e">
        <f>#REF!</f>
        <v>#REF!</v>
      </c>
      <c r="T163" t="e">
        <f>#REF!</f>
        <v>#REF!</v>
      </c>
      <c r="U163" t="e">
        <f>#REF!</f>
        <v>#REF!</v>
      </c>
      <c r="V163" s="107"/>
      <c r="W163" s="107"/>
    </row>
    <row r="164" spans="1:23" ht="27.75" hidden="1" customHeight="1" x14ac:dyDescent="0.25">
      <c r="A164" s="107" t="s">
        <v>722</v>
      </c>
      <c r="B164" s="107" t="s">
        <v>642</v>
      </c>
      <c r="C164" t="s">
        <v>8</v>
      </c>
      <c r="J164" t="e">
        <f t="shared" si="16"/>
        <v>#REF!</v>
      </c>
      <c r="K164" t="e">
        <f t="shared" si="16"/>
        <v>#REF!</v>
      </c>
      <c r="L164" t="e">
        <f t="shared" si="16"/>
        <v>#REF!</v>
      </c>
      <c r="M164" t="e">
        <f t="shared" si="16"/>
        <v>#REF!</v>
      </c>
      <c r="N164" t="e">
        <f t="shared" si="16"/>
        <v>#REF!</v>
      </c>
      <c r="O164" s="107" t="s">
        <v>599</v>
      </c>
      <c r="P164" t="s">
        <v>8</v>
      </c>
      <c r="Q164" t="e">
        <f>#REF!</f>
        <v>#REF!</v>
      </c>
      <c r="R164" t="e">
        <f>#REF!</f>
        <v>#REF!</v>
      </c>
      <c r="S164" t="e">
        <f>#REF!</f>
        <v>#REF!</v>
      </c>
      <c r="T164" t="e">
        <f>#REF!</f>
        <v>#REF!</v>
      </c>
      <c r="U164" t="e">
        <f>#REF!</f>
        <v>#REF!</v>
      </c>
      <c r="V164" s="107"/>
      <c r="W164" s="107" t="s">
        <v>723</v>
      </c>
    </row>
    <row r="165" spans="1:23" ht="27.75" hidden="1" customHeight="1" x14ac:dyDescent="0.25">
      <c r="A165" s="107"/>
      <c r="B165" s="107"/>
      <c r="C165">
        <v>2021</v>
      </c>
      <c r="J165" t="e">
        <f t="shared" si="16"/>
        <v>#REF!</v>
      </c>
      <c r="K165" t="e">
        <f t="shared" si="16"/>
        <v>#REF!</v>
      </c>
      <c r="L165" t="e">
        <f t="shared" si="16"/>
        <v>#REF!</v>
      </c>
      <c r="M165" t="e">
        <f t="shared" si="16"/>
        <v>#REF!</v>
      </c>
      <c r="N165" t="e">
        <f t="shared" si="16"/>
        <v>#REF!</v>
      </c>
      <c r="O165" s="107"/>
      <c r="P165">
        <v>2021</v>
      </c>
      <c r="Q165" t="e">
        <f>#REF!</f>
        <v>#REF!</v>
      </c>
      <c r="R165" t="e">
        <f>#REF!</f>
        <v>#REF!</v>
      </c>
      <c r="S165" t="e">
        <f>#REF!</f>
        <v>#REF!</v>
      </c>
      <c r="T165" t="e">
        <f>#REF!</f>
        <v>#REF!</v>
      </c>
      <c r="U165" t="e">
        <f>#REF!</f>
        <v>#REF!</v>
      </c>
      <c r="V165" s="107"/>
      <c r="W165" s="107"/>
    </row>
    <row r="166" spans="1:23" ht="19.5" customHeight="1" x14ac:dyDescent="0.25">
      <c r="A166" s="107" t="s">
        <v>131</v>
      </c>
      <c r="B166" s="107" t="s">
        <v>132</v>
      </c>
      <c r="C166" t="s">
        <v>8</v>
      </c>
      <c r="D166">
        <f>'План реализации _ 10'!E396</f>
        <v>204494.43990999996</v>
      </c>
      <c r="E166">
        <f>'План реализации _ 10'!F396</f>
        <v>204494.43990999996</v>
      </c>
      <c r="F166">
        <f>'План реализации _ 10'!G396</f>
        <v>0</v>
      </c>
      <c r="G166">
        <f>'План реализации _ 10'!H396</f>
        <v>0</v>
      </c>
      <c r="H166">
        <f>'План реализации _ 10'!I396</f>
        <v>0</v>
      </c>
      <c r="I166" s="107"/>
      <c r="J166">
        <f t="shared" si="16"/>
        <v>1275.363330000022</v>
      </c>
      <c r="K166">
        <f t="shared" si="16"/>
        <v>1275.363330000022</v>
      </c>
      <c r="L166">
        <f t="shared" si="16"/>
        <v>0</v>
      </c>
      <c r="M166">
        <f t="shared" si="16"/>
        <v>0</v>
      </c>
      <c r="N166">
        <f t="shared" si="16"/>
        <v>0</v>
      </c>
      <c r="O166" s="107" t="s">
        <v>132</v>
      </c>
      <c r="P166" t="s">
        <v>8</v>
      </c>
      <c r="Q166">
        <f>'План реализации _ 11'!E408</f>
        <v>205769.80323999998</v>
      </c>
      <c r="R166">
        <f>'План реализации _ 11'!F408</f>
        <v>205769.80323999998</v>
      </c>
      <c r="S166">
        <f>'План реализации _ 11'!G408</f>
        <v>0</v>
      </c>
      <c r="T166">
        <f>'План реализации _ 11'!H408</f>
        <v>0</v>
      </c>
      <c r="U166">
        <f>'План реализации _ 11'!I408</f>
        <v>0</v>
      </c>
      <c r="V166" s="107"/>
      <c r="W166" s="107"/>
    </row>
    <row r="167" spans="1:23" ht="19.5" customHeight="1" x14ac:dyDescent="0.25">
      <c r="A167" s="107"/>
      <c r="B167" s="107"/>
      <c r="C167">
        <v>2021</v>
      </c>
      <c r="D167">
        <f>'План реализации _ 10'!E397</f>
        <v>39008.536670000001</v>
      </c>
      <c r="E167">
        <f>'План реализации _ 10'!F397</f>
        <v>39008.536670000001</v>
      </c>
      <c r="F167">
        <f>'План реализации _ 10'!G397</f>
        <v>0</v>
      </c>
      <c r="G167">
        <f>'План реализации _ 10'!H397</f>
        <v>0</v>
      </c>
      <c r="H167">
        <f>'План реализации _ 10'!I397</f>
        <v>0</v>
      </c>
      <c r="I167" s="107"/>
      <c r="J167">
        <f t="shared" si="16"/>
        <v>1275.3633300000001</v>
      </c>
      <c r="K167">
        <f t="shared" si="16"/>
        <v>1275.3633300000001</v>
      </c>
      <c r="L167">
        <f t="shared" si="16"/>
        <v>0</v>
      </c>
      <c r="M167">
        <f t="shared" si="16"/>
        <v>0</v>
      </c>
      <c r="N167">
        <f t="shared" si="16"/>
        <v>0</v>
      </c>
      <c r="O167" s="107"/>
      <c r="P167">
        <v>2021</v>
      </c>
      <c r="Q167">
        <f>'План реализации _ 11'!E409</f>
        <v>40283.9</v>
      </c>
      <c r="R167">
        <f>'План реализации _ 11'!F409</f>
        <v>40283.9</v>
      </c>
      <c r="S167">
        <f>'План реализации _ 11'!G409</f>
        <v>0</v>
      </c>
      <c r="T167">
        <f>'План реализации _ 11'!H409</f>
        <v>0</v>
      </c>
      <c r="U167">
        <f>'План реализации _ 11'!I409</f>
        <v>0</v>
      </c>
      <c r="V167" s="107"/>
      <c r="W167" s="107"/>
    </row>
    <row r="168" spans="1:23" ht="24" customHeight="1" x14ac:dyDescent="0.25">
      <c r="A168" s="107" t="s">
        <v>724</v>
      </c>
      <c r="B168" s="107" t="s">
        <v>134</v>
      </c>
      <c r="C168" t="s">
        <v>8</v>
      </c>
      <c r="D168">
        <f>'План реализации _ 10'!E408</f>
        <v>204494.43990999996</v>
      </c>
      <c r="E168">
        <f>'План реализации _ 10'!F408</f>
        <v>204494.43990999996</v>
      </c>
      <c r="F168">
        <f>'План реализации _ 10'!G408</f>
        <v>0</v>
      </c>
      <c r="G168">
        <f>'План реализации _ 10'!H408</f>
        <v>0</v>
      </c>
      <c r="H168">
        <f>'План реализации _ 10'!I408</f>
        <v>0</v>
      </c>
      <c r="I168" s="107"/>
      <c r="J168">
        <f t="shared" si="16"/>
        <v>1275.363330000022</v>
      </c>
      <c r="K168">
        <f t="shared" si="16"/>
        <v>1275.363330000022</v>
      </c>
      <c r="L168">
        <f t="shared" si="16"/>
        <v>0</v>
      </c>
      <c r="M168">
        <f t="shared" si="16"/>
        <v>0</v>
      </c>
      <c r="N168">
        <f t="shared" si="16"/>
        <v>0</v>
      </c>
      <c r="O168" s="107" t="s">
        <v>134</v>
      </c>
      <c r="P168" t="s">
        <v>8</v>
      </c>
      <c r="Q168">
        <f>'План реализации _ 11'!E414</f>
        <v>205769.80323999998</v>
      </c>
      <c r="R168">
        <f>'План реализации _ 11'!F414</f>
        <v>205769.80323999998</v>
      </c>
      <c r="S168">
        <f>'План реализации _ 11'!G414</f>
        <v>0</v>
      </c>
      <c r="T168">
        <f>'План реализации _ 11'!H414</f>
        <v>0</v>
      </c>
      <c r="U168">
        <f>'План реализации _ 11'!I414</f>
        <v>0</v>
      </c>
      <c r="V168" s="107"/>
      <c r="W168" s="107"/>
    </row>
    <row r="169" spans="1:23" ht="24" customHeight="1" x14ac:dyDescent="0.25">
      <c r="A169" s="107"/>
      <c r="B169" s="107"/>
      <c r="C169">
        <v>2021</v>
      </c>
      <c r="D169">
        <f>'План реализации _ 10'!E409</f>
        <v>39008.536670000001</v>
      </c>
      <c r="E169">
        <f>'План реализации _ 10'!F409</f>
        <v>39008.536670000001</v>
      </c>
      <c r="F169">
        <f>'План реализации _ 10'!G409</f>
        <v>0</v>
      </c>
      <c r="G169">
        <f>'План реализации _ 10'!H409</f>
        <v>0</v>
      </c>
      <c r="H169">
        <f>'План реализации _ 10'!I399</f>
        <v>0</v>
      </c>
      <c r="I169" s="107"/>
      <c r="J169">
        <f t="shared" si="16"/>
        <v>1275.3633300000001</v>
      </c>
      <c r="K169">
        <f t="shared" si="16"/>
        <v>1275.3633300000001</v>
      </c>
      <c r="L169">
        <f t="shared" si="16"/>
        <v>0</v>
      </c>
      <c r="M169">
        <f t="shared" si="16"/>
        <v>0</v>
      </c>
      <c r="N169">
        <f t="shared" si="16"/>
        <v>0</v>
      </c>
      <c r="O169" s="107"/>
      <c r="P169">
        <v>2021</v>
      </c>
      <c r="Q169">
        <f>'План реализации _ 11'!E415</f>
        <v>40283.9</v>
      </c>
      <c r="R169">
        <f>'План реализации _ 11'!F415</f>
        <v>40283.9</v>
      </c>
      <c r="S169">
        <f>'План реализации _ 11'!G415</f>
        <v>0</v>
      </c>
      <c r="T169">
        <f>'План реализации _ 11'!H415</f>
        <v>0</v>
      </c>
      <c r="U169">
        <f>'План реализации _ 11'!I415</f>
        <v>0</v>
      </c>
      <c r="V169" s="107"/>
      <c r="W169" s="107"/>
    </row>
    <row r="170" spans="1:23" ht="23.25" customHeight="1" x14ac:dyDescent="0.25">
      <c r="A170" s="107" t="s">
        <v>135</v>
      </c>
      <c r="B170" s="107" t="s">
        <v>606</v>
      </c>
      <c r="C170" t="s">
        <v>8</v>
      </c>
      <c r="D170">
        <f>'План реализации _ 10'!E408</f>
        <v>204494.43990999996</v>
      </c>
      <c r="E170">
        <f>'План реализации _ 10'!F408</f>
        <v>204494.43990999996</v>
      </c>
      <c r="F170">
        <f>'План реализации _ 10'!G408</f>
        <v>0</v>
      </c>
      <c r="G170">
        <f>'План реализации _ 10'!H408</f>
        <v>0</v>
      </c>
      <c r="H170">
        <f>'План реализации _ 10'!I408</f>
        <v>0</v>
      </c>
      <c r="I170" s="107" t="s">
        <v>607</v>
      </c>
      <c r="J170">
        <f t="shared" si="16"/>
        <v>1275.363330000022</v>
      </c>
      <c r="K170">
        <f t="shared" si="16"/>
        <v>1275.363330000022</v>
      </c>
      <c r="L170">
        <f t="shared" si="16"/>
        <v>0</v>
      </c>
      <c r="M170">
        <f t="shared" si="16"/>
        <v>0</v>
      </c>
      <c r="N170">
        <f t="shared" si="16"/>
        <v>0</v>
      </c>
      <c r="O170" s="107" t="s">
        <v>606</v>
      </c>
      <c r="P170" t="s">
        <v>8</v>
      </c>
      <c r="Q170">
        <f>'План реализации _ 11'!E420</f>
        <v>205769.80323999998</v>
      </c>
      <c r="R170">
        <f>'План реализации _ 11'!F420</f>
        <v>205769.80323999998</v>
      </c>
      <c r="S170">
        <f>'План реализации _ 11'!G420</f>
        <v>0</v>
      </c>
      <c r="T170">
        <f>'План реализации _ 11'!H420</f>
        <v>0</v>
      </c>
      <c r="U170">
        <f>'План реализации _ 11'!I420</f>
        <v>0</v>
      </c>
      <c r="V170" s="107" t="s">
        <v>607</v>
      </c>
      <c r="W170" s="107" t="s">
        <v>725</v>
      </c>
    </row>
    <row r="171" spans="1:23" ht="23.25" customHeight="1" x14ac:dyDescent="0.25">
      <c r="A171" s="107"/>
      <c r="B171" s="107"/>
      <c r="C171">
        <v>2021</v>
      </c>
      <c r="D171">
        <f>'План реализации _ 10'!E409</f>
        <v>39008.536670000001</v>
      </c>
      <c r="E171">
        <f>'План реализации _ 10'!F409</f>
        <v>39008.536670000001</v>
      </c>
      <c r="F171">
        <f>'План реализации _ 10'!G409</f>
        <v>0</v>
      </c>
      <c r="G171">
        <f>'План реализации _ 10'!H409</f>
        <v>0</v>
      </c>
      <c r="H171">
        <f>'План реализации _ 10'!I409</f>
        <v>0</v>
      </c>
      <c r="I171" s="107"/>
      <c r="J171">
        <f t="shared" si="16"/>
        <v>1275.3633300000001</v>
      </c>
      <c r="K171">
        <f t="shared" si="16"/>
        <v>1275.3633300000001</v>
      </c>
      <c r="L171">
        <f t="shared" si="16"/>
        <v>0</v>
      </c>
      <c r="M171">
        <f t="shared" si="16"/>
        <v>0</v>
      </c>
      <c r="N171">
        <f>U171-H171</f>
        <v>0</v>
      </c>
      <c r="O171" s="107"/>
      <c r="P171">
        <v>2021</v>
      </c>
      <c r="Q171">
        <f>'План реализации _ 11'!E421</f>
        <v>40283.9</v>
      </c>
      <c r="R171">
        <f>'План реализации _ 11'!F421</f>
        <v>40283.9</v>
      </c>
      <c r="S171">
        <f>'План реализации _ 11'!G421</f>
        <v>0</v>
      </c>
      <c r="T171">
        <f>'План реализации _ 11'!H421</f>
        <v>0</v>
      </c>
      <c r="U171">
        <f>'План реализации _ 11'!I421</f>
        <v>0</v>
      </c>
      <c r="V171" s="107"/>
      <c r="W171" s="107"/>
    </row>
    <row r="178" spans="9:9" x14ac:dyDescent="0.25">
      <c r="I178">
        <f>G103+M103</f>
        <v>29734.1</v>
      </c>
    </row>
  </sheetData>
  <mergeCells count="403">
    <mergeCell ref="A168:A169"/>
    <mergeCell ref="B168:B169"/>
    <mergeCell ref="I168:I169"/>
    <mergeCell ref="O168:O169"/>
    <mergeCell ref="V168:V169"/>
    <mergeCell ref="W168:W169"/>
    <mergeCell ref="A170:A171"/>
    <mergeCell ref="B170:B171"/>
    <mergeCell ref="I170:I171"/>
    <mergeCell ref="O170:O171"/>
    <mergeCell ref="V170:V171"/>
    <mergeCell ref="W170:W171"/>
    <mergeCell ref="A164:A165"/>
    <mergeCell ref="B164:B165"/>
    <mergeCell ref="O164:O165"/>
    <mergeCell ref="V164:V165"/>
    <mergeCell ref="W164:W165"/>
    <mergeCell ref="A166:A167"/>
    <mergeCell ref="B166:B167"/>
    <mergeCell ref="I166:I167"/>
    <mergeCell ref="O166:O167"/>
    <mergeCell ref="V166:V167"/>
    <mergeCell ref="W166:W167"/>
    <mergeCell ref="A160:A161"/>
    <mergeCell ref="B160:B161"/>
    <mergeCell ref="I160:I161"/>
    <mergeCell ref="O160:O161"/>
    <mergeCell ref="V160:V161"/>
    <mergeCell ref="W160:W161"/>
    <mergeCell ref="A162:A163"/>
    <mergeCell ref="B162:B163"/>
    <mergeCell ref="I162:I163"/>
    <mergeCell ref="O162:O163"/>
    <mergeCell ref="V162:V163"/>
    <mergeCell ref="W162:W163"/>
    <mergeCell ref="A156:A157"/>
    <mergeCell ref="B156:B157"/>
    <mergeCell ref="I156:I157"/>
    <mergeCell ref="O156:O157"/>
    <mergeCell ref="V156:V157"/>
    <mergeCell ref="W156:W157"/>
    <mergeCell ref="A158:A159"/>
    <mergeCell ref="B158:B159"/>
    <mergeCell ref="I158:I159"/>
    <mergeCell ref="O158:O159"/>
    <mergeCell ref="V158:V159"/>
    <mergeCell ref="W158:W159"/>
    <mergeCell ref="A150:A152"/>
    <mergeCell ref="B150:B152"/>
    <mergeCell ref="I150:I152"/>
    <mergeCell ref="O150:O152"/>
    <mergeCell ref="V150:V152"/>
    <mergeCell ref="W150:W152"/>
    <mergeCell ref="A153:A155"/>
    <mergeCell ref="B153:B155"/>
    <mergeCell ref="I153:I155"/>
    <mergeCell ref="O153:O155"/>
    <mergeCell ref="V153:V155"/>
    <mergeCell ref="W153:W155"/>
    <mergeCell ref="A144:A146"/>
    <mergeCell ref="B144:B146"/>
    <mergeCell ref="I144:I146"/>
    <mergeCell ref="O144:O146"/>
    <mergeCell ref="V144:V146"/>
    <mergeCell ref="W144:W146"/>
    <mergeCell ref="X144:X146"/>
    <mergeCell ref="A147:A149"/>
    <mergeCell ref="B147:B149"/>
    <mergeCell ref="I147:I149"/>
    <mergeCell ref="O147:O149"/>
    <mergeCell ref="V147:V149"/>
    <mergeCell ref="W147:W149"/>
    <mergeCell ref="A138:A140"/>
    <mergeCell ref="B138:B140"/>
    <mergeCell ref="I138:I140"/>
    <mergeCell ref="O138:O140"/>
    <mergeCell ref="V138:V140"/>
    <mergeCell ref="W138:W140"/>
    <mergeCell ref="A141:A143"/>
    <mergeCell ref="B141:B143"/>
    <mergeCell ref="I141:I143"/>
    <mergeCell ref="O141:O143"/>
    <mergeCell ref="V141:V143"/>
    <mergeCell ref="W141:W143"/>
    <mergeCell ref="A132:A134"/>
    <mergeCell ref="B132:B134"/>
    <mergeCell ref="I132:I134"/>
    <mergeCell ref="O132:O134"/>
    <mergeCell ref="V132:V134"/>
    <mergeCell ref="W132:W134"/>
    <mergeCell ref="A135:A137"/>
    <mergeCell ref="B135:B137"/>
    <mergeCell ref="I135:I137"/>
    <mergeCell ref="O135:O137"/>
    <mergeCell ref="V135:V137"/>
    <mergeCell ref="W135:W137"/>
    <mergeCell ref="A126:A128"/>
    <mergeCell ref="B126:B128"/>
    <mergeCell ref="I126:I128"/>
    <mergeCell ref="O126:O128"/>
    <mergeCell ref="V126:V128"/>
    <mergeCell ref="W126:W128"/>
    <mergeCell ref="A129:A131"/>
    <mergeCell ref="B129:B131"/>
    <mergeCell ref="I129:I131"/>
    <mergeCell ref="O129:O131"/>
    <mergeCell ref="V129:V131"/>
    <mergeCell ref="W129:W131"/>
    <mergeCell ref="A120:A122"/>
    <mergeCell ref="B120:B122"/>
    <mergeCell ref="I120:I122"/>
    <mergeCell ref="O120:O122"/>
    <mergeCell ref="V120:V122"/>
    <mergeCell ref="W120:W122"/>
    <mergeCell ref="A123:A125"/>
    <mergeCell ref="B123:B125"/>
    <mergeCell ref="I123:I125"/>
    <mergeCell ref="O123:O125"/>
    <mergeCell ref="V123:V125"/>
    <mergeCell ref="W123:W125"/>
    <mergeCell ref="A115:A116"/>
    <mergeCell ref="B115:B116"/>
    <mergeCell ref="I115:I116"/>
    <mergeCell ref="O115:O116"/>
    <mergeCell ref="V115:V116"/>
    <mergeCell ref="W115:W116"/>
    <mergeCell ref="A117:A119"/>
    <mergeCell ref="B117:B119"/>
    <mergeCell ref="I117:I119"/>
    <mergeCell ref="O117:O119"/>
    <mergeCell ref="V117:V119"/>
    <mergeCell ref="W117:W119"/>
    <mergeCell ref="A108:A109"/>
    <mergeCell ref="B108:B109"/>
    <mergeCell ref="I108:I109"/>
    <mergeCell ref="O108:O109"/>
    <mergeCell ref="V108:V109"/>
    <mergeCell ref="W108:W109"/>
    <mergeCell ref="A110:A114"/>
    <mergeCell ref="B110:B114"/>
    <mergeCell ref="I110:I114"/>
    <mergeCell ref="O110:O114"/>
    <mergeCell ref="V110:V114"/>
    <mergeCell ref="W110:W114"/>
    <mergeCell ref="A104:A105"/>
    <mergeCell ref="B104:B105"/>
    <mergeCell ref="I104:I105"/>
    <mergeCell ref="O104:O105"/>
    <mergeCell ref="V104:V105"/>
    <mergeCell ref="W104:W105"/>
    <mergeCell ref="A106:A107"/>
    <mergeCell ref="B106:B107"/>
    <mergeCell ref="I106:I107"/>
    <mergeCell ref="O106:O107"/>
    <mergeCell ref="V106:V107"/>
    <mergeCell ref="W106:W107"/>
    <mergeCell ref="A99:A101"/>
    <mergeCell ref="B99:B101"/>
    <mergeCell ref="I99:I101"/>
    <mergeCell ref="O99:O101"/>
    <mergeCell ref="V99:V101"/>
    <mergeCell ref="W99:W101"/>
    <mergeCell ref="X99:X101"/>
    <mergeCell ref="A102:A103"/>
    <mergeCell ref="B102:B103"/>
    <mergeCell ref="I102:I103"/>
    <mergeCell ref="O102:O103"/>
    <mergeCell ref="V102:V103"/>
    <mergeCell ref="W102:W103"/>
    <mergeCell ref="X90:X92"/>
    <mergeCell ref="A93:A95"/>
    <mergeCell ref="B93:B95"/>
    <mergeCell ref="I93:I95"/>
    <mergeCell ref="O93:O95"/>
    <mergeCell ref="V93:V95"/>
    <mergeCell ref="W93:W95"/>
    <mergeCell ref="X93:X95"/>
    <mergeCell ref="A96:A98"/>
    <mergeCell ref="B96:B98"/>
    <mergeCell ref="I96:I98"/>
    <mergeCell ref="O96:O98"/>
    <mergeCell ref="V96:V98"/>
    <mergeCell ref="W96:W98"/>
    <mergeCell ref="X96:X98"/>
    <mergeCell ref="A85:A89"/>
    <mergeCell ref="B85:B89"/>
    <mergeCell ref="I85:I89"/>
    <mergeCell ref="O85:O89"/>
    <mergeCell ref="V85:V89"/>
    <mergeCell ref="W85:W89"/>
    <mergeCell ref="A90:A92"/>
    <mergeCell ref="B90:B92"/>
    <mergeCell ref="I90:I92"/>
    <mergeCell ref="O90:O92"/>
    <mergeCell ref="V90:V92"/>
    <mergeCell ref="W90:W92"/>
    <mergeCell ref="A81:A82"/>
    <mergeCell ref="B81:B82"/>
    <mergeCell ref="I81:I82"/>
    <mergeCell ref="O81:O82"/>
    <mergeCell ref="V81:V82"/>
    <mergeCell ref="W81:W82"/>
    <mergeCell ref="A83:A84"/>
    <mergeCell ref="B83:B84"/>
    <mergeCell ref="I83:I84"/>
    <mergeCell ref="O83:O84"/>
    <mergeCell ref="V83:V84"/>
    <mergeCell ref="W83:W84"/>
    <mergeCell ref="A77:A78"/>
    <mergeCell ref="B77:B78"/>
    <mergeCell ref="I77:I78"/>
    <mergeCell ref="O77:O78"/>
    <mergeCell ref="V77:V78"/>
    <mergeCell ref="W77:W78"/>
    <mergeCell ref="X77:X78"/>
    <mergeCell ref="A79:A80"/>
    <mergeCell ref="B79:B80"/>
    <mergeCell ref="I79:I80"/>
    <mergeCell ref="O79:O80"/>
    <mergeCell ref="V79:V80"/>
    <mergeCell ref="W79:W80"/>
    <mergeCell ref="X71:X72"/>
    <mergeCell ref="A73:A74"/>
    <mergeCell ref="B73:B74"/>
    <mergeCell ref="I73:I74"/>
    <mergeCell ref="O73:O74"/>
    <mergeCell ref="V73:V74"/>
    <mergeCell ref="W73:W74"/>
    <mergeCell ref="A75:A76"/>
    <mergeCell ref="B75:B76"/>
    <mergeCell ref="I75:I76"/>
    <mergeCell ref="O75:O76"/>
    <mergeCell ref="V75:V76"/>
    <mergeCell ref="W75:W76"/>
    <mergeCell ref="X75:X76"/>
    <mergeCell ref="A69:A70"/>
    <mergeCell ref="B69:B70"/>
    <mergeCell ref="I69:I70"/>
    <mergeCell ref="O69:O70"/>
    <mergeCell ref="V69:V70"/>
    <mergeCell ref="W69:W70"/>
    <mergeCell ref="A71:A72"/>
    <mergeCell ref="B71:B72"/>
    <mergeCell ref="I71:I72"/>
    <mergeCell ref="O71:O72"/>
    <mergeCell ref="V71:V72"/>
    <mergeCell ref="W71:W72"/>
    <mergeCell ref="A65:A66"/>
    <mergeCell ref="B65:B66"/>
    <mergeCell ref="I65:I66"/>
    <mergeCell ref="O65:O66"/>
    <mergeCell ref="V65:V66"/>
    <mergeCell ref="W65:W66"/>
    <mergeCell ref="X65:X66"/>
    <mergeCell ref="A67:A68"/>
    <mergeCell ref="B67:B68"/>
    <mergeCell ref="I67:I68"/>
    <mergeCell ref="O67:O68"/>
    <mergeCell ref="V67:V68"/>
    <mergeCell ref="W67:W68"/>
    <mergeCell ref="A61:A62"/>
    <mergeCell ref="B61:B62"/>
    <mergeCell ref="I61:I62"/>
    <mergeCell ref="O61:O62"/>
    <mergeCell ref="V61:V62"/>
    <mergeCell ref="W61:W62"/>
    <mergeCell ref="X61:X62"/>
    <mergeCell ref="A63:A64"/>
    <mergeCell ref="B63:B64"/>
    <mergeCell ref="I63:I64"/>
    <mergeCell ref="O63:O64"/>
    <mergeCell ref="V63:V64"/>
    <mergeCell ref="W63:W64"/>
    <mergeCell ref="A57:A58"/>
    <mergeCell ref="B57:B58"/>
    <mergeCell ref="I57:I58"/>
    <mergeCell ref="O57:O58"/>
    <mergeCell ref="V57:V58"/>
    <mergeCell ref="W57:W58"/>
    <mergeCell ref="X57:X58"/>
    <mergeCell ref="A59:A60"/>
    <mergeCell ref="B59:B60"/>
    <mergeCell ref="I59:I60"/>
    <mergeCell ref="O59:O60"/>
    <mergeCell ref="V59:V60"/>
    <mergeCell ref="W59:W60"/>
    <mergeCell ref="X59:X60"/>
    <mergeCell ref="A47:A51"/>
    <mergeCell ref="B47:B51"/>
    <mergeCell ref="I47:I51"/>
    <mergeCell ref="O47:O51"/>
    <mergeCell ref="V47:V51"/>
    <mergeCell ref="W47:W51"/>
    <mergeCell ref="A52:A56"/>
    <mergeCell ref="B52:B56"/>
    <mergeCell ref="I52:I56"/>
    <mergeCell ref="O52:O56"/>
    <mergeCell ref="V52:V56"/>
    <mergeCell ref="W52:W56"/>
    <mergeCell ref="A37:A41"/>
    <mergeCell ref="B37:B41"/>
    <mergeCell ref="I37:I41"/>
    <mergeCell ref="O37:O41"/>
    <mergeCell ref="V37:V41"/>
    <mergeCell ref="W37:W41"/>
    <mergeCell ref="A42:A46"/>
    <mergeCell ref="B42:B46"/>
    <mergeCell ref="I42:I46"/>
    <mergeCell ref="O42:O46"/>
    <mergeCell ref="V42:V46"/>
    <mergeCell ref="W42:W46"/>
    <mergeCell ref="A33:A34"/>
    <mergeCell ref="B33:B34"/>
    <mergeCell ref="I33:I34"/>
    <mergeCell ref="O33:O34"/>
    <mergeCell ref="V33:V34"/>
    <mergeCell ref="W33:W34"/>
    <mergeCell ref="X33:X34"/>
    <mergeCell ref="A35:A36"/>
    <mergeCell ref="B35:B36"/>
    <mergeCell ref="I35:I36"/>
    <mergeCell ref="O35:O36"/>
    <mergeCell ref="V35:V36"/>
    <mergeCell ref="W35:W36"/>
    <mergeCell ref="X35:X36"/>
    <mergeCell ref="A29:A30"/>
    <mergeCell ref="B29:B30"/>
    <mergeCell ref="I29:I30"/>
    <mergeCell ref="O29:O30"/>
    <mergeCell ref="V29:V30"/>
    <mergeCell ref="W29:W30"/>
    <mergeCell ref="X29:X30"/>
    <mergeCell ref="A31:A32"/>
    <mergeCell ref="B31:B32"/>
    <mergeCell ref="I31:I32"/>
    <mergeCell ref="O31:O32"/>
    <mergeCell ref="V31:V32"/>
    <mergeCell ref="W31:W32"/>
    <mergeCell ref="A24:A25"/>
    <mergeCell ref="B24:B25"/>
    <mergeCell ref="I24:I25"/>
    <mergeCell ref="O24:O25"/>
    <mergeCell ref="V24:V25"/>
    <mergeCell ref="W24:W25"/>
    <mergeCell ref="X24:X25"/>
    <mergeCell ref="A26:A28"/>
    <mergeCell ref="B26:B28"/>
    <mergeCell ref="I26:I28"/>
    <mergeCell ref="O26:O28"/>
    <mergeCell ref="V26:V28"/>
    <mergeCell ref="W26:W28"/>
    <mergeCell ref="X26:X28"/>
    <mergeCell ref="A20:A21"/>
    <mergeCell ref="B20:B21"/>
    <mergeCell ref="I20:I21"/>
    <mergeCell ref="O20:O21"/>
    <mergeCell ref="V20:V21"/>
    <mergeCell ref="W20:W21"/>
    <mergeCell ref="X20:X21"/>
    <mergeCell ref="A22:A23"/>
    <mergeCell ref="B22:B23"/>
    <mergeCell ref="I22:I23"/>
    <mergeCell ref="O22:O23"/>
    <mergeCell ref="V22:V23"/>
    <mergeCell ref="W22:W23"/>
    <mergeCell ref="A16:A17"/>
    <mergeCell ref="B16:B17"/>
    <mergeCell ref="I16:I17"/>
    <mergeCell ref="O16:O17"/>
    <mergeCell ref="V16:V17"/>
    <mergeCell ref="W16:W17"/>
    <mergeCell ref="A18:A19"/>
    <mergeCell ref="B18:B19"/>
    <mergeCell ref="I18:I19"/>
    <mergeCell ref="O18:O19"/>
    <mergeCell ref="V18:V19"/>
    <mergeCell ref="W18:W19"/>
    <mergeCell ref="A10:A13"/>
    <mergeCell ref="B10:B13"/>
    <mergeCell ref="I10:I13"/>
    <mergeCell ref="O10:O13"/>
    <mergeCell ref="V10:V13"/>
    <mergeCell ref="W10:W13"/>
    <mergeCell ref="A14:A15"/>
    <mergeCell ref="B14:B15"/>
    <mergeCell ref="I14:I15"/>
    <mergeCell ref="O14:O15"/>
    <mergeCell ref="V14:V15"/>
    <mergeCell ref="W14:W15"/>
    <mergeCell ref="T1:W1"/>
    <mergeCell ref="A2:W2"/>
    <mergeCell ref="A4:A5"/>
    <mergeCell ref="B4:B5"/>
    <mergeCell ref="C4:I4"/>
    <mergeCell ref="J4:N4"/>
    <mergeCell ref="O4:V4"/>
    <mergeCell ref="W4:W5"/>
    <mergeCell ref="A6:A9"/>
    <mergeCell ref="B6:B9"/>
    <mergeCell ref="I6:I9"/>
    <mergeCell ref="O6:O9"/>
    <mergeCell ref="V6:V9"/>
    <mergeCell ref="W6:W9"/>
  </mergeCells>
  <pageMargins left="0.19685039370078738" right="0.23622047244094491" top="0.19685039370078738" bottom="0.19685039370078738" header="0" footer="0"/>
  <pageSetup paperSize="8" scale="47" firstPageNumber="4294967295" fitToHeight="4"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
    <pageSetUpPr fitToPage="1"/>
  </sheetPr>
  <dimension ref="A1:O111"/>
  <sheetViews>
    <sheetView topLeftCell="A77" zoomScale="90" workbookViewId="0">
      <selection activeCell="L109" sqref="L109"/>
    </sheetView>
  </sheetViews>
  <sheetFormatPr defaultRowHeight="15" x14ac:dyDescent="0.25"/>
  <cols>
    <col min="1" max="1" width="8" customWidth="1"/>
    <col min="2" max="2" width="34.7109375" customWidth="1"/>
    <col min="3" max="3" width="18.42578125" customWidth="1"/>
    <col min="4" max="5" width="18.28515625" customWidth="1"/>
    <col min="6" max="6" width="18.5703125" customWidth="1"/>
    <col min="7" max="7" width="13.140625" customWidth="1"/>
    <col min="8" max="8" width="14.5703125" customWidth="1"/>
    <col min="9" max="9" width="12.42578125" customWidth="1"/>
    <col min="10" max="10" width="13.28515625" customWidth="1"/>
    <col min="11" max="11" width="12.85546875" customWidth="1"/>
    <col min="12" max="12" width="11.5703125" customWidth="1"/>
    <col min="14" max="14" width="11.85546875" bestFit="1" customWidth="1"/>
  </cols>
  <sheetData>
    <row r="1" spans="1:15" x14ac:dyDescent="0.25">
      <c r="A1" s="107" t="s">
        <v>726</v>
      </c>
      <c r="B1" s="107"/>
      <c r="C1" s="107"/>
      <c r="D1" s="107"/>
      <c r="E1" s="107"/>
      <c r="F1" s="107"/>
      <c r="G1" s="107"/>
      <c r="H1" s="107"/>
      <c r="I1" s="107"/>
      <c r="J1" s="107"/>
      <c r="K1" s="107"/>
      <c r="L1" s="107"/>
    </row>
    <row r="2" spans="1:15" ht="20.25" customHeight="1" x14ac:dyDescent="0.25">
      <c r="A2" s="107" t="s">
        <v>727</v>
      </c>
      <c r="B2" s="107" t="s">
        <v>728</v>
      </c>
      <c r="C2" s="107" t="s">
        <v>729</v>
      </c>
      <c r="D2" s="107" t="s">
        <v>730</v>
      </c>
      <c r="E2" s="107" t="s">
        <v>731</v>
      </c>
      <c r="F2" s="107" t="s">
        <v>732</v>
      </c>
      <c r="G2" s="107" t="s">
        <v>733</v>
      </c>
      <c r="H2" s="107"/>
      <c r="I2" s="107"/>
      <c r="J2" s="107"/>
      <c r="K2" s="107"/>
      <c r="L2" s="107"/>
    </row>
    <row r="3" spans="1:15" ht="19.5" customHeight="1" x14ac:dyDescent="0.25">
      <c r="A3" s="107"/>
      <c r="B3" s="107"/>
      <c r="C3" s="107"/>
      <c r="D3" s="107"/>
      <c r="E3" s="107"/>
      <c r="F3" s="107"/>
      <c r="G3" t="s">
        <v>734</v>
      </c>
      <c r="H3" t="s">
        <v>8</v>
      </c>
      <c r="I3" t="s">
        <v>9</v>
      </c>
      <c r="J3" t="s">
        <v>10</v>
      </c>
      <c r="K3" t="s">
        <v>11</v>
      </c>
      <c r="L3" t="s">
        <v>12</v>
      </c>
    </row>
    <row r="4" spans="1:15" ht="15" customHeight="1" x14ac:dyDescent="0.25">
      <c r="A4" s="107"/>
      <c r="B4" s="107" t="s">
        <v>735</v>
      </c>
      <c r="C4" s="107" t="s">
        <v>736</v>
      </c>
      <c r="D4" s="107"/>
      <c r="E4" s="107"/>
      <c r="F4" s="107"/>
      <c r="G4" t="s">
        <v>8</v>
      </c>
      <c r="H4">
        <v>2945751.6898669382</v>
      </c>
      <c r="I4">
        <v>2067184.2393000002</v>
      </c>
      <c r="J4">
        <v>725429.99899999995</v>
      </c>
      <c r="K4">
        <v>153137.4515669384</v>
      </c>
      <c r="L4">
        <v>0</v>
      </c>
    </row>
    <row r="5" spans="1:15" x14ac:dyDescent="0.25">
      <c r="A5" s="107"/>
      <c r="B5" s="107"/>
      <c r="C5" s="107"/>
      <c r="D5" s="107"/>
      <c r="E5" s="107"/>
      <c r="F5" s="107"/>
      <c r="G5">
        <v>2019</v>
      </c>
      <c r="H5">
        <v>93543.680000000008</v>
      </c>
      <c r="I5">
        <v>68528.600000000006</v>
      </c>
      <c r="J5">
        <v>20000</v>
      </c>
      <c r="K5">
        <v>5015.08</v>
      </c>
      <c r="L5">
        <v>0</v>
      </c>
    </row>
    <row r="6" spans="1:15" x14ac:dyDescent="0.25">
      <c r="A6" s="107"/>
      <c r="B6" s="107"/>
      <c r="C6" s="107"/>
      <c r="D6" s="107"/>
      <c r="E6" s="107"/>
      <c r="F6" s="107"/>
      <c r="G6">
        <v>2020</v>
      </c>
      <c r="H6">
        <v>315851.8</v>
      </c>
      <c r="I6">
        <v>109812.8</v>
      </c>
      <c r="J6">
        <v>203039</v>
      </c>
      <c r="K6">
        <v>3000</v>
      </c>
      <c r="L6">
        <v>0</v>
      </c>
    </row>
    <row r="7" spans="1:15" x14ac:dyDescent="0.25">
      <c r="A7" s="107"/>
      <c r="B7" s="107"/>
      <c r="C7" s="107"/>
      <c r="D7" s="107"/>
      <c r="E7" s="107"/>
      <c r="F7" s="107"/>
      <c r="G7">
        <v>2021</v>
      </c>
      <c r="H7">
        <v>334803.87368575286</v>
      </c>
      <c r="I7">
        <v>62894.317300000002</v>
      </c>
      <c r="J7">
        <v>257488.69899999999</v>
      </c>
      <c r="K7">
        <v>14420.857385752908</v>
      </c>
      <c r="L7">
        <v>0</v>
      </c>
    </row>
    <row r="8" spans="1:15" x14ac:dyDescent="0.25">
      <c r="A8" s="107"/>
      <c r="B8" s="107"/>
      <c r="C8" s="107"/>
      <c r="D8" s="107"/>
      <c r="E8" s="107"/>
      <c r="F8" s="107"/>
      <c r="G8">
        <v>2022</v>
      </c>
      <c r="H8">
        <v>1178052.7804443431</v>
      </c>
      <c r="I8">
        <v>979830.80299999996</v>
      </c>
      <c r="J8">
        <v>117511.3</v>
      </c>
      <c r="K8">
        <v>80710.677444343441</v>
      </c>
      <c r="L8">
        <v>0</v>
      </c>
    </row>
    <row r="9" spans="1:15" x14ac:dyDescent="0.25">
      <c r="A9" s="107"/>
      <c r="B9" s="107"/>
      <c r="C9" s="107"/>
      <c r="D9" s="107"/>
      <c r="E9" s="107"/>
      <c r="F9" s="107"/>
      <c r="G9">
        <v>2023</v>
      </c>
      <c r="H9">
        <v>1023499.5557368421</v>
      </c>
      <c r="I9">
        <v>846117.71900000004</v>
      </c>
      <c r="J9">
        <v>127391</v>
      </c>
      <c r="K9">
        <v>49990.836736842102</v>
      </c>
      <c r="L9">
        <v>0</v>
      </c>
    </row>
    <row r="10" spans="1:15" x14ac:dyDescent="0.25">
      <c r="A10" s="107"/>
      <c r="B10" s="107"/>
      <c r="C10" s="107"/>
      <c r="D10" s="107"/>
      <c r="E10" s="107"/>
      <c r="F10" s="107"/>
      <c r="G10">
        <v>2024</v>
      </c>
      <c r="H10">
        <v>0</v>
      </c>
      <c r="I10">
        <v>0</v>
      </c>
      <c r="J10">
        <v>0</v>
      </c>
      <c r="K10">
        <v>0</v>
      </c>
      <c r="L10">
        <v>0</v>
      </c>
    </row>
    <row r="11" spans="1:15" x14ac:dyDescent="0.25">
      <c r="A11" s="107"/>
      <c r="B11" s="107"/>
      <c r="C11" s="107"/>
      <c r="D11" s="107"/>
      <c r="E11" s="107"/>
      <c r="F11" s="107"/>
      <c r="G11">
        <v>2025</v>
      </c>
      <c r="H11">
        <v>0</v>
      </c>
      <c r="I11">
        <v>0</v>
      </c>
      <c r="J11">
        <v>0</v>
      </c>
      <c r="K11">
        <v>0</v>
      </c>
      <c r="L11">
        <v>0</v>
      </c>
    </row>
    <row r="12" spans="1:15" ht="15" customHeight="1" x14ac:dyDescent="0.25">
      <c r="A12" s="107">
        <v>1</v>
      </c>
      <c r="B12" s="107" t="s">
        <v>737</v>
      </c>
      <c r="C12" s="107" t="s">
        <v>738</v>
      </c>
      <c r="D12" s="107" t="s">
        <v>739</v>
      </c>
      <c r="E12" s="107" t="s">
        <v>740</v>
      </c>
      <c r="F12" s="107" t="s">
        <v>741</v>
      </c>
      <c r="G12" t="s">
        <v>8</v>
      </c>
      <c r="H12">
        <v>389504.13105000003</v>
      </c>
      <c r="I12">
        <v>255936.07800000001</v>
      </c>
      <c r="J12">
        <v>121253.24804000001</v>
      </c>
      <c r="K12">
        <v>12314.80501</v>
      </c>
      <c r="L12">
        <v>0</v>
      </c>
      <c r="N12">
        <f>H12+H17+H22+H28+H35+H41+H53+H54+H55+H56+H62+H68+H74+H80+H86+H92+H98+H104</f>
        <v>2945751.6898669382</v>
      </c>
      <c r="O12">
        <f>H4-N12</f>
        <v>0</v>
      </c>
    </row>
    <row r="13" spans="1:15" x14ac:dyDescent="0.25">
      <c r="A13" s="107"/>
      <c r="B13" s="107"/>
      <c r="C13" s="107"/>
      <c r="D13" s="107"/>
      <c r="E13" s="107"/>
      <c r="F13" s="107"/>
      <c r="G13">
        <v>2019</v>
      </c>
      <c r="H13">
        <v>55.08</v>
      </c>
      <c r="I13">
        <v>0</v>
      </c>
      <c r="J13">
        <v>0</v>
      </c>
      <c r="K13">
        <v>55.08</v>
      </c>
      <c r="L13">
        <v>0</v>
      </c>
    </row>
    <row r="14" spans="1:15" x14ac:dyDescent="0.25">
      <c r="A14" s="107"/>
      <c r="B14" s="107"/>
      <c r="C14" s="107"/>
      <c r="D14" s="107"/>
      <c r="E14" s="107"/>
      <c r="F14" s="107"/>
      <c r="G14">
        <v>2020</v>
      </c>
      <c r="H14">
        <v>3000</v>
      </c>
      <c r="I14">
        <v>0</v>
      </c>
      <c r="J14">
        <v>0</v>
      </c>
      <c r="K14">
        <v>3000</v>
      </c>
      <c r="L14">
        <v>0</v>
      </c>
    </row>
    <row r="15" spans="1:15" x14ac:dyDescent="0.25">
      <c r="A15" s="107"/>
      <c r="B15" s="107"/>
      <c r="C15" s="107"/>
      <c r="D15" s="107"/>
      <c r="E15" s="107"/>
      <c r="F15" s="107"/>
      <c r="G15">
        <v>2021</v>
      </c>
      <c r="H15">
        <v>94469.148000000001</v>
      </c>
      <c r="I15">
        <v>5458.1030000000001</v>
      </c>
      <c r="J15">
        <v>88723.845000000001</v>
      </c>
      <c r="K15">
        <v>287.2</v>
      </c>
      <c r="L15">
        <v>0</v>
      </c>
    </row>
    <row r="16" spans="1:15" x14ac:dyDescent="0.25">
      <c r="A16" s="107"/>
      <c r="B16" s="107"/>
      <c r="C16" s="107"/>
      <c r="D16" s="107"/>
      <c r="E16" s="107"/>
      <c r="F16" s="107"/>
      <c r="G16">
        <v>2022</v>
      </c>
      <c r="H16">
        <v>291979.90304999996</v>
      </c>
      <c r="I16">
        <v>250477.97500000001</v>
      </c>
      <c r="J16">
        <v>32529.403040000001</v>
      </c>
      <c r="K16">
        <v>8972.5250099999994</v>
      </c>
      <c r="L16">
        <v>0</v>
      </c>
    </row>
    <row r="17" spans="1:12" ht="29.25" customHeight="1" x14ac:dyDescent="0.25">
      <c r="A17" s="107">
        <v>2</v>
      </c>
      <c r="B17" s="107" t="s">
        <v>742</v>
      </c>
      <c r="C17" s="107" t="s">
        <v>743</v>
      </c>
      <c r="D17" s="107" t="s">
        <v>744</v>
      </c>
      <c r="E17" s="107" t="s">
        <v>745</v>
      </c>
      <c r="F17" s="107" t="s">
        <v>746</v>
      </c>
      <c r="G17" t="s">
        <v>8</v>
      </c>
      <c r="H17">
        <v>513677.68395999999</v>
      </c>
      <c r="I17">
        <v>242209.413</v>
      </c>
      <c r="J17">
        <v>253746.75095999998</v>
      </c>
      <c r="K17">
        <v>17721.52</v>
      </c>
      <c r="L17">
        <v>0</v>
      </c>
    </row>
    <row r="18" spans="1:12" ht="29.25" customHeight="1" x14ac:dyDescent="0.25">
      <c r="A18" s="107"/>
      <c r="B18" s="107"/>
      <c r="C18" s="107"/>
      <c r="D18" s="107"/>
      <c r="E18" s="107"/>
      <c r="F18" s="107"/>
      <c r="G18">
        <v>2019</v>
      </c>
      <c r="H18">
        <v>4960</v>
      </c>
      <c r="I18">
        <v>0</v>
      </c>
      <c r="J18">
        <v>0</v>
      </c>
      <c r="K18">
        <v>4960</v>
      </c>
      <c r="L18">
        <v>0</v>
      </c>
    </row>
    <row r="19" spans="1:12" ht="29.25" customHeight="1" x14ac:dyDescent="0.25">
      <c r="A19" s="107"/>
      <c r="B19" s="107"/>
      <c r="C19" s="107"/>
      <c r="D19" s="107"/>
      <c r="E19" s="107"/>
      <c r="F19" s="107"/>
      <c r="G19">
        <v>2020</v>
      </c>
      <c r="H19">
        <v>0</v>
      </c>
      <c r="I19">
        <v>0</v>
      </c>
      <c r="J19">
        <v>0</v>
      </c>
      <c r="K19">
        <v>0</v>
      </c>
      <c r="L19">
        <v>0</v>
      </c>
    </row>
    <row r="20" spans="1:12" ht="29.25" customHeight="1" x14ac:dyDescent="0.25">
      <c r="A20" s="107"/>
      <c r="B20" s="107"/>
      <c r="C20" s="107"/>
      <c r="D20" s="107"/>
      <c r="E20" s="107"/>
      <c r="F20" s="107"/>
      <c r="G20">
        <v>2021</v>
      </c>
      <c r="H20">
        <v>179693.33100000001</v>
      </c>
      <c r="I20">
        <v>10382.057000000001</v>
      </c>
      <c r="J20">
        <v>168764.85399999999</v>
      </c>
      <c r="K20">
        <v>546.41999999999996</v>
      </c>
      <c r="L20">
        <v>0</v>
      </c>
    </row>
    <row r="21" spans="1:12" ht="29.25" customHeight="1" x14ac:dyDescent="0.25">
      <c r="A21" s="107"/>
      <c r="B21" s="107"/>
      <c r="C21" s="107"/>
      <c r="D21" s="107"/>
      <c r="E21" s="107"/>
      <c r="F21" s="107"/>
      <c r="G21">
        <v>2022</v>
      </c>
      <c r="H21">
        <v>329024.35295999999</v>
      </c>
      <c r="I21">
        <v>231827.356</v>
      </c>
      <c r="J21">
        <v>84981.896959999998</v>
      </c>
      <c r="K21">
        <v>12215.1</v>
      </c>
      <c r="L21">
        <v>0</v>
      </c>
    </row>
    <row r="22" spans="1:12" ht="15" customHeight="1" x14ac:dyDescent="0.25">
      <c r="A22" s="107">
        <v>3</v>
      </c>
      <c r="B22" s="107" t="s">
        <v>747</v>
      </c>
      <c r="C22" s="107" t="s">
        <v>748</v>
      </c>
      <c r="D22" s="107" t="s">
        <v>749</v>
      </c>
      <c r="E22" s="107" t="s">
        <v>750</v>
      </c>
      <c r="F22" s="107" t="s">
        <v>751</v>
      </c>
      <c r="G22" t="s">
        <v>8</v>
      </c>
      <c r="H22">
        <v>135522.89473684211</v>
      </c>
      <c r="I22">
        <v>7725.3</v>
      </c>
      <c r="J22">
        <v>127391</v>
      </c>
      <c r="K22">
        <v>406.59473684210525</v>
      </c>
      <c r="L22">
        <v>0</v>
      </c>
    </row>
    <row r="23" spans="1:12" x14ac:dyDescent="0.25">
      <c r="A23" s="107"/>
      <c r="B23" s="107"/>
      <c r="C23" s="107"/>
      <c r="D23" s="107"/>
      <c r="E23" s="107"/>
      <c r="F23" s="107"/>
      <c r="G23">
        <v>2021</v>
      </c>
      <c r="H23">
        <v>0</v>
      </c>
      <c r="I23">
        <v>0</v>
      </c>
      <c r="J23">
        <v>0</v>
      </c>
      <c r="K23">
        <v>0</v>
      </c>
      <c r="L23">
        <v>0</v>
      </c>
    </row>
    <row r="24" spans="1:12" x14ac:dyDescent="0.25">
      <c r="A24" s="107"/>
      <c r="B24" s="107"/>
      <c r="C24" s="107"/>
      <c r="D24" s="107"/>
      <c r="E24" s="107"/>
      <c r="F24" s="107"/>
      <c r="G24">
        <v>2022</v>
      </c>
      <c r="H24">
        <v>0</v>
      </c>
      <c r="I24">
        <v>0</v>
      </c>
      <c r="J24">
        <v>0</v>
      </c>
      <c r="K24">
        <v>0</v>
      </c>
      <c r="L24">
        <v>0</v>
      </c>
    </row>
    <row r="25" spans="1:12" x14ac:dyDescent="0.25">
      <c r="A25" s="107"/>
      <c r="B25" s="107"/>
      <c r="C25" s="107"/>
      <c r="D25" s="107"/>
      <c r="E25" s="107"/>
      <c r="F25" s="107"/>
      <c r="G25">
        <v>2023</v>
      </c>
      <c r="H25">
        <v>135522.89473684211</v>
      </c>
      <c r="I25">
        <v>7725.3</v>
      </c>
      <c r="J25">
        <v>127391</v>
      </c>
      <c r="K25">
        <v>406.59473684210525</v>
      </c>
      <c r="L25">
        <v>0</v>
      </c>
    </row>
    <row r="26" spans="1:12" x14ac:dyDescent="0.25">
      <c r="A26" s="107"/>
      <c r="B26" s="107"/>
      <c r="C26" s="107"/>
      <c r="D26" s="107"/>
      <c r="E26" s="107"/>
      <c r="F26" s="107"/>
      <c r="G26">
        <v>2024</v>
      </c>
      <c r="H26">
        <v>0</v>
      </c>
      <c r="I26">
        <v>0</v>
      </c>
      <c r="J26">
        <v>0</v>
      </c>
      <c r="K26">
        <v>0</v>
      </c>
      <c r="L26">
        <v>0</v>
      </c>
    </row>
    <row r="27" spans="1:12" x14ac:dyDescent="0.25">
      <c r="A27" s="107"/>
      <c r="B27" s="107"/>
      <c r="C27" s="107"/>
      <c r="D27" s="107"/>
      <c r="E27" s="107"/>
      <c r="F27" s="107"/>
      <c r="G27">
        <v>2025</v>
      </c>
      <c r="H27">
        <v>0</v>
      </c>
      <c r="I27">
        <v>0</v>
      </c>
      <c r="J27">
        <v>0</v>
      </c>
      <c r="K27">
        <v>0</v>
      </c>
      <c r="L27">
        <v>0</v>
      </c>
    </row>
    <row r="28" spans="1:12" ht="15" customHeight="1" x14ac:dyDescent="0.25">
      <c r="A28" s="107">
        <v>4</v>
      </c>
      <c r="B28" s="107" t="s">
        <v>752</v>
      </c>
      <c r="C28" s="107" t="s">
        <v>753</v>
      </c>
      <c r="D28" s="107" t="s">
        <v>754</v>
      </c>
      <c r="E28" s="107" t="s">
        <v>755</v>
      </c>
      <c r="F28" s="107" t="s">
        <v>756</v>
      </c>
      <c r="G28" t="s">
        <v>8</v>
      </c>
      <c r="H28">
        <v>509174.94176570047</v>
      </c>
      <c r="I28">
        <v>427125.34999000002</v>
      </c>
      <c r="J28">
        <v>0</v>
      </c>
      <c r="K28">
        <v>82049.591775700479</v>
      </c>
      <c r="L28">
        <v>0</v>
      </c>
    </row>
    <row r="29" spans="1:12" x14ac:dyDescent="0.25">
      <c r="A29" s="107"/>
      <c r="B29" s="107"/>
      <c r="C29" s="107"/>
      <c r="D29" s="107"/>
      <c r="E29" s="107"/>
      <c r="F29" s="107"/>
      <c r="G29">
        <v>2020</v>
      </c>
      <c r="H29">
        <v>0</v>
      </c>
      <c r="I29">
        <v>0</v>
      </c>
      <c r="J29">
        <v>0</v>
      </c>
      <c r="K29">
        <v>0</v>
      </c>
      <c r="L29">
        <v>0</v>
      </c>
    </row>
    <row r="30" spans="1:12" x14ac:dyDescent="0.25">
      <c r="A30" s="107"/>
      <c r="B30" s="107"/>
      <c r="C30" s="107"/>
      <c r="D30" s="107"/>
      <c r="E30" s="107"/>
      <c r="F30" s="107"/>
      <c r="G30">
        <v>2021</v>
      </c>
      <c r="H30">
        <v>6584.2777657004835</v>
      </c>
      <c r="I30">
        <v>5451.7819900000004</v>
      </c>
      <c r="J30">
        <v>0</v>
      </c>
      <c r="K30">
        <v>1132.4957757004834</v>
      </c>
      <c r="L30">
        <v>0</v>
      </c>
    </row>
    <row r="31" spans="1:12" x14ac:dyDescent="0.25">
      <c r="A31" s="107"/>
      <c r="B31" s="107"/>
      <c r="C31" s="107"/>
      <c r="D31" s="107"/>
      <c r="E31" s="107"/>
      <c r="F31" s="107"/>
      <c r="G31">
        <v>2022</v>
      </c>
      <c r="H31">
        <v>194614.003</v>
      </c>
      <c r="I31">
        <v>163281.149</v>
      </c>
      <c r="J31">
        <v>0</v>
      </c>
      <c r="K31">
        <v>31332.853999999999</v>
      </c>
      <c r="L31">
        <v>0</v>
      </c>
    </row>
    <row r="32" spans="1:12" x14ac:dyDescent="0.25">
      <c r="A32" s="107"/>
      <c r="B32" s="107"/>
      <c r="C32" s="107"/>
      <c r="D32" s="107"/>
      <c r="E32" s="107"/>
      <c r="F32" s="107"/>
      <c r="G32">
        <v>2023</v>
      </c>
      <c r="H32">
        <v>307976.66099999996</v>
      </c>
      <c r="I32">
        <v>258392.41899999999</v>
      </c>
      <c r="J32">
        <v>0</v>
      </c>
      <c r="K32">
        <v>49584.241999999998</v>
      </c>
      <c r="L32">
        <v>0</v>
      </c>
    </row>
    <row r="33" spans="1:12" x14ac:dyDescent="0.25">
      <c r="A33" s="107"/>
      <c r="B33" s="107"/>
      <c r="C33" s="107"/>
      <c r="D33" s="107"/>
      <c r="E33" s="107"/>
      <c r="F33" s="107"/>
      <c r="G33">
        <v>2024</v>
      </c>
      <c r="H33">
        <v>0</v>
      </c>
      <c r="I33">
        <v>0</v>
      </c>
      <c r="J33">
        <v>0</v>
      </c>
      <c r="K33">
        <v>0</v>
      </c>
      <c r="L33">
        <v>0</v>
      </c>
    </row>
    <row r="34" spans="1:12" x14ac:dyDescent="0.25">
      <c r="A34" s="107"/>
      <c r="B34" s="107"/>
      <c r="C34" s="107"/>
      <c r="D34" s="107"/>
      <c r="E34" s="107"/>
      <c r="F34" s="107"/>
      <c r="G34">
        <v>2025</v>
      </c>
      <c r="H34">
        <v>0</v>
      </c>
      <c r="I34">
        <v>0</v>
      </c>
      <c r="J34">
        <v>0</v>
      </c>
      <c r="K34">
        <v>0</v>
      </c>
      <c r="L34">
        <v>0</v>
      </c>
    </row>
    <row r="35" spans="1:12" ht="30" customHeight="1" x14ac:dyDescent="0.25">
      <c r="A35" s="107">
        <v>5</v>
      </c>
      <c r="B35" s="107" t="s">
        <v>442</v>
      </c>
      <c r="C35" s="107" t="s">
        <v>757</v>
      </c>
      <c r="D35" s="107" t="s">
        <v>758</v>
      </c>
      <c r="E35" s="107" t="s">
        <v>759</v>
      </c>
      <c r="F35" s="107" t="s">
        <v>760</v>
      </c>
      <c r="G35" t="s">
        <v>8</v>
      </c>
      <c r="H35">
        <v>42104.816920052421</v>
      </c>
      <c r="I35">
        <v>32125.975309999998</v>
      </c>
      <c r="J35">
        <v>0</v>
      </c>
      <c r="K35">
        <v>9978.8416100524246</v>
      </c>
      <c r="L35">
        <v>0</v>
      </c>
    </row>
    <row r="36" spans="1:12" ht="30" customHeight="1" x14ac:dyDescent="0.25">
      <c r="A36" s="107"/>
      <c r="B36" s="107"/>
      <c r="C36" s="107"/>
      <c r="D36" s="107"/>
      <c r="E36" s="107"/>
      <c r="F36" s="107"/>
      <c r="G36">
        <v>2021</v>
      </c>
      <c r="H36">
        <v>42104.816920052421</v>
      </c>
      <c r="I36">
        <v>32125.975309999998</v>
      </c>
      <c r="J36">
        <v>0</v>
      </c>
      <c r="K36">
        <v>9978.8416100524246</v>
      </c>
      <c r="L36">
        <v>0</v>
      </c>
    </row>
    <row r="37" spans="1:12" ht="30" customHeight="1" x14ac:dyDescent="0.25">
      <c r="A37" s="107"/>
      <c r="B37" s="107"/>
      <c r="C37" s="107"/>
      <c r="D37" s="107"/>
      <c r="E37" s="107"/>
      <c r="F37" s="107"/>
      <c r="G37">
        <v>2022</v>
      </c>
      <c r="H37">
        <v>0</v>
      </c>
      <c r="I37">
        <v>0</v>
      </c>
      <c r="J37">
        <v>0</v>
      </c>
      <c r="K37">
        <v>0</v>
      </c>
      <c r="L37">
        <v>0</v>
      </c>
    </row>
    <row r="38" spans="1:12" ht="30" customHeight="1" x14ac:dyDescent="0.25">
      <c r="A38" s="107"/>
      <c r="B38" s="107"/>
      <c r="C38" s="107"/>
      <c r="D38" s="107"/>
      <c r="E38" s="107"/>
      <c r="F38" s="107"/>
      <c r="G38">
        <v>2023</v>
      </c>
      <c r="H38">
        <v>0</v>
      </c>
      <c r="I38">
        <v>0</v>
      </c>
      <c r="J38">
        <v>0</v>
      </c>
      <c r="K38">
        <v>0</v>
      </c>
      <c r="L38">
        <v>0</v>
      </c>
    </row>
    <row r="39" spans="1:12" ht="30" customHeight="1" x14ac:dyDescent="0.25">
      <c r="A39" s="107"/>
      <c r="B39" s="107"/>
      <c r="C39" s="107"/>
      <c r="D39" s="107"/>
      <c r="E39" s="107"/>
      <c r="F39" s="107"/>
      <c r="G39">
        <v>2024</v>
      </c>
      <c r="H39">
        <v>0</v>
      </c>
      <c r="I39">
        <v>0</v>
      </c>
      <c r="J39">
        <v>0</v>
      </c>
      <c r="K39">
        <v>0</v>
      </c>
      <c r="L39">
        <v>0</v>
      </c>
    </row>
    <row r="40" spans="1:12" ht="30" customHeight="1" x14ac:dyDescent="0.25">
      <c r="A40" s="107"/>
      <c r="B40" s="107"/>
      <c r="C40" s="107"/>
      <c r="D40" s="107"/>
      <c r="E40" s="107"/>
      <c r="F40" s="107"/>
      <c r="G40">
        <v>2025</v>
      </c>
      <c r="H40">
        <v>0</v>
      </c>
      <c r="I40">
        <v>0</v>
      </c>
      <c r="J40">
        <v>0</v>
      </c>
      <c r="K40">
        <v>0</v>
      </c>
      <c r="L40">
        <v>0</v>
      </c>
    </row>
    <row r="41" spans="1:12" ht="13.5" customHeight="1" x14ac:dyDescent="0.25">
      <c r="A41" s="107">
        <v>6</v>
      </c>
      <c r="B41" s="107" t="s">
        <v>761</v>
      </c>
      <c r="C41" s="107" t="s">
        <v>762</v>
      </c>
      <c r="D41" s="107" t="s">
        <v>763</v>
      </c>
      <c r="E41" s="107" t="s">
        <v>764</v>
      </c>
      <c r="F41" s="107" t="s">
        <v>765</v>
      </c>
      <c r="G41" t="s">
        <v>8</v>
      </c>
      <c r="H41">
        <v>119225.85699999999</v>
      </c>
      <c r="I41">
        <v>89555.156999999992</v>
      </c>
      <c r="J41">
        <v>0</v>
      </c>
      <c r="K41">
        <v>29670.7</v>
      </c>
      <c r="L41">
        <v>0</v>
      </c>
    </row>
    <row r="42" spans="1:12" ht="13.5" customHeight="1" x14ac:dyDescent="0.25">
      <c r="A42" s="107"/>
      <c r="B42" s="107"/>
      <c r="C42" s="107"/>
      <c r="D42" s="107"/>
      <c r="E42" s="107"/>
      <c r="F42" s="107"/>
      <c r="G42">
        <v>2021</v>
      </c>
      <c r="H42">
        <v>10446.799999999999</v>
      </c>
      <c r="I42">
        <v>7970.9</v>
      </c>
      <c r="J42">
        <v>0</v>
      </c>
      <c r="K42">
        <v>2475.9</v>
      </c>
      <c r="L42">
        <v>0</v>
      </c>
    </row>
    <row r="43" spans="1:12" ht="13.5" customHeight="1" x14ac:dyDescent="0.25">
      <c r="A43" s="107"/>
      <c r="B43" s="107"/>
      <c r="C43" s="107"/>
      <c r="D43" s="107"/>
      <c r="E43" s="107"/>
      <c r="F43" s="107"/>
      <c r="G43">
        <v>2022</v>
      </c>
      <c r="H43">
        <v>108779.057</v>
      </c>
      <c r="I43">
        <v>81584.256999999998</v>
      </c>
      <c r="J43">
        <v>0</v>
      </c>
      <c r="K43">
        <v>27194.799999999999</v>
      </c>
      <c r="L43">
        <v>0</v>
      </c>
    </row>
    <row r="44" spans="1:12" ht="13.5" customHeight="1" x14ac:dyDescent="0.25">
      <c r="A44" s="107"/>
      <c r="B44" s="107"/>
      <c r="C44" s="107"/>
      <c r="D44" s="107"/>
      <c r="E44" s="107"/>
      <c r="F44" s="107"/>
      <c r="G44">
        <v>2023</v>
      </c>
      <c r="H44">
        <v>0</v>
      </c>
      <c r="I44">
        <v>0</v>
      </c>
      <c r="J44">
        <v>0</v>
      </c>
      <c r="K44">
        <v>0</v>
      </c>
      <c r="L44">
        <v>0</v>
      </c>
    </row>
    <row r="45" spans="1:12" ht="13.5" customHeight="1" x14ac:dyDescent="0.25">
      <c r="A45" s="107"/>
      <c r="B45" s="107"/>
      <c r="C45" s="107"/>
      <c r="D45" s="107"/>
      <c r="E45" s="107"/>
      <c r="F45" s="107"/>
      <c r="G45">
        <v>2024</v>
      </c>
      <c r="H45">
        <v>0</v>
      </c>
      <c r="I45">
        <v>0</v>
      </c>
      <c r="J45">
        <v>0</v>
      </c>
      <c r="K45">
        <v>0</v>
      </c>
      <c r="L45">
        <v>0</v>
      </c>
    </row>
    <row r="46" spans="1:12" ht="13.5" customHeight="1" x14ac:dyDescent="0.25">
      <c r="A46" s="107"/>
      <c r="B46" s="107"/>
      <c r="C46" s="107"/>
      <c r="D46" s="107"/>
      <c r="E46" s="107"/>
      <c r="F46" s="107"/>
      <c r="G46">
        <v>2025</v>
      </c>
      <c r="H46">
        <v>0</v>
      </c>
      <c r="I46">
        <v>0</v>
      </c>
      <c r="J46">
        <v>0</v>
      </c>
      <c r="K46">
        <v>0</v>
      </c>
      <c r="L46">
        <v>0</v>
      </c>
    </row>
    <row r="47" spans="1:12" ht="15" customHeight="1" x14ac:dyDescent="0.25">
      <c r="A47" s="107">
        <v>7</v>
      </c>
      <c r="B47" s="107" t="s">
        <v>766</v>
      </c>
      <c r="C47" s="107" t="s">
        <v>767</v>
      </c>
      <c r="D47" s="107" t="s">
        <v>768</v>
      </c>
      <c r="E47" s="107" t="s">
        <v>769</v>
      </c>
      <c r="F47" s="107" t="s">
        <v>770</v>
      </c>
      <c r="G47" t="s">
        <v>771</v>
      </c>
      <c r="H47">
        <f t="shared" ref="H47:H103" si="0">SUM(I47:L47)</f>
        <v>500684.6</v>
      </c>
      <c r="I47">
        <f>SUM(I48:I55)</f>
        <v>277645.59999999998</v>
      </c>
      <c r="J47">
        <f>SUM(J48:J55)</f>
        <v>223039</v>
      </c>
      <c r="K47">
        <f>SUM(K48:K55)</f>
        <v>0</v>
      </c>
      <c r="L47">
        <f>SUM(L48:L55)</f>
        <v>0</v>
      </c>
    </row>
    <row r="48" spans="1:12" x14ac:dyDescent="0.25">
      <c r="A48" s="107"/>
      <c r="B48" s="107"/>
      <c r="C48" s="107"/>
      <c r="D48" s="107"/>
      <c r="E48" s="107"/>
      <c r="F48" s="107"/>
      <c r="G48">
        <v>2014</v>
      </c>
      <c r="H48">
        <f t="shared" si="0"/>
        <v>6413.5</v>
      </c>
      <c r="I48">
        <v>6413.5</v>
      </c>
      <c r="J48">
        <v>0</v>
      </c>
      <c r="K48">
        <v>0</v>
      </c>
      <c r="L48">
        <v>0</v>
      </c>
    </row>
    <row r="49" spans="1:12" x14ac:dyDescent="0.25">
      <c r="A49" s="107"/>
      <c r="B49" s="107"/>
      <c r="C49" s="107"/>
      <c r="D49" s="107"/>
      <c r="E49" s="107"/>
      <c r="F49" s="107"/>
      <c r="G49">
        <v>2015</v>
      </c>
      <c r="H49">
        <f t="shared" si="0"/>
        <v>0</v>
      </c>
      <c r="I49">
        <v>0</v>
      </c>
      <c r="J49">
        <v>0</v>
      </c>
      <c r="K49">
        <v>0</v>
      </c>
      <c r="L49">
        <v>0</v>
      </c>
    </row>
    <row r="50" spans="1:12" x14ac:dyDescent="0.25">
      <c r="A50" s="107"/>
      <c r="B50" s="107"/>
      <c r="C50" s="107"/>
      <c r="D50" s="107"/>
      <c r="E50" s="107"/>
      <c r="F50" s="107"/>
      <c r="G50">
        <v>2016</v>
      </c>
      <c r="H50">
        <f t="shared" si="0"/>
        <v>0</v>
      </c>
      <c r="I50">
        <v>0</v>
      </c>
      <c r="J50">
        <v>0</v>
      </c>
      <c r="K50">
        <v>0</v>
      </c>
      <c r="L50">
        <v>0</v>
      </c>
    </row>
    <row r="51" spans="1:12" x14ac:dyDescent="0.25">
      <c r="A51" s="107"/>
      <c r="B51" s="107"/>
      <c r="C51" s="107"/>
      <c r="D51" s="107"/>
      <c r="E51" s="107"/>
      <c r="F51" s="107"/>
      <c r="G51">
        <v>2017</v>
      </c>
      <c r="H51">
        <f t="shared" si="0"/>
        <v>0</v>
      </c>
      <c r="I51">
        <v>0</v>
      </c>
      <c r="J51">
        <v>0</v>
      </c>
      <c r="K51">
        <v>0</v>
      </c>
      <c r="L51">
        <v>0</v>
      </c>
    </row>
    <row r="52" spans="1:12" x14ac:dyDescent="0.25">
      <c r="A52" s="107"/>
      <c r="B52" s="107"/>
      <c r="C52" s="107"/>
      <c r="D52" s="107"/>
      <c r="E52" s="107"/>
      <c r="F52" s="107"/>
      <c r="G52">
        <v>2018</v>
      </c>
      <c r="H52">
        <f t="shared" si="0"/>
        <v>91385.2</v>
      </c>
      <c r="I52">
        <v>91385.2</v>
      </c>
      <c r="J52">
        <v>0</v>
      </c>
      <c r="K52">
        <v>0</v>
      </c>
      <c r="L52">
        <v>0</v>
      </c>
    </row>
    <row r="53" spans="1:12" x14ac:dyDescent="0.25">
      <c r="A53" s="107"/>
      <c r="B53" s="107"/>
      <c r="C53" s="107"/>
      <c r="D53" s="107"/>
      <c r="E53" s="107"/>
      <c r="F53" s="107"/>
      <c r="G53">
        <v>2019</v>
      </c>
      <c r="H53">
        <f t="shared" si="0"/>
        <v>88528.6</v>
      </c>
      <c r="I53">
        <v>68528.600000000006</v>
      </c>
      <c r="J53">
        <v>20000</v>
      </c>
      <c r="K53">
        <v>0</v>
      </c>
      <c r="L53">
        <v>0</v>
      </c>
    </row>
    <row r="54" spans="1:12" x14ac:dyDescent="0.25">
      <c r="A54" s="107"/>
      <c r="B54" s="107"/>
      <c r="C54" s="107"/>
      <c r="D54" s="107"/>
      <c r="E54" s="107"/>
      <c r="F54" s="107"/>
      <c r="G54">
        <v>2020</v>
      </c>
      <c r="H54">
        <f t="shared" si="0"/>
        <v>312851.8</v>
      </c>
      <c r="I54">
        <v>109812.8</v>
      </c>
      <c r="J54">
        <v>203039</v>
      </c>
      <c r="K54">
        <v>0</v>
      </c>
      <c r="L54">
        <v>0</v>
      </c>
    </row>
    <row r="55" spans="1:12" x14ac:dyDescent="0.25">
      <c r="A55" s="107"/>
      <c r="B55" s="107"/>
      <c r="C55" s="107"/>
      <c r="D55" s="107"/>
      <c r="E55" s="107"/>
      <c r="F55" s="107"/>
      <c r="G55">
        <v>2021</v>
      </c>
      <c r="H55">
        <f t="shared" si="0"/>
        <v>1505.5</v>
      </c>
      <c r="I55">
        <v>1505.5</v>
      </c>
      <c r="J55">
        <v>0</v>
      </c>
      <c r="K55">
        <v>0</v>
      </c>
      <c r="L55">
        <v>0</v>
      </c>
    </row>
    <row r="56" spans="1:12" ht="15" customHeight="1" x14ac:dyDescent="0.25">
      <c r="A56" s="107">
        <v>8</v>
      </c>
      <c r="B56" s="107" t="s">
        <v>772</v>
      </c>
      <c r="C56" s="107" t="s">
        <v>773</v>
      </c>
      <c r="D56" s="107" t="s">
        <v>774</v>
      </c>
      <c r="E56" s="107" t="s">
        <v>775</v>
      </c>
      <c r="F56" s="107" t="s">
        <v>776</v>
      </c>
      <c r="G56" t="s">
        <v>8</v>
      </c>
      <c r="H56">
        <f t="shared" si="0"/>
        <v>25000</v>
      </c>
      <c r="I56">
        <f>SUM(I57:I61)</f>
        <v>25000</v>
      </c>
      <c r="J56">
        <f>SUM(J57:J61)</f>
        <v>0</v>
      </c>
      <c r="K56">
        <f>SUM(K57:K61)</f>
        <v>0</v>
      </c>
      <c r="L56">
        <f>SUM(L57:L61)</f>
        <v>0</v>
      </c>
    </row>
    <row r="57" spans="1:12" x14ac:dyDescent="0.25">
      <c r="A57" s="107"/>
      <c r="B57" s="107"/>
      <c r="C57" s="107"/>
      <c r="D57" s="107"/>
      <c r="E57" s="107"/>
      <c r="F57" s="107"/>
      <c r="G57">
        <v>2021</v>
      </c>
      <c r="H57">
        <f t="shared" si="0"/>
        <v>0</v>
      </c>
      <c r="I57">
        <v>0</v>
      </c>
      <c r="J57">
        <v>0</v>
      </c>
      <c r="K57">
        <v>0</v>
      </c>
      <c r="L57">
        <v>0</v>
      </c>
    </row>
    <row r="58" spans="1:12" x14ac:dyDescent="0.25">
      <c r="A58" s="107"/>
      <c r="B58" s="107"/>
      <c r="C58" s="107"/>
      <c r="D58" s="107"/>
      <c r="E58" s="107"/>
      <c r="F58" s="107"/>
      <c r="G58">
        <v>2022</v>
      </c>
      <c r="H58">
        <f t="shared" si="0"/>
        <v>25000</v>
      </c>
      <c r="I58">
        <v>25000</v>
      </c>
      <c r="J58">
        <v>0</v>
      </c>
      <c r="K58">
        <v>0</v>
      </c>
      <c r="L58">
        <v>0</v>
      </c>
    </row>
    <row r="59" spans="1:12" x14ac:dyDescent="0.25">
      <c r="A59" s="107"/>
      <c r="B59" s="107"/>
      <c r="C59" s="107"/>
      <c r="D59" s="107"/>
      <c r="E59" s="107"/>
      <c r="F59" s="107"/>
      <c r="G59">
        <v>2023</v>
      </c>
      <c r="H59">
        <f t="shared" si="0"/>
        <v>0</v>
      </c>
      <c r="I59">
        <v>0</v>
      </c>
      <c r="J59">
        <v>0</v>
      </c>
      <c r="K59">
        <v>0</v>
      </c>
      <c r="L59">
        <v>0</v>
      </c>
    </row>
    <row r="60" spans="1:12" x14ac:dyDescent="0.25">
      <c r="A60" s="107"/>
      <c r="B60" s="107"/>
      <c r="C60" s="107"/>
      <c r="D60" s="107"/>
      <c r="E60" s="107"/>
      <c r="F60" s="107"/>
      <c r="G60">
        <v>2024</v>
      </c>
      <c r="H60">
        <f t="shared" si="0"/>
        <v>0</v>
      </c>
      <c r="I60">
        <v>0</v>
      </c>
      <c r="J60">
        <v>0</v>
      </c>
      <c r="K60">
        <v>0</v>
      </c>
      <c r="L60">
        <v>0</v>
      </c>
    </row>
    <row r="61" spans="1:12" x14ac:dyDescent="0.25">
      <c r="A61" s="107"/>
      <c r="B61" s="107"/>
      <c r="C61" s="107"/>
      <c r="D61" s="107"/>
      <c r="E61" s="107"/>
      <c r="F61" s="107"/>
      <c r="G61">
        <v>2025</v>
      </c>
      <c r="H61">
        <f t="shared" si="0"/>
        <v>0</v>
      </c>
      <c r="I61">
        <v>0</v>
      </c>
      <c r="J61">
        <v>0</v>
      </c>
      <c r="K61">
        <v>0</v>
      </c>
      <c r="L61">
        <v>0</v>
      </c>
    </row>
    <row r="62" spans="1:12" ht="15" customHeight="1" x14ac:dyDescent="0.25">
      <c r="A62" s="107">
        <v>9</v>
      </c>
      <c r="B62" s="107" t="s">
        <v>777</v>
      </c>
      <c r="C62" s="107" t="s">
        <v>773</v>
      </c>
      <c r="D62" s="107" t="s">
        <v>774</v>
      </c>
      <c r="E62" s="107" t="s">
        <v>778</v>
      </c>
      <c r="F62" s="107" t="s">
        <v>779</v>
      </c>
      <c r="G62" t="s">
        <v>8</v>
      </c>
      <c r="H62">
        <f t="shared" si="0"/>
        <v>340000</v>
      </c>
      <c r="I62">
        <f>SUM(I63:I67)</f>
        <v>340000</v>
      </c>
      <c r="J62">
        <f>SUM(J63:J67)</f>
        <v>0</v>
      </c>
      <c r="K62">
        <f>SUM(K63:K67)</f>
        <v>0</v>
      </c>
      <c r="L62">
        <f>SUM(L63:L67)</f>
        <v>0</v>
      </c>
    </row>
    <row r="63" spans="1:12" x14ac:dyDescent="0.25">
      <c r="A63" s="107"/>
      <c r="B63" s="107"/>
      <c r="C63" s="107"/>
      <c r="D63" s="107"/>
      <c r="E63" s="107"/>
      <c r="F63" s="107"/>
      <c r="G63">
        <v>2021</v>
      </c>
      <c r="H63">
        <f t="shared" si="0"/>
        <v>0</v>
      </c>
      <c r="I63">
        <v>0</v>
      </c>
      <c r="J63">
        <v>0</v>
      </c>
      <c r="K63">
        <v>0</v>
      </c>
      <c r="L63">
        <v>0</v>
      </c>
    </row>
    <row r="64" spans="1:12" x14ac:dyDescent="0.25">
      <c r="A64" s="107"/>
      <c r="B64" s="107"/>
      <c r="C64" s="107"/>
      <c r="D64" s="107"/>
      <c r="E64" s="107"/>
      <c r="F64" s="107"/>
      <c r="G64">
        <v>2022</v>
      </c>
      <c r="H64">
        <f t="shared" si="0"/>
        <v>50000</v>
      </c>
      <c r="I64">
        <v>50000</v>
      </c>
      <c r="J64">
        <v>0</v>
      </c>
      <c r="K64">
        <v>0</v>
      </c>
      <c r="L64">
        <v>0</v>
      </c>
    </row>
    <row r="65" spans="1:12" x14ac:dyDescent="0.25">
      <c r="A65" s="107"/>
      <c r="B65" s="107"/>
      <c r="C65" s="107"/>
      <c r="D65" s="107"/>
      <c r="E65" s="107"/>
      <c r="F65" s="107"/>
      <c r="G65">
        <v>2023</v>
      </c>
      <c r="H65">
        <f t="shared" si="0"/>
        <v>290000</v>
      </c>
      <c r="I65">
        <v>290000</v>
      </c>
      <c r="J65">
        <v>0</v>
      </c>
      <c r="K65">
        <v>0</v>
      </c>
      <c r="L65">
        <v>0</v>
      </c>
    </row>
    <row r="66" spans="1:12" x14ac:dyDescent="0.25">
      <c r="A66" s="107"/>
      <c r="B66" s="107"/>
      <c r="C66" s="107"/>
      <c r="D66" s="107"/>
      <c r="E66" s="107"/>
      <c r="F66" s="107"/>
      <c r="G66">
        <v>2024</v>
      </c>
      <c r="H66">
        <f t="shared" si="0"/>
        <v>0</v>
      </c>
      <c r="I66">
        <v>0</v>
      </c>
      <c r="J66">
        <v>0</v>
      </c>
      <c r="K66">
        <v>0</v>
      </c>
      <c r="L66">
        <v>0</v>
      </c>
    </row>
    <row r="67" spans="1:12" x14ac:dyDescent="0.25">
      <c r="A67" s="107"/>
      <c r="B67" s="107"/>
      <c r="C67" s="107"/>
      <c r="D67" s="107"/>
      <c r="E67" s="107"/>
      <c r="F67" s="107"/>
      <c r="G67">
        <v>2025</v>
      </c>
      <c r="H67">
        <f t="shared" si="0"/>
        <v>0</v>
      </c>
      <c r="I67">
        <v>0</v>
      </c>
      <c r="J67">
        <v>0</v>
      </c>
      <c r="K67">
        <v>0</v>
      </c>
      <c r="L67">
        <v>0</v>
      </c>
    </row>
    <row r="68" spans="1:12" ht="15" customHeight="1" x14ac:dyDescent="0.25">
      <c r="A68" s="107">
        <v>10</v>
      </c>
      <c r="B68" s="107" t="s">
        <v>780</v>
      </c>
      <c r="C68" s="107" t="s">
        <v>781</v>
      </c>
      <c r="D68" s="107" t="s">
        <v>774</v>
      </c>
      <c r="E68" s="107" t="s">
        <v>782</v>
      </c>
      <c r="F68" s="107" t="s">
        <v>783</v>
      </c>
      <c r="G68" t="s">
        <v>8</v>
      </c>
      <c r="H68">
        <f t="shared" si="0"/>
        <v>5000</v>
      </c>
      <c r="I68">
        <f>SUM(I69:I73)</f>
        <v>4750</v>
      </c>
      <c r="J68">
        <f>SUM(J69:J73)</f>
        <v>0</v>
      </c>
      <c r="K68">
        <f>SUM(K69:K73)</f>
        <v>250</v>
      </c>
      <c r="L68">
        <f>SUM(L69:L73)</f>
        <v>0</v>
      </c>
    </row>
    <row r="69" spans="1:12" x14ac:dyDescent="0.25">
      <c r="A69" s="107"/>
      <c r="B69" s="107"/>
      <c r="C69" s="107"/>
      <c r="D69" s="107"/>
      <c r="E69" s="107"/>
      <c r="F69" s="107"/>
      <c r="G69">
        <v>2021</v>
      </c>
      <c r="H69">
        <f t="shared" si="0"/>
        <v>0</v>
      </c>
      <c r="I69">
        <v>0</v>
      </c>
      <c r="J69">
        <v>0</v>
      </c>
      <c r="K69">
        <v>0</v>
      </c>
      <c r="L69">
        <v>0</v>
      </c>
    </row>
    <row r="70" spans="1:12" x14ac:dyDescent="0.25">
      <c r="A70" s="107"/>
      <c r="B70" s="107"/>
      <c r="C70" s="107"/>
      <c r="D70" s="107"/>
      <c r="E70" s="107"/>
      <c r="F70" s="107"/>
      <c r="G70">
        <v>2022</v>
      </c>
      <c r="H70">
        <f t="shared" si="0"/>
        <v>5000</v>
      </c>
      <c r="I70">
        <f>4750000/1000</f>
        <v>4750</v>
      </c>
      <c r="J70">
        <v>0</v>
      </c>
      <c r="K70">
        <f>I70*5%/95%</f>
        <v>250</v>
      </c>
      <c r="L70">
        <v>0</v>
      </c>
    </row>
    <row r="71" spans="1:12" x14ac:dyDescent="0.25">
      <c r="A71" s="107"/>
      <c r="B71" s="107"/>
      <c r="C71" s="107"/>
      <c r="D71" s="107"/>
      <c r="E71" s="107"/>
      <c r="F71" s="107"/>
      <c r="G71">
        <v>2023</v>
      </c>
      <c r="H71">
        <f t="shared" si="0"/>
        <v>0</v>
      </c>
      <c r="I71">
        <v>0</v>
      </c>
      <c r="J71">
        <v>0</v>
      </c>
      <c r="K71">
        <v>0</v>
      </c>
      <c r="L71">
        <v>0</v>
      </c>
    </row>
    <row r="72" spans="1:12" x14ac:dyDescent="0.25">
      <c r="A72" s="107"/>
      <c r="B72" s="107"/>
      <c r="C72" s="107"/>
      <c r="D72" s="107"/>
      <c r="E72" s="107"/>
      <c r="F72" s="107"/>
      <c r="G72">
        <v>2024</v>
      </c>
      <c r="H72">
        <f t="shared" si="0"/>
        <v>0</v>
      </c>
      <c r="I72">
        <v>0</v>
      </c>
      <c r="J72">
        <v>0</v>
      </c>
      <c r="K72">
        <v>0</v>
      </c>
      <c r="L72">
        <v>0</v>
      </c>
    </row>
    <row r="73" spans="1:12" x14ac:dyDescent="0.25">
      <c r="A73" s="107"/>
      <c r="B73" s="107"/>
      <c r="C73" s="107"/>
      <c r="D73" s="107"/>
      <c r="E73" s="107"/>
      <c r="F73" s="107"/>
      <c r="G73">
        <v>2025</v>
      </c>
      <c r="H73">
        <f t="shared" si="0"/>
        <v>0</v>
      </c>
      <c r="I73">
        <v>0</v>
      </c>
      <c r="J73">
        <v>0</v>
      </c>
      <c r="K73">
        <v>0</v>
      </c>
      <c r="L73">
        <v>0</v>
      </c>
    </row>
    <row r="74" spans="1:12" ht="15" customHeight="1" x14ac:dyDescent="0.25">
      <c r="A74" s="107">
        <v>11</v>
      </c>
      <c r="B74" s="107" t="s">
        <v>784</v>
      </c>
      <c r="C74" s="107" t="s">
        <v>785</v>
      </c>
      <c r="D74" s="107" t="s">
        <v>774</v>
      </c>
      <c r="E74" s="107" t="s">
        <v>782</v>
      </c>
      <c r="F74" s="107" t="s">
        <v>786</v>
      </c>
      <c r="G74" t="s">
        <v>8</v>
      </c>
      <c r="H74">
        <f t="shared" si="0"/>
        <v>6717.1717171717173</v>
      </c>
      <c r="I74">
        <f>SUM(I75:I79)</f>
        <v>6650</v>
      </c>
      <c r="J74">
        <f t="shared" ref="J74:J80" si="1">SUM(J75:J79)</f>
        <v>0</v>
      </c>
      <c r="K74">
        <f>SUM(K75:K79)</f>
        <v>67.171717171717177</v>
      </c>
      <c r="L74">
        <f t="shared" ref="L74:L92" si="2">SUM(L75:L79)</f>
        <v>0</v>
      </c>
    </row>
    <row r="75" spans="1:12" x14ac:dyDescent="0.25">
      <c r="A75" s="107"/>
      <c r="B75" s="107"/>
      <c r="C75" s="107"/>
      <c r="D75" s="107"/>
      <c r="E75" s="107"/>
      <c r="F75" s="107"/>
      <c r="G75">
        <v>2021</v>
      </c>
      <c r="H75">
        <f t="shared" si="0"/>
        <v>0</v>
      </c>
      <c r="I75">
        <v>0</v>
      </c>
      <c r="J75">
        <f t="shared" si="1"/>
        <v>0</v>
      </c>
      <c r="K75">
        <v>0</v>
      </c>
      <c r="L75">
        <f t="shared" si="2"/>
        <v>0</v>
      </c>
    </row>
    <row r="76" spans="1:12" x14ac:dyDescent="0.25">
      <c r="A76" s="107"/>
      <c r="B76" s="107"/>
      <c r="C76" s="107"/>
      <c r="D76" s="107"/>
      <c r="E76" s="107"/>
      <c r="F76" s="107"/>
      <c r="G76">
        <v>2022</v>
      </c>
      <c r="H76">
        <f t="shared" si="0"/>
        <v>6717.1717171717173</v>
      </c>
      <c r="I76">
        <f>6650000/1000</f>
        <v>6650</v>
      </c>
      <c r="J76">
        <f t="shared" si="1"/>
        <v>0</v>
      </c>
      <c r="K76">
        <f>(6650000*1%/99%)/1000</f>
        <v>67.171717171717177</v>
      </c>
      <c r="L76">
        <f t="shared" si="2"/>
        <v>0</v>
      </c>
    </row>
    <row r="77" spans="1:12" x14ac:dyDescent="0.25">
      <c r="A77" s="107"/>
      <c r="B77" s="107"/>
      <c r="C77" s="107"/>
      <c r="D77" s="107"/>
      <c r="E77" s="107"/>
      <c r="F77" s="107"/>
      <c r="G77">
        <v>2023</v>
      </c>
      <c r="H77">
        <f t="shared" si="0"/>
        <v>0</v>
      </c>
      <c r="I77">
        <v>0</v>
      </c>
      <c r="J77">
        <f t="shared" si="1"/>
        <v>0</v>
      </c>
      <c r="K77">
        <v>0</v>
      </c>
      <c r="L77">
        <f t="shared" si="2"/>
        <v>0</v>
      </c>
    </row>
    <row r="78" spans="1:12" x14ac:dyDescent="0.25">
      <c r="A78" s="107"/>
      <c r="B78" s="107"/>
      <c r="C78" s="107"/>
      <c r="D78" s="107"/>
      <c r="E78" s="107"/>
      <c r="F78" s="107"/>
      <c r="G78">
        <v>2024</v>
      </c>
      <c r="H78">
        <f t="shared" si="0"/>
        <v>0</v>
      </c>
      <c r="I78">
        <v>0</v>
      </c>
      <c r="J78">
        <f t="shared" si="1"/>
        <v>0</v>
      </c>
      <c r="K78">
        <v>0</v>
      </c>
      <c r="L78">
        <f t="shared" si="2"/>
        <v>0</v>
      </c>
    </row>
    <row r="79" spans="1:12" x14ac:dyDescent="0.25">
      <c r="A79" s="107"/>
      <c r="B79" s="107"/>
      <c r="C79" s="107"/>
      <c r="D79" s="107"/>
      <c r="E79" s="107"/>
      <c r="F79" s="107"/>
      <c r="G79">
        <v>2025</v>
      </c>
      <c r="H79">
        <f t="shared" si="0"/>
        <v>0</v>
      </c>
      <c r="I79">
        <v>0</v>
      </c>
      <c r="J79">
        <f t="shared" si="1"/>
        <v>0</v>
      </c>
      <c r="K79">
        <v>0</v>
      </c>
      <c r="L79">
        <f t="shared" si="2"/>
        <v>0</v>
      </c>
    </row>
    <row r="80" spans="1:12" ht="15" customHeight="1" x14ac:dyDescent="0.25">
      <c r="A80" s="107">
        <v>12</v>
      </c>
      <c r="B80" s="107" t="s">
        <v>787</v>
      </c>
      <c r="C80" s="107" t="s">
        <v>788</v>
      </c>
      <c r="D80" s="107" t="s">
        <v>774</v>
      </c>
      <c r="E80" s="107" t="s">
        <v>782</v>
      </c>
      <c r="F80" s="107" t="s">
        <v>789</v>
      </c>
      <c r="G80" t="s">
        <v>8</v>
      </c>
      <c r="H80">
        <f t="shared" si="0"/>
        <v>6815.7889999999998</v>
      </c>
      <c r="I80">
        <f>SUM(I81:I85)</f>
        <v>6475</v>
      </c>
      <c r="J80">
        <f t="shared" si="1"/>
        <v>0</v>
      </c>
      <c r="K80">
        <f>SUM(K81:K85)</f>
        <v>340.78899999999999</v>
      </c>
      <c r="L80">
        <f t="shared" si="2"/>
        <v>0</v>
      </c>
    </row>
    <row r="81" spans="1:12" x14ac:dyDescent="0.25">
      <c r="A81" s="107"/>
      <c r="B81" s="107"/>
      <c r="C81" s="107"/>
      <c r="D81" s="107"/>
      <c r="E81" s="107"/>
      <c r="F81" s="107"/>
      <c r="G81">
        <v>2021</v>
      </c>
      <c r="H81">
        <f t="shared" si="0"/>
        <v>0</v>
      </c>
      <c r="I81">
        <v>0</v>
      </c>
      <c r="J81">
        <v>0</v>
      </c>
      <c r="K81">
        <v>0</v>
      </c>
      <c r="L81">
        <f t="shared" si="2"/>
        <v>0</v>
      </c>
    </row>
    <row r="82" spans="1:12" x14ac:dyDescent="0.25">
      <c r="A82" s="107"/>
      <c r="B82" s="107"/>
      <c r="C82" s="107"/>
      <c r="D82" s="107"/>
      <c r="E82" s="107"/>
      <c r="F82" s="107"/>
      <c r="G82">
        <v>2022</v>
      </c>
      <c r="H82">
        <f t="shared" si="0"/>
        <v>6815.7889999999998</v>
      </c>
      <c r="I82">
        <v>6475</v>
      </c>
      <c r="J82">
        <v>0</v>
      </c>
      <c r="K82">
        <v>340.78899999999999</v>
      </c>
      <c r="L82">
        <f t="shared" si="2"/>
        <v>0</v>
      </c>
    </row>
    <row r="83" spans="1:12" x14ac:dyDescent="0.25">
      <c r="A83" s="107"/>
      <c r="B83" s="107"/>
      <c r="C83" s="107"/>
      <c r="D83" s="107"/>
      <c r="E83" s="107"/>
      <c r="F83" s="107"/>
      <c r="G83">
        <v>2023</v>
      </c>
      <c r="H83">
        <f t="shared" si="0"/>
        <v>0</v>
      </c>
      <c r="I83">
        <v>0</v>
      </c>
      <c r="J83">
        <v>0</v>
      </c>
      <c r="K83">
        <v>0</v>
      </c>
      <c r="L83">
        <f t="shared" si="2"/>
        <v>0</v>
      </c>
    </row>
    <row r="84" spans="1:12" x14ac:dyDescent="0.25">
      <c r="A84" s="107"/>
      <c r="B84" s="107"/>
      <c r="C84" s="107"/>
      <c r="D84" s="107"/>
      <c r="E84" s="107"/>
      <c r="F84" s="107"/>
      <c r="G84">
        <v>2024</v>
      </c>
      <c r="H84">
        <f t="shared" si="0"/>
        <v>0</v>
      </c>
      <c r="I84">
        <v>0</v>
      </c>
      <c r="J84">
        <v>0</v>
      </c>
      <c r="K84">
        <v>0</v>
      </c>
      <c r="L84">
        <f t="shared" si="2"/>
        <v>0</v>
      </c>
    </row>
    <row r="85" spans="1:12" x14ac:dyDescent="0.25">
      <c r="A85" s="107"/>
      <c r="B85" s="107"/>
      <c r="C85" s="107"/>
      <c r="D85" s="107"/>
      <c r="E85" s="107"/>
      <c r="F85" s="107"/>
      <c r="G85">
        <v>2025</v>
      </c>
      <c r="H85">
        <f t="shared" si="0"/>
        <v>0</v>
      </c>
      <c r="I85">
        <v>0</v>
      </c>
      <c r="J85">
        <v>0</v>
      </c>
      <c r="K85">
        <v>0</v>
      </c>
      <c r="L85">
        <f t="shared" si="2"/>
        <v>0</v>
      </c>
    </row>
    <row r="86" spans="1:12" ht="15" customHeight="1" x14ac:dyDescent="0.25">
      <c r="A86" s="107">
        <v>13</v>
      </c>
      <c r="B86" s="107" t="s">
        <v>790</v>
      </c>
      <c r="C86" s="107" t="s">
        <v>738</v>
      </c>
      <c r="D86" s="107" t="s">
        <v>774</v>
      </c>
      <c r="E86" s="107" t="s">
        <v>782</v>
      </c>
      <c r="F86" s="107" t="s">
        <v>786</v>
      </c>
      <c r="G86" t="s">
        <v>8</v>
      </c>
      <c r="H86">
        <f t="shared" si="0"/>
        <v>6717.1717171717173</v>
      </c>
      <c r="I86">
        <f>SUM(I87:I91)</f>
        <v>6650</v>
      </c>
      <c r="J86">
        <v>0</v>
      </c>
      <c r="K86">
        <f>SUM(K87:K91)</f>
        <v>67.171717171717177</v>
      </c>
      <c r="L86">
        <f t="shared" si="2"/>
        <v>0</v>
      </c>
    </row>
    <row r="87" spans="1:12" x14ac:dyDescent="0.25">
      <c r="A87" s="107"/>
      <c r="B87" s="107"/>
      <c r="C87" s="107"/>
      <c r="D87" s="107"/>
      <c r="E87" s="107"/>
      <c r="F87" s="107"/>
      <c r="G87">
        <v>2021</v>
      </c>
      <c r="H87">
        <f t="shared" si="0"/>
        <v>0</v>
      </c>
      <c r="I87">
        <v>0</v>
      </c>
      <c r="J87">
        <v>0</v>
      </c>
      <c r="K87">
        <v>0</v>
      </c>
      <c r="L87">
        <f t="shared" si="2"/>
        <v>0</v>
      </c>
    </row>
    <row r="88" spans="1:12" x14ac:dyDescent="0.25">
      <c r="A88" s="107"/>
      <c r="B88" s="107"/>
      <c r="C88" s="107"/>
      <c r="D88" s="107"/>
      <c r="E88" s="107"/>
      <c r="F88" s="107"/>
      <c r="G88">
        <v>2022</v>
      </c>
      <c r="H88">
        <f t="shared" si="0"/>
        <v>6717.1717171717173</v>
      </c>
      <c r="I88">
        <v>6650</v>
      </c>
      <c r="J88">
        <v>0</v>
      </c>
      <c r="K88">
        <f>[4]Лист1!$L$110/1000</f>
        <v>67.171717171717177</v>
      </c>
      <c r="L88">
        <f t="shared" si="2"/>
        <v>0</v>
      </c>
    </row>
    <row r="89" spans="1:12" x14ac:dyDescent="0.25">
      <c r="A89" s="107"/>
      <c r="B89" s="107"/>
      <c r="C89" s="107"/>
      <c r="D89" s="107"/>
      <c r="E89" s="107"/>
      <c r="F89" s="107"/>
      <c r="G89">
        <v>2023</v>
      </c>
      <c r="H89">
        <f t="shared" si="0"/>
        <v>0</v>
      </c>
      <c r="I89">
        <v>0</v>
      </c>
      <c r="J89">
        <v>0</v>
      </c>
      <c r="K89">
        <v>0</v>
      </c>
      <c r="L89">
        <f t="shared" si="2"/>
        <v>0</v>
      </c>
    </row>
    <row r="90" spans="1:12" x14ac:dyDescent="0.25">
      <c r="A90" s="107"/>
      <c r="B90" s="107"/>
      <c r="C90" s="107"/>
      <c r="D90" s="107"/>
      <c r="E90" s="107"/>
      <c r="F90" s="107"/>
      <c r="G90">
        <v>2024</v>
      </c>
      <c r="H90">
        <f t="shared" si="0"/>
        <v>0</v>
      </c>
      <c r="I90">
        <v>0</v>
      </c>
      <c r="J90">
        <v>0</v>
      </c>
      <c r="K90">
        <v>0</v>
      </c>
      <c r="L90">
        <f t="shared" si="2"/>
        <v>0</v>
      </c>
    </row>
    <row r="91" spans="1:12" x14ac:dyDescent="0.25">
      <c r="A91" s="107"/>
      <c r="B91" s="107"/>
      <c r="C91" s="107"/>
      <c r="D91" s="107"/>
      <c r="E91" s="107"/>
      <c r="F91" s="107"/>
      <c r="G91">
        <v>2025</v>
      </c>
      <c r="H91">
        <f t="shared" si="0"/>
        <v>0</v>
      </c>
      <c r="I91">
        <v>0</v>
      </c>
      <c r="J91">
        <v>0</v>
      </c>
      <c r="K91">
        <v>0</v>
      </c>
      <c r="L91">
        <f t="shared" si="2"/>
        <v>0</v>
      </c>
    </row>
    <row r="92" spans="1:12" ht="15" customHeight="1" x14ac:dyDescent="0.25">
      <c r="A92" s="107">
        <v>14</v>
      </c>
      <c r="B92" s="107" t="s">
        <v>791</v>
      </c>
      <c r="C92" s="107" t="s">
        <v>773</v>
      </c>
      <c r="D92" s="107" t="s">
        <v>774</v>
      </c>
      <c r="E92" s="107" t="s">
        <v>778</v>
      </c>
      <c r="F92" s="107" t="s">
        <v>792</v>
      </c>
      <c r="G92" t="s">
        <v>8</v>
      </c>
      <c r="H92">
        <f t="shared" si="0"/>
        <v>340000</v>
      </c>
      <c r="I92">
        <f>SUM(I93:I97)</f>
        <v>340000</v>
      </c>
      <c r="J92">
        <v>0</v>
      </c>
      <c r="K92">
        <f>SUM(K93:K97)</f>
        <v>0</v>
      </c>
      <c r="L92">
        <f t="shared" si="2"/>
        <v>0</v>
      </c>
    </row>
    <row r="93" spans="1:12" x14ac:dyDescent="0.25">
      <c r="A93" s="107"/>
      <c r="B93" s="107"/>
      <c r="C93" s="107"/>
      <c r="D93" s="107"/>
      <c r="E93" s="107"/>
      <c r="F93" s="107"/>
      <c r="G93">
        <v>2021</v>
      </c>
      <c r="H93">
        <f t="shared" si="0"/>
        <v>0</v>
      </c>
      <c r="I93">
        <v>0</v>
      </c>
      <c r="J93">
        <v>0</v>
      </c>
      <c r="K93">
        <v>0</v>
      </c>
      <c r="L93">
        <v>0</v>
      </c>
    </row>
    <row r="94" spans="1:12" x14ac:dyDescent="0.25">
      <c r="A94" s="107"/>
      <c r="B94" s="107"/>
      <c r="C94" s="107"/>
      <c r="D94" s="107"/>
      <c r="E94" s="107"/>
      <c r="F94" s="107"/>
      <c r="G94">
        <v>2022</v>
      </c>
      <c r="H94">
        <f t="shared" si="0"/>
        <v>50000</v>
      </c>
      <c r="I94">
        <v>50000</v>
      </c>
      <c r="J94">
        <v>0</v>
      </c>
      <c r="K94">
        <v>0</v>
      </c>
      <c r="L94">
        <v>0</v>
      </c>
    </row>
    <row r="95" spans="1:12" x14ac:dyDescent="0.25">
      <c r="A95" s="107"/>
      <c r="B95" s="107"/>
      <c r="C95" s="107"/>
      <c r="D95" s="107"/>
      <c r="E95" s="107"/>
      <c r="F95" s="107"/>
      <c r="G95">
        <v>2023</v>
      </c>
      <c r="H95">
        <f t="shared" si="0"/>
        <v>290000</v>
      </c>
      <c r="I95">
        <v>290000</v>
      </c>
      <c r="J95">
        <v>0</v>
      </c>
      <c r="K95">
        <v>0</v>
      </c>
      <c r="L95">
        <v>0</v>
      </c>
    </row>
    <row r="96" spans="1:12" x14ac:dyDescent="0.25">
      <c r="A96" s="107"/>
      <c r="B96" s="107"/>
      <c r="C96" s="107"/>
      <c r="D96" s="107"/>
      <c r="E96" s="107"/>
      <c r="F96" s="107"/>
      <c r="G96">
        <v>2024</v>
      </c>
      <c r="H96">
        <f t="shared" si="0"/>
        <v>0</v>
      </c>
      <c r="I96">
        <v>0</v>
      </c>
      <c r="J96">
        <v>0</v>
      </c>
      <c r="K96">
        <v>0</v>
      </c>
      <c r="L96">
        <v>0</v>
      </c>
    </row>
    <row r="97" spans="1:12" x14ac:dyDescent="0.25">
      <c r="A97" s="107"/>
      <c r="B97" s="107"/>
      <c r="C97" s="107"/>
      <c r="D97" s="107"/>
      <c r="E97" s="107"/>
      <c r="F97" s="107"/>
      <c r="G97">
        <v>2025</v>
      </c>
      <c r="H97">
        <f t="shared" si="0"/>
        <v>0</v>
      </c>
      <c r="I97">
        <v>0</v>
      </c>
      <c r="J97">
        <v>0</v>
      </c>
      <c r="K97">
        <v>0</v>
      </c>
      <c r="L97">
        <v>0</v>
      </c>
    </row>
    <row r="98" spans="1:12" ht="15" customHeight="1" x14ac:dyDescent="0.25">
      <c r="A98" s="107">
        <v>15</v>
      </c>
      <c r="B98" s="107" t="s">
        <v>793</v>
      </c>
      <c r="C98" s="107" t="s">
        <v>773</v>
      </c>
      <c r="D98" s="107" t="s">
        <v>774</v>
      </c>
      <c r="E98" s="107" t="s">
        <v>794</v>
      </c>
      <c r="F98" s="107" t="s">
        <v>795</v>
      </c>
      <c r="G98" t="s">
        <v>8</v>
      </c>
      <c r="H98">
        <f t="shared" si="0"/>
        <v>98000</v>
      </c>
      <c r="I98">
        <f>SUM(I99:I103)</f>
        <v>98000</v>
      </c>
      <c r="J98">
        <f>SUM(J99:J103)</f>
        <v>0</v>
      </c>
      <c r="K98">
        <f>SUM(K99:K103)</f>
        <v>0</v>
      </c>
      <c r="L98">
        <f>SUM(L99:L103)</f>
        <v>0</v>
      </c>
    </row>
    <row r="99" spans="1:12" x14ac:dyDescent="0.25">
      <c r="A99" s="107"/>
      <c r="B99" s="107"/>
      <c r="C99" s="107"/>
      <c r="D99" s="107"/>
      <c r="E99" s="107"/>
      <c r="F99" s="107"/>
      <c r="G99">
        <v>2021</v>
      </c>
      <c r="H99">
        <f t="shared" si="0"/>
        <v>0</v>
      </c>
      <c r="I99">
        <v>0</v>
      </c>
      <c r="J99">
        <v>0</v>
      </c>
      <c r="K99">
        <v>0</v>
      </c>
      <c r="L99">
        <v>0</v>
      </c>
    </row>
    <row r="100" spans="1:12" x14ac:dyDescent="0.25">
      <c r="A100" s="107"/>
      <c r="B100" s="107"/>
      <c r="C100" s="107"/>
      <c r="D100" s="107"/>
      <c r="E100" s="107"/>
      <c r="F100" s="107"/>
      <c r="G100">
        <v>2022</v>
      </c>
      <c r="H100">
        <f t="shared" si="0"/>
        <v>98000</v>
      </c>
      <c r="I100">
        <v>98000</v>
      </c>
      <c r="J100">
        <v>0</v>
      </c>
      <c r="K100">
        <v>0</v>
      </c>
      <c r="L100">
        <v>0</v>
      </c>
    </row>
    <row r="101" spans="1:12" x14ac:dyDescent="0.25">
      <c r="A101" s="107"/>
      <c r="B101" s="107"/>
      <c r="C101" s="107"/>
      <c r="D101" s="107"/>
      <c r="E101" s="107"/>
      <c r="F101" s="107"/>
      <c r="G101">
        <v>2023</v>
      </c>
      <c r="H101">
        <f t="shared" si="0"/>
        <v>0</v>
      </c>
      <c r="I101">
        <v>0</v>
      </c>
      <c r="J101">
        <v>0</v>
      </c>
      <c r="K101">
        <v>0</v>
      </c>
      <c r="L101">
        <v>0</v>
      </c>
    </row>
    <row r="102" spans="1:12" x14ac:dyDescent="0.25">
      <c r="A102" s="107"/>
      <c r="B102" s="107"/>
      <c r="C102" s="107"/>
      <c r="D102" s="107"/>
      <c r="E102" s="107"/>
      <c r="F102" s="107"/>
      <c r="G102">
        <v>2024</v>
      </c>
      <c r="H102">
        <f t="shared" si="0"/>
        <v>0</v>
      </c>
      <c r="I102">
        <v>0</v>
      </c>
      <c r="J102">
        <v>0</v>
      </c>
      <c r="K102">
        <v>0</v>
      </c>
      <c r="L102">
        <v>0</v>
      </c>
    </row>
    <row r="103" spans="1:12" x14ac:dyDescent="0.25">
      <c r="A103" s="107"/>
      <c r="B103" s="107"/>
      <c r="C103" s="107"/>
      <c r="D103" s="107"/>
      <c r="E103" s="107"/>
      <c r="F103" s="107"/>
      <c r="G103">
        <v>2025</v>
      </c>
      <c r="H103">
        <f t="shared" si="0"/>
        <v>0</v>
      </c>
      <c r="I103">
        <v>0</v>
      </c>
      <c r="J103">
        <v>0</v>
      </c>
      <c r="K103">
        <v>0</v>
      </c>
      <c r="L103">
        <v>0</v>
      </c>
    </row>
    <row r="104" spans="1:12" ht="15" customHeight="1" x14ac:dyDescent="0.25">
      <c r="A104" s="107">
        <v>16</v>
      </c>
      <c r="B104" s="107" t="s">
        <v>796</v>
      </c>
      <c r="C104" s="107" t="s">
        <v>797</v>
      </c>
      <c r="D104" s="107" t="s">
        <v>774</v>
      </c>
      <c r="E104" s="107" t="s">
        <v>782</v>
      </c>
      <c r="F104" s="107" t="s">
        <v>798</v>
      </c>
      <c r="G104" t="s">
        <v>8</v>
      </c>
      <c r="H104">
        <f t="shared" ref="H104:H109" si="3">SUM(I104:L104)</f>
        <v>5405.3319999999994</v>
      </c>
      <c r="I104">
        <f>SUM(I105:I109)</f>
        <v>5135.0659999999998</v>
      </c>
      <c r="J104">
        <f t="shared" ref="J104:J109" si="4">SUM(J105:J109)</f>
        <v>0</v>
      </c>
      <c r="K104">
        <f>SUM(K105:K109)</f>
        <v>270.26600000000002</v>
      </c>
      <c r="L104">
        <f t="shared" ref="L104:L109" si="5">SUM(L105:L109)</f>
        <v>0</v>
      </c>
    </row>
    <row r="105" spans="1:12" x14ac:dyDescent="0.25">
      <c r="A105" s="107"/>
      <c r="B105" s="107"/>
      <c r="C105" s="107"/>
      <c r="D105" s="107"/>
      <c r="E105" s="107"/>
      <c r="F105" s="107"/>
      <c r="G105">
        <v>2021</v>
      </c>
      <c r="H105">
        <f t="shared" si="3"/>
        <v>0</v>
      </c>
      <c r="I105">
        <v>0</v>
      </c>
      <c r="J105">
        <f t="shared" si="4"/>
        <v>0</v>
      </c>
      <c r="L105">
        <f t="shared" si="5"/>
        <v>0</v>
      </c>
    </row>
    <row r="106" spans="1:12" x14ac:dyDescent="0.25">
      <c r="A106" s="107"/>
      <c r="B106" s="107"/>
      <c r="C106" s="107"/>
      <c r="D106" s="107"/>
      <c r="E106" s="107"/>
      <c r="F106" s="107"/>
      <c r="G106">
        <v>2022</v>
      </c>
      <c r="H106">
        <f t="shared" si="3"/>
        <v>5405.3319999999994</v>
      </c>
      <c r="I106">
        <v>5135.0659999999998</v>
      </c>
      <c r="J106">
        <f t="shared" si="4"/>
        <v>0</v>
      </c>
      <c r="K106">
        <v>270.26600000000002</v>
      </c>
      <c r="L106">
        <f t="shared" si="5"/>
        <v>0</v>
      </c>
    </row>
    <row r="107" spans="1:12" x14ac:dyDescent="0.25">
      <c r="A107" s="107"/>
      <c r="B107" s="107"/>
      <c r="C107" s="107"/>
      <c r="D107" s="107"/>
      <c r="E107" s="107"/>
      <c r="F107" s="107"/>
      <c r="G107">
        <v>2023</v>
      </c>
      <c r="H107">
        <f t="shared" si="3"/>
        <v>0</v>
      </c>
      <c r="I107">
        <v>0</v>
      </c>
      <c r="J107">
        <f t="shared" si="4"/>
        <v>0</v>
      </c>
      <c r="L107">
        <f t="shared" si="5"/>
        <v>0</v>
      </c>
    </row>
    <row r="108" spans="1:12" x14ac:dyDescent="0.25">
      <c r="A108" s="107"/>
      <c r="B108" s="107"/>
      <c r="C108" s="107"/>
      <c r="D108" s="107"/>
      <c r="E108" s="107"/>
      <c r="F108" s="107"/>
      <c r="G108">
        <v>2024</v>
      </c>
      <c r="H108">
        <f t="shared" si="3"/>
        <v>0</v>
      </c>
      <c r="I108">
        <v>0</v>
      </c>
      <c r="J108">
        <f t="shared" si="4"/>
        <v>0</v>
      </c>
      <c r="L108">
        <f t="shared" si="5"/>
        <v>0</v>
      </c>
    </row>
    <row r="109" spans="1:12" x14ac:dyDescent="0.25">
      <c r="A109" s="107"/>
      <c r="B109" s="107"/>
      <c r="C109" s="107"/>
      <c r="D109" s="107"/>
      <c r="E109" s="107"/>
      <c r="F109" s="107"/>
      <c r="G109">
        <v>2025</v>
      </c>
      <c r="H109">
        <f t="shared" si="3"/>
        <v>0</v>
      </c>
      <c r="I109">
        <v>0</v>
      </c>
      <c r="J109">
        <f t="shared" si="4"/>
        <v>0</v>
      </c>
      <c r="L109">
        <f t="shared" si="5"/>
        <v>0</v>
      </c>
    </row>
    <row r="110" spans="1:12" x14ac:dyDescent="0.25">
      <c r="A110" s="107" t="s">
        <v>799</v>
      </c>
      <c r="B110" s="107"/>
      <c r="C110" s="107"/>
      <c r="D110" s="107"/>
      <c r="E110" s="107"/>
      <c r="F110" s="107"/>
      <c r="G110" s="107"/>
      <c r="H110" s="107"/>
      <c r="I110" s="107"/>
      <c r="J110" s="107"/>
      <c r="K110" s="107"/>
      <c r="L110" s="107"/>
    </row>
    <row r="111" spans="1:12" x14ac:dyDescent="0.25">
      <c r="A111" s="107" t="s">
        <v>800</v>
      </c>
      <c r="B111" s="107"/>
      <c r="C111" s="107"/>
      <c r="D111" s="107"/>
      <c r="E111" s="107"/>
      <c r="F111" s="107"/>
      <c r="G111" s="107"/>
      <c r="H111" s="107"/>
      <c r="I111" s="107"/>
      <c r="J111" s="107"/>
      <c r="K111" s="107"/>
      <c r="L111" s="107"/>
    </row>
  </sheetData>
  <autoFilter ref="A3:R55"/>
  <mergeCells count="112">
    <mergeCell ref="A110:L110"/>
    <mergeCell ref="A111:L111"/>
    <mergeCell ref="A98:A103"/>
    <mergeCell ref="B98:B103"/>
    <mergeCell ref="C98:C103"/>
    <mergeCell ref="D98:D103"/>
    <mergeCell ref="E98:E103"/>
    <mergeCell ref="F98:F103"/>
    <mergeCell ref="A104:A109"/>
    <mergeCell ref="B104:B109"/>
    <mergeCell ref="C104:C109"/>
    <mergeCell ref="D104:D109"/>
    <mergeCell ref="E104:E109"/>
    <mergeCell ref="F104:F109"/>
    <mergeCell ref="A86:A91"/>
    <mergeCell ref="B86:B91"/>
    <mergeCell ref="C86:C91"/>
    <mergeCell ref="D86:D91"/>
    <mergeCell ref="E86:E91"/>
    <mergeCell ref="F86:F91"/>
    <mergeCell ref="A92:A97"/>
    <mergeCell ref="B92:B97"/>
    <mergeCell ref="C92:C97"/>
    <mergeCell ref="D92:D97"/>
    <mergeCell ref="E92:E97"/>
    <mergeCell ref="F92:F97"/>
    <mergeCell ref="A74:A79"/>
    <mergeCell ref="B74:B79"/>
    <mergeCell ref="C74:C79"/>
    <mergeCell ref="D74:D79"/>
    <mergeCell ref="E74:E79"/>
    <mergeCell ref="F74:F79"/>
    <mergeCell ref="A80:A85"/>
    <mergeCell ref="B80:B85"/>
    <mergeCell ref="C80:C85"/>
    <mergeCell ref="D80:D85"/>
    <mergeCell ref="E80:E85"/>
    <mergeCell ref="F80:F85"/>
    <mergeCell ref="A62:A67"/>
    <mergeCell ref="B62:B67"/>
    <mergeCell ref="C62:C67"/>
    <mergeCell ref="D62:D67"/>
    <mergeCell ref="E62:E67"/>
    <mergeCell ref="F62:F67"/>
    <mergeCell ref="A68:A73"/>
    <mergeCell ref="B68:B73"/>
    <mergeCell ref="C68:C73"/>
    <mergeCell ref="D68:D73"/>
    <mergeCell ref="E68:E73"/>
    <mergeCell ref="F68:F73"/>
    <mergeCell ref="A47:A55"/>
    <mergeCell ref="B47:B55"/>
    <mergeCell ref="C47:C55"/>
    <mergeCell ref="D47:D55"/>
    <mergeCell ref="E47:E55"/>
    <mergeCell ref="F47:F55"/>
    <mergeCell ref="A56:A61"/>
    <mergeCell ref="B56:B61"/>
    <mergeCell ref="C56:C61"/>
    <mergeCell ref="D56:D61"/>
    <mergeCell ref="E56:E61"/>
    <mergeCell ref="F56:F61"/>
    <mergeCell ref="A35:A40"/>
    <mergeCell ref="B35:B40"/>
    <mergeCell ref="C35:C40"/>
    <mergeCell ref="D35:D40"/>
    <mergeCell ref="E35:E40"/>
    <mergeCell ref="F35:F40"/>
    <mergeCell ref="A41:A46"/>
    <mergeCell ref="B41:B46"/>
    <mergeCell ref="C41:C46"/>
    <mergeCell ref="D41:D46"/>
    <mergeCell ref="E41:E46"/>
    <mergeCell ref="F41:F46"/>
    <mergeCell ref="A22:A27"/>
    <mergeCell ref="B22:B27"/>
    <mergeCell ref="C22:C27"/>
    <mergeCell ref="D22:D27"/>
    <mergeCell ref="E22:E27"/>
    <mergeCell ref="F22:F27"/>
    <mergeCell ref="A28:A34"/>
    <mergeCell ref="B28:B34"/>
    <mergeCell ref="C28:C34"/>
    <mergeCell ref="D28:D34"/>
    <mergeCell ref="E28:E34"/>
    <mergeCell ref="F28:F34"/>
    <mergeCell ref="A12:A16"/>
    <mergeCell ref="B12:B16"/>
    <mergeCell ref="C12:C16"/>
    <mergeCell ref="D12:D16"/>
    <mergeCell ref="E12:E16"/>
    <mergeCell ref="F12:F16"/>
    <mergeCell ref="A17:A21"/>
    <mergeCell ref="B17:B21"/>
    <mergeCell ref="C17:C21"/>
    <mergeCell ref="D17:D21"/>
    <mergeCell ref="E17:E21"/>
    <mergeCell ref="F17:F21"/>
    <mergeCell ref="A1:L1"/>
    <mergeCell ref="A2:A3"/>
    <mergeCell ref="B2:B3"/>
    <mergeCell ref="C2:C3"/>
    <mergeCell ref="D2:D3"/>
    <mergeCell ref="E2:E3"/>
    <mergeCell ref="F2:F3"/>
    <mergeCell ref="G2:L2"/>
    <mergeCell ref="A4:A11"/>
    <mergeCell ref="B4:B11"/>
    <mergeCell ref="C4:C11"/>
    <mergeCell ref="D4:D11"/>
    <mergeCell ref="E4:E11"/>
    <mergeCell ref="F4:F11"/>
  </mergeCells>
  <pageMargins left="0.7" right="0.7" top="0.75" bottom="0.75" header="0.3" footer="0.3"/>
  <pageSetup paperSize="9" scale="45" firstPageNumber="4294967295"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2:F19"/>
  <sheetViews>
    <sheetView topLeftCell="A10" zoomScale="140" workbookViewId="0">
      <selection activeCell="B16" sqref="B16"/>
    </sheetView>
  </sheetViews>
  <sheetFormatPr defaultRowHeight="15" x14ac:dyDescent="0.25"/>
  <cols>
    <col min="1" max="1" width="5.5703125" customWidth="1"/>
    <col min="2" max="2" width="40.42578125" customWidth="1"/>
    <col min="3" max="3" width="11.7109375" customWidth="1"/>
    <col min="4" max="4" width="10.7109375" customWidth="1"/>
    <col min="5" max="5" width="9.42578125" customWidth="1"/>
    <col min="6" max="6" width="23.28515625" customWidth="1"/>
  </cols>
  <sheetData>
    <row r="2" spans="1:6" ht="8.25" customHeight="1" x14ac:dyDescent="0.25"/>
    <row r="3" spans="1:6" ht="25.5" customHeight="1" x14ac:dyDescent="0.25">
      <c r="A3" s="107" t="s">
        <v>801</v>
      </c>
      <c r="B3" s="107"/>
      <c r="C3" s="107"/>
      <c r="D3" s="107"/>
      <c r="E3" s="107"/>
      <c r="F3" s="107"/>
    </row>
    <row r="4" spans="1:6" ht="10.5" customHeight="1" x14ac:dyDescent="0.25"/>
    <row r="5" spans="1:6" ht="27.75" customHeight="1" x14ac:dyDescent="0.25">
      <c r="A5" s="107" t="s">
        <v>802</v>
      </c>
      <c r="B5" s="107" t="s">
        <v>803</v>
      </c>
      <c r="C5" s="107" t="s">
        <v>4</v>
      </c>
      <c r="D5" s="107"/>
      <c r="E5" s="107"/>
      <c r="F5" s="107" t="s">
        <v>804</v>
      </c>
    </row>
    <row r="6" spans="1:6" ht="44.25" customHeight="1" x14ac:dyDescent="0.25">
      <c r="A6" s="107"/>
      <c r="B6" s="107"/>
      <c r="C6" t="s">
        <v>805</v>
      </c>
      <c r="D6" t="s">
        <v>10</v>
      </c>
      <c r="E6" t="s">
        <v>9</v>
      </c>
      <c r="F6" s="107"/>
    </row>
    <row r="7" spans="1:6" ht="15" customHeight="1" x14ac:dyDescent="0.25">
      <c r="A7" s="107" t="s">
        <v>806</v>
      </c>
      <c r="B7" s="107" t="s">
        <v>807</v>
      </c>
      <c r="C7" t="s">
        <v>8</v>
      </c>
      <c r="D7">
        <f>SUM(D8:D8)</f>
        <v>0</v>
      </c>
      <c r="E7">
        <f>SUM(E8:E9)</f>
        <v>25014.384999999998</v>
      </c>
      <c r="F7" s="107"/>
    </row>
    <row r="8" spans="1:6" x14ac:dyDescent="0.25">
      <c r="A8" s="107"/>
      <c r="B8" s="107"/>
      <c r="C8">
        <v>2020</v>
      </c>
      <c r="D8">
        <f>D10</f>
        <v>0</v>
      </c>
      <c r="E8">
        <f>SUM(E10:E11)</f>
        <v>17186.153999999999</v>
      </c>
      <c r="F8" s="107"/>
    </row>
    <row r="9" spans="1:6" x14ac:dyDescent="0.25">
      <c r="A9" s="107"/>
      <c r="B9" s="107"/>
      <c r="C9">
        <v>2021</v>
      </c>
      <c r="D9">
        <v>0</v>
      </c>
      <c r="E9">
        <f>E12</f>
        <v>7828.2309999999998</v>
      </c>
    </row>
    <row r="10" spans="1:6" x14ac:dyDescent="0.25">
      <c r="A10" t="s">
        <v>808</v>
      </c>
      <c r="B10" t="s">
        <v>809</v>
      </c>
      <c r="C10">
        <v>2020</v>
      </c>
      <c r="D10">
        <v>0</v>
      </c>
      <c r="E10">
        <v>8965.2919999999995</v>
      </c>
    </row>
    <row r="11" spans="1:6" ht="42" customHeight="1" x14ac:dyDescent="0.25">
      <c r="A11" t="s">
        <v>628</v>
      </c>
      <c r="B11" t="s">
        <v>810</v>
      </c>
      <c r="C11">
        <v>2020</v>
      </c>
      <c r="D11">
        <v>0</v>
      </c>
      <c r="E11">
        <v>8220.8619999999992</v>
      </c>
    </row>
    <row r="12" spans="1:6" ht="42" customHeight="1" x14ac:dyDescent="0.25">
      <c r="A12" t="s">
        <v>811</v>
      </c>
      <c r="B12" t="s">
        <v>561</v>
      </c>
      <c r="C12">
        <v>2021</v>
      </c>
      <c r="D12">
        <v>0</v>
      </c>
      <c r="E12">
        <v>7828.2309999999998</v>
      </c>
    </row>
    <row r="13" spans="1:6" ht="19.5" customHeight="1" x14ac:dyDescent="0.25">
      <c r="A13" s="107" t="s">
        <v>54</v>
      </c>
      <c r="B13" s="107" t="s">
        <v>812</v>
      </c>
      <c r="C13" t="s">
        <v>8</v>
      </c>
      <c r="D13">
        <f t="shared" ref="D13:D18" si="0">D14</f>
        <v>0</v>
      </c>
      <c r="E13">
        <f>E14</f>
        <v>22488.154999999999</v>
      </c>
      <c r="F13" s="107"/>
    </row>
    <row r="14" spans="1:6" ht="19.5" customHeight="1" x14ac:dyDescent="0.25">
      <c r="A14" s="107"/>
      <c r="B14" s="107"/>
      <c r="C14">
        <v>2021</v>
      </c>
      <c r="D14">
        <f t="shared" si="0"/>
        <v>0</v>
      </c>
      <c r="E14">
        <f>SUM(E15:E16)</f>
        <v>22488.154999999999</v>
      </c>
      <c r="F14" s="107"/>
    </row>
    <row r="15" spans="1:6" ht="40.5" customHeight="1" x14ac:dyDescent="0.25">
      <c r="A15" t="s">
        <v>813</v>
      </c>
      <c r="B15" t="s">
        <v>814</v>
      </c>
      <c r="C15">
        <v>2021</v>
      </c>
      <c r="D15">
        <v>0</v>
      </c>
      <c r="E15">
        <v>4286.5540000000001</v>
      </c>
    </row>
    <row r="16" spans="1:6" ht="50.25" customHeight="1" x14ac:dyDescent="0.25">
      <c r="A16" t="s">
        <v>815</v>
      </c>
      <c r="B16" t="s">
        <v>572</v>
      </c>
      <c r="C16">
        <v>2021</v>
      </c>
      <c r="D16">
        <v>0</v>
      </c>
      <c r="E16">
        <v>18201.600999999999</v>
      </c>
    </row>
    <row r="17" spans="1:5" ht="25.5" customHeight="1" x14ac:dyDescent="0.25">
      <c r="A17" s="107" t="s">
        <v>93</v>
      </c>
      <c r="B17" s="107" t="s">
        <v>816</v>
      </c>
      <c r="C17" t="s">
        <v>8</v>
      </c>
      <c r="D17">
        <f t="shared" si="0"/>
        <v>0</v>
      </c>
      <c r="E17">
        <f t="shared" ref="E17:E18" si="1">E18</f>
        <v>8626</v>
      </c>
    </row>
    <row r="18" spans="1:5" ht="25.5" customHeight="1" x14ac:dyDescent="0.25">
      <c r="A18" s="107"/>
      <c r="B18" s="107"/>
      <c r="C18">
        <v>2021</v>
      </c>
      <c r="D18">
        <f t="shared" si="0"/>
        <v>0</v>
      </c>
      <c r="E18">
        <f t="shared" si="1"/>
        <v>8626</v>
      </c>
    </row>
    <row r="19" spans="1:5" ht="36.75" customHeight="1" x14ac:dyDescent="0.25">
      <c r="A19" t="s">
        <v>817</v>
      </c>
      <c r="B19" t="s">
        <v>610</v>
      </c>
      <c r="C19">
        <v>2021</v>
      </c>
      <c r="D19">
        <v>0</v>
      </c>
      <c r="E19">
        <v>8626</v>
      </c>
    </row>
  </sheetData>
  <mergeCells count="13">
    <mergeCell ref="A17:A18"/>
    <mergeCell ref="B17:B18"/>
    <mergeCell ref="A7:A9"/>
    <mergeCell ref="B7:B9"/>
    <mergeCell ref="F7:F8"/>
    <mergeCell ref="A13:A14"/>
    <mergeCell ref="B13:B14"/>
    <mergeCell ref="F13:F14"/>
    <mergeCell ref="A3:F3"/>
    <mergeCell ref="A5:A6"/>
    <mergeCell ref="B5:B6"/>
    <mergeCell ref="C5:E5"/>
    <mergeCell ref="F5:F6"/>
  </mergeCells>
  <pageMargins left="0.38999999999999996" right="0.21000000000000002" top="0.55000000000000016" bottom="0.44000000000000006" header="0.3" footer="0.3"/>
  <pageSetup paperSize="9" scale="65" firstPageNumber="4294967295"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O616"/>
  <sheetViews>
    <sheetView workbookViewId="0">
      <pane xSplit="3" ySplit="4" topLeftCell="D5" activePane="bottomRight" state="frozen"/>
      <selection activeCell="J479" sqref="J479:J484"/>
      <selection pane="topRight"/>
      <selection pane="bottomLeft"/>
      <selection pane="bottomRight" activeCell="D5" sqref="D5"/>
    </sheetView>
  </sheetViews>
  <sheetFormatPr defaultRowHeight="15" outlineLevelRow="1" x14ac:dyDescent="0.25"/>
  <cols>
    <col min="1" max="1" width="6.2851562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2" width="0.140625" customWidth="1"/>
    <col min="13" max="13" width="19.7109375" customWidth="1"/>
    <col min="14" max="14" width="31.28515625" customWidth="1"/>
    <col min="16" max="16" width="16" customWidth="1"/>
  </cols>
  <sheetData>
    <row r="1" spans="1:11" ht="15.75" customHeight="1" x14ac:dyDescent="0.25">
      <c r="A1" s="107" t="s">
        <v>0</v>
      </c>
      <c r="B1" s="107"/>
      <c r="C1" s="107"/>
      <c r="D1" s="107"/>
      <c r="E1" s="107"/>
      <c r="F1" s="107"/>
      <c r="G1" s="107"/>
      <c r="H1" s="107"/>
      <c r="I1" s="107"/>
      <c r="J1" s="107"/>
      <c r="K1" s="107"/>
    </row>
    <row r="2" spans="1:11" x14ac:dyDescent="0.25">
      <c r="A2" s="107"/>
      <c r="B2" s="107"/>
      <c r="C2" s="107"/>
      <c r="D2" s="107"/>
      <c r="E2" s="107"/>
      <c r="F2" s="107"/>
      <c r="G2" s="107"/>
      <c r="H2" s="107"/>
      <c r="I2" s="107"/>
      <c r="J2" s="107"/>
      <c r="K2" s="107"/>
    </row>
    <row r="3" spans="1:11" ht="15" customHeight="1" x14ac:dyDescent="0.25">
      <c r="A3" s="107" t="s">
        <v>1</v>
      </c>
      <c r="B3" s="107" t="s">
        <v>2</v>
      </c>
      <c r="C3" s="107" t="s">
        <v>3</v>
      </c>
      <c r="D3" s="107" t="s">
        <v>4</v>
      </c>
      <c r="E3" s="107"/>
      <c r="F3" s="107"/>
      <c r="G3" s="107"/>
      <c r="H3" s="107"/>
      <c r="I3" s="107"/>
      <c r="J3" s="107" t="s">
        <v>5</v>
      </c>
      <c r="K3" s="107" t="s">
        <v>6</v>
      </c>
    </row>
    <row r="4" spans="1:11" ht="36.75" customHeight="1" x14ac:dyDescent="0.25">
      <c r="A4" s="107"/>
      <c r="B4" s="107"/>
      <c r="C4" s="107"/>
      <c r="D4" t="s">
        <v>7</v>
      </c>
      <c r="E4" t="s">
        <v>8</v>
      </c>
      <c r="F4" t="s">
        <v>9</v>
      </c>
      <c r="G4" t="s">
        <v>10</v>
      </c>
      <c r="H4" t="s">
        <v>11</v>
      </c>
      <c r="I4" t="s">
        <v>12</v>
      </c>
      <c r="J4" s="107"/>
      <c r="K4" s="107"/>
    </row>
    <row r="5" spans="1:11" ht="15" customHeight="1" x14ac:dyDescent="0.25">
      <c r="A5" s="107"/>
      <c r="B5" s="107" t="s">
        <v>13</v>
      </c>
      <c r="C5" s="107" t="s">
        <v>14</v>
      </c>
      <c r="D5" t="s">
        <v>8</v>
      </c>
      <c r="E5">
        <f t="shared" ref="E5:E40" si="0">SUM(F5:I5)</f>
        <v>10596392.052119328</v>
      </c>
      <c r="F5">
        <f>SUM(F6:F10)</f>
        <v>9021232.4339600001</v>
      </c>
      <c r="G5">
        <f>SUM(G6:G10)</f>
        <v>604542.89800000004</v>
      </c>
      <c r="H5">
        <f>SUM(H6:H10)</f>
        <v>970616.72015932715</v>
      </c>
      <c r="I5">
        <f>SUM(I6:I10)</f>
        <v>0</v>
      </c>
      <c r="J5" s="107"/>
      <c r="K5" s="107" t="s">
        <v>482</v>
      </c>
    </row>
    <row r="6" spans="1:11" x14ac:dyDescent="0.25">
      <c r="A6" s="107"/>
      <c r="B6" s="107"/>
      <c r="C6" s="107"/>
      <c r="D6">
        <v>2021</v>
      </c>
      <c r="E6">
        <f t="shared" si="0"/>
        <v>1620324.9687916504</v>
      </c>
      <c r="F6">
        <f t="shared" ref="F6:G10" si="1">F24+F144+F282+F600</f>
        <v>1275006.6571499999</v>
      </c>
      <c r="G6">
        <f t="shared" si="1"/>
        <v>301879.99800000002</v>
      </c>
      <c r="H6">
        <f>H12+H18</f>
        <v>43438.313641650384</v>
      </c>
      <c r="I6">
        <f t="shared" ref="I6:I10" si="2">I24+I144+I282+I600</f>
        <v>0</v>
      </c>
      <c r="J6" s="107"/>
      <c r="K6" s="107"/>
    </row>
    <row r="7" spans="1:11" x14ac:dyDescent="0.25">
      <c r="A7" s="107"/>
      <c r="B7" s="107"/>
      <c r="C7" s="107"/>
      <c r="D7">
        <v>2022</v>
      </c>
      <c r="E7">
        <f t="shared" si="0"/>
        <v>3318230.6197876763</v>
      </c>
      <c r="F7">
        <f t="shared" si="1"/>
        <v>2922318.7110099997</v>
      </c>
      <c r="G7">
        <f t="shared" si="1"/>
        <v>135886.39999999999</v>
      </c>
      <c r="H7">
        <f t="shared" ref="H7:H10" si="3">H25+H145+H283+H601</f>
        <v>260025.50877767673</v>
      </c>
      <c r="I7">
        <f t="shared" si="2"/>
        <v>0</v>
      </c>
      <c r="J7" s="107"/>
      <c r="K7" s="107"/>
    </row>
    <row r="8" spans="1:11" x14ac:dyDescent="0.25">
      <c r="A8" s="107"/>
      <c r="B8" s="107"/>
      <c r="C8" s="107"/>
      <c r="D8">
        <v>2023</v>
      </c>
      <c r="E8">
        <f t="shared" si="0"/>
        <v>3718375.6118100001</v>
      </c>
      <c r="F8">
        <f t="shared" si="1"/>
        <v>2920993.6440699999</v>
      </c>
      <c r="G8">
        <f t="shared" si="1"/>
        <v>146560.1</v>
      </c>
      <c r="H8">
        <f t="shared" si="3"/>
        <v>650821.86774000002</v>
      </c>
      <c r="I8">
        <f t="shared" si="2"/>
        <v>0</v>
      </c>
      <c r="J8" s="107"/>
      <c r="K8" s="107"/>
    </row>
    <row r="9" spans="1:11" x14ac:dyDescent="0.25">
      <c r="A9" s="107"/>
      <c r="B9" s="107"/>
      <c r="C9" s="107"/>
      <c r="D9">
        <v>2024</v>
      </c>
      <c r="E9">
        <f t="shared" si="0"/>
        <v>1120012.9897299998</v>
      </c>
      <c r="F9">
        <f t="shared" si="1"/>
        <v>1083465.5597299999</v>
      </c>
      <c r="G9">
        <f t="shared" si="1"/>
        <v>20216.400000000001</v>
      </c>
      <c r="H9">
        <f t="shared" si="3"/>
        <v>16331.03</v>
      </c>
      <c r="I9">
        <f t="shared" si="2"/>
        <v>0</v>
      </c>
      <c r="J9" s="107"/>
      <c r="K9" s="107"/>
    </row>
    <row r="10" spans="1:11"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1" x14ac:dyDescent="0.25">
      <c r="A11" s="107"/>
      <c r="B11" s="107" t="s">
        <v>483</v>
      </c>
      <c r="C11" s="107" t="s">
        <v>14</v>
      </c>
      <c r="D11" t="s">
        <v>8</v>
      </c>
      <c r="E11">
        <f t="shared" si="0"/>
        <v>5579693.138869999</v>
      </c>
      <c r="F11">
        <f>SUM(F12:F16)</f>
        <v>5386062.2287899991</v>
      </c>
      <c r="G11">
        <f>SUM(G12:G16)</f>
        <v>102151.899</v>
      </c>
      <c r="H11">
        <f>SUM(H12:H16)</f>
        <v>91479.011079999997</v>
      </c>
      <c r="I11">
        <f>SUM(I12:I16)</f>
        <v>0</v>
      </c>
      <c r="J11" s="107"/>
      <c r="K11" s="107" t="s">
        <v>484</v>
      </c>
    </row>
    <row r="12" spans="1:11" x14ac:dyDescent="0.25">
      <c r="A12" s="107"/>
      <c r="B12" s="107"/>
      <c r="C12" s="107"/>
      <c r="D12">
        <v>2021</v>
      </c>
      <c r="E12">
        <f t="shared" si="0"/>
        <v>1150533.5072099997</v>
      </c>
      <c r="F12">
        <f>F24+F144+F408+F414+F420+F426+F576+F600+F480+F312+F324</f>
        <v>1086879.6171299999</v>
      </c>
      <c r="G12">
        <f>G24+G144+G408+G414+G420+G426+G576+G600+G480+G312</f>
        <v>44391.298999999999</v>
      </c>
      <c r="H12">
        <f>H24+H144+H408+H426+H576+H600</f>
        <v>19262.591080000002</v>
      </c>
      <c r="I12">
        <f t="shared" ref="I12:I15" si="4">I6-I18</f>
        <v>0</v>
      </c>
      <c r="J12" s="107"/>
      <c r="K12" s="107"/>
    </row>
    <row r="13" spans="1:11" x14ac:dyDescent="0.25">
      <c r="A13" s="107"/>
      <c r="B13" s="107"/>
      <c r="C13" s="107"/>
      <c r="D13">
        <v>2022</v>
      </c>
      <c r="E13">
        <f t="shared" ref="E13:E15" si="5">SUM(F13:I13)</f>
        <v>1387422.7440099998</v>
      </c>
      <c r="F13">
        <f t="shared" ref="F13:G16" si="6">F7-F19</f>
        <v>1329493.2840099996</v>
      </c>
      <c r="G13">
        <f t="shared" si="6"/>
        <v>18375.099999999991</v>
      </c>
      <c r="H13">
        <f t="shared" ref="H13:H14" si="7">H25+H145+H325+H409+H415+H421+H427+H481+H511+H517+H577+H601</f>
        <v>39554.36</v>
      </c>
      <c r="I13">
        <f t="shared" si="4"/>
        <v>0</v>
      </c>
      <c r="J13" s="107"/>
      <c r="K13" s="107"/>
    </row>
    <row r="14" spans="1:11" x14ac:dyDescent="0.25">
      <c r="A14" s="107"/>
      <c r="B14" s="107"/>
      <c r="C14" s="107"/>
      <c r="D14">
        <v>2023</v>
      </c>
      <c r="E14">
        <f t="shared" si="5"/>
        <v>1102276.0359199999</v>
      </c>
      <c r="F14">
        <f t="shared" si="6"/>
        <v>1066775.9059199998</v>
      </c>
      <c r="G14">
        <f t="shared" si="6"/>
        <v>19169.100000000006</v>
      </c>
      <c r="H14">
        <f t="shared" si="7"/>
        <v>16331.03</v>
      </c>
      <c r="I14">
        <f t="shared" si="4"/>
        <v>0</v>
      </c>
      <c r="J14" s="107"/>
      <c r="K14" s="107"/>
    </row>
    <row r="15" spans="1:11" x14ac:dyDescent="0.25">
      <c r="A15" s="107"/>
      <c r="B15" s="107"/>
      <c r="C15" s="107"/>
      <c r="D15">
        <v>2024</v>
      </c>
      <c r="E15">
        <f t="shared" si="5"/>
        <v>1120012.9897299998</v>
      </c>
      <c r="F15">
        <f t="shared" si="6"/>
        <v>1083465.5597299999</v>
      </c>
      <c r="G15">
        <f t="shared" si="6"/>
        <v>20216.400000000001</v>
      </c>
      <c r="H15">
        <f>H9-H21</f>
        <v>16331.03</v>
      </c>
      <c r="I15">
        <f t="shared" si="4"/>
        <v>0</v>
      </c>
      <c r="J15" s="107"/>
      <c r="K15" s="107"/>
    </row>
    <row r="16" spans="1:11" x14ac:dyDescent="0.25">
      <c r="A16" s="107"/>
      <c r="B16" s="107"/>
      <c r="C16" s="107"/>
      <c r="D16">
        <v>2025</v>
      </c>
      <c r="E16">
        <f t="shared" si="0"/>
        <v>819447.86199999996</v>
      </c>
      <c r="F16">
        <f t="shared" si="6"/>
        <v>819447.86199999996</v>
      </c>
      <c r="G16">
        <f t="shared" si="6"/>
        <v>0</v>
      </c>
      <c r="H16">
        <f>H10-H22</f>
        <v>0</v>
      </c>
      <c r="I16">
        <f>I10-I22</f>
        <v>0</v>
      </c>
      <c r="J16" s="107"/>
      <c r="K16" s="107"/>
    </row>
    <row r="17" spans="1:14" x14ac:dyDescent="0.25">
      <c r="A17" s="107"/>
      <c r="B17" s="107" t="s">
        <v>18</v>
      </c>
      <c r="C17" s="107" t="s">
        <v>19</v>
      </c>
      <c r="D17" t="s">
        <v>8</v>
      </c>
      <c r="E17">
        <f t="shared" si="0"/>
        <v>5016698.9132493269</v>
      </c>
      <c r="F17">
        <f>SUM(F18:F22)</f>
        <v>3635170.20517</v>
      </c>
      <c r="G17">
        <f>SUM(G18:G22)</f>
        <v>502390.99900000001</v>
      </c>
      <c r="H17">
        <f>SUM(H18:H22)</f>
        <v>879137.70907932706</v>
      </c>
      <c r="I17">
        <f>SUM(I18:I22)</f>
        <v>0</v>
      </c>
      <c r="J17" s="107"/>
      <c r="K17" s="107" t="s">
        <v>20</v>
      </c>
    </row>
    <row r="18" spans="1:14" x14ac:dyDescent="0.25">
      <c r="A18" s="107"/>
      <c r="B18" s="107"/>
      <c r="C18" s="107"/>
      <c r="D18">
        <v>2021</v>
      </c>
      <c r="E18">
        <f t="shared" si="0"/>
        <v>469791.46158165036</v>
      </c>
      <c r="F18">
        <f>F582+F588+F294+F594+F300+F432+F438+F444+F450+F456+F462+F306+F318+F468+F474+F486+F492</f>
        <v>188127.04001999999</v>
      </c>
      <c r="G18">
        <f>G582+G588+G294+G594+G300+G432+G438+G444+G450+G456+G462+G306+G318+G468+G474</f>
        <v>257488.69899999999</v>
      </c>
      <c r="H18">
        <f>H582+H588+H294+H594+H300+H432+H438+H444+H450+H456+H462+H306+H318+H468+H474+H486+H492</f>
        <v>24175.722561650382</v>
      </c>
      <c r="I18">
        <f t="shared" ref="I18:I22" si="8">I582+I588+I294+I594+I300+I432+I438+I444+I450+I456+I462+I306+I318+I468+I474</f>
        <v>0</v>
      </c>
      <c r="J18" s="107"/>
      <c r="K18" s="107"/>
    </row>
    <row r="19" spans="1:14" x14ac:dyDescent="0.25">
      <c r="A19" s="107"/>
      <c r="B19" s="107"/>
      <c r="C19" s="107"/>
      <c r="D19">
        <v>2022</v>
      </c>
      <c r="E19">
        <f t="shared" si="0"/>
        <v>1930807.8757776769</v>
      </c>
      <c r="F19">
        <f>F583+F589+F295+F595+F301+F433+F439+F445+F451+F457+F463+F307+F319+F469+F475+F331+F337+F343+F487+F499+F505+F349+F355+F361+F367+F373+F379+F385+F523+F529+F535+F541+F547+F553+F559+F565+F391+F397</f>
        <v>1592825.4270000001</v>
      </c>
      <c r="G19">
        <f>G583+G589+G295+G595+G301+G433+G439+G445+G451+G457+G463+G307+G319+G469+G475+G331+G337+G343+G487+G499+G505+G349+G355+G361+G367+G373+G379+G385+G523+G529+G535+G541+G547+G553+G559+G565+G391+G397</f>
        <v>117511.3</v>
      </c>
      <c r="H19">
        <f>H583+H589+H295+H595+H301+H433+H439+H445+H451+H457+H463+H307+H319+H469+H475+H331+H337+H343+H487+H499+H505+H349+H355+H361+H367+H373+H379+H385+H523+H529+H535+H541+H547+H553+H559+H565+H391+H397</f>
        <v>220471.14877767672</v>
      </c>
      <c r="I19">
        <f t="shared" si="8"/>
        <v>0</v>
      </c>
      <c r="J19" s="107"/>
      <c r="K19" s="107"/>
    </row>
    <row r="20" spans="1:14" x14ac:dyDescent="0.25">
      <c r="A20" s="107"/>
      <c r="B20" s="107"/>
      <c r="C20" s="107"/>
      <c r="D20">
        <v>2023</v>
      </c>
      <c r="E20">
        <f t="shared" si="0"/>
        <v>2616099.57589</v>
      </c>
      <c r="F20">
        <f>F584+F590+F296+F596+F302+F434+F440+F446+F452+F458+F464+F308+F320+F470+F476+F332+F338+F344+F350+F356+F362+F368+F374+F380+F386+F392+F506+F524+F530+F536+F542+F548+F554+F560+F566+F398</f>
        <v>1854217.7381500001</v>
      </c>
      <c r="G20">
        <f>G584+G590+G296+G596+G302+G434+G440+G446+G452+G458+G464+G308+G320+G470+G476+G332+G338+G344+G350+G356+G362+G368+G374+G380+G386+G392+G506+G524+G530+G536+G542+G548+G554+G560+G566+G398</f>
        <v>127391</v>
      </c>
      <c r="H20">
        <f>H584+H590+H296+H596+H302+H434+H440+H446+H452+H458+H464+H308+H320+H470+H476+H332+H338+H344+H350+H356+H362+H368+H374+H380+H386+H392+H506+H524+H530+H536+H542+H548+H554+H560+H566+H398</f>
        <v>634490.83773999999</v>
      </c>
      <c r="I20">
        <f t="shared" si="8"/>
        <v>0</v>
      </c>
      <c r="J20" s="107"/>
      <c r="K20" s="107"/>
    </row>
    <row r="21" spans="1:14" x14ac:dyDescent="0.25">
      <c r="A21" s="107"/>
      <c r="B21" s="107"/>
      <c r="C21" s="107"/>
      <c r="D21">
        <v>2024</v>
      </c>
      <c r="E21">
        <f>SUM(F21:I21)</f>
        <v>0</v>
      </c>
      <c r="F21">
        <f t="shared" ref="F21:H22" si="9">F585+F591+F297+F597+F303+F435+F441+F447+F453+F459+F465+F309+F321+F471+F477</f>
        <v>0</v>
      </c>
      <c r="G21">
        <f t="shared" si="9"/>
        <v>0</v>
      </c>
      <c r="H21">
        <f t="shared" si="9"/>
        <v>0</v>
      </c>
      <c r="I21">
        <f t="shared" si="8"/>
        <v>0</v>
      </c>
      <c r="J21" s="107"/>
      <c r="K21" s="107"/>
    </row>
    <row r="22" spans="1:14" x14ac:dyDescent="0.25">
      <c r="A22" s="107"/>
      <c r="B22" s="107"/>
      <c r="C22" s="107"/>
      <c r="D22">
        <v>2025</v>
      </c>
      <c r="E22">
        <f t="shared" si="0"/>
        <v>0</v>
      </c>
      <c r="F22">
        <f t="shared" si="9"/>
        <v>0</v>
      </c>
      <c r="G22">
        <f t="shared" si="9"/>
        <v>0</v>
      </c>
      <c r="H22">
        <f t="shared" si="9"/>
        <v>0</v>
      </c>
      <c r="I22">
        <f t="shared" si="8"/>
        <v>0</v>
      </c>
      <c r="J22" s="107"/>
      <c r="K22" s="107"/>
    </row>
    <row r="23" spans="1:14" ht="15" customHeight="1" x14ac:dyDescent="0.25">
      <c r="A23" s="107">
        <v>1</v>
      </c>
      <c r="B23" s="107" t="s">
        <v>818</v>
      </c>
      <c r="C23" s="107" t="s">
        <v>14</v>
      </c>
      <c r="D23" t="s">
        <v>8</v>
      </c>
      <c r="E23">
        <f t="shared" si="0"/>
        <v>807273.47979000013</v>
      </c>
      <c r="F23">
        <f>SUM(F24:F28)</f>
        <v>763656.20079000003</v>
      </c>
      <c r="G23">
        <f>SUM(G24:G28)</f>
        <v>23840.098999999995</v>
      </c>
      <c r="H23">
        <f>SUM(H24:H28)</f>
        <v>19777.18</v>
      </c>
      <c r="I23">
        <f>SUM(I24:I28)</f>
        <v>0</v>
      </c>
      <c r="J23" s="107"/>
      <c r="K23" s="107" t="s">
        <v>486</v>
      </c>
      <c r="L23" s="107"/>
      <c r="M23" s="107"/>
      <c r="N23" s="107"/>
    </row>
    <row r="24" spans="1:14" x14ac:dyDescent="0.25">
      <c r="A24" s="107"/>
      <c r="B24" s="107"/>
      <c r="C24" s="107"/>
      <c r="D24">
        <v>2021</v>
      </c>
      <c r="E24">
        <f t="shared" si="0"/>
        <v>143552.12174999999</v>
      </c>
      <c r="F24">
        <f t="shared" ref="F24:I28" si="10">F30+F48+F114</f>
        <v>123351.92275</v>
      </c>
      <c r="G24">
        <f t="shared" si="10"/>
        <v>20200.198999999997</v>
      </c>
      <c r="H24">
        <f t="shared" si="10"/>
        <v>0</v>
      </c>
      <c r="I24">
        <f t="shared" si="10"/>
        <v>0</v>
      </c>
      <c r="J24" s="107"/>
      <c r="K24" s="107"/>
      <c r="L24" s="107"/>
      <c r="M24" s="107"/>
      <c r="N24" s="107"/>
    </row>
    <row r="25" spans="1:14" x14ac:dyDescent="0.25">
      <c r="A25" s="107"/>
      <c r="B25" s="107"/>
      <c r="C25" s="107"/>
      <c r="D25">
        <v>2022</v>
      </c>
      <c r="E25">
        <f t="shared" si="0"/>
        <v>252805.40118999998</v>
      </c>
      <c r="F25">
        <f t="shared" si="10"/>
        <v>231206.92118999999</v>
      </c>
      <c r="G25">
        <f t="shared" si="10"/>
        <v>1821.3</v>
      </c>
      <c r="H25">
        <f>+H145+H325+H409+H415+H421+H427+H481+H511+H517+H577+H601</f>
        <v>19777.18</v>
      </c>
      <c r="I25">
        <f t="shared" si="10"/>
        <v>0</v>
      </c>
      <c r="J25" s="107"/>
      <c r="K25" s="107"/>
      <c r="L25" s="107"/>
      <c r="M25" s="107"/>
      <c r="N25" s="107"/>
    </row>
    <row r="26" spans="1:14" x14ac:dyDescent="0.25">
      <c r="A26" s="107"/>
      <c r="B26" s="107"/>
      <c r="C26" s="107"/>
      <c r="D26">
        <v>2023</v>
      </c>
      <c r="E26">
        <f t="shared" si="0"/>
        <v>191425.31885000001</v>
      </c>
      <c r="F26">
        <f t="shared" si="10"/>
        <v>189606.71885</v>
      </c>
      <c r="G26">
        <f t="shared" si="10"/>
        <v>1818.6</v>
      </c>
      <c r="H26">
        <f t="shared" si="10"/>
        <v>0</v>
      </c>
      <c r="I26">
        <f t="shared" si="10"/>
        <v>0</v>
      </c>
      <c r="J26" s="107"/>
      <c r="K26" s="107"/>
      <c r="L26" s="107"/>
      <c r="M26" s="107"/>
      <c r="N26" s="107"/>
    </row>
    <row r="27" spans="1:14" x14ac:dyDescent="0.25">
      <c r="A27" s="107"/>
      <c r="B27" s="107"/>
      <c r="C27" s="107"/>
      <c r="D27">
        <v>2024</v>
      </c>
      <c r="E27">
        <f t="shared" si="0"/>
        <v>189490.63800000001</v>
      </c>
      <c r="F27">
        <f t="shared" si="10"/>
        <v>189490.63800000001</v>
      </c>
      <c r="G27">
        <f t="shared" si="10"/>
        <v>0</v>
      </c>
      <c r="H27">
        <f t="shared" si="10"/>
        <v>0</v>
      </c>
      <c r="I27">
        <f t="shared" si="10"/>
        <v>0</v>
      </c>
      <c r="J27" s="107"/>
      <c r="K27" s="107"/>
      <c r="L27" s="107"/>
      <c r="M27" s="107"/>
      <c r="N27" s="107"/>
    </row>
    <row r="28" spans="1:14" x14ac:dyDescent="0.25">
      <c r="A28" s="107"/>
      <c r="B28" s="107"/>
      <c r="C28" s="107"/>
      <c r="D28">
        <v>2025</v>
      </c>
      <c r="E28">
        <f t="shared" si="0"/>
        <v>30000</v>
      </c>
      <c r="F28">
        <f t="shared" si="10"/>
        <v>30000</v>
      </c>
      <c r="G28">
        <f t="shared" si="10"/>
        <v>0</v>
      </c>
      <c r="H28">
        <f t="shared" si="10"/>
        <v>0</v>
      </c>
      <c r="I28">
        <f t="shared" si="10"/>
        <v>0</v>
      </c>
      <c r="J28" s="107"/>
      <c r="K28" s="107"/>
      <c r="L28" s="107"/>
      <c r="M28" s="107"/>
      <c r="N28" s="107"/>
    </row>
    <row r="29" spans="1:14" x14ac:dyDescent="0.25">
      <c r="A29" s="107" t="s">
        <v>23</v>
      </c>
      <c r="B29" s="107" t="s">
        <v>24</v>
      </c>
      <c r="C29" s="107" t="s">
        <v>14</v>
      </c>
      <c r="D29" t="s">
        <v>8</v>
      </c>
      <c r="E29">
        <f t="shared" si="0"/>
        <v>8298.6650000000009</v>
      </c>
      <c r="F29">
        <f>SUM(F30:F34)</f>
        <v>8298.6650000000009</v>
      </c>
      <c r="G29">
        <f>SUM(G30:G34)</f>
        <v>0</v>
      </c>
      <c r="H29">
        <f>SUM(H30:H34)</f>
        <v>0</v>
      </c>
      <c r="I29">
        <f>SUM(I30:I34)</f>
        <v>0</v>
      </c>
      <c r="J29" s="107" t="s">
        <v>487</v>
      </c>
      <c r="K29" s="107" t="s">
        <v>488</v>
      </c>
      <c r="L29" s="107"/>
      <c r="M29" s="107"/>
      <c r="N29" s="107"/>
    </row>
    <row r="30" spans="1:14" x14ac:dyDescent="0.25">
      <c r="A30" s="107"/>
      <c r="B30" s="107"/>
      <c r="C30" s="107"/>
      <c r="D30">
        <v>2021</v>
      </c>
      <c r="E30">
        <f t="shared" si="0"/>
        <v>7998.665</v>
      </c>
      <c r="F30">
        <f>F42</f>
        <v>7998.665</v>
      </c>
      <c r="G30">
        <f t="shared" ref="F30:I33" si="11">G42</f>
        <v>0</v>
      </c>
      <c r="H30">
        <f t="shared" si="11"/>
        <v>0</v>
      </c>
      <c r="I30">
        <f t="shared" si="11"/>
        <v>0</v>
      </c>
      <c r="J30" s="107"/>
      <c r="K30" s="107"/>
      <c r="L30" s="107"/>
      <c r="M30" s="107"/>
      <c r="N30" s="107"/>
    </row>
    <row r="31" spans="1:14" x14ac:dyDescent="0.25">
      <c r="A31" s="107"/>
      <c r="B31" s="107"/>
      <c r="C31" s="107"/>
      <c r="D31">
        <v>2022</v>
      </c>
      <c r="E31">
        <f t="shared" si="0"/>
        <v>300</v>
      </c>
      <c r="F31">
        <f>F37+F43</f>
        <v>300</v>
      </c>
      <c r="G31">
        <f t="shared" si="11"/>
        <v>0</v>
      </c>
      <c r="H31">
        <f t="shared" si="11"/>
        <v>0</v>
      </c>
      <c r="I31">
        <f t="shared" si="11"/>
        <v>0</v>
      </c>
      <c r="J31" s="107"/>
      <c r="K31" s="107"/>
      <c r="L31" s="107"/>
      <c r="M31" s="107"/>
      <c r="N31" s="107"/>
    </row>
    <row r="32" spans="1:14" x14ac:dyDescent="0.25">
      <c r="A32" s="107"/>
      <c r="B32" s="107"/>
      <c r="C32" s="107"/>
      <c r="D32">
        <v>2023</v>
      </c>
      <c r="E32">
        <f t="shared" si="0"/>
        <v>0</v>
      </c>
      <c r="F32">
        <f t="shared" si="11"/>
        <v>0</v>
      </c>
      <c r="G32">
        <f t="shared" si="11"/>
        <v>0</v>
      </c>
      <c r="H32">
        <f t="shared" si="11"/>
        <v>0</v>
      </c>
      <c r="I32">
        <f t="shared" si="11"/>
        <v>0</v>
      </c>
      <c r="J32" s="107"/>
      <c r="K32" s="107"/>
      <c r="L32" s="107"/>
      <c r="M32" s="107"/>
      <c r="N32" s="107"/>
    </row>
    <row r="33" spans="1:14" x14ac:dyDescent="0.25">
      <c r="A33" s="107"/>
      <c r="B33" s="107"/>
      <c r="C33" s="107"/>
      <c r="D33">
        <v>2024</v>
      </c>
      <c r="E33">
        <f t="shared" si="0"/>
        <v>0</v>
      </c>
      <c r="F33">
        <f>F45+F39</f>
        <v>0</v>
      </c>
      <c r="G33">
        <f>G39+G45</f>
        <v>0</v>
      </c>
      <c r="H33">
        <f t="shared" si="11"/>
        <v>0</v>
      </c>
      <c r="I33">
        <f t="shared" si="11"/>
        <v>0</v>
      </c>
      <c r="J33" s="107"/>
      <c r="K33" s="107"/>
      <c r="L33" s="107"/>
      <c r="M33" s="107"/>
      <c r="N33" s="107"/>
    </row>
    <row r="34" spans="1:14" x14ac:dyDescent="0.25">
      <c r="A34" s="107"/>
      <c r="B34" s="107"/>
      <c r="C34" s="107"/>
      <c r="D34">
        <v>2025</v>
      </c>
      <c r="E34">
        <f t="shared" si="0"/>
        <v>0</v>
      </c>
      <c r="F34">
        <f>F46</f>
        <v>0</v>
      </c>
      <c r="G34">
        <f>G46</f>
        <v>0</v>
      </c>
      <c r="H34">
        <f>H46</f>
        <v>0</v>
      </c>
      <c r="I34">
        <f>I46</f>
        <v>0</v>
      </c>
      <c r="J34" s="107"/>
      <c r="K34" s="107"/>
      <c r="L34" s="107"/>
      <c r="M34" s="107"/>
      <c r="N34" s="107"/>
    </row>
    <row r="35" spans="1:14" x14ac:dyDescent="0.25">
      <c r="A35" s="107" t="s">
        <v>27</v>
      </c>
      <c r="B35" s="107" t="s">
        <v>489</v>
      </c>
      <c r="C35" s="107" t="s">
        <v>490</v>
      </c>
      <c r="D35" t="s">
        <v>8</v>
      </c>
      <c r="E35">
        <f t="shared" si="0"/>
        <v>300</v>
      </c>
      <c r="F35">
        <f>SUM(F36:F40)</f>
        <v>300</v>
      </c>
      <c r="G35">
        <f>SUM(G36:G40)</f>
        <v>0</v>
      </c>
      <c r="H35">
        <f>SUM(H36:H40)</f>
        <v>0</v>
      </c>
      <c r="I35">
        <f>SUM(I36:I40)</f>
        <v>0</v>
      </c>
      <c r="J35" s="107" t="s">
        <v>29</v>
      </c>
      <c r="K35" s="107" t="s">
        <v>486</v>
      </c>
    </row>
    <row r="36" spans="1:14" x14ac:dyDescent="0.25">
      <c r="A36" s="107"/>
      <c r="B36" s="107"/>
      <c r="C36" s="107"/>
      <c r="D36">
        <v>2021</v>
      </c>
      <c r="E36">
        <f t="shared" si="0"/>
        <v>0</v>
      </c>
      <c r="F36">
        <v>0</v>
      </c>
      <c r="G36">
        <v>0</v>
      </c>
      <c r="H36">
        <v>0</v>
      </c>
      <c r="I36">
        <v>0</v>
      </c>
      <c r="J36" s="107"/>
      <c r="K36" s="107"/>
    </row>
    <row r="37" spans="1:14" x14ac:dyDescent="0.25">
      <c r="A37" s="107"/>
      <c r="B37" s="107"/>
      <c r="C37" s="107"/>
      <c r="D37">
        <v>2022</v>
      </c>
      <c r="E37">
        <f t="shared" si="0"/>
        <v>300</v>
      </c>
      <c r="F37">
        <v>300</v>
      </c>
      <c r="G37">
        <v>0</v>
      </c>
      <c r="H37">
        <v>0</v>
      </c>
      <c r="I37">
        <v>0</v>
      </c>
      <c r="J37" s="107"/>
      <c r="K37" s="107"/>
    </row>
    <row r="38" spans="1:14" x14ac:dyDescent="0.25">
      <c r="A38" s="107"/>
      <c r="B38" s="107"/>
      <c r="C38" s="107"/>
      <c r="D38">
        <v>2023</v>
      </c>
      <c r="E38">
        <f t="shared" si="0"/>
        <v>0</v>
      </c>
      <c r="F38">
        <v>0</v>
      </c>
      <c r="G38">
        <v>0</v>
      </c>
      <c r="H38">
        <v>0</v>
      </c>
      <c r="I38">
        <v>0</v>
      </c>
      <c r="J38" s="107"/>
      <c r="K38" s="107"/>
    </row>
    <row r="39" spans="1:14" x14ac:dyDescent="0.25">
      <c r="A39" s="107"/>
      <c r="B39" s="107"/>
      <c r="C39" s="107"/>
      <c r="D39">
        <v>2024</v>
      </c>
      <c r="E39">
        <f t="shared" si="0"/>
        <v>0</v>
      </c>
      <c r="F39">
        <v>0</v>
      </c>
      <c r="G39">
        <v>0</v>
      </c>
      <c r="H39">
        <v>0</v>
      </c>
      <c r="I39">
        <v>0</v>
      </c>
      <c r="J39" s="107"/>
      <c r="K39" s="107"/>
    </row>
    <row r="40" spans="1:14" x14ac:dyDescent="0.25">
      <c r="A40" s="107"/>
      <c r="B40" s="107"/>
      <c r="C40" s="107"/>
      <c r="D40">
        <v>2025</v>
      </c>
      <c r="E40">
        <f t="shared" si="0"/>
        <v>0</v>
      </c>
      <c r="F40">
        <v>0</v>
      </c>
      <c r="G40">
        <v>0</v>
      </c>
      <c r="H40">
        <v>0</v>
      </c>
      <c r="I40">
        <v>0</v>
      </c>
      <c r="J40" s="107"/>
      <c r="K40" s="107"/>
    </row>
    <row r="41" spans="1:14" x14ac:dyDescent="0.25">
      <c r="A41" s="107" t="s">
        <v>491</v>
      </c>
      <c r="B41" s="107" t="s">
        <v>492</v>
      </c>
      <c r="C41" s="107" t="s">
        <v>490</v>
      </c>
      <c r="D41" t="s">
        <v>8</v>
      </c>
      <c r="E41">
        <f>SUM(E42:E46)</f>
        <v>7998.665</v>
      </c>
      <c r="F41">
        <f>SUM(F42:F46)</f>
        <v>7998.665</v>
      </c>
      <c r="G41">
        <f>SUM(G42:G46)</f>
        <v>0</v>
      </c>
      <c r="H41">
        <f>SUM(H42:H46)</f>
        <v>0</v>
      </c>
      <c r="I41">
        <f>SUM(I42:I46)</f>
        <v>0</v>
      </c>
      <c r="J41" s="107" t="s">
        <v>493</v>
      </c>
      <c r="K41" s="107" t="s">
        <v>494</v>
      </c>
      <c r="L41" s="107"/>
      <c r="M41" s="107"/>
      <c r="N41" s="107"/>
    </row>
    <row r="42" spans="1:14" x14ac:dyDescent="0.25">
      <c r="A42" s="107"/>
      <c r="B42" s="107"/>
      <c r="C42" s="107"/>
      <c r="D42">
        <v>2021</v>
      </c>
      <c r="E42">
        <f t="shared" ref="E42:E105" si="12">SUM(F42:I42)</f>
        <v>7998.665</v>
      </c>
      <c r="F42">
        <v>7998.665</v>
      </c>
      <c r="G42">
        <v>0</v>
      </c>
      <c r="H42">
        <v>0</v>
      </c>
      <c r="I42">
        <v>0</v>
      </c>
      <c r="J42" s="107"/>
      <c r="K42" s="107"/>
      <c r="L42" s="107"/>
      <c r="M42" s="107"/>
      <c r="N42" s="107"/>
    </row>
    <row r="43" spans="1:14" x14ac:dyDescent="0.25">
      <c r="A43" s="107"/>
      <c r="B43" s="107"/>
      <c r="C43" s="107"/>
      <c r="D43">
        <v>2022</v>
      </c>
      <c r="E43">
        <f t="shared" si="12"/>
        <v>0</v>
      </c>
      <c r="F43">
        <v>0</v>
      </c>
      <c r="G43">
        <v>0</v>
      </c>
      <c r="H43">
        <v>0</v>
      </c>
      <c r="I43">
        <v>0</v>
      </c>
      <c r="J43" s="107"/>
      <c r="K43" s="107"/>
      <c r="L43" s="107"/>
      <c r="M43" s="107"/>
      <c r="N43" s="107"/>
    </row>
    <row r="44" spans="1:14" x14ac:dyDescent="0.25">
      <c r="A44" s="107"/>
      <c r="B44" s="107"/>
      <c r="C44" s="107"/>
      <c r="D44">
        <v>2023</v>
      </c>
      <c r="E44">
        <f t="shared" si="12"/>
        <v>0</v>
      </c>
      <c r="F44">
        <v>0</v>
      </c>
      <c r="G44">
        <v>0</v>
      </c>
      <c r="H44">
        <v>0</v>
      </c>
      <c r="I44">
        <v>0</v>
      </c>
      <c r="J44" s="107"/>
      <c r="K44" s="107"/>
      <c r="L44" s="107"/>
      <c r="M44" s="107"/>
      <c r="N44" s="107"/>
    </row>
    <row r="45" spans="1:14" x14ac:dyDescent="0.25">
      <c r="A45" s="107"/>
      <c r="B45" s="107"/>
      <c r="C45" s="107"/>
      <c r="D45">
        <v>2024</v>
      </c>
      <c r="E45">
        <f t="shared" si="12"/>
        <v>0</v>
      </c>
      <c r="F45">
        <v>0</v>
      </c>
      <c r="G45">
        <v>0</v>
      </c>
      <c r="H45">
        <v>0</v>
      </c>
      <c r="I45">
        <v>0</v>
      </c>
      <c r="J45" s="107"/>
      <c r="K45" s="107"/>
      <c r="L45" s="107"/>
      <c r="M45" s="107"/>
      <c r="N45" s="107"/>
    </row>
    <row r="46" spans="1:14" x14ac:dyDescent="0.25">
      <c r="A46" s="107"/>
      <c r="B46" s="107"/>
      <c r="C46" s="107"/>
      <c r="D46">
        <v>2025</v>
      </c>
      <c r="E46">
        <f t="shared" si="12"/>
        <v>0</v>
      </c>
      <c r="F46">
        <v>0</v>
      </c>
      <c r="G46">
        <v>0</v>
      </c>
      <c r="H46">
        <v>0</v>
      </c>
      <c r="I46">
        <v>0</v>
      </c>
      <c r="J46" s="107"/>
      <c r="K46" s="107"/>
      <c r="L46" s="107"/>
      <c r="M46" s="107"/>
      <c r="N46" s="107"/>
    </row>
    <row r="47" spans="1:14" ht="27.75" customHeight="1" x14ac:dyDescent="0.25">
      <c r="A47" s="107" t="s">
        <v>30</v>
      </c>
      <c r="B47" s="107" t="s">
        <v>31</v>
      </c>
      <c r="C47" s="107" t="s">
        <v>14</v>
      </c>
      <c r="D47" t="s">
        <v>8</v>
      </c>
      <c r="E47">
        <f t="shared" si="12"/>
        <v>726431.50800000003</v>
      </c>
      <c r="F47">
        <f>SUM(F48:F52)</f>
        <v>726431.50800000003</v>
      </c>
      <c r="G47">
        <f>SUM(G48:G52)</f>
        <v>0</v>
      </c>
      <c r="H47">
        <f>SUM(H48:H52)</f>
        <v>0</v>
      </c>
      <c r="I47">
        <f>SUM(I48:I52)</f>
        <v>0</v>
      </c>
      <c r="J47" s="107" t="s">
        <v>495</v>
      </c>
      <c r="K47" s="107" t="s">
        <v>486</v>
      </c>
    </row>
    <row r="48" spans="1:14" ht="27.75" customHeight="1" x14ac:dyDescent="0.25">
      <c r="A48" s="107"/>
      <c r="B48" s="107"/>
      <c r="C48" s="107"/>
      <c r="D48">
        <v>2021</v>
      </c>
      <c r="E48">
        <f t="shared" si="12"/>
        <v>108436.894</v>
      </c>
      <c r="F48">
        <f>SUM(F54+F60+F66+F72+F78+F84+F90+F102+F108)</f>
        <v>108436.894</v>
      </c>
      <c r="G48">
        <f t="shared" ref="G48:I52" si="13">SUM(G54+G60+G66+G72+G78)</f>
        <v>0</v>
      </c>
      <c r="H48">
        <f t="shared" si="13"/>
        <v>0</v>
      </c>
      <c r="I48">
        <f t="shared" si="13"/>
        <v>0</v>
      </c>
      <c r="J48" s="107"/>
      <c r="K48" s="107"/>
    </row>
    <row r="49" spans="1:11" ht="27.75" customHeight="1" x14ac:dyDescent="0.25">
      <c r="A49" s="107"/>
      <c r="B49" s="107"/>
      <c r="C49" s="107"/>
      <c r="D49">
        <v>2022</v>
      </c>
      <c r="E49">
        <f t="shared" si="12"/>
        <v>223331.538</v>
      </c>
      <c r="F49">
        <f t="shared" ref="F49:F51" si="14">SUM(F55+F61+F67+F73+F79+F85+F91+F103+F109+F97)</f>
        <v>223331.538</v>
      </c>
      <c r="G49">
        <f t="shared" si="13"/>
        <v>0</v>
      </c>
      <c r="H49">
        <f t="shared" si="13"/>
        <v>0</v>
      </c>
      <c r="I49">
        <f t="shared" si="13"/>
        <v>0</v>
      </c>
      <c r="J49" s="107"/>
      <c r="K49" s="107"/>
    </row>
    <row r="50" spans="1:11" ht="27.75" customHeight="1" x14ac:dyDescent="0.25">
      <c r="A50" s="107"/>
      <c r="B50" s="107"/>
      <c r="C50" s="107"/>
      <c r="D50">
        <v>2023</v>
      </c>
      <c r="E50">
        <f t="shared" si="12"/>
        <v>182331.538</v>
      </c>
      <c r="F50">
        <f t="shared" si="14"/>
        <v>182331.538</v>
      </c>
      <c r="G50">
        <f t="shared" si="13"/>
        <v>0</v>
      </c>
      <c r="H50">
        <f t="shared" si="13"/>
        <v>0</v>
      </c>
      <c r="I50">
        <f t="shared" si="13"/>
        <v>0</v>
      </c>
      <c r="J50" s="107"/>
      <c r="K50" s="107"/>
    </row>
    <row r="51" spans="1:11" ht="27.75" customHeight="1" x14ac:dyDescent="0.25">
      <c r="A51" s="107"/>
      <c r="B51" s="107"/>
      <c r="C51" s="107"/>
      <c r="D51">
        <v>2024</v>
      </c>
      <c r="E51">
        <f t="shared" si="12"/>
        <v>182331.538</v>
      </c>
      <c r="F51">
        <f t="shared" si="14"/>
        <v>182331.538</v>
      </c>
      <c r="G51">
        <f>SUM(G57+G63+G69+G75+G81+G87)</f>
        <v>0</v>
      </c>
      <c r="H51">
        <f t="shared" si="13"/>
        <v>0</v>
      </c>
      <c r="I51">
        <f t="shared" si="13"/>
        <v>0</v>
      </c>
      <c r="J51" s="107"/>
      <c r="K51" s="107"/>
    </row>
    <row r="52" spans="1:11" ht="27.75" customHeight="1" x14ac:dyDescent="0.25">
      <c r="A52" s="107"/>
      <c r="B52" s="107"/>
      <c r="C52" s="107"/>
      <c r="D52">
        <v>2025</v>
      </c>
      <c r="E52">
        <f t="shared" si="12"/>
        <v>30000</v>
      </c>
      <c r="F52">
        <f>SUM(F58+F64+F70+F76+F82+F88+F94+F106+F112+F100)</f>
        <v>30000</v>
      </c>
      <c r="G52">
        <f t="shared" si="13"/>
        <v>0</v>
      </c>
      <c r="H52">
        <f t="shared" si="13"/>
        <v>0</v>
      </c>
      <c r="I52">
        <f t="shared" si="13"/>
        <v>0</v>
      </c>
      <c r="J52" s="107"/>
      <c r="K52" s="107"/>
    </row>
    <row r="53" spans="1:11" ht="15" customHeight="1" x14ac:dyDescent="0.25">
      <c r="A53" s="107" t="s">
        <v>33</v>
      </c>
      <c r="B53" s="107" t="s">
        <v>496</v>
      </c>
      <c r="C53" s="107" t="s">
        <v>14</v>
      </c>
      <c r="D53" t="s">
        <v>8</v>
      </c>
      <c r="E53">
        <f t="shared" si="12"/>
        <v>178000</v>
      </c>
      <c r="F53">
        <f>SUM(F54:F58)</f>
        <v>178000</v>
      </c>
      <c r="G53">
        <f>SUM(G54:G58)</f>
        <v>0</v>
      </c>
      <c r="H53">
        <f>SUM(H54:H58)</f>
        <v>0</v>
      </c>
      <c r="I53">
        <f>SUM(I54:I58)</f>
        <v>0</v>
      </c>
      <c r="J53" s="107" t="s">
        <v>819</v>
      </c>
      <c r="K53" s="107" t="s">
        <v>484</v>
      </c>
    </row>
    <row r="54" spans="1:11" x14ac:dyDescent="0.25">
      <c r="A54" s="107"/>
      <c r="B54" s="107"/>
      <c r="C54" s="107"/>
      <c r="D54">
        <v>2021</v>
      </c>
      <c r="E54">
        <f t="shared" si="12"/>
        <v>43000</v>
      </c>
      <c r="F54">
        <v>43000</v>
      </c>
      <c r="G54">
        <v>0</v>
      </c>
      <c r="H54">
        <v>0</v>
      </c>
      <c r="I54">
        <v>0</v>
      </c>
      <c r="J54" s="107"/>
      <c r="K54" s="107"/>
    </row>
    <row r="55" spans="1:11" x14ac:dyDescent="0.25">
      <c r="A55" s="107"/>
      <c r="B55" s="107"/>
      <c r="C55" s="107"/>
      <c r="D55">
        <v>2022</v>
      </c>
      <c r="E55">
        <v>30000</v>
      </c>
      <c r="F55">
        <v>45000</v>
      </c>
      <c r="G55">
        <v>0</v>
      </c>
      <c r="H55">
        <v>0</v>
      </c>
      <c r="I55">
        <v>0</v>
      </c>
      <c r="J55" s="107"/>
      <c r="K55" s="107"/>
    </row>
    <row r="56" spans="1:11" x14ac:dyDescent="0.25">
      <c r="A56" s="107"/>
      <c r="B56" s="107"/>
      <c r="C56" s="107"/>
      <c r="D56">
        <v>2023</v>
      </c>
      <c r="E56">
        <f t="shared" si="12"/>
        <v>30000</v>
      </c>
      <c r="F56">
        <v>30000</v>
      </c>
      <c r="G56">
        <v>0</v>
      </c>
      <c r="H56">
        <v>0</v>
      </c>
      <c r="I56">
        <v>0</v>
      </c>
      <c r="J56" s="107"/>
      <c r="K56" s="107"/>
    </row>
    <row r="57" spans="1:11" x14ac:dyDescent="0.25">
      <c r="A57" s="107"/>
      <c r="B57" s="107"/>
      <c r="C57" s="107"/>
      <c r="D57">
        <v>2024</v>
      </c>
      <c r="E57">
        <f t="shared" si="12"/>
        <v>30000</v>
      </c>
      <c r="F57">
        <v>30000</v>
      </c>
      <c r="G57">
        <v>0</v>
      </c>
      <c r="H57">
        <v>0</v>
      </c>
      <c r="I57">
        <v>0</v>
      </c>
      <c r="J57" s="107"/>
      <c r="K57" s="107"/>
    </row>
    <row r="58" spans="1:11" x14ac:dyDescent="0.25">
      <c r="A58" s="107"/>
      <c r="B58" s="107"/>
      <c r="C58" s="107"/>
      <c r="D58">
        <v>2025</v>
      </c>
      <c r="E58">
        <f t="shared" si="12"/>
        <v>30000</v>
      </c>
      <c r="F58">
        <v>30000</v>
      </c>
      <c r="G58">
        <v>0</v>
      </c>
      <c r="H58">
        <v>0</v>
      </c>
      <c r="I58">
        <v>0</v>
      </c>
      <c r="J58" s="107"/>
      <c r="K58" s="107"/>
    </row>
    <row r="59" spans="1:11" ht="13.5" customHeight="1" outlineLevel="1" x14ac:dyDescent="0.25">
      <c r="A59" s="107" t="s">
        <v>36</v>
      </c>
      <c r="B59" s="107" t="s">
        <v>498</v>
      </c>
      <c r="C59" s="107">
        <v>2021</v>
      </c>
      <c r="D59" t="s">
        <v>8</v>
      </c>
      <c r="E59">
        <f t="shared" si="12"/>
        <v>0</v>
      </c>
      <c r="F59">
        <f>SUM(F60:F64)</f>
        <v>0</v>
      </c>
      <c r="G59">
        <f>SUM(G60:G64)</f>
        <v>0</v>
      </c>
      <c r="H59">
        <f>SUM(H60:H64)</f>
        <v>0</v>
      </c>
      <c r="I59">
        <f>SUM(I60:I64)</f>
        <v>0</v>
      </c>
      <c r="J59" s="107" t="s">
        <v>499</v>
      </c>
      <c r="K59" s="107" t="s">
        <v>484</v>
      </c>
    </row>
    <row r="60" spans="1:11" ht="13.5" customHeight="1" outlineLevel="1" x14ac:dyDescent="0.25">
      <c r="A60" s="107"/>
      <c r="B60" s="107"/>
      <c r="C60" s="107"/>
      <c r="D60">
        <v>2021</v>
      </c>
      <c r="E60">
        <f t="shared" si="12"/>
        <v>0</v>
      </c>
      <c r="F60">
        <v>0</v>
      </c>
      <c r="G60">
        <v>0</v>
      </c>
      <c r="H60">
        <v>0</v>
      </c>
      <c r="I60">
        <v>0</v>
      </c>
      <c r="J60" s="107"/>
      <c r="K60" s="107"/>
    </row>
    <row r="61" spans="1:11" ht="13.5" customHeight="1" outlineLevel="1" x14ac:dyDescent="0.25">
      <c r="A61" s="107"/>
      <c r="B61" s="107"/>
      <c r="C61" s="107"/>
      <c r="D61">
        <v>2022</v>
      </c>
      <c r="E61">
        <f t="shared" si="12"/>
        <v>0</v>
      </c>
      <c r="F61">
        <v>0</v>
      </c>
      <c r="G61">
        <v>0</v>
      </c>
      <c r="H61">
        <v>0</v>
      </c>
      <c r="I61">
        <v>0</v>
      </c>
      <c r="J61" s="107"/>
      <c r="K61" s="107"/>
    </row>
    <row r="62" spans="1:11" ht="13.5" customHeight="1" outlineLevel="1" x14ac:dyDescent="0.25">
      <c r="A62" s="107"/>
      <c r="B62" s="107"/>
      <c r="C62" s="107"/>
      <c r="D62">
        <v>2023</v>
      </c>
      <c r="E62">
        <f t="shared" si="12"/>
        <v>0</v>
      </c>
      <c r="F62">
        <v>0</v>
      </c>
      <c r="G62">
        <v>0</v>
      </c>
      <c r="H62">
        <v>0</v>
      </c>
      <c r="I62">
        <v>0</v>
      </c>
      <c r="J62" s="107"/>
      <c r="K62" s="107"/>
    </row>
    <row r="63" spans="1:11" ht="13.5" customHeight="1" outlineLevel="1" x14ac:dyDescent="0.25">
      <c r="A63" s="107"/>
      <c r="B63" s="107"/>
      <c r="C63" s="107"/>
      <c r="D63">
        <v>2024</v>
      </c>
      <c r="E63">
        <f t="shared" si="12"/>
        <v>0</v>
      </c>
      <c r="F63">
        <v>0</v>
      </c>
      <c r="G63">
        <v>0</v>
      </c>
      <c r="H63">
        <v>0</v>
      </c>
      <c r="I63">
        <v>0</v>
      </c>
      <c r="J63" s="107"/>
      <c r="K63" s="107"/>
    </row>
    <row r="64" spans="1:11" ht="13.5" customHeight="1" outlineLevel="1" x14ac:dyDescent="0.25">
      <c r="A64" s="107"/>
      <c r="B64" s="107"/>
      <c r="C64" s="107"/>
      <c r="D64">
        <v>2025</v>
      </c>
      <c r="E64">
        <f t="shared" si="12"/>
        <v>0</v>
      </c>
      <c r="F64">
        <v>0</v>
      </c>
      <c r="G64">
        <v>0</v>
      </c>
      <c r="H64">
        <v>0</v>
      </c>
      <c r="I64">
        <v>0</v>
      </c>
      <c r="J64" s="107"/>
      <c r="K64" s="107"/>
    </row>
    <row r="65" spans="1:11" ht="13.5" customHeight="1" outlineLevel="1" x14ac:dyDescent="0.25">
      <c r="A65" s="107" t="s">
        <v>500</v>
      </c>
      <c r="B65" s="107" t="s">
        <v>501</v>
      </c>
      <c r="C65" s="107">
        <v>2021</v>
      </c>
      <c r="D65" t="s">
        <v>8</v>
      </c>
      <c r="E65">
        <f t="shared" si="12"/>
        <v>153993.769</v>
      </c>
      <c r="F65">
        <f>SUM(F66:F70)</f>
        <v>153993.769</v>
      </c>
      <c r="G65">
        <f>SUM(G66:G70)</f>
        <v>0</v>
      </c>
      <c r="H65">
        <f>SUM(H66:H70)</f>
        <v>0</v>
      </c>
      <c r="I65">
        <f>SUM(I66:I70)</f>
        <v>0</v>
      </c>
      <c r="J65" s="107" t="s">
        <v>820</v>
      </c>
      <c r="K65" s="107" t="s">
        <v>484</v>
      </c>
    </row>
    <row r="66" spans="1:11" ht="13.5" customHeight="1" outlineLevel="1" x14ac:dyDescent="0.25">
      <c r="A66" s="107"/>
      <c r="B66" s="107"/>
      <c r="C66" s="107"/>
      <c r="D66">
        <v>2021</v>
      </c>
      <c r="E66">
        <f t="shared" si="12"/>
        <v>33993.769</v>
      </c>
      <c r="F66">
        <v>33993.769</v>
      </c>
      <c r="G66">
        <v>0</v>
      </c>
      <c r="H66">
        <v>0</v>
      </c>
      <c r="I66">
        <v>0</v>
      </c>
      <c r="J66" s="107"/>
      <c r="K66" s="107"/>
    </row>
    <row r="67" spans="1:11" ht="13.5" customHeight="1" outlineLevel="1" x14ac:dyDescent="0.25">
      <c r="A67" s="107"/>
      <c r="B67" s="107"/>
      <c r="C67" s="107"/>
      <c r="D67">
        <v>2022</v>
      </c>
      <c r="E67">
        <f t="shared" si="12"/>
        <v>40000</v>
      </c>
      <c r="F67">
        <v>40000</v>
      </c>
      <c r="G67">
        <v>0</v>
      </c>
      <c r="H67">
        <v>0</v>
      </c>
      <c r="I67">
        <v>0</v>
      </c>
      <c r="J67" s="107"/>
      <c r="K67" s="107"/>
    </row>
    <row r="68" spans="1:11" ht="13.5" customHeight="1" outlineLevel="1" x14ac:dyDescent="0.25">
      <c r="A68" s="107"/>
      <c r="B68" s="107"/>
      <c r="C68" s="107"/>
      <c r="D68">
        <v>2023</v>
      </c>
      <c r="E68">
        <f t="shared" si="12"/>
        <v>40000</v>
      </c>
      <c r="F68">
        <v>40000</v>
      </c>
      <c r="G68">
        <v>0</v>
      </c>
      <c r="H68">
        <v>0</v>
      </c>
      <c r="I68">
        <v>0</v>
      </c>
      <c r="J68" s="107"/>
      <c r="K68" s="107"/>
    </row>
    <row r="69" spans="1:11" ht="13.5" customHeight="1" outlineLevel="1" x14ac:dyDescent="0.25">
      <c r="A69" s="107"/>
      <c r="B69" s="107"/>
      <c r="C69" s="107"/>
      <c r="D69">
        <v>2024</v>
      </c>
      <c r="E69">
        <f t="shared" si="12"/>
        <v>40000</v>
      </c>
      <c r="F69">
        <v>40000</v>
      </c>
      <c r="G69">
        <v>0</v>
      </c>
      <c r="H69">
        <v>0</v>
      </c>
      <c r="I69">
        <v>0</v>
      </c>
      <c r="J69" s="107"/>
      <c r="K69" s="107"/>
    </row>
    <row r="70" spans="1:11" ht="13.5" customHeight="1" outlineLevel="1" x14ac:dyDescent="0.25">
      <c r="A70" s="107"/>
      <c r="B70" s="107"/>
      <c r="C70" s="107"/>
      <c r="D70">
        <v>2025</v>
      </c>
      <c r="E70">
        <f t="shared" si="12"/>
        <v>0</v>
      </c>
      <c r="F70">
        <v>0</v>
      </c>
      <c r="G70">
        <v>0</v>
      </c>
      <c r="H70">
        <v>0</v>
      </c>
      <c r="I70">
        <v>0</v>
      </c>
      <c r="J70" s="107"/>
      <c r="K70" s="107"/>
    </row>
    <row r="71" spans="1:11" ht="13.5" customHeight="1" outlineLevel="1" x14ac:dyDescent="0.25">
      <c r="A71" s="107" t="s">
        <v>503</v>
      </c>
      <c r="B71" s="107" t="s">
        <v>504</v>
      </c>
      <c r="C71" s="107">
        <v>2021</v>
      </c>
      <c r="D71" t="s">
        <v>8</v>
      </c>
      <c r="E71">
        <f t="shared" si="12"/>
        <v>18800</v>
      </c>
      <c r="F71">
        <f>SUM(F72:F76)</f>
        <v>18800</v>
      </c>
      <c r="G71">
        <f>SUM(G72:G76)</f>
        <v>0</v>
      </c>
      <c r="H71">
        <f>SUM(H72:H76)</f>
        <v>0</v>
      </c>
      <c r="I71">
        <f>SUM(I72:I76)</f>
        <v>0</v>
      </c>
      <c r="J71" s="107" t="s">
        <v>505</v>
      </c>
      <c r="K71" s="107" t="s">
        <v>484</v>
      </c>
    </row>
    <row r="72" spans="1:11" ht="13.5" customHeight="1" outlineLevel="1" x14ac:dyDescent="0.25">
      <c r="A72" s="107"/>
      <c r="B72" s="107"/>
      <c r="C72" s="107"/>
      <c r="D72">
        <v>2021</v>
      </c>
      <c r="E72">
        <f t="shared" si="12"/>
        <v>2000</v>
      </c>
      <c r="F72">
        <v>2000</v>
      </c>
      <c r="G72">
        <v>0</v>
      </c>
      <c r="H72">
        <v>0</v>
      </c>
      <c r="I72">
        <v>0</v>
      </c>
      <c r="J72" s="107"/>
      <c r="K72" s="107"/>
    </row>
    <row r="73" spans="1:11" ht="13.5" customHeight="1" outlineLevel="1" x14ac:dyDescent="0.25">
      <c r="A73" s="107"/>
      <c r="B73" s="107"/>
      <c r="C73" s="107"/>
      <c r="D73">
        <v>2022</v>
      </c>
      <c r="E73">
        <f t="shared" si="12"/>
        <v>5600</v>
      </c>
      <c r="F73">
        <v>5600</v>
      </c>
      <c r="G73">
        <v>0</v>
      </c>
      <c r="H73">
        <v>0</v>
      </c>
      <c r="I73">
        <v>0</v>
      </c>
      <c r="J73" s="107"/>
      <c r="K73" s="107"/>
    </row>
    <row r="74" spans="1:11" ht="13.5" customHeight="1" outlineLevel="1" x14ac:dyDescent="0.25">
      <c r="A74" s="107"/>
      <c r="B74" s="107"/>
      <c r="C74" s="107"/>
      <c r="D74">
        <v>2023</v>
      </c>
      <c r="E74">
        <f t="shared" si="12"/>
        <v>5600</v>
      </c>
      <c r="F74">
        <v>5600</v>
      </c>
      <c r="G74">
        <v>0</v>
      </c>
      <c r="H74">
        <v>0</v>
      </c>
      <c r="I74">
        <v>0</v>
      </c>
      <c r="J74" s="107"/>
      <c r="K74" s="107"/>
    </row>
    <row r="75" spans="1:11" ht="13.5" customHeight="1" outlineLevel="1" x14ac:dyDescent="0.25">
      <c r="A75" s="107"/>
      <c r="B75" s="107"/>
      <c r="C75" s="107"/>
      <c r="D75">
        <v>2024</v>
      </c>
      <c r="E75">
        <f t="shared" si="12"/>
        <v>5600</v>
      </c>
      <c r="F75">
        <v>5600</v>
      </c>
      <c r="G75">
        <v>0</v>
      </c>
      <c r="H75">
        <v>0</v>
      </c>
      <c r="I75">
        <v>0</v>
      </c>
      <c r="J75" s="107"/>
      <c r="K75" s="107"/>
    </row>
    <row r="76" spans="1:11" ht="13.5" customHeight="1" outlineLevel="1" x14ac:dyDescent="0.25">
      <c r="A76" s="107"/>
      <c r="B76" s="107"/>
      <c r="C76" s="107"/>
      <c r="D76">
        <v>2025</v>
      </c>
      <c r="E76">
        <f t="shared" si="12"/>
        <v>0</v>
      </c>
      <c r="F76">
        <v>0</v>
      </c>
      <c r="G76">
        <v>0</v>
      </c>
      <c r="H76">
        <v>0</v>
      </c>
      <c r="I76">
        <v>0</v>
      </c>
      <c r="J76" s="107"/>
      <c r="K76" s="107"/>
    </row>
    <row r="77" spans="1:11" ht="13.5" customHeight="1" outlineLevel="1" x14ac:dyDescent="0.25">
      <c r="A77" s="107" t="s">
        <v>506</v>
      </c>
      <c r="B77" s="107" t="s">
        <v>507</v>
      </c>
      <c r="C77" s="107">
        <v>2021</v>
      </c>
      <c r="D77" t="s">
        <v>8</v>
      </c>
      <c r="E77">
        <f t="shared" si="12"/>
        <v>228137.739</v>
      </c>
      <c r="F77">
        <f>SUM(F78:F82)</f>
        <v>228137.739</v>
      </c>
      <c r="G77">
        <f>SUM(G78:G82)</f>
        <v>0</v>
      </c>
      <c r="H77">
        <f>SUM(H78:H82)</f>
        <v>0</v>
      </c>
      <c r="I77">
        <f>SUM(I78:I82)</f>
        <v>0</v>
      </c>
      <c r="J77" s="107" t="s">
        <v>508</v>
      </c>
      <c r="K77" s="107" t="s">
        <v>486</v>
      </c>
    </row>
    <row r="78" spans="1:11" ht="13.5" customHeight="1" outlineLevel="1" x14ac:dyDescent="0.25">
      <c r="A78" s="107"/>
      <c r="B78" s="107"/>
      <c r="C78" s="107"/>
      <c r="D78">
        <v>2021</v>
      </c>
      <c r="E78">
        <f t="shared" si="12"/>
        <v>29443.125</v>
      </c>
      <c r="F78">
        <f>29443125/1000</f>
        <v>29443.125</v>
      </c>
      <c r="G78">
        <v>0</v>
      </c>
      <c r="H78">
        <v>0</v>
      </c>
      <c r="I78">
        <v>0</v>
      </c>
      <c r="J78" s="107"/>
      <c r="K78" s="107"/>
    </row>
    <row r="79" spans="1:11" ht="13.5" customHeight="1" outlineLevel="1" x14ac:dyDescent="0.25">
      <c r="A79" s="107"/>
      <c r="B79" s="107"/>
      <c r="C79" s="107"/>
      <c r="D79">
        <v>2022</v>
      </c>
      <c r="E79">
        <f t="shared" si="12"/>
        <v>66231.538</v>
      </c>
      <c r="F79">
        <v>66231.538</v>
      </c>
      <c r="G79">
        <v>0</v>
      </c>
      <c r="H79">
        <v>0</v>
      </c>
      <c r="I79">
        <v>0</v>
      </c>
      <c r="J79" s="107"/>
      <c r="K79" s="107"/>
    </row>
    <row r="80" spans="1:11" ht="13.5" customHeight="1" outlineLevel="1" x14ac:dyDescent="0.25">
      <c r="A80" s="107"/>
      <c r="B80" s="107"/>
      <c r="C80" s="107"/>
      <c r="D80">
        <v>2023</v>
      </c>
      <c r="E80">
        <f t="shared" si="12"/>
        <v>66231.538</v>
      </c>
      <c r="F80">
        <v>66231.538</v>
      </c>
      <c r="G80">
        <v>0</v>
      </c>
      <c r="H80">
        <v>0</v>
      </c>
      <c r="I80">
        <v>0</v>
      </c>
      <c r="J80" s="107"/>
      <c r="K80" s="107"/>
    </row>
    <row r="81" spans="1:11" ht="13.5" customHeight="1" outlineLevel="1" x14ac:dyDescent="0.25">
      <c r="A81" s="107"/>
      <c r="B81" s="107"/>
      <c r="C81" s="107"/>
      <c r="D81">
        <v>2024</v>
      </c>
      <c r="E81">
        <f t="shared" si="12"/>
        <v>66231.538</v>
      </c>
      <c r="F81">
        <v>66231.538</v>
      </c>
      <c r="G81">
        <v>0</v>
      </c>
      <c r="H81">
        <v>0</v>
      </c>
      <c r="I81">
        <v>0</v>
      </c>
      <c r="J81" s="107"/>
      <c r="K81" s="107"/>
    </row>
    <row r="82" spans="1:11" ht="13.5" customHeight="1" outlineLevel="1" x14ac:dyDescent="0.25">
      <c r="A82" s="107"/>
      <c r="B82" s="107"/>
      <c r="C82" s="107"/>
      <c r="D82">
        <v>2025</v>
      </c>
      <c r="E82">
        <f t="shared" si="12"/>
        <v>0</v>
      </c>
      <c r="F82">
        <v>0</v>
      </c>
      <c r="G82">
        <v>0</v>
      </c>
      <c r="H82">
        <v>0</v>
      </c>
      <c r="I82">
        <v>0</v>
      </c>
      <c r="J82" s="107"/>
      <c r="K82" s="107"/>
    </row>
    <row r="83" spans="1:11" ht="13.5" customHeight="1" outlineLevel="1" x14ac:dyDescent="0.25">
      <c r="A83" s="107" t="s">
        <v>821</v>
      </c>
      <c r="B83" s="107" t="s">
        <v>822</v>
      </c>
      <c r="C83" s="107">
        <v>2022</v>
      </c>
      <c r="D83" t="s">
        <v>8</v>
      </c>
      <c r="E83">
        <f t="shared" si="12"/>
        <v>60000</v>
      </c>
      <c r="F83">
        <f>SUM(F84:F88)</f>
        <v>60000</v>
      </c>
      <c r="G83">
        <f>SUM(G84:G88)</f>
        <v>0</v>
      </c>
      <c r="H83">
        <f>SUM(H84:H88)</f>
        <v>0</v>
      </c>
      <c r="I83">
        <f>SUM(I84:I88)</f>
        <v>0</v>
      </c>
      <c r="J83" s="107" t="s">
        <v>823</v>
      </c>
      <c r="K83" s="107" t="s">
        <v>484</v>
      </c>
    </row>
    <row r="84" spans="1:11" ht="13.5" customHeight="1" outlineLevel="1" x14ac:dyDescent="0.25">
      <c r="A84" s="107"/>
      <c r="B84" s="107"/>
      <c r="C84" s="107"/>
      <c r="D84">
        <v>2021</v>
      </c>
      <c r="E84">
        <f t="shared" si="12"/>
        <v>0</v>
      </c>
      <c r="F84">
        <v>0</v>
      </c>
      <c r="G84">
        <v>0</v>
      </c>
      <c r="H84">
        <v>0</v>
      </c>
      <c r="I84">
        <v>0</v>
      </c>
      <c r="J84" s="107"/>
      <c r="K84" s="107"/>
    </row>
    <row r="85" spans="1:11" ht="13.5" customHeight="1" outlineLevel="1" x14ac:dyDescent="0.25">
      <c r="A85" s="107"/>
      <c r="B85" s="107"/>
      <c r="C85" s="107"/>
      <c r="D85">
        <v>2022</v>
      </c>
      <c r="E85">
        <f t="shared" si="12"/>
        <v>20000</v>
      </c>
      <c r="F85">
        <v>20000</v>
      </c>
      <c r="G85">
        <v>0</v>
      </c>
      <c r="H85">
        <v>0</v>
      </c>
      <c r="I85">
        <v>0</v>
      </c>
      <c r="J85" s="107"/>
      <c r="K85" s="107"/>
    </row>
    <row r="86" spans="1:11" ht="13.5" customHeight="1" outlineLevel="1" x14ac:dyDescent="0.25">
      <c r="A86" s="107"/>
      <c r="B86" s="107"/>
      <c r="C86" s="107"/>
      <c r="D86">
        <v>2023</v>
      </c>
      <c r="E86">
        <f t="shared" si="12"/>
        <v>20000</v>
      </c>
      <c r="F86">
        <v>20000</v>
      </c>
      <c r="G86">
        <v>0</v>
      </c>
      <c r="H86">
        <v>0</v>
      </c>
      <c r="I86">
        <v>0</v>
      </c>
      <c r="J86" s="107"/>
      <c r="K86" s="107"/>
    </row>
    <row r="87" spans="1:11" ht="13.5" customHeight="1" outlineLevel="1" x14ac:dyDescent="0.25">
      <c r="A87" s="107"/>
      <c r="B87" s="107"/>
      <c r="C87" s="107"/>
      <c r="D87">
        <v>2024</v>
      </c>
      <c r="E87">
        <f t="shared" si="12"/>
        <v>20000</v>
      </c>
      <c r="F87">
        <v>20000</v>
      </c>
      <c r="G87">
        <v>0</v>
      </c>
      <c r="H87">
        <v>0</v>
      </c>
      <c r="I87">
        <v>0</v>
      </c>
      <c r="J87" s="107"/>
      <c r="K87" s="107"/>
    </row>
    <row r="88" spans="1:11" ht="13.5" customHeight="1" outlineLevel="1" x14ac:dyDescent="0.25">
      <c r="A88" s="107"/>
      <c r="B88" s="107"/>
      <c r="C88" s="107"/>
      <c r="D88">
        <v>2025</v>
      </c>
      <c r="E88">
        <f t="shared" si="12"/>
        <v>0</v>
      </c>
      <c r="F88">
        <v>0</v>
      </c>
      <c r="G88">
        <v>0</v>
      </c>
      <c r="H88">
        <v>0</v>
      </c>
      <c r="I88">
        <v>0</v>
      </c>
      <c r="J88" s="107"/>
      <c r="K88" s="107"/>
    </row>
    <row r="89" spans="1:11" ht="13.5" customHeight="1" outlineLevel="1" x14ac:dyDescent="0.25">
      <c r="A89" s="107" t="s">
        <v>824</v>
      </c>
      <c r="B89" s="107" t="s">
        <v>825</v>
      </c>
      <c r="C89" s="107" t="s">
        <v>14</v>
      </c>
      <c r="D89" t="s">
        <v>8</v>
      </c>
      <c r="E89">
        <f t="shared" si="12"/>
        <v>30180</v>
      </c>
      <c r="F89">
        <f>SUM(F90:F94)</f>
        <v>30180</v>
      </c>
      <c r="G89">
        <f>SUM(G90:G94)</f>
        <v>0</v>
      </c>
      <c r="H89">
        <f>SUM(H90:H94)</f>
        <v>0</v>
      </c>
      <c r="I89">
        <f>SUM(I90:I94)</f>
        <v>0</v>
      </c>
      <c r="J89" s="107" t="s">
        <v>825</v>
      </c>
      <c r="K89" s="107" t="s">
        <v>484</v>
      </c>
    </row>
    <row r="90" spans="1:11" ht="13.5" customHeight="1" outlineLevel="1" x14ac:dyDescent="0.25">
      <c r="A90" s="107"/>
      <c r="B90" s="107"/>
      <c r="C90" s="107"/>
      <c r="D90">
        <v>2021</v>
      </c>
      <c r="E90">
        <f t="shared" si="12"/>
        <v>0</v>
      </c>
      <c r="F90">
        <v>0</v>
      </c>
      <c r="G90">
        <v>0</v>
      </c>
      <c r="H90">
        <v>0</v>
      </c>
      <c r="I90">
        <v>0</v>
      </c>
      <c r="J90" s="107"/>
      <c r="K90" s="107"/>
    </row>
    <row r="91" spans="1:11" ht="13.5" customHeight="1" outlineLevel="1" x14ac:dyDescent="0.25">
      <c r="A91" s="107"/>
      <c r="B91" s="107"/>
      <c r="C91" s="107"/>
      <c r="D91">
        <v>2022</v>
      </c>
      <c r="E91">
        <f t="shared" si="12"/>
        <v>10060</v>
      </c>
      <c r="F91">
        <v>10060</v>
      </c>
      <c r="G91">
        <v>0</v>
      </c>
      <c r="H91">
        <v>0</v>
      </c>
      <c r="I91">
        <v>0</v>
      </c>
      <c r="J91" s="107"/>
      <c r="K91" s="107"/>
    </row>
    <row r="92" spans="1:11" ht="13.5" customHeight="1" outlineLevel="1" x14ac:dyDescent="0.25">
      <c r="A92" s="107"/>
      <c r="B92" s="107"/>
      <c r="C92" s="107"/>
      <c r="D92">
        <v>2023</v>
      </c>
      <c r="E92">
        <f t="shared" si="12"/>
        <v>10060</v>
      </c>
      <c r="F92">
        <v>10060</v>
      </c>
      <c r="G92">
        <v>0</v>
      </c>
      <c r="H92">
        <v>0</v>
      </c>
      <c r="I92">
        <v>0</v>
      </c>
      <c r="J92" s="107"/>
      <c r="K92" s="107"/>
    </row>
    <row r="93" spans="1:11" ht="13.5" customHeight="1" outlineLevel="1" x14ac:dyDescent="0.25">
      <c r="A93" s="107"/>
      <c r="B93" s="107"/>
      <c r="C93" s="107"/>
      <c r="D93">
        <v>2024</v>
      </c>
      <c r="E93">
        <f t="shared" si="12"/>
        <v>10060</v>
      </c>
      <c r="F93">
        <v>10060</v>
      </c>
      <c r="G93">
        <v>0</v>
      </c>
      <c r="H93">
        <v>0</v>
      </c>
      <c r="I93">
        <v>0</v>
      </c>
      <c r="J93" s="107"/>
      <c r="K93" s="107"/>
    </row>
    <row r="94" spans="1:11" ht="13.5" customHeight="1" outlineLevel="1" x14ac:dyDescent="0.25">
      <c r="A94" s="107"/>
      <c r="B94" s="107"/>
      <c r="C94" s="107"/>
      <c r="D94">
        <v>2025</v>
      </c>
      <c r="E94">
        <f t="shared" si="12"/>
        <v>0</v>
      </c>
      <c r="F94">
        <v>0</v>
      </c>
      <c r="G94">
        <v>0</v>
      </c>
      <c r="H94">
        <v>0</v>
      </c>
      <c r="I94">
        <v>0</v>
      </c>
      <c r="J94" s="107"/>
      <c r="K94" s="107"/>
    </row>
    <row r="95" spans="1:11" ht="13.5" customHeight="1" outlineLevel="1" x14ac:dyDescent="0.25">
      <c r="A95" s="107" t="s">
        <v>826</v>
      </c>
      <c r="B95" s="107" t="s">
        <v>827</v>
      </c>
      <c r="C95" s="107" t="s">
        <v>828</v>
      </c>
      <c r="D95" t="s">
        <v>8</v>
      </c>
      <c r="E95">
        <f t="shared" si="12"/>
        <v>4320</v>
      </c>
      <c r="F95">
        <f>SUM(F96:F100)</f>
        <v>4320</v>
      </c>
      <c r="G95">
        <f>SUM(G96:G100)</f>
        <v>0</v>
      </c>
      <c r="H95">
        <f>SUM(H96:H100)</f>
        <v>0</v>
      </c>
      <c r="I95">
        <f>SUM(I96:I100)</f>
        <v>0</v>
      </c>
      <c r="J95" s="107" t="s">
        <v>829</v>
      </c>
      <c r="K95" s="107" t="s">
        <v>484</v>
      </c>
    </row>
    <row r="96" spans="1:11" ht="13.5" customHeight="1" outlineLevel="1" x14ac:dyDescent="0.25">
      <c r="A96" s="107"/>
      <c r="B96" s="107"/>
      <c r="C96" s="107"/>
      <c r="D96">
        <v>2021</v>
      </c>
      <c r="E96">
        <f t="shared" si="12"/>
        <v>0</v>
      </c>
      <c r="F96">
        <v>0</v>
      </c>
      <c r="G96">
        <v>0</v>
      </c>
      <c r="H96">
        <v>0</v>
      </c>
      <c r="I96">
        <v>0</v>
      </c>
      <c r="J96" s="107"/>
      <c r="K96" s="107"/>
    </row>
    <row r="97" spans="1:11" ht="13.5" customHeight="1" outlineLevel="1" x14ac:dyDescent="0.25">
      <c r="A97" s="107"/>
      <c r="B97" s="107"/>
      <c r="C97" s="107"/>
      <c r="D97">
        <v>2022</v>
      </c>
      <c r="E97">
        <f t="shared" si="12"/>
        <v>1440</v>
      </c>
      <c r="F97">
        <v>1440</v>
      </c>
      <c r="G97">
        <v>0</v>
      </c>
      <c r="H97">
        <v>0</v>
      </c>
      <c r="I97">
        <v>0</v>
      </c>
      <c r="J97" s="107"/>
      <c r="K97" s="107"/>
    </row>
    <row r="98" spans="1:11" ht="13.5" customHeight="1" outlineLevel="1" x14ac:dyDescent="0.25">
      <c r="A98" s="107"/>
      <c r="B98" s="107"/>
      <c r="C98" s="107"/>
      <c r="D98">
        <v>2023</v>
      </c>
      <c r="E98">
        <f t="shared" si="12"/>
        <v>1440</v>
      </c>
      <c r="F98">
        <v>1440</v>
      </c>
      <c r="G98">
        <v>0</v>
      </c>
      <c r="H98">
        <v>0</v>
      </c>
      <c r="I98">
        <v>0</v>
      </c>
      <c r="J98" s="107"/>
      <c r="K98" s="107"/>
    </row>
    <row r="99" spans="1:11" ht="13.5" customHeight="1" outlineLevel="1" x14ac:dyDescent="0.25">
      <c r="A99" s="107"/>
      <c r="B99" s="107"/>
      <c r="C99" s="107"/>
      <c r="D99">
        <v>2024</v>
      </c>
      <c r="E99">
        <f t="shared" si="12"/>
        <v>1440</v>
      </c>
      <c r="F99">
        <v>1440</v>
      </c>
      <c r="G99">
        <v>0</v>
      </c>
      <c r="H99">
        <v>0</v>
      </c>
      <c r="I99">
        <v>0</v>
      </c>
      <c r="J99" s="107"/>
      <c r="K99" s="107"/>
    </row>
    <row r="100" spans="1:11" ht="13.5" customHeight="1" outlineLevel="1" x14ac:dyDescent="0.25">
      <c r="A100" s="107"/>
      <c r="B100" s="107"/>
      <c r="C100" s="107"/>
      <c r="D100">
        <v>2025</v>
      </c>
      <c r="E100">
        <v>0</v>
      </c>
      <c r="F100">
        <v>0</v>
      </c>
      <c r="G100">
        <v>0</v>
      </c>
      <c r="H100">
        <v>0</v>
      </c>
      <c r="I100">
        <v>0</v>
      </c>
      <c r="J100" s="107"/>
      <c r="K100" s="107"/>
    </row>
    <row r="101" spans="1:11" ht="13.5" customHeight="1" outlineLevel="1" x14ac:dyDescent="0.25">
      <c r="A101" s="107" t="s">
        <v>830</v>
      </c>
      <c r="B101" s="107" t="s">
        <v>831</v>
      </c>
      <c r="C101" s="107" t="s">
        <v>14</v>
      </c>
      <c r="D101" t="s">
        <v>8</v>
      </c>
      <c r="E101">
        <f t="shared" si="12"/>
        <v>26000</v>
      </c>
      <c r="F101">
        <f>SUM(F102:F106)</f>
        <v>26000</v>
      </c>
      <c r="G101">
        <f>SUM(G102:G106)</f>
        <v>0</v>
      </c>
      <c r="H101">
        <f>SUM(H102:H106)</f>
        <v>0</v>
      </c>
      <c r="I101">
        <f>SUM(I102:I106)</f>
        <v>0</v>
      </c>
      <c r="J101" s="107" t="s">
        <v>831</v>
      </c>
      <c r="K101" s="107" t="s">
        <v>515</v>
      </c>
    </row>
    <row r="102" spans="1:11" ht="13.5" customHeight="1" outlineLevel="1" x14ac:dyDescent="0.25">
      <c r="A102" s="107"/>
      <c r="B102" s="107"/>
      <c r="C102" s="107"/>
      <c r="D102">
        <v>2021</v>
      </c>
      <c r="E102">
        <f t="shared" si="12"/>
        <v>0</v>
      </c>
      <c r="J102" s="107"/>
      <c r="K102" s="107"/>
    </row>
    <row r="103" spans="1:11" ht="13.5" customHeight="1" outlineLevel="1" x14ac:dyDescent="0.25">
      <c r="A103" s="107"/>
      <c r="B103" s="107"/>
      <c r="C103" s="107"/>
      <c r="D103">
        <v>2022</v>
      </c>
      <c r="E103">
        <f t="shared" si="12"/>
        <v>26000</v>
      </c>
      <c r="F103">
        <v>26000</v>
      </c>
      <c r="J103" s="107"/>
      <c r="K103" s="107"/>
    </row>
    <row r="104" spans="1:11" ht="13.5" customHeight="1" outlineLevel="1" x14ac:dyDescent="0.25">
      <c r="A104" s="107"/>
      <c r="B104" s="107"/>
      <c r="C104" s="107"/>
      <c r="D104">
        <v>2023</v>
      </c>
      <c r="E104">
        <f t="shared" si="12"/>
        <v>0</v>
      </c>
      <c r="F104">
        <v>0</v>
      </c>
      <c r="G104">
        <v>0</v>
      </c>
      <c r="H104">
        <v>0</v>
      </c>
      <c r="I104">
        <v>0</v>
      </c>
      <c r="J104" s="107"/>
      <c r="K104" s="107"/>
    </row>
    <row r="105" spans="1:11" ht="13.5" customHeight="1" outlineLevel="1" x14ac:dyDescent="0.25">
      <c r="A105" s="107"/>
      <c r="B105" s="107"/>
      <c r="C105" s="107"/>
      <c r="D105">
        <v>2024</v>
      </c>
      <c r="E105">
        <f t="shared" si="12"/>
        <v>0</v>
      </c>
      <c r="F105">
        <v>0</v>
      </c>
      <c r="G105">
        <v>0</v>
      </c>
      <c r="H105">
        <v>0</v>
      </c>
      <c r="I105">
        <v>0</v>
      </c>
      <c r="J105" s="107"/>
      <c r="K105" s="107"/>
    </row>
    <row r="106" spans="1:11" ht="13.5" customHeight="1" outlineLevel="1" x14ac:dyDescent="0.25">
      <c r="A106" s="107"/>
      <c r="B106" s="107"/>
      <c r="C106" s="107"/>
      <c r="D106">
        <v>2025</v>
      </c>
      <c r="E106">
        <f t="shared" ref="E106:E112" si="15">SUM(F106:I106)</f>
        <v>0</v>
      </c>
      <c r="F106">
        <v>0</v>
      </c>
      <c r="G106">
        <v>0</v>
      </c>
      <c r="H106">
        <v>0</v>
      </c>
      <c r="I106">
        <v>0</v>
      </c>
      <c r="J106" s="107"/>
      <c r="K106" s="107"/>
    </row>
    <row r="107" spans="1:11" ht="31.5" customHeight="1" outlineLevel="1" x14ac:dyDescent="0.25">
      <c r="A107" s="107" t="s">
        <v>832</v>
      </c>
      <c r="B107" s="107" t="s">
        <v>833</v>
      </c>
      <c r="C107" s="107" t="s">
        <v>14</v>
      </c>
      <c r="D107" t="s">
        <v>8</v>
      </c>
      <c r="E107">
        <f t="shared" si="15"/>
        <v>27000</v>
      </c>
      <c r="F107">
        <f>SUM(F108:F112)</f>
        <v>27000</v>
      </c>
      <c r="G107">
        <f>SUM(G108:G112)</f>
        <v>0</v>
      </c>
      <c r="H107">
        <f>SUM(H108:H112)</f>
        <v>0</v>
      </c>
      <c r="I107">
        <f>SUM(I108:I112)</f>
        <v>0</v>
      </c>
      <c r="J107" s="107" t="s">
        <v>834</v>
      </c>
      <c r="K107" s="107" t="s">
        <v>515</v>
      </c>
    </row>
    <row r="108" spans="1:11" ht="31.5" customHeight="1" outlineLevel="1" x14ac:dyDescent="0.25">
      <c r="A108" s="107"/>
      <c r="B108" s="107"/>
      <c r="C108" s="107"/>
      <c r="D108">
        <v>2021</v>
      </c>
      <c r="E108">
        <f t="shared" si="15"/>
        <v>0</v>
      </c>
      <c r="F108">
        <v>0</v>
      </c>
      <c r="G108">
        <v>0</v>
      </c>
      <c r="H108">
        <v>0</v>
      </c>
      <c r="I108">
        <v>0</v>
      </c>
      <c r="J108" s="107"/>
      <c r="K108" s="107"/>
    </row>
    <row r="109" spans="1:11" ht="31.5" customHeight="1" outlineLevel="1" x14ac:dyDescent="0.25">
      <c r="A109" s="107"/>
      <c r="B109" s="107"/>
      <c r="C109" s="107"/>
      <c r="D109">
        <v>2022</v>
      </c>
      <c r="E109">
        <f t="shared" si="15"/>
        <v>9000</v>
      </c>
      <c r="F109">
        <v>9000</v>
      </c>
      <c r="G109">
        <v>0</v>
      </c>
      <c r="H109">
        <v>0</v>
      </c>
      <c r="I109">
        <v>0</v>
      </c>
      <c r="J109" s="107"/>
      <c r="K109" s="107"/>
    </row>
    <row r="110" spans="1:11" ht="31.5" customHeight="1" outlineLevel="1" x14ac:dyDescent="0.25">
      <c r="A110" s="107"/>
      <c r="B110" s="107"/>
      <c r="C110" s="107"/>
      <c r="D110">
        <v>2023</v>
      </c>
      <c r="E110">
        <f t="shared" si="15"/>
        <v>9000</v>
      </c>
      <c r="F110">
        <v>9000</v>
      </c>
      <c r="G110">
        <v>0</v>
      </c>
      <c r="H110">
        <v>0</v>
      </c>
      <c r="I110">
        <v>0</v>
      </c>
      <c r="J110" s="107"/>
      <c r="K110" s="107"/>
    </row>
    <row r="111" spans="1:11" ht="31.5" customHeight="1" outlineLevel="1" x14ac:dyDescent="0.25">
      <c r="A111" s="107"/>
      <c r="B111" s="107"/>
      <c r="C111" s="107"/>
      <c r="D111">
        <v>2024</v>
      </c>
      <c r="E111">
        <f t="shared" si="15"/>
        <v>9000</v>
      </c>
      <c r="F111">
        <v>9000</v>
      </c>
      <c r="G111">
        <v>0</v>
      </c>
      <c r="H111">
        <v>0</v>
      </c>
      <c r="I111">
        <v>0</v>
      </c>
      <c r="J111" s="107"/>
      <c r="K111" s="107"/>
    </row>
    <row r="112" spans="1:11" ht="31.5" customHeight="1" outlineLevel="1" x14ac:dyDescent="0.25">
      <c r="A112" s="107"/>
      <c r="B112" s="107"/>
      <c r="C112" s="107"/>
      <c r="D112">
        <v>2025</v>
      </c>
      <c r="E112">
        <f t="shared" si="15"/>
        <v>0</v>
      </c>
      <c r="F112">
        <v>0</v>
      </c>
      <c r="G112">
        <v>0</v>
      </c>
      <c r="H112">
        <v>0</v>
      </c>
      <c r="I112">
        <v>0</v>
      </c>
      <c r="J112" s="107"/>
      <c r="K112" s="107"/>
    </row>
    <row r="113" spans="1:14" ht="15" customHeight="1" outlineLevel="1" x14ac:dyDescent="0.25">
      <c r="A113" s="107" t="s">
        <v>39</v>
      </c>
      <c r="B113" s="107" t="s">
        <v>40</v>
      </c>
      <c r="C113" s="107" t="s">
        <v>41</v>
      </c>
      <c r="D113" t="s">
        <v>8</v>
      </c>
      <c r="E113">
        <f t="shared" ref="E113:E176" si="16">SUM(F113:I113)</f>
        <v>52766.126789999995</v>
      </c>
      <c r="F113">
        <f>SUM(F114:F118)</f>
        <v>28926.02779</v>
      </c>
      <c r="G113">
        <f>SUM(G114:G118)</f>
        <v>23840.098999999995</v>
      </c>
      <c r="H113">
        <f>SUM(H114:H118)</f>
        <v>0</v>
      </c>
      <c r="I113">
        <f>SUM(I114:I118)</f>
        <v>0</v>
      </c>
      <c r="J113" s="107" t="s">
        <v>509</v>
      </c>
      <c r="K113" s="107" t="s">
        <v>510</v>
      </c>
    </row>
    <row r="114" spans="1:14" outlineLevel="1" x14ac:dyDescent="0.25">
      <c r="A114" s="107"/>
      <c r="B114" s="107"/>
      <c r="C114" s="107"/>
      <c r="D114">
        <v>2021</v>
      </c>
      <c r="E114">
        <f t="shared" si="16"/>
        <v>27116.562749999997</v>
      </c>
      <c r="F114">
        <f t="shared" ref="F114:I118" si="17">F126+F138+F120+F132</f>
        <v>6916.3637500000004</v>
      </c>
      <c r="G114">
        <f t="shared" si="17"/>
        <v>20200.198999999997</v>
      </c>
      <c r="H114">
        <f t="shared" si="17"/>
        <v>0</v>
      </c>
      <c r="I114">
        <f t="shared" si="17"/>
        <v>0</v>
      </c>
      <c r="J114" s="107"/>
      <c r="K114" s="107"/>
    </row>
    <row r="115" spans="1:14" outlineLevel="1" x14ac:dyDescent="0.25">
      <c r="A115" s="107"/>
      <c r="B115" s="107"/>
      <c r="C115" s="107"/>
      <c r="D115">
        <v>2022</v>
      </c>
      <c r="E115">
        <f t="shared" si="16"/>
        <v>9396.6831899999997</v>
      </c>
      <c r="F115">
        <f t="shared" si="17"/>
        <v>7575.3831900000005</v>
      </c>
      <c r="G115">
        <f t="shared" si="17"/>
        <v>1821.3</v>
      </c>
      <c r="H115">
        <f t="shared" si="17"/>
        <v>0</v>
      </c>
      <c r="I115">
        <f t="shared" si="17"/>
        <v>0</v>
      </c>
      <c r="J115" s="107"/>
      <c r="K115" s="107"/>
    </row>
    <row r="116" spans="1:14" outlineLevel="1" x14ac:dyDescent="0.25">
      <c r="A116" s="107"/>
      <c r="B116" s="107"/>
      <c r="C116" s="107"/>
      <c r="D116">
        <v>2023</v>
      </c>
      <c r="E116">
        <f t="shared" si="16"/>
        <v>9093.7808499999992</v>
      </c>
      <c r="F116">
        <f t="shared" si="17"/>
        <v>7275.1808499999997</v>
      </c>
      <c r="G116">
        <f t="shared" si="17"/>
        <v>1818.6</v>
      </c>
      <c r="H116">
        <f t="shared" si="17"/>
        <v>0</v>
      </c>
      <c r="I116">
        <f t="shared" si="17"/>
        <v>0</v>
      </c>
      <c r="J116" s="107"/>
      <c r="K116" s="107"/>
    </row>
    <row r="117" spans="1:14" outlineLevel="1" x14ac:dyDescent="0.25">
      <c r="A117" s="107"/>
      <c r="B117" s="107"/>
      <c r="C117" s="107"/>
      <c r="D117">
        <v>2024</v>
      </c>
      <c r="E117">
        <f t="shared" si="16"/>
        <v>7159.1</v>
      </c>
      <c r="F117">
        <f t="shared" si="17"/>
        <v>7159.1</v>
      </c>
      <c r="G117">
        <f t="shared" si="17"/>
        <v>0</v>
      </c>
      <c r="H117">
        <f t="shared" si="17"/>
        <v>0</v>
      </c>
      <c r="I117">
        <f t="shared" si="17"/>
        <v>0</v>
      </c>
      <c r="J117" s="107"/>
      <c r="K117" s="107"/>
    </row>
    <row r="118" spans="1:14" outlineLevel="1" x14ac:dyDescent="0.25">
      <c r="A118" s="107"/>
      <c r="B118" s="107"/>
      <c r="C118" s="107"/>
      <c r="D118">
        <v>2025</v>
      </c>
      <c r="E118">
        <f t="shared" si="16"/>
        <v>0</v>
      </c>
      <c r="F118">
        <f t="shared" si="17"/>
        <v>0</v>
      </c>
      <c r="G118">
        <f t="shared" si="17"/>
        <v>0</v>
      </c>
      <c r="H118">
        <f t="shared" si="17"/>
        <v>0</v>
      </c>
      <c r="I118">
        <f t="shared" si="17"/>
        <v>0</v>
      </c>
      <c r="J118" s="107"/>
      <c r="K118" s="107"/>
    </row>
    <row r="119" spans="1:14" outlineLevel="1" x14ac:dyDescent="0.25">
      <c r="A119" s="107" t="s">
        <v>44</v>
      </c>
      <c r="B119" s="107" t="s">
        <v>45</v>
      </c>
      <c r="C119" s="107" t="s">
        <v>41</v>
      </c>
      <c r="D119" t="s">
        <v>8</v>
      </c>
      <c r="E119">
        <f t="shared" si="16"/>
        <v>5212.3297899999998</v>
      </c>
      <c r="F119">
        <f>SUM(F120:F124)</f>
        <v>312.73978999999997</v>
      </c>
      <c r="G119">
        <f>SUM(G120:G124)</f>
        <v>4899.59</v>
      </c>
      <c r="H119">
        <f>SUM(H120:H124)</f>
        <v>0</v>
      </c>
      <c r="I119">
        <f>SUM(I120:I124)</f>
        <v>0</v>
      </c>
      <c r="J119" s="107" t="s">
        <v>511</v>
      </c>
      <c r="K119" s="107" t="s">
        <v>512</v>
      </c>
    </row>
    <row r="120" spans="1:14" outlineLevel="1" x14ac:dyDescent="0.25">
      <c r="A120" s="107"/>
      <c r="B120" s="107"/>
      <c r="C120" s="107"/>
      <c r="D120">
        <v>2021</v>
      </c>
      <c r="E120">
        <f t="shared" si="16"/>
        <v>1340.09575</v>
      </c>
      <c r="F120">
        <v>80.405749999999998</v>
      </c>
      <c r="G120">
        <v>1259.69</v>
      </c>
      <c r="H120">
        <v>0</v>
      </c>
      <c r="I120">
        <v>0</v>
      </c>
      <c r="J120" s="107"/>
      <c r="K120" s="107"/>
    </row>
    <row r="121" spans="1:14" outlineLevel="1" x14ac:dyDescent="0.25">
      <c r="A121" s="107"/>
      <c r="B121" s="107"/>
      <c r="C121" s="107"/>
      <c r="D121">
        <v>2022</v>
      </c>
      <c r="E121">
        <f t="shared" si="16"/>
        <v>1937.5531899999999</v>
      </c>
      <c r="F121">
        <v>116.25319</v>
      </c>
      <c r="G121">
        <v>1821.3</v>
      </c>
      <c r="H121">
        <v>0</v>
      </c>
      <c r="I121">
        <v>0</v>
      </c>
      <c r="J121" s="107"/>
      <c r="K121" s="107"/>
    </row>
    <row r="122" spans="1:14" outlineLevel="1" x14ac:dyDescent="0.25">
      <c r="A122" s="107"/>
      <c r="B122" s="107"/>
      <c r="C122" s="107"/>
      <c r="D122">
        <v>2023</v>
      </c>
      <c r="E122">
        <f t="shared" si="16"/>
        <v>1934.68085</v>
      </c>
      <c r="F122">
        <v>116.08085</v>
      </c>
      <c r="G122">
        <v>1818.6</v>
      </c>
      <c r="H122">
        <v>0</v>
      </c>
      <c r="I122">
        <v>0</v>
      </c>
      <c r="J122" s="107"/>
      <c r="K122" s="107"/>
    </row>
    <row r="123" spans="1:14" outlineLevel="1" x14ac:dyDescent="0.25">
      <c r="A123" s="107"/>
      <c r="B123" s="107"/>
      <c r="C123" s="107"/>
      <c r="D123">
        <v>2024</v>
      </c>
      <c r="E123">
        <f t="shared" si="16"/>
        <v>0</v>
      </c>
      <c r="F123">
        <v>0</v>
      </c>
      <c r="G123">
        <v>0</v>
      </c>
      <c r="H123">
        <v>0</v>
      </c>
      <c r="I123">
        <v>0</v>
      </c>
      <c r="J123" s="107"/>
      <c r="K123" s="107"/>
    </row>
    <row r="124" spans="1:14" outlineLevel="1" x14ac:dyDescent="0.25">
      <c r="A124" s="107"/>
      <c r="B124" s="107"/>
      <c r="C124" s="107"/>
      <c r="D124">
        <v>2025</v>
      </c>
      <c r="E124">
        <f t="shared" si="16"/>
        <v>0</v>
      </c>
      <c r="F124">
        <v>0</v>
      </c>
      <c r="G124">
        <v>0</v>
      </c>
      <c r="H124">
        <v>0</v>
      </c>
      <c r="I124">
        <v>0</v>
      </c>
      <c r="J124" s="107"/>
      <c r="K124" s="107"/>
    </row>
    <row r="125" spans="1:14" ht="15" customHeight="1" outlineLevel="1" x14ac:dyDescent="0.25">
      <c r="A125" s="107" t="s">
        <v>48</v>
      </c>
      <c r="B125" s="107" t="s">
        <v>513</v>
      </c>
      <c r="C125" s="107" t="s">
        <v>41</v>
      </c>
      <c r="D125" t="s">
        <v>8</v>
      </c>
      <c r="E125">
        <f t="shared" si="16"/>
        <v>11408.85</v>
      </c>
      <c r="F125">
        <f>SUM(F126:F130)</f>
        <v>11408.85</v>
      </c>
      <c r="G125">
        <f>SUM(G126:G130)</f>
        <v>0</v>
      </c>
      <c r="H125">
        <f>SUM(H126:H130)</f>
        <v>0</v>
      </c>
      <c r="I125">
        <f>SUM(I126:I130)</f>
        <v>0</v>
      </c>
      <c r="J125" s="107" t="s">
        <v>50</v>
      </c>
      <c r="K125" s="107" t="s">
        <v>484</v>
      </c>
      <c r="L125" s="107"/>
      <c r="M125" s="107"/>
      <c r="N125" s="107"/>
    </row>
    <row r="126" spans="1:14" outlineLevel="1" x14ac:dyDescent="0.25">
      <c r="A126" s="107"/>
      <c r="B126" s="107"/>
      <c r="C126" s="107"/>
      <c r="D126">
        <v>2021</v>
      </c>
      <c r="E126">
        <f t="shared" si="16"/>
        <v>1631.52</v>
      </c>
      <c r="F126">
        <v>1631.52</v>
      </c>
      <c r="G126">
        <v>0</v>
      </c>
      <c r="H126">
        <v>0</v>
      </c>
      <c r="I126">
        <v>0</v>
      </c>
      <c r="J126" s="107"/>
      <c r="K126" s="107"/>
      <c r="L126" s="107"/>
      <c r="M126" s="107"/>
      <c r="N126" s="107"/>
    </row>
    <row r="127" spans="1:14" outlineLevel="1" x14ac:dyDescent="0.25">
      <c r="A127" s="107"/>
      <c r="B127" s="107"/>
      <c r="C127" s="107"/>
      <c r="D127">
        <v>2022</v>
      </c>
      <c r="E127">
        <f t="shared" si="16"/>
        <v>3459.13</v>
      </c>
      <c r="F127">
        <v>3459.13</v>
      </c>
      <c r="G127">
        <v>0</v>
      </c>
      <c r="H127">
        <v>0</v>
      </c>
      <c r="I127">
        <v>0</v>
      </c>
      <c r="J127" s="107"/>
      <c r="K127" s="107"/>
      <c r="L127" s="107"/>
      <c r="M127" s="107"/>
      <c r="N127" s="107"/>
    </row>
    <row r="128" spans="1:14" outlineLevel="1" x14ac:dyDescent="0.25">
      <c r="A128" s="107"/>
      <c r="B128" s="107"/>
      <c r="C128" s="107"/>
      <c r="D128">
        <v>2023</v>
      </c>
      <c r="E128">
        <f t="shared" si="16"/>
        <v>3159.1</v>
      </c>
      <c r="F128">
        <v>3159.1</v>
      </c>
      <c r="G128">
        <v>0</v>
      </c>
      <c r="H128">
        <v>0</v>
      </c>
      <c r="I128">
        <v>0</v>
      </c>
      <c r="J128" s="107"/>
      <c r="K128" s="107"/>
      <c r="L128" s="107"/>
      <c r="M128" s="107"/>
      <c r="N128" s="107"/>
    </row>
    <row r="129" spans="1:14" outlineLevel="1" x14ac:dyDescent="0.25">
      <c r="A129" s="107"/>
      <c r="B129" s="107"/>
      <c r="C129" s="107"/>
      <c r="D129">
        <v>2024</v>
      </c>
      <c r="E129">
        <f t="shared" si="16"/>
        <v>3159.1</v>
      </c>
      <c r="F129">
        <v>3159.1</v>
      </c>
      <c r="G129">
        <v>0</v>
      </c>
      <c r="H129">
        <v>0</v>
      </c>
      <c r="I129">
        <v>0</v>
      </c>
      <c r="J129" s="107"/>
      <c r="K129" s="107"/>
      <c r="L129" s="107"/>
      <c r="M129" s="107"/>
      <c r="N129" s="107"/>
    </row>
    <row r="130" spans="1:14" outlineLevel="1" x14ac:dyDescent="0.25">
      <c r="A130" s="107"/>
      <c r="B130" s="107"/>
      <c r="C130" s="107"/>
      <c r="D130">
        <v>2025</v>
      </c>
      <c r="E130">
        <f t="shared" si="16"/>
        <v>0</v>
      </c>
      <c r="F130">
        <v>0</v>
      </c>
      <c r="G130">
        <v>0</v>
      </c>
      <c r="H130">
        <v>0</v>
      </c>
      <c r="I130">
        <v>0</v>
      </c>
      <c r="J130" s="107"/>
      <c r="K130" s="107"/>
      <c r="L130" s="107"/>
      <c r="M130" s="107"/>
      <c r="N130" s="107"/>
    </row>
    <row r="131" spans="1:14" ht="18" customHeight="1" outlineLevel="1" x14ac:dyDescent="0.25">
      <c r="A131" s="107" t="s">
        <v>51</v>
      </c>
      <c r="B131" s="107" t="s">
        <v>52</v>
      </c>
      <c r="C131" s="107" t="s">
        <v>41</v>
      </c>
      <c r="D131" t="s">
        <v>8</v>
      </c>
      <c r="E131">
        <f t="shared" si="16"/>
        <v>15995.47</v>
      </c>
      <c r="F131">
        <f>SUM(F132:F136)</f>
        <v>15995.47</v>
      </c>
      <c r="G131">
        <f>SUM(G132:G136)</f>
        <v>0</v>
      </c>
      <c r="H131">
        <f>SUM(H132:H136)</f>
        <v>0</v>
      </c>
      <c r="I131">
        <f>SUM(I132:I136)</f>
        <v>0</v>
      </c>
      <c r="J131" s="107" t="s">
        <v>514</v>
      </c>
      <c r="K131" s="107" t="s">
        <v>515</v>
      </c>
    </row>
    <row r="132" spans="1:14" ht="18" customHeight="1" outlineLevel="1" x14ac:dyDescent="0.25">
      <c r="A132" s="107"/>
      <c r="B132" s="107"/>
      <c r="C132" s="107"/>
      <c r="D132">
        <v>2021</v>
      </c>
      <c r="E132">
        <f t="shared" si="16"/>
        <v>3995.47</v>
      </c>
      <c r="F132">
        <v>3995.47</v>
      </c>
      <c r="G132">
        <v>0</v>
      </c>
      <c r="H132">
        <v>0</v>
      </c>
      <c r="I132">
        <v>0</v>
      </c>
      <c r="J132" s="107"/>
      <c r="K132" s="107"/>
    </row>
    <row r="133" spans="1:14" ht="18" customHeight="1" outlineLevel="1" x14ac:dyDescent="0.25">
      <c r="A133" s="107"/>
      <c r="B133" s="107"/>
      <c r="C133" s="107"/>
      <c r="D133">
        <v>2022</v>
      </c>
      <c r="E133">
        <f t="shared" si="16"/>
        <v>4000</v>
      </c>
      <c r="F133">
        <v>4000</v>
      </c>
      <c r="G133">
        <v>0</v>
      </c>
      <c r="H133">
        <v>0</v>
      </c>
      <c r="I133">
        <v>0</v>
      </c>
      <c r="J133" s="107"/>
      <c r="K133" s="107"/>
    </row>
    <row r="134" spans="1:14" ht="18" customHeight="1" outlineLevel="1" x14ac:dyDescent="0.25">
      <c r="A134" s="107"/>
      <c r="B134" s="107"/>
      <c r="C134" s="107"/>
      <c r="D134">
        <v>2023</v>
      </c>
      <c r="E134">
        <f t="shared" si="16"/>
        <v>4000</v>
      </c>
      <c r="F134">
        <v>4000</v>
      </c>
      <c r="G134">
        <v>0</v>
      </c>
      <c r="H134">
        <v>0</v>
      </c>
      <c r="I134">
        <v>0</v>
      </c>
      <c r="J134" s="107"/>
      <c r="K134" s="107"/>
    </row>
    <row r="135" spans="1:14" ht="18" customHeight="1" outlineLevel="1" x14ac:dyDescent="0.25">
      <c r="A135" s="107"/>
      <c r="B135" s="107"/>
      <c r="C135" s="107"/>
      <c r="D135">
        <v>2024</v>
      </c>
      <c r="E135">
        <f t="shared" si="16"/>
        <v>4000</v>
      </c>
      <c r="F135">
        <v>4000</v>
      </c>
      <c r="G135">
        <v>0</v>
      </c>
      <c r="H135">
        <v>0</v>
      </c>
      <c r="I135">
        <v>0</v>
      </c>
      <c r="J135" s="107"/>
      <c r="K135" s="107"/>
    </row>
    <row r="136" spans="1:14" ht="18" customHeight="1" outlineLevel="1" x14ac:dyDescent="0.25">
      <c r="A136" s="107"/>
      <c r="B136" s="107"/>
      <c r="C136" s="107"/>
      <c r="D136">
        <v>2025</v>
      </c>
      <c r="E136">
        <f t="shared" si="16"/>
        <v>0</v>
      </c>
      <c r="F136">
        <v>0</v>
      </c>
      <c r="G136">
        <v>0</v>
      </c>
      <c r="H136">
        <v>0</v>
      </c>
      <c r="I136">
        <v>0</v>
      </c>
      <c r="J136" s="107"/>
      <c r="K136" s="107"/>
    </row>
    <row r="137" spans="1:14" ht="13.5" customHeight="1" outlineLevel="1" x14ac:dyDescent="0.25">
      <c r="A137" s="107" t="s">
        <v>516</v>
      </c>
      <c r="B137" s="107" t="s">
        <v>45</v>
      </c>
      <c r="C137" s="107" t="s">
        <v>41</v>
      </c>
      <c r="D137" t="s">
        <v>8</v>
      </c>
      <c r="E137">
        <f t="shared" si="16"/>
        <v>20149.476999999999</v>
      </c>
      <c r="F137">
        <f>SUM(F138:F142)</f>
        <v>1208.9680000000001</v>
      </c>
      <c r="G137">
        <f>SUM(G138:G142)</f>
        <v>18940.508999999998</v>
      </c>
      <c r="H137">
        <f>SUM(H138:H142)</f>
        <v>0</v>
      </c>
      <c r="I137">
        <f>SUM(I138:I142)</f>
        <v>0</v>
      </c>
      <c r="J137" s="107" t="s">
        <v>517</v>
      </c>
      <c r="K137" s="107" t="s">
        <v>515</v>
      </c>
    </row>
    <row r="138" spans="1:14" ht="13.5" customHeight="1" outlineLevel="1" x14ac:dyDescent="0.25">
      <c r="A138" s="107"/>
      <c r="B138" s="107"/>
      <c r="C138" s="107"/>
      <c r="D138">
        <v>2021</v>
      </c>
      <c r="E138">
        <f t="shared" si="16"/>
        <v>20149.476999999999</v>
      </c>
      <c r="F138">
        <v>1208.9680000000001</v>
      </c>
      <c r="G138">
        <v>18940.508999999998</v>
      </c>
      <c r="H138">
        <v>0</v>
      </c>
      <c r="I138">
        <v>0</v>
      </c>
      <c r="J138" s="107"/>
      <c r="K138" s="107"/>
    </row>
    <row r="139" spans="1:14" ht="13.5" customHeight="1" outlineLevel="1" x14ac:dyDescent="0.25">
      <c r="A139" s="107"/>
      <c r="B139" s="107"/>
      <c r="C139" s="107"/>
      <c r="D139">
        <v>2022</v>
      </c>
      <c r="E139">
        <f t="shared" si="16"/>
        <v>0</v>
      </c>
      <c r="F139">
        <v>0</v>
      </c>
      <c r="G139">
        <v>0</v>
      </c>
      <c r="H139">
        <v>0</v>
      </c>
      <c r="I139">
        <v>0</v>
      </c>
      <c r="J139" s="107"/>
      <c r="K139" s="107"/>
    </row>
    <row r="140" spans="1:14" ht="13.5" customHeight="1" outlineLevel="1" x14ac:dyDescent="0.25">
      <c r="A140" s="107"/>
      <c r="B140" s="107"/>
      <c r="C140" s="107"/>
      <c r="D140">
        <v>2023</v>
      </c>
      <c r="E140">
        <f t="shared" si="16"/>
        <v>0</v>
      </c>
      <c r="F140">
        <v>0</v>
      </c>
      <c r="G140">
        <v>0</v>
      </c>
      <c r="H140">
        <v>0</v>
      </c>
      <c r="I140">
        <v>0</v>
      </c>
      <c r="J140" s="107"/>
      <c r="K140" s="107"/>
    </row>
    <row r="141" spans="1:14" ht="13.5" customHeight="1" outlineLevel="1" x14ac:dyDescent="0.25">
      <c r="A141" s="107"/>
      <c r="B141" s="107"/>
      <c r="C141" s="107"/>
      <c r="D141">
        <v>2024</v>
      </c>
      <c r="E141">
        <f t="shared" si="16"/>
        <v>0</v>
      </c>
      <c r="F141">
        <v>0</v>
      </c>
      <c r="G141">
        <v>0</v>
      </c>
      <c r="H141">
        <v>0</v>
      </c>
      <c r="I141">
        <v>0</v>
      </c>
      <c r="J141" s="107"/>
      <c r="K141" s="107"/>
    </row>
    <row r="142" spans="1:14" ht="13.5" customHeight="1" outlineLevel="1" x14ac:dyDescent="0.25">
      <c r="A142" s="107"/>
      <c r="B142" s="107"/>
      <c r="C142" s="107"/>
      <c r="D142">
        <v>2025</v>
      </c>
      <c r="E142">
        <f t="shared" si="16"/>
        <v>0</v>
      </c>
      <c r="F142">
        <v>0</v>
      </c>
      <c r="G142">
        <v>0</v>
      </c>
      <c r="H142">
        <v>0</v>
      </c>
      <c r="I142">
        <v>0</v>
      </c>
      <c r="J142" s="107"/>
      <c r="K142" s="107"/>
    </row>
    <row r="143" spans="1:14" ht="15" customHeight="1" x14ac:dyDescent="0.25">
      <c r="A143" s="107" t="s">
        <v>54</v>
      </c>
      <c r="B143" s="107" t="s">
        <v>55</v>
      </c>
      <c r="C143" s="107" t="s">
        <v>14</v>
      </c>
      <c r="D143" t="s">
        <v>8</v>
      </c>
      <c r="E143">
        <f t="shared" si="16"/>
        <v>4338730.6582099991</v>
      </c>
      <c r="F143">
        <f>SUM(F144:F148)</f>
        <v>4194661.9179999996</v>
      </c>
      <c r="G143">
        <f>SUM(G144:G148)</f>
        <v>78311.8</v>
      </c>
      <c r="H143">
        <f>SUM(H144:H148)</f>
        <v>65756.940210000001</v>
      </c>
      <c r="I143">
        <f>SUM(I144:I148)</f>
        <v>0</v>
      </c>
      <c r="J143" s="107"/>
      <c r="K143" s="107" t="s">
        <v>510</v>
      </c>
      <c r="L143" s="107"/>
      <c r="M143" s="107"/>
      <c r="N143" s="107"/>
    </row>
    <row r="144" spans="1:14" x14ac:dyDescent="0.25">
      <c r="A144" s="107"/>
      <c r="B144" s="107"/>
      <c r="C144" s="107"/>
      <c r="D144">
        <v>2021</v>
      </c>
      <c r="E144">
        <f t="shared" si="16"/>
        <v>892830.11758999992</v>
      </c>
      <c r="F144">
        <f t="shared" ref="F144:I148" si="18">F150+F246+F264</f>
        <v>855321.31737999991</v>
      </c>
      <c r="G144">
        <f t="shared" si="18"/>
        <v>24191.1</v>
      </c>
      <c r="H144">
        <f t="shared" si="18"/>
        <v>13317.700210000001</v>
      </c>
      <c r="I144">
        <f t="shared" si="18"/>
        <v>0</v>
      </c>
      <c r="J144" s="107"/>
      <c r="K144" s="107"/>
      <c r="L144" s="107"/>
      <c r="M144" s="107"/>
      <c r="N144" s="107"/>
    </row>
    <row r="145" spans="1:14" x14ac:dyDescent="0.25">
      <c r="A145" s="107"/>
      <c r="B145" s="107"/>
      <c r="C145" s="107"/>
      <c r="D145">
        <v>2022</v>
      </c>
      <c r="E145">
        <f t="shared" si="16"/>
        <v>989738.83282000013</v>
      </c>
      <c r="F145">
        <f t="shared" si="18"/>
        <v>953407.85282000003</v>
      </c>
      <c r="G145">
        <f t="shared" si="18"/>
        <v>16553.800000000003</v>
      </c>
      <c r="H145">
        <f t="shared" si="18"/>
        <v>19777.18</v>
      </c>
      <c r="I145">
        <f t="shared" si="18"/>
        <v>0</v>
      </c>
      <c r="J145" s="107"/>
      <c r="K145" s="107"/>
      <c r="L145" s="107"/>
      <c r="M145" s="107"/>
      <c r="N145" s="107"/>
    </row>
    <row r="146" spans="1:14" x14ac:dyDescent="0.25">
      <c r="A146" s="107"/>
      <c r="B146" s="107"/>
      <c r="C146" s="107"/>
      <c r="D146">
        <v>2023</v>
      </c>
      <c r="E146">
        <f t="shared" si="16"/>
        <v>850847.95707</v>
      </c>
      <c r="F146">
        <f t="shared" si="18"/>
        <v>817166.42706999998</v>
      </c>
      <c r="G146">
        <f t="shared" si="18"/>
        <v>17350.5</v>
      </c>
      <c r="H146">
        <f t="shared" si="18"/>
        <v>16331.03</v>
      </c>
      <c r="I146">
        <f t="shared" si="18"/>
        <v>0</v>
      </c>
      <c r="J146" s="107"/>
      <c r="K146" s="107"/>
      <c r="L146" s="107"/>
      <c r="M146" s="107"/>
      <c r="N146" s="107"/>
    </row>
    <row r="147" spans="1:14" x14ac:dyDescent="0.25">
      <c r="A147" s="107"/>
      <c r="B147" s="107"/>
      <c r="C147" s="107"/>
      <c r="D147">
        <v>2024</v>
      </c>
      <c r="E147">
        <f t="shared" si="16"/>
        <v>868784.29772999999</v>
      </c>
      <c r="F147">
        <f t="shared" si="18"/>
        <v>832236.86772999994</v>
      </c>
      <c r="G147">
        <f t="shared" si="18"/>
        <v>20216.400000000001</v>
      </c>
      <c r="H147">
        <f t="shared" si="18"/>
        <v>16331.03</v>
      </c>
      <c r="I147">
        <f t="shared" si="18"/>
        <v>0</v>
      </c>
      <c r="J147" s="107"/>
      <c r="K147" s="107"/>
      <c r="L147" s="107"/>
      <c r="M147" s="107"/>
      <c r="N147" s="107"/>
    </row>
    <row r="148" spans="1:14" x14ac:dyDescent="0.25">
      <c r="A148" s="107"/>
      <c r="B148" s="107"/>
      <c r="C148" s="107"/>
      <c r="D148">
        <v>2025</v>
      </c>
      <c r="E148">
        <f t="shared" si="16"/>
        <v>736529.45299999998</v>
      </c>
      <c r="F148">
        <f t="shared" si="18"/>
        <v>736529.45299999998</v>
      </c>
      <c r="G148">
        <f t="shared" si="18"/>
        <v>0</v>
      </c>
      <c r="H148">
        <f t="shared" si="18"/>
        <v>0</v>
      </c>
      <c r="I148">
        <f t="shared" si="18"/>
        <v>0</v>
      </c>
      <c r="J148" s="107"/>
      <c r="K148" s="107"/>
      <c r="L148" s="107"/>
      <c r="M148" s="107"/>
      <c r="N148" s="107"/>
    </row>
    <row r="149" spans="1:14" ht="13.5" customHeight="1" outlineLevel="1" x14ac:dyDescent="0.25">
      <c r="A149" s="107" t="s">
        <v>56</v>
      </c>
      <c r="B149" s="107" t="s">
        <v>518</v>
      </c>
      <c r="C149" s="107" t="s">
        <v>14</v>
      </c>
      <c r="D149" t="s">
        <v>8</v>
      </c>
      <c r="E149">
        <f t="shared" si="16"/>
        <v>4010731.6227000002</v>
      </c>
      <c r="F149">
        <f>SUM(F150:F154)</f>
        <v>4010731.6227000002</v>
      </c>
      <c r="G149">
        <f>SUM(G150:G154)</f>
        <v>0</v>
      </c>
      <c r="H149">
        <f>SUM(H150:H154)</f>
        <v>0</v>
      </c>
      <c r="I149">
        <f>SUM(I150:I154)</f>
        <v>0</v>
      </c>
      <c r="J149" s="107" t="s">
        <v>519</v>
      </c>
      <c r="K149" s="107" t="s">
        <v>486</v>
      </c>
      <c r="L149" s="107"/>
      <c r="M149" s="107"/>
      <c r="N149" s="107"/>
    </row>
    <row r="150" spans="1:14" ht="13.5" customHeight="1" outlineLevel="1" x14ac:dyDescent="0.25">
      <c r="A150" s="107"/>
      <c r="B150" s="107"/>
      <c r="C150" s="107"/>
      <c r="D150">
        <v>2021</v>
      </c>
      <c r="E150">
        <f t="shared" si="16"/>
        <v>810815.62469999993</v>
      </c>
      <c r="F150">
        <f>F156+F162+F168+F174+F180+F186++F192+F198+F204+F210+F222+F228</f>
        <v>810815.62469999993</v>
      </c>
      <c r="G150">
        <f t="shared" ref="F150:I154" si="19">G156+G162+G168+G174+G180+G186++G192+G198+G204</f>
        <v>0</v>
      </c>
      <c r="H150">
        <f t="shared" si="19"/>
        <v>0</v>
      </c>
      <c r="I150">
        <f t="shared" si="19"/>
        <v>0</v>
      </c>
      <c r="J150" s="107"/>
      <c r="K150" s="107"/>
      <c r="L150" s="107"/>
      <c r="M150" s="107"/>
      <c r="N150" s="107"/>
    </row>
    <row r="151" spans="1:14" ht="13.5" customHeight="1" outlineLevel="1" x14ac:dyDescent="0.25">
      <c r="A151" s="107"/>
      <c r="B151" s="107"/>
      <c r="C151" s="107"/>
      <c r="D151">
        <v>2022</v>
      </c>
      <c r="E151">
        <f t="shared" si="16"/>
        <v>902852.90100000007</v>
      </c>
      <c r="F151">
        <f t="shared" ref="F151:F153" si="20">F157+F163+F169+F175+F181+F193+F205+F187+F199+F217+F211+F235+F241</f>
        <v>902852.90100000007</v>
      </c>
      <c r="G151">
        <f t="shared" si="19"/>
        <v>0</v>
      </c>
      <c r="H151">
        <f t="shared" si="19"/>
        <v>0</v>
      </c>
      <c r="I151">
        <f t="shared" si="19"/>
        <v>0</v>
      </c>
      <c r="J151" s="107"/>
      <c r="K151" s="107"/>
      <c r="L151" s="107"/>
      <c r="M151" s="107"/>
      <c r="N151" s="107"/>
    </row>
    <row r="152" spans="1:14" ht="13.5" customHeight="1" outlineLevel="1" x14ac:dyDescent="0.25">
      <c r="A152" s="107"/>
      <c r="B152" s="107"/>
      <c r="C152" s="107"/>
      <c r="D152">
        <v>2023</v>
      </c>
      <c r="E152">
        <f t="shared" si="16"/>
        <v>772960.62199999997</v>
      </c>
      <c r="F152">
        <f t="shared" si="20"/>
        <v>772960.62199999997</v>
      </c>
      <c r="G152">
        <f t="shared" si="19"/>
        <v>0</v>
      </c>
      <c r="H152">
        <f t="shared" si="19"/>
        <v>0</v>
      </c>
      <c r="I152">
        <f t="shared" si="19"/>
        <v>0</v>
      </c>
      <c r="J152" s="107"/>
      <c r="K152" s="107"/>
      <c r="L152" s="107"/>
      <c r="M152" s="107"/>
      <c r="N152" s="107"/>
    </row>
    <row r="153" spans="1:14" ht="13.5" customHeight="1" outlineLevel="1" x14ac:dyDescent="0.25">
      <c r="A153" s="107"/>
      <c r="B153" s="107"/>
      <c r="C153" s="107"/>
      <c r="D153">
        <v>2024</v>
      </c>
      <c r="E153">
        <f t="shared" si="16"/>
        <v>787573.022</v>
      </c>
      <c r="F153">
        <f t="shared" si="20"/>
        <v>787573.022</v>
      </c>
      <c r="G153">
        <f t="shared" si="19"/>
        <v>0</v>
      </c>
      <c r="H153">
        <f t="shared" si="19"/>
        <v>0</v>
      </c>
      <c r="I153">
        <f t="shared" si="19"/>
        <v>0</v>
      </c>
      <c r="J153" s="107"/>
      <c r="K153" s="107"/>
      <c r="L153" s="107"/>
      <c r="M153" s="107"/>
      <c r="N153" s="107"/>
    </row>
    <row r="154" spans="1:14" ht="13.5" customHeight="1" outlineLevel="1" x14ac:dyDescent="0.25">
      <c r="A154" s="107"/>
      <c r="B154" s="107"/>
      <c r="C154" s="107"/>
      <c r="D154">
        <v>2025</v>
      </c>
      <c r="E154">
        <f t="shared" si="16"/>
        <v>736529.45299999998</v>
      </c>
      <c r="F154">
        <f t="shared" si="19"/>
        <v>736529.45299999998</v>
      </c>
      <c r="G154">
        <f t="shared" si="19"/>
        <v>0</v>
      </c>
      <c r="H154">
        <f t="shared" si="19"/>
        <v>0</v>
      </c>
      <c r="I154">
        <f>I160+I166+I172+I178+I184+I190++I196+I202+I208</f>
        <v>0</v>
      </c>
      <c r="J154" s="107"/>
      <c r="K154" s="107"/>
      <c r="L154" s="107"/>
      <c r="M154" s="107"/>
      <c r="N154" s="107"/>
    </row>
    <row r="155" spans="1:14" ht="13.5" customHeight="1" outlineLevel="1" x14ac:dyDescent="0.25">
      <c r="A155" s="107" t="s">
        <v>60</v>
      </c>
      <c r="B155" s="107" t="s">
        <v>835</v>
      </c>
      <c r="C155" s="107" t="s">
        <v>14</v>
      </c>
      <c r="D155" t="s">
        <v>8</v>
      </c>
      <c r="E155">
        <f t="shared" si="16"/>
        <v>12335.5857</v>
      </c>
      <c r="F155">
        <f>SUM(F156:F160)</f>
        <v>12335.5857</v>
      </c>
      <c r="G155">
        <f>SUM(G156:G160)</f>
        <v>0</v>
      </c>
      <c r="H155">
        <f>SUM(H156:H160)</f>
        <v>0</v>
      </c>
      <c r="I155">
        <f>SUM(I156:I160)</f>
        <v>0</v>
      </c>
      <c r="J155" s="107" t="s">
        <v>62</v>
      </c>
      <c r="K155" s="107" t="s">
        <v>484</v>
      </c>
      <c r="L155" s="107"/>
      <c r="M155" s="107"/>
      <c r="N155" s="107"/>
    </row>
    <row r="156" spans="1:14" ht="13.5" customHeight="1" outlineLevel="1" x14ac:dyDescent="0.25">
      <c r="A156" s="107"/>
      <c r="B156" s="107"/>
      <c r="C156" s="107"/>
      <c r="D156">
        <v>2021</v>
      </c>
      <c r="E156">
        <f t="shared" si="16"/>
        <v>2106.6577000000002</v>
      </c>
      <c r="F156">
        <f>2106.6577</f>
        <v>2106.6577000000002</v>
      </c>
      <c r="G156">
        <v>0</v>
      </c>
      <c r="H156">
        <v>0</v>
      </c>
      <c r="I156">
        <v>0</v>
      </c>
      <c r="J156" s="107"/>
      <c r="K156" s="107"/>
      <c r="L156" s="107"/>
      <c r="M156" s="107"/>
      <c r="N156" s="107"/>
    </row>
    <row r="157" spans="1:14" ht="13.5" customHeight="1" outlineLevel="1" x14ac:dyDescent="0.25">
      <c r="A157" s="107"/>
      <c r="B157" s="107"/>
      <c r="C157" s="107"/>
      <c r="D157">
        <v>2022</v>
      </c>
      <c r="E157">
        <f t="shared" si="16"/>
        <v>5708.9570000000003</v>
      </c>
      <c r="F157">
        <v>5708.9570000000003</v>
      </c>
      <c r="G157">
        <v>0</v>
      </c>
      <c r="H157">
        <v>0</v>
      </c>
      <c r="I157">
        <v>0</v>
      </c>
      <c r="J157" s="107"/>
      <c r="K157" s="107"/>
      <c r="L157" s="107"/>
      <c r="M157" s="107"/>
      <c r="N157" s="107"/>
    </row>
    <row r="158" spans="1:14" ht="13.5" customHeight="1" outlineLevel="1" x14ac:dyDescent="0.25">
      <c r="A158" s="107"/>
      <c r="B158" s="107"/>
      <c r="C158" s="107"/>
      <c r="D158">
        <v>2023</v>
      </c>
      <c r="E158">
        <f t="shared" si="16"/>
        <v>1206.6569999999999</v>
      </c>
      <c r="F158">
        <v>1206.6569999999999</v>
      </c>
      <c r="G158">
        <v>0</v>
      </c>
      <c r="H158">
        <v>0</v>
      </c>
      <c r="I158">
        <v>0</v>
      </c>
      <c r="J158" s="107"/>
      <c r="K158" s="107"/>
      <c r="L158" s="107"/>
      <c r="M158" s="107"/>
      <c r="N158" s="107"/>
    </row>
    <row r="159" spans="1:14" ht="13.5" customHeight="1" outlineLevel="1" x14ac:dyDescent="0.25">
      <c r="A159" s="107"/>
      <c r="B159" s="107"/>
      <c r="C159" s="107"/>
      <c r="D159">
        <v>2024</v>
      </c>
      <c r="E159">
        <f t="shared" si="16"/>
        <v>1206.6569999999999</v>
      </c>
      <c r="F159">
        <v>1206.6569999999999</v>
      </c>
      <c r="G159">
        <v>0</v>
      </c>
      <c r="H159">
        <v>0</v>
      </c>
      <c r="I159">
        <v>0</v>
      </c>
      <c r="J159" s="107"/>
      <c r="K159" s="107"/>
      <c r="L159" s="107"/>
      <c r="M159" s="107"/>
      <c r="N159" s="107"/>
    </row>
    <row r="160" spans="1:14" ht="13.5" customHeight="1" outlineLevel="1" x14ac:dyDescent="0.25">
      <c r="A160" s="107"/>
      <c r="B160" s="107"/>
      <c r="C160" s="107"/>
      <c r="D160">
        <v>2025</v>
      </c>
      <c r="E160">
        <f t="shared" si="16"/>
        <v>2106.6570000000002</v>
      </c>
      <c r="F160">
        <v>2106.6570000000002</v>
      </c>
      <c r="G160">
        <f>+G166+G172+G178+G202</f>
        <v>0</v>
      </c>
      <c r="H160">
        <v>0</v>
      </c>
      <c r="I160">
        <v>0</v>
      </c>
      <c r="J160" s="107"/>
      <c r="K160" s="107"/>
      <c r="L160" s="107"/>
      <c r="M160" s="107"/>
      <c r="N160" s="107"/>
    </row>
    <row r="161" spans="1:11" ht="13.5" customHeight="1" outlineLevel="1" x14ac:dyDescent="0.25">
      <c r="A161" s="107" t="s">
        <v>63</v>
      </c>
      <c r="B161" s="107" t="s">
        <v>520</v>
      </c>
      <c r="C161" s="107" t="s">
        <v>14</v>
      </c>
      <c r="D161" t="s">
        <v>8</v>
      </c>
      <c r="E161">
        <f t="shared" si="16"/>
        <v>4792</v>
      </c>
      <c r="F161">
        <f>SUM(F162:F166)</f>
        <v>4792</v>
      </c>
      <c r="G161">
        <f>SUM(G162:G166)</f>
        <v>0</v>
      </c>
      <c r="H161">
        <f>SUM(H162:H166)</f>
        <v>0</v>
      </c>
      <c r="I161">
        <f>SUM(I162:I166)</f>
        <v>0</v>
      </c>
      <c r="J161" s="107" t="s">
        <v>521</v>
      </c>
      <c r="K161" s="107" t="s">
        <v>484</v>
      </c>
    </row>
    <row r="162" spans="1:11" ht="13.5" customHeight="1" outlineLevel="1" x14ac:dyDescent="0.25">
      <c r="A162" s="107"/>
      <c r="B162" s="107"/>
      <c r="C162" s="107"/>
      <c r="D162">
        <v>2021</v>
      </c>
      <c r="E162">
        <f t="shared" si="16"/>
        <v>456</v>
      </c>
      <c r="F162">
        <v>456</v>
      </c>
      <c r="G162">
        <v>0</v>
      </c>
      <c r="H162">
        <v>0</v>
      </c>
      <c r="I162">
        <v>0</v>
      </c>
      <c r="J162" s="107"/>
      <c r="K162" s="107"/>
    </row>
    <row r="163" spans="1:11" ht="13.5" customHeight="1" outlineLevel="1" x14ac:dyDescent="0.25">
      <c r="A163" s="107"/>
      <c r="B163" s="107"/>
      <c r="C163" s="107"/>
      <c r="D163">
        <v>2022</v>
      </c>
      <c r="E163">
        <f t="shared" si="16"/>
        <v>1084</v>
      </c>
      <c r="F163">
        <v>1084</v>
      </c>
      <c r="G163">
        <v>0</v>
      </c>
      <c r="H163">
        <v>0</v>
      </c>
      <c r="I163">
        <v>0</v>
      </c>
      <c r="J163" s="107"/>
      <c r="K163" s="107"/>
    </row>
    <row r="164" spans="1:11" ht="13.5" customHeight="1" outlineLevel="1" x14ac:dyDescent="0.25">
      <c r="A164" s="107"/>
      <c r="B164" s="107"/>
      <c r="C164" s="107"/>
      <c r="D164">
        <v>2023</v>
      </c>
      <c r="E164">
        <f t="shared" si="16"/>
        <v>1084</v>
      </c>
      <c r="F164">
        <v>1084</v>
      </c>
      <c r="G164">
        <v>0</v>
      </c>
      <c r="H164">
        <v>0</v>
      </c>
      <c r="I164">
        <v>0</v>
      </c>
      <c r="J164" s="107"/>
      <c r="K164" s="107"/>
    </row>
    <row r="165" spans="1:11" ht="13.5" customHeight="1" outlineLevel="1" x14ac:dyDescent="0.25">
      <c r="A165" s="107"/>
      <c r="B165" s="107"/>
      <c r="C165" s="107"/>
      <c r="D165">
        <v>2024</v>
      </c>
      <c r="E165">
        <f t="shared" si="16"/>
        <v>1084</v>
      </c>
      <c r="F165">
        <v>1084</v>
      </c>
      <c r="G165">
        <v>0</v>
      </c>
      <c r="H165">
        <v>0</v>
      </c>
      <c r="I165">
        <v>0</v>
      </c>
      <c r="J165" s="107"/>
      <c r="K165" s="107"/>
    </row>
    <row r="166" spans="1:11" ht="13.5" customHeight="1" outlineLevel="1" x14ac:dyDescent="0.25">
      <c r="A166" s="107"/>
      <c r="B166" s="107"/>
      <c r="C166" s="107"/>
      <c r="D166">
        <v>2025</v>
      </c>
      <c r="E166">
        <f t="shared" si="16"/>
        <v>1084</v>
      </c>
      <c r="F166">
        <v>1084</v>
      </c>
      <c r="G166">
        <v>0</v>
      </c>
      <c r="H166">
        <v>0</v>
      </c>
      <c r="I166">
        <v>0</v>
      </c>
      <c r="J166" s="107"/>
      <c r="K166" s="107"/>
    </row>
    <row r="167" spans="1:11" ht="15.75" customHeight="1" outlineLevel="1" x14ac:dyDescent="0.25">
      <c r="A167" s="107" t="s">
        <v>66</v>
      </c>
      <c r="B167" s="107" t="s">
        <v>67</v>
      </c>
      <c r="C167" s="107" t="s">
        <v>14</v>
      </c>
      <c r="D167" t="s">
        <v>8</v>
      </c>
      <c r="E167">
        <f t="shared" si="16"/>
        <v>156.04999999999998</v>
      </c>
      <c r="F167">
        <f>SUM(F168:F172)</f>
        <v>156.04999999999998</v>
      </c>
      <c r="G167">
        <f>SUM(G168:G172)</f>
        <v>0</v>
      </c>
      <c r="H167">
        <f>SUM(H168:H172)</f>
        <v>0</v>
      </c>
      <c r="I167">
        <f>SUM(I168:I172)</f>
        <v>0</v>
      </c>
      <c r="J167" s="107" t="s">
        <v>522</v>
      </c>
      <c r="K167" s="107" t="s">
        <v>836</v>
      </c>
    </row>
    <row r="168" spans="1:11" ht="15.75" customHeight="1" outlineLevel="1" x14ac:dyDescent="0.25">
      <c r="A168" s="107"/>
      <c r="B168" s="107"/>
      <c r="C168" s="107"/>
      <c r="D168">
        <v>2021</v>
      </c>
      <c r="E168">
        <f t="shared" si="16"/>
        <v>27.77</v>
      </c>
      <c r="F168">
        <f>27770/1000</f>
        <v>27.77</v>
      </c>
      <c r="G168">
        <v>0</v>
      </c>
      <c r="H168">
        <v>0</v>
      </c>
      <c r="I168">
        <v>0</v>
      </c>
      <c r="J168" s="107"/>
      <c r="K168" s="107"/>
    </row>
    <row r="169" spans="1:11" ht="15.75" customHeight="1" outlineLevel="1" x14ac:dyDescent="0.25">
      <c r="A169" s="107"/>
      <c r="B169" s="107"/>
      <c r="C169" s="107"/>
      <c r="D169">
        <v>2022</v>
      </c>
      <c r="E169">
        <f t="shared" si="16"/>
        <v>32.07</v>
      </c>
      <c r="F169">
        <v>32.07</v>
      </c>
      <c r="G169">
        <v>0</v>
      </c>
      <c r="H169">
        <v>0</v>
      </c>
      <c r="I169">
        <v>0</v>
      </c>
      <c r="J169" s="107"/>
      <c r="K169" s="107"/>
    </row>
    <row r="170" spans="1:11" ht="15.75" customHeight="1" outlineLevel="1" x14ac:dyDescent="0.25">
      <c r="A170" s="107"/>
      <c r="B170" s="107"/>
      <c r="C170" s="107"/>
      <c r="D170">
        <v>2023</v>
      </c>
      <c r="E170">
        <f t="shared" si="16"/>
        <v>32.07</v>
      </c>
      <c r="F170">
        <v>32.07</v>
      </c>
      <c r="G170">
        <v>0</v>
      </c>
      <c r="H170">
        <v>0</v>
      </c>
      <c r="I170">
        <v>0</v>
      </c>
      <c r="J170" s="107"/>
      <c r="K170" s="107"/>
    </row>
    <row r="171" spans="1:11" ht="15.75" customHeight="1" outlineLevel="1" x14ac:dyDescent="0.25">
      <c r="A171" s="107"/>
      <c r="B171" s="107"/>
      <c r="C171" s="107"/>
      <c r="D171">
        <v>2024</v>
      </c>
      <c r="E171">
        <f t="shared" si="16"/>
        <v>32.07</v>
      </c>
      <c r="F171">
        <v>32.07</v>
      </c>
      <c r="G171">
        <v>0</v>
      </c>
      <c r="H171">
        <v>0</v>
      </c>
      <c r="I171">
        <v>0</v>
      </c>
      <c r="J171" s="107"/>
      <c r="K171" s="107"/>
    </row>
    <row r="172" spans="1:11" ht="15.75" customHeight="1" outlineLevel="1" x14ac:dyDescent="0.25">
      <c r="A172" s="107"/>
      <c r="B172" s="107"/>
      <c r="C172" s="107"/>
      <c r="D172">
        <v>2025</v>
      </c>
      <c r="E172">
        <f t="shared" si="16"/>
        <v>32.07</v>
      </c>
      <c r="F172">
        <v>32.07</v>
      </c>
      <c r="G172">
        <v>0</v>
      </c>
      <c r="H172">
        <v>0</v>
      </c>
      <c r="I172">
        <v>0</v>
      </c>
      <c r="J172" s="107"/>
      <c r="K172" s="107"/>
    </row>
    <row r="173" spans="1:11" ht="13.5" customHeight="1" outlineLevel="1" x14ac:dyDescent="0.25">
      <c r="A173" s="107" t="s">
        <v>70</v>
      </c>
      <c r="B173" s="107" t="s">
        <v>71</v>
      </c>
      <c r="C173" s="107" t="s">
        <v>14</v>
      </c>
      <c r="D173" t="s">
        <v>8</v>
      </c>
      <c r="E173">
        <f t="shared" si="16"/>
        <v>3854705.074</v>
      </c>
      <c r="F173">
        <f>SUM(F174:F178)</f>
        <v>3854705.074</v>
      </c>
      <c r="G173">
        <f>SUM(G174:G178)</f>
        <v>0</v>
      </c>
      <c r="H173">
        <f>SUM(H174:H178)</f>
        <v>0</v>
      </c>
      <c r="I173">
        <f>SUM(I174:I178)</f>
        <v>0</v>
      </c>
      <c r="J173" s="107" t="s">
        <v>72</v>
      </c>
      <c r="K173" s="107" t="s">
        <v>836</v>
      </c>
    </row>
    <row r="174" spans="1:11" ht="13.5" customHeight="1" outlineLevel="1" x14ac:dyDescent="0.25">
      <c r="A174" s="107"/>
      <c r="B174" s="107"/>
      <c r="C174" s="107"/>
      <c r="D174">
        <v>2021</v>
      </c>
      <c r="E174">
        <f t="shared" si="16"/>
        <v>767325.94799999997</v>
      </c>
      <c r="F174">
        <f>767325.948</f>
        <v>767325.94799999997</v>
      </c>
      <c r="G174">
        <v>0</v>
      </c>
      <c r="H174">
        <v>0</v>
      </c>
      <c r="I174">
        <v>0</v>
      </c>
      <c r="J174" s="107"/>
      <c r="K174" s="107"/>
    </row>
    <row r="175" spans="1:11" ht="13.5" customHeight="1" outlineLevel="1" x14ac:dyDescent="0.25">
      <c r="A175" s="107"/>
      <c r="B175" s="107"/>
      <c r="C175" s="107"/>
      <c r="D175">
        <v>2022</v>
      </c>
      <c r="E175">
        <f t="shared" si="16"/>
        <v>837955.3</v>
      </c>
      <c r="F175">
        <v>837955.3</v>
      </c>
      <c r="G175">
        <v>0</v>
      </c>
      <c r="H175">
        <v>0</v>
      </c>
      <c r="I175">
        <v>0</v>
      </c>
      <c r="J175" s="107"/>
      <c r="K175" s="107"/>
    </row>
    <row r="176" spans="1:11" ht="13.5" customHeight="1" outlineLevel="1" x14ac:dyDescent="0.25">
      <c r="A176" s="107"/>
      <c r="B176" s="107"/>
      <c r="C176" s="107"/>
      <c r="D176">
        <v>2023</v>
      </c>
      <c r="E176">
        <f t="shared" si="16"/>
        <v>752533</v>
      </c>
      <c r="F176">
        <v>752533</v>
      </c>
      <c r="G176">
        <v>0</v>
      </c>
      <c r="H176">
        <v>0</v>
      </c>
      <c r="I176">
        <v>0</v>
      </c>
      <c r="J176" s="107"/>
      <c r="K176" s="107"/>
    </row>
    <row r="177" spans="1:11" ht="13.5" customHeight="1" outlineLevel="1" x14ac:dyDescent="0.25">
      <c r="A177" s="107"/>
      <c r="B177" s="107"/>
      <c r="C177" s="107"/>
      <c r="D177">
        <v>2024</v>
      </c>
      <c r="E177">
        <f t="shared" ref="E177:E240" si="21">SUM(F177:I177)</f>
        <v>767145.4</v>
      </c>
      <c r="F177">
        <v>767145.4</v>
      </c>
      <c r="G177">
        <v>0</v>
      </c>
      <c r="H177">
        <v>0</v>
      </c>
      <c r="I177">
        <v>0</v>
      </c>
      <c r="J177" s="107"/>
      <c r="K177" s="107"/>
    </row>
    <row r="178" spans="1:11" ht="13.5" customHeight="1" outlineLevel="1" x14ac:dyDescent="0.25">
      <c r="A178" s="107"/>
      <c r="B178" s="107"/>
      <c r="C178" s="107"/>
      <c r="D178">
        <v>2025</v>
      </c>
      <c r="E178">
        <f t="shared" si="21"/>
        <v>729745.42599999998</v>
      </c>
      <c r="F178">
        <v>729745.42599999998</v>
      </c>
      <c r="G178">
        <v>0</v>
      </c>
      <c r="H178">
        <v>0</v>
      </c>
      <c r="I178">
        <v>0</v>
      </c>
      <c r="J178" s="107"/>
      <c r="K178" s="107"/>
    </row>
    <row r="179" spans="1:11" ht="13.5" customHeight="1" outlineLevel="1" x14ac:dyDescent="0.25">
      <c r="A179" s="107" t="s">
        <v>74</v>
      </c>
      <c r="B179" s="107" t="s">
        <v>75</v>
      </c>
      <c r="C179" s="107" t="s">
        <v>14</v>
      </c>
      <c r="D179" t="s">
        <v>8</v>
      </c>
      <c r="E179">
        <f t="shared" si="21"/>
        <v>18056.482</v>
      </c>
      <c r="F179">
        <f>SUM(F180:F184)</f>
        <v>18056.482</v>
      </c>
      <c r="G179">
        <f>SUM(G180:G184)</f>
        <v>0</v>
      </c>
      <c r="H179">
        <f>SUM(H180:H184)</f>
        <v>0</v>
      </c>
      <c r="I179">
        <f>SUM(I180:I184)</f>
        <v>0</v>
      </c>
      <c r="J179" s="107" t="s">
        <v>523</v>
      </c>
      <c r="K179" s="107" t="s">
        <v>836</v>
      </c>
    </row>
    <row r="180" spans="1:11" ht="13.5" customHeight="1" outlineLevel="1" x14ac:dyDescent="0.25">
      <c r="A180" s="107"/>
      <c r="B180" s="107"/>
      <c r="C180" s="107"/>
      <c r="D180">
        <v>2021</v>
      </c>
      <c r="E180">
        <f t="shared" si="21"/>
        <v>3811.2820000000002</v>
      </c>
      <c r="F180">
        <v>3811.2820000000002</v>
      </c>
      <c r="G180">
        <v>0</v>
      </c>
      <c r="H180">
        <v>0</v>
      </c>
      <c r="I180">
        <v>0</v>
      </c>
      <c r="J180" s="107"/>
      <c r="K180" s="107"/>
    </row>
    <row r="181" spans="1:11" ht="13.5" customHeight="1" outlineLevel="1" x14ac:dyDescent="0.25">
      <c r="A181" s="107"/>
      <c r="B181" s="107"/>
      <c r="C181" s="107"/>
      <c r="D181">
        <v>2022</v>
      </c>
      <c r="E181">
        <f t="shared" si="21"/>
        <v>3561.3</v>
      </c>
      <c r="F181">
        <v>3561.3</v>
      </c>
      <c r="G181">
        <v>0</v>
      </c>
      <c r="H181">
        <v>0</v>
      </c>
      <c r="I181">
        <v>0</v>
      </c>
      <c r="J181" s="107"/>
      <c r="K181" s="107"/>
    </row>
    <row r="182" spans="1:11" ht="13.5" customHeight="1" outlineLevel="1" x14ac:dyDescent="0.25">
      <c r="A182" s="107"/>
      <c r="B182" s="107"/>
      <c r="C182" s="107"/>
      <c r="D182">
        <v>2023</v>
      </c>
      <c r="E182">
        <f t="shared" si="21"/>
        <v>3561.3</v>
      </c>
      <c r="F182">
        <v>3561.3</v>
      </c>
      <c r="G182">
        <v>0</v>
      </c>
      <c r="H182">
        <v>0</v>
      </c>
      <c r="I182">
        <v>0</v>
      </c>
      <c r="J182" s="107"/>
      <c r="K182" s="107"/>
    </row>
    <row r="183" spans="1:11" ht="13.5" customHeight="1" outlineLevel="1" x14ac:dyDescent="0.25">
      <c r="A183" s="107"/>
      <c r="B183" s="107"/>
      <c r="C183" s="107"/>
      <c r="D183">
        <v>2024</v>
      </c>
      <c r="E183">
        <f t="shared" si="21"/>
        <v>3561.3</v>
      </c>
      <c r="F183">
        <v>3561.3</v>
      </c>
      <c r="G183">
        <v>0</v>
      </c>
      <c r="H183">
        <v>0</v>
      </c>
      <c r="I183">
        <v>0</v>
      </c>
      <c r="J183" s="107"/>
      <c r="K183" s="107"/>
    </row>
    <row r="184" spans="1:11" ht="19.5" customHeight="1" outlineLevel="1" x14ac:dyDescent="0.25">
      <c r="A184" s="107"/>
      <c r="B184" s="107"/>
      <c r="C184" s="107"/>
      <c r="D184">
        <v>2025</v>
      </c>
      <c r="E184">
        <f t="shared" si="21"/>
        <v>3561.3</v>
      </c>
      <c r="F184">
        <v>3561.3</v>
      </c>
      <c r="G184">
        <v>0</v>
      </c>
      <c r="H184">
        <v>0</v>
      </c>
      <c r="I184">
        <v>0</v>
      </c>
      <c r="J184" s="107"/>
      <c r="K184" s="107"/>
    </row>
    <row r="185" spans="1:11" ht="14.25" customHeight="1" outlineLevel="1" x14ac:dyDescent="0.25">
      <c r="A185" s="107" t="s">
        <v>524</v>
      </c>
      <c r="B185" s="107" t="s">
        <v>525</v>
      </c>
      <c r="C185" s="107" t="s">
        <v>14</v>
      </c>
      <c r="D185" t="s">
        <v>8</v>
      </c>
      <c r="E185">
        <f t="shared" si="21"/>
        <v>26988.080000000002</v>
      </c>
      <c r="F185">
        <f>SUM(F186:F190)</f>
        <v>26988.080000000002</v>
      </c>
      <c r="G185">
        <f>SUM(G186:G190)</f>
        <v>0</v>
      </c>
      <c r="H185">
        <f>SUM(H186:H190)</f>
        <v>0</v>
      </c>
      <c r="I185">
        <f>SUM(I186:I190)</f>
        <v>0</v>
      </c>
      <c r="J185" s="107" t="s">
        <v>526</v>
      </c>
      <c r="K185" s="107" t="s">
        <v>837</v>
      </c>
    </row>
    <row r="186" spans="1:11" ht="13.5" customHeight="1" outlineLevel="1" x14ac:dyDescent="0.25">
      <c r="A186" s="107"/>
      <c r="B186" s="107"/>
      <c r="C186" s="107"/>
      <c r="D186">
        <v>2021</v>
      </c>
      <c r="E186">
        <f t="shared" si="21"/>
        <v>26988.080000000002</v>
      </c>
      <c r="F186">
        <v>26988.080000000002</v>
      </c>
      <c r="G186">
        <v>0</v>
      </c>
      <c r="H186">
        <v>0</v>
      </c>
      <c r="I186">
        <v>0</v>
      </c>
      <c r="J186" s="107"/>
      <c r="K186" s="107"/>
    </row>
    <row r="187" spans="1:11" ht="13.5" customHeight="1" outlineLevel="1" x14ac:dyDescent="0.25">
      <c r="A187" s="107"/>
      <c r="B187" s="107"/>
      <c r="C187" s="107"/>
      <c r="D187">
        <v>2022</v>
      </c>
      <c r="E187">
        <f t="shared" si="21"/>
        <v>0</v>
      </c>
      <c r="F187">
        <v>0</v>
      </c>
      <c r="G187">
        <v>0</v>
      </c>
      <c r="H187">
        <v>0</v>
      </c>
      <c r="I187">
        <v>0</v>
      </c>
      <c r="J187" s="107"/>
      <c r="K187" s="107"/>
    </row>
    <row r="188" spans="1:11" ht="13.5" customHeight="1" outlineLevel="1" x14ac:dyDescent="0.25">
      <c r="A188" s="107"/>
      <c r="B188" s="107"/>
      <c r="C188" s="107"/>
      <c r="D188">
        <v>2023</v>
      </c>
      <c r="E188">
        <f t="shared" si="21"/>
        <v>0</v>
      </c>
      <c r="F188">
        <v>0</v>
      </c>
      <c r="G188">
        <v>0</v>
      </c>
      <c r="H188">
        <v>0</v>
      </c>
      <c r="I188">
        <v>0</v>
      </c>
      <c r="J188" s="107"/>
      <c r="K188" s="107"/>
    </row>
    <row r="189" spans="1:11" ht="13.5" customHeight="1" outlineLevel="1" x14ac:dyDescent="0.25">
      <c r="A189" s="107"/>
      <c r="B189" s="107"/>
      <c r="C189" s="107"/>
      <c r="D189">
        <v>2024</v>
      </c>
      <c r="E189">
        <f t="shared" si="21"/>
        <v>0</v>
      </c>
      <c r="F189">
        <v>0</v>
      </c>
      <c r="G189">
        <v>0</v>
      </c>
      <c r="H189">
        <v>0</v>
      </c>
      <c r="I189">
        <v>0</v>
      </c>
      <c r="J189" s="107"/>
      <c r="K189" s="107"/>
    </row>
    <row r="190" spans="1:11" ht="19.5" customHeight="1" outlineLevel="1" x14ac:dyDescent="0.25">
      <c r="A190" s="107"/>
      <c r="B190" s="107"/>
      <c r="C190" s="107"/>
      <c r="D190">
        <v>2025</v>
      </c>
      <c r="E190">
        <f t="shared" si="21"/>
        <v>0</v>
      </c>
      <c r="F190">
        <v>0</v>
      </c>
      <c r="G190">
        <v>0</v>
      </c>
      <c r="H190">
        <v>0</v>
      </c>
      <c r="I190">
        <v>0</v>
      </c>
      <c r="J190" s="107"/>
      <c r="K190" s="107"/>
    </row>
    <row r="191" spans="1:11" ht="14.25" customHeight="1" outlineLevel="1" x14ac:dyDescent="0.25">
      <c r="A191" s="107" t="s">
        <v>528</v>
      </c>
      <c r="B191" s="107" t="s">
        <v>529</v>
      </c>
      <c r="C191" s="107" t="s">
        <v>14</v>
      </c>
      <c r="D191" t="s">
        <v>8</v>
      </c>
      <c r="E191">
        <f t="shared" si="21"/>
        <v>0</v>
      </c>
      <c r="F191">
        <f>SUM(F192:F196)</f>
        <v>0</v>
      </c>
      <c r="G191">
        <f>SUM(G192:G196)</f>
        <v>0</v>
      </c>
      <c r="H191">
        <f>SUM(H192:H196)</f>
        <v>0</v>
      </c>
      <c r="I191">
        <f>SUM(I192:I196)</f>
        <v>0</v>
      </c>
      <c r="J191" s="107" t="s">
        <v>530</v>
      </c>
      <c r="K191" s="107" t="s">
        <v>531</v>
      </c>
    </row>
    <row r="192" spans="1:11" ht="13.5" customHeight="1" outlineLevel="1" x14ac:dyDescent="0.25">
      <c r="A192" s="107"/>
      <c r="B192" s="107"/>
      <c r="C192" s="107"/>
      <c r="D192">
        <v>2021</v>
      </c>
      <c r="E192">
        <f t="shared" si="21"/>
        <v>0</v>
      </c>
      <c r="F192">
        <v>0</v>
      </c>
      <c r="G192">
        <v>0</v>
      </c>
      <c r="H192">
        <v>0</v>
      </c>
      <c r="I192">
        <v>0</v>
      </c>
      <c r="J192" s="107"/>
      <c r="K192" s="107"/>
    </row>
    <row r="193" spans="1:11" ht="13.5" customHeight="1" outlineLevel="1" x14ac:dyDescent="0.25">
      <c r="A193" s="107"/>
      <c r="B193" s="107"/>
      <c r="C193" s="107"/>
      <c r="D193">
        <v>2022</v>
      </c>
      <c r="E193">
        <f t="shared" si="21"/>
        <v>0</v>
      </c>
      <c r="F193">
        <v>0</v>
      </c>
      <c r="G193">
        <v>0</v>
      </c>
      <c r="H193">
        <v>0</v>
      </c>
      <c r="I193">
        <v>0</v>
      </c>
      <c r="J193" s="107"/>
      <c r="K193" s="107"/>
    </row>
    <row r="194" spans="1:11" ht="13.5" customHeight="1" outlineLevel="1" x14ac:dyDescent="0.25">
      <c r="A194" s="107"/>
      <c r="B194" s="107"/>
      <c r="C194" s="107"/>
      <c r="D194">
        <v>2023</v>
      </c>
      <c r="E194">
        <f t="shared" si="21"/>
        <v>0</v>
      </c>
      <c r="F194">
        <v>0</v>
      </c>
      <c r="G194">
        <v>0</v>
      </c>
      <c r="H194">
        <v>0</v>
      </c>
      <c r="I194">
        <v>0</v>
      </c>
      <c r="J194" s="107"/>
      <c r="K194" s="107"/>
    </row>
    <row r="195" spans="1:11" ht="13.5" customHeight="1" outlineLevel="1" x14ac:dyDescent="0.25">
      <c r="A195" s="107"/>
      <c r="B195" s="107"/>
      <c r="C195" s="107"/>
      <c r="D195">
        <v>2024</v>
      </c>
      <c r="E195">
        <f t="shared" si="21"/>
        <v>0</v>
      </c>
      <c r="F195">
        <v>0</v>
      </c>
      <c r="G195">
        <v>0</v>
      </c>
      <c r="H195">
        <v>0</v>
      </c>
      <c r="I195">
        <v>0</v>
      </c>
      <c r="J195" s="107"/>
      <c r="K195" s="107"/>
    </row>
    <row r="196" spans="1:11" ht="19.5" customHeight="1" outlineLevel="1" x14ac:dyDescent="0.25">
      <c r="A196" s="107"/>
      <c r="B196" s="107"/>
      <c r="C196" s="107"/>
      <c r="D196">
        <v>2025</v>
      </c>
      <c r="E196">
        <f t="shared" si="21"/>
        <v>0</v>
      </c>
      <c r="F196">
        <v>0</v>
      </c>
      <c r="G196">
        <v>0</v>
      </c>
      <c r="H196">
        <v>0</v>
      </c>
      <c r="I196">
        <v>0</v>
      </c>
      <c r="J196" s="107"/>
      <c r="K196" s="107"/>
    </row>
    <row r="197" spans="1:11" ht="14.25" customHeight="1" outlineLevel="1" x14ac:dyDescent="0.25">
      <c r="A197" s="107" t="s">
        <v>532</v>
      </c>
      <c r="B197" s="107" t="s">
        <v>533</v>
      </c>
      <c r="C197" s="107" t="s">
        <v>14</v>
      </c>
      <c r="D197" t="s">
        <v>8</v>
      </c>
      <c r="E197">
        <f t="shared" si="21"/>
        <v>150.887</v>
      </c>
      <c r="F197">
        <f>SUM(F198:F202)</f>
        <v>150.887</v>
      </c>
      <c r="G197">
        <f>SUM(G198:G202)</f>
        <v>0</v>
      </c>
      <c r="H197">
        <f>SUM(H198:H202)</f>
        <v>0</v>
      </c>
      <c r="I197">
        <f>SUM(I198:I202)</f>
        <v>0</v>
      </c>
      <c r="J197" s="107" t="s">
        <v>534</v>
      </c>
      <c r="K197" s="107" t="s">
        <v>92</v>
      </c>
    </row>
    <row r="198" spans="1:11" ht="13.5" customHeight="1" outlineLevel="1" x14ac:dyDescent="0.25">
      <c r="A198" s="107"/>
      <c r="B198" s="107"/>
      <c r="C198" s="107"/>
      <c r="D198">
        <v>2021</v>
      </c>
      <c r="E198">
        <f t="shared" si="21"/>
        <v>150.887</v>
      </c>
      <c r="F198">
        <v>150.887</v>
      </c>
      <c r="G198">
        <v>0</v>
      </c>
      <c r="H198">
        <v>0</v>
      </c>
      <c r="I198">
        <v>0</v>
      </c>
      <c r="J198" s="107"/>
      <c r="K198" s="107"/>
    </row>
    <row r="199" spans="1:11" ht="13.5" customHeight="1" outlineLevel="1" x14ac:dyDescent="0.25">
      <c r="A199" s="107"/>
      <c r="B199" s="107"/>
      <c r="C199" s="107"/>
      <c r="D199">
        <v>2022</v>
      </c>
      <c r="E199">
        <f t="shared" si="21"/>
        <v>0</v>
      </c>
      <c r="F199">
        <v>0</v>
      </c>
      <c r="G199">
        <v>0</v>
      </c>
      <c r="H199">
        <v>0</v>
      </c>
      <c r="I199">
        <v>0</v>
      </c>
      <c r="J199" s="107"/>
      <c r="K199" s="107"/>
    </row>
    <row r="200" spans="1:11" ht="13.5" customHeight="1" outlineLevel="1" x14ac:dyDescent="0.25">
      <c r="A200" s="107"/>
      <c r="B200" s="107"/>
      <c r="C200" s="107"/>
      <c r="D200">
        <v>2023</v>
      </c>
      <c r="E200">
        <f t="shared" si="21"/>
        <v>0</v>
      </c>
      <c r="F200">
        <v>0</v>
      </c>
      <c r="G200">
        <v>0</v>
      </c>
      <c r="H200">
        <v>0</v>
      </c>
      <c r="I200">
        <v>0</v>
      </c>
      <c r="J200" s="107"/>
      <c r="K200" s="107"/>
    </row>
    <row r="201" spans="1:11" ht="13.5" customHeight="1" outlineLevel="1" x14ac:dyDescent="0.25">
      <c r="A201" s="107"/>
      <c r="B201" s="107"/>
      <c r="C201" s="107"/>
      <c r="D201">
        <v>2024</v>
      </c>
      <c r="E201">
        <f t="shared" si="21"/>
        <v>0</v>
      </c>
      <c r="F201">
        <v>0</v>
      </c>
      <c r="G201">
        <v>0</v>
      </c>
      <c r="H201">
        <v>0</v>
      </c>
      <c r="I201">
        <v>0</v>
      </c>
      <c r="J201" s="107"/>
      <c r="K201" s="107"/>
    </row>
    <row r="202" spans="1:11" ht="19.5" customHeight="1" outlineLevel="1" x14ac:dyDescent="0.25">
      <c r="A202" s="107"/>
      <c r="B202" s="107"/>
      <c r="C202" s="107"/>
      <c r="D202">
        <v>2025</v>
      </c>
      <c r="E202">
        <f t="shared" si="21"/>
        <v>0</v>
      </c>
      <c r="F202">
        <v>0</v>
      </c>
      <c r="G202">
        <v>0</v>
      </c>
      <c r="H202">
        <v>0</v>
      </c>
      <c r="I202">
        <v>0</v>
      </c>
      <c r="J202" s="107"/>
      <c r="K202" s="107"/>
    </row>
    <row r="203" spans="1:11" ht="16.5" customHeight="1" outlineLevel="1" x14ac:dyDescent="0.25">
      <c r="A203" s="107" t="s">
        <v>535</v>
      </c>
      <c r="B203" s="107" t="s">
        <v>536</v>
      </c>
      <c r="C203" s="107" t="s">
        <v>14</v>
      </c>
      <c r="D203" t="s">
        <v>8</v>
      </c>
      <c r="E203">
        <f t="shared" si="21"/>
        <v>595</v>
      </c>
      <c r="F203">
        <f>SUM(F204:F208)</f>
        <v>595</v>
      </c>
      <c r="G203">
        <f>SUM(G204:G208)</f>
        <v>0</v>
      </c>
      <c r="H203">
        <f>SUM(H204:H208)</f>
        <v>0</v>
      </c>
      <c r="I203">
        <f>SUM(I204:I208)</f>
        <v>0</v>
      </c>
      <c r="J203" s="107" t="s">
        <v>838</v>
      </c>
      <c r="K203" s="107" t="s">
        <v>531</v>
      </c>
    </row>
    <row r="204" spans="1:11" ht="16.5" customHeight="1" outlineLevel="1" x14ac:dyDescent="0.25">
      <c r="A204" s="107"/>
      <c r="B204" s="107"/>
      <c r="C204" s="107"/>
      <c r="D204">
        <v>2021</v>
      </c>
      <c r="E204">
        <f t="shared" si="21"/>
        <v>595</v>
      </c>
      <c r="F204">
        <v>595</v>
      </c>
      <c r="G204">
        <v>0</v>
      </c>
      <c r="H204">
        <v>0</v>
      </c>
      <c r="I204">
        <v>0</v>
      </c>
      <c r="J204" s="107"/>
      <c r="K204" s="107"/>
    </row>
    <row r="205" spans="1:11" ht="16.5" customHeight="1" outlineLevel="1" x14ac:dyDescent="0.25">
      <c r="A205" s="107"/>
      <c r="B205" s="107"/>
      <c r="C205" s="107"/>
      <c r="D205">
        <v>2022</v>
      </c>
      <c r="E205">
        <f t="shared" si="21"/>
        <v>0</v>
      </c>
      <c r="F205">
        <v>0</v>
      </c>
      <c r="G205">
        <v>0</v>
      </c>
      <c r="H205">
        <v>0</v>
      </c>
      <c r="I205">
        <v>0</v>
      </c>
      <c r="J205" s="107"/>
      <c r="K205" s="107"/>
    </row>
    <row r="206" spans="1:11" ht="16.5" customHeight="1" outlineLevel="1" x14ac:dyDescent="0.25">
      <c r="A206" s="107"/>
      <c r="B206" s="107"/>
      <c r="C206" s="107"/>
      <c r="D206">
        <v>2023</v>
      </c>
      <c r="E206">
        <f t="shared" si="21"/>
        <v>0</v>
      </c>
      <c r="F206">
        <v>0</v>
      </c>
      <c r="G206">
        <v>0</v>
      </c>
      <c r="H206">
        <v>0</v>
      </c>
      <c r="I206">
        <v>0</v>
      </c>
      <c r="J206" s="107"/>
      <c r="K206" s="107"/>
    </row>
    <row r="207" spans="1:11" ht="16.5" customHeight="1" outlineLevel="1" x14ac:dyDescent="0.25">
      <c r="A207" s="107"/>
      <c r="B207" s="107"/>
      <c r="C207" s="107"/>
      <c r="D207">
        <v>2024</v>
      </c>
      <c r="E207">
        <f t="shared" si="21"/>
        <v>0</v>
      </c>
      <c r="F207">
        <v>0</v>
      </c>
      <c r="G207">
        <v>0</v>
      </c>
      <c r="H207">
        <v>0</v>
      </c>
      <c r="I207">
        <v>0</v>
      </c>
      <c r="J207" s="107"/>
      <c r="K207" s="107"/>
    </row>
    <row r="208" spans="1:11" ht="16.5" customHeight="1" outlineLevel="1" x14ac:dyDescent="0.25">
      <c r="A208" s="107"/>
      <c r="B208" s="107"/>
      <c r="C208" s="107"/>
      <c r="D208">
        <v>2025</v>
      </c>
      <c r="E208">
        <f t="shared" si="21"/>
        <v>0</v>
      </c>
      <c r="F208">
        <v>0</v>
      </c>
      <c r="G208">
        <v>0</v>
      </c>
      <c r="H208">
        <v>0</v>
      </c>
      <c r="I208">
        <v>0</v>
      </c>
      <c r="J208" s="107"/>
      <c r="K208" s="107"/>
    </row>
    <row r="209" spans="1:11" ht="16.5" customHeight="1" outlineLevel="1" x14ac:dyDescent="0.25">
      <c r="A209" s="107" t="s">
        <v>609</v>
      </c>
      <c r="B209" s="107" t="s">
        <v>610</v>
      </c>
      <c r="C209" s="107" t="s">
        <v>14</v>
      </c>
      <c r="D209" t="s">
        <v>8</v>
      </c>
      <c r="E209">
        <f t="shared" si="21"/>
        <v>8626</v>
      </c>
      <c r="F209">
        <f>SUM(F210:F214)</f>
        <v>8626</v>
      </c>
      <c r="G209">
        <f>SUM(G210:G214)</f>
        <v>0</v>
      </c>
      <c r="H209">
        <f>SUM(H210:H214)</f>
        <v>0</v>
      </c>
      <c r="I209">
        <f>SUM(I210:I214)</f>
        <v>0</v>
      </c>
      <c r="J209" s="107" t="s">
        <v>611</v>
      </c>
      <c r="K209" s="107" t="s">
        <v>563</v>
      </c>
    </row>
    <row r="210" spans="1:11" ht="16.5" customHeight="1" outlineLevel="1" x14ac:dyDescent="0.25">
      <c r="A210" s="107"/>
      <c r="B210" s="107"/>
      <c r="C210" s="107"/>
      <c r="D210">
        <v>2021</v>
      </c>
      <c r="E210">
        <f t="shared" si="21"/>
        <v>8626</v>
      </c>
      <c r="F210">
        <v>8626</v>
      </c>
      <c r="G210">
        <v>0</v>
      </c>
      <c r="H210">
        <v>0</v>
      </c>
      <c r="I210">
        <v>0</v>
      </c>
      <c r="J210" s="107"/>
      <c r="K210" s="107"/>
    </row>
    <row r="211" spans="1:11" ht="16.5" customHeight="1" outlineLevel="1" x14ac:dyDescent="0.25">
      <c r="A211" s="107"/>
      <c r="B211" s="107"/>
      <c r="C211" s="107"/>
      <c r="D211">
        <v>2022</v>
      </c>
      <c r="E211">
        <f t="shared" si="21"/>
        <v>0</v>
      </c>
      <c r="F211">
        <v>0</v>
      </c>
      <c r="G211">
        <v>0</v>
      </c>
      <c r="H211">
        <v>0</v>
      </c>
      <c r="I211">
        <v>0</v>
      </c>
      <c r="J211" s="107"/>
      <c r="K211" s="107"/>
    </row>
    <row r="212" spans="1:11" ht="16.5" customHeight="1" outlineLevel="1" x14ac:dyDescent="0.25">
      <c r="A212" s="107"/>
      <c r="B212" s="107"/>
      <c r="C212" s="107"/>
      <c r="D212">
        <v>2023</v>
      </c>
      <c r="E212">
        <f t="shared" si="21"/>
        <v>0</v>
      </c>
      <c r="F212">
        <v>0</v>
      </c>
      <c r="G212">
        <v>0</v>
      </c>
      <c r="H212">
        <v>0</v>
      </c>
      <c r="I212">
        <v>0</v>
      </c>
      <c r="J212" s="107"/>
      <c r="K212" s="107"/>
    </row>
    <row r="213" spans="1:11" ht="16.5" customHeight="1" outlineLevel="1" x14ac:dyDescent="0.25">
      <c r="A213" s="107"/>
      <c r="B213" s="107"/>
      <c r="C213" s="107"/>
      <c r="D213">
        <v>2024</v>
      </c>
      <c r="E213">
        <f t="shared" si="21"/>
        <v>0</v>
      </c>
      <c r="F213">
        <v>0</v>
      </c>
      <c r="G213">
        <v>0</v>
      </c>
      <c r="H213">
        <v>0</v>
      </c>
      <c r="I213">
        <v>0</v>
      </c>
      <c r="J213" s="107"/>
      <c r="K213" s="107"/>
    </row>
    <row r="214" spans="1:11" ht="16.5" customHeight="1" outlineLevel="1" x14ac:dyDescent="0.25">
      <c r="A214" s="107"/>
      <c r="B214" s="107"/>
      <c r="C214" s="107"/>
      <c r="D214">
        <v>2025</v>
      </c>
      <c r="E214">
        <f t="shared" si="21"/>
        <v>0</v>
      </c>
      <c r="F214">
        <v>0</v>
      </c>
      <c r="G214">
        <v>0</v>
      </c>
      <c r="H214">
        <v>0</v>
      </c>
      <c r="I214">
        <v>0</v>
      </c>
      <c r="J214" s="107"/>
      <c r="K214" s="107"/>
    </row>
    <row r="215" spans="1:11" ht="16.5" customHeight="1" outlineLevel="1" x14ac:dyDescent="0.25">
      <c r="A215" s="107" t="s">
        <v>839</v>
      </c>
      <c r="B215" s="107" t="s">
        <v>840</v>
      </c>
      <c r="C215" s="107" t="s">
        <v>14</v>
      </c>
      <c r="D215" t="s">
        <v>8</v>
      </c>
      <c r="E215">
        <f t="shared" si="21"/>
        <v>22000</v>
      </c>
      <c r="F215">
        <f>SUM(F216:F220)</f>
        <v>22000</v>
      </c>
      <c r="G215">
        <f>SUM(G216:G220)</f>
        <v>0</v>
      </c>
      <c r="H215">
        <f>SUM(H216:H220)</f>
        <v>0</v>
      </c>
      <c r="I215">
        <f>SUM(I216:I220)</f>
        <v>0</v>
      </c>
      <c r="J215" s="107" t="s">
        <v>841</v>
      </c>
      <c r="K215" s="107" t="s">
        <v>842</v>
      </c>
    </row>
    <row r="216" spans="1:11" ht="16.5" customHeight="1" outlineLevel="1" x14ac:dyDescent="0.25">
      <c r="A216" s="107"/>
      <c r="B216" s="107"/>
      <c r="C216" s="107"/>
      <c r="D216">
        <v>2021</v>
      </c>
      <c r="E216">
        <f t="shared" si="21"/>
        <v>0</v>
      </c>
      <c r="F216">
        <v>0</v>
      </c>
      <c r="G216">
        <v>0</v>
      </c>
      <c r="H216">
        <v>0</v>
      </c>
      <c r="I216">
        <v>0</v>
      </c>
      <c r="J216" s="107"/>
      <c r="K216" s="107"/>
    </row>
    <row r="217" spans="1:11" ht="16.5" customHeight="1" outlineLevel="1" x14ac:dyDescent="0.25">
      <c r="A217" s="107"/>
      <c r="B217" s="107"/>
      <c r="C217" s="107"/>
      <c r="D217">
        <v>2022</v>
      </c>
      <c r="E217">
        <f t="shared" si="21"/>
        <v>22000</v>
      </c>
      <c r="F217">
        <v>22000</v>
      </c>
      <c r="G217">
        <v>0</v>
      </c>
      <c r="H217">
        <v>0</v>
      </c>
      <c r="I217">
        <v>0</v>
      </c>
      <c r="J217" s="107"/>
      <c r="K217" s="107"/>
    </row>
    <row r="218" spans="1:11" ht="16.5" customHeight="1" outlineLevel="1" x14ac:dyDescent="0.25">
      <c r="A218" s="107"/>
      <c r="B218" s="107"/>
      <c r="C218" s="107"/>
      <c r="D218">
        <v>2023</v>
      </c>
      <c r="E218">
        <f t="shared" si="21"/>
        <v>0</v>
      </c>
      <c r="F218">
        <v>0</v>
      </c>
      <c r="G218">
        <v>0</v>
      </c>
      <c r="H218">
        <v>0</v>
      </c>
      <c r="I218">
        <v>0</v>
      </c>
      <c r="J218" s="107"/>
      <c r="K218" s="107"/>
    </row>
    <row r="219" spans="1:11" ht="16.5" customHeight="1" outlineLevel="1" x14ac:dyDescent="0.25">
      <c r="A219" s="107"/>
      <c r="B219" s="107"/>
      <c r="C219" s="107"/>
      <c r="D219">
        <v>2024</v>
      </c>
      <c r="E219">
        <f t="shared" si="21"/>
        <v>0</v>
      </c>
      <c r="F219">
        <v>0</v>
      </c>
      <c r="G219">
        <v>0</v>
      </c>
      <c r="H219">
        <v>0</v>
      </c>
      <c r="I219">
        <v>0</v>
      </c>
      <c r="J219" s="107"/>
      <c r="K219" s="107"/>
    </row>
    <row r="220" spans="1:11" ht="16.5" customHeight="1" outlineLevel="1" x14ac:dyDescent="0.25">
      <c r="A220" s="107"/>
      <c r="B220" s="107"/>
      <c r="C220" s="107"/>
      <c r="D220">
        <v>2025</v>
      </c>
      <c r="E220">
        <f t="shared" si="21"/>
        <v>0</v>
      </c>
      <c r="F220">
        <v>0</v>
      </c>
      <c r="G220">
        <v>0</v>
      </c>
      <c r="H220">
        <v>0</v>
      </c>
      <c r="I220">
        <v>0</v>
      </c>
      <c r="J220" s="107"/>
      <c r="K220" s="107"/>
    </row>
    <row r="221" spans="1:11" ht="16.5" customHeight="1" outlineLevel="1" x14ac:dyDescent="0.25">
      <c r="A221" s="107" t="s">
        <v>843</v>
      </c>
      <c r="B221" s="107" t="s">
        <v>844</v>
      </c>
      <c r="C221" s="107" t="s">
        <v>14</v>
      </c>
      <c r="D221" t="s">
        <v>8</v>
      </c>
      <c r="E221">
        <f t="shared" si="21"/>
        <v>534</v>
      </c>
      <c r="F221">
        <f>SUM(F222:F226)</f>
        <v>534</v>
      </c>
      <c r="G221">
        <f>SUM(G222:G226)</f>
        <v>0</v>
      </c>
      <c r="H221">
        <f>SUM(H222:H226)</f>
        <v>0</v>
      </c>
      <c r="I221">
        <f>SUM(I222:I226)</f>
        <v>0</v>
      </c>
      <c r="J221" s="107" t="s">
        <v>845</v>
      </c>
      <c r="K221" s="107" t="s">
        <v>531</v>
      </c>
    </row>
    <row r="222" spans="1:11" ht="16.5" customHeight="1" outlineLevel="1" x14ac:dyDescent="0.25">
      <c r="A222" s="107"/>
      <c r="B222" s="107"/>
      <c r="C222" s="107"/>
      <c r="D222">
        <v>2021</v>
      </c>
      <c r="E222">
        <f t="shared" si="21"/>
        <v>534</v>
      </c>
      <c r="F222">
        <v>534</v>
      </c>
      <c r="G222">
        <v>0</v>
      </c>
      <c r="H222">
        <v>0</v>
      </c>
      <c r="I222">
        <v>0</v>
      </c>
      <c r="J222" s="107"/>
      <c r="K222" s="107"/>
    </row>
    <row r="223" spans="1:11" ht="16.5" customHeight="1" outlineLevel="1" x14ac:dyDescent="0.25">
      <c r="A223" s="107"/>
      <c r="B223" s="107"/>
      <c r="C223" s="107"/>
      <c r="D223">
        <v>2022</v>
      </c>
      <c r="E223">
        <f t="shared" si="21"/>
        <v>0</v>
      </c>
      <c r="F223">
        <v>0</v>
      </c>
      <c r="G223">
        <v>0</v>
      </c>
      <c r="H223">
        <v>0</v>
      </c>
      <c r="I223">
        <v>0</v>
      </c>
      <c r="J223" s="107"/>
      <c r="K223" s="107"/>
    </row>
    <row r="224" spans="1:11" ht="16.5" customHeight="1" outlineLevel="1" x14ac:dyDescent="0.25">
      <c r="A224" s="107"/>
      <c r="B224" s="107"/>
      <c r="C224" s="107"/>
      <c r="D224">
        <v>2023</v>
      </c>
      <c r="E224">
        <f t="shared" si="21"/>
        <v>0</v>
      </c>
      <c r="F224">
        <v>0</v>
      </c>
      <c r="G224">
        <v>0</v>
      </c>
      <c r="H224">
        <v>0</v>
      </c>
      <c r="I224">
        <v>0</v>
      </c>
      <c r="J224" s="107"/>
      <c r="K224" s="107"/>
    </row>
    <row r="225" spans="1:11" ht="16.5" customHeight="1" outlineLevel="1" x14ac:dyDescent="0.25">
      <c r="A225" s="107"/>
      <c r="B225" s="107"/>
      <c r="C225" s="107"/>
      <c r="D225">
        <v>2024</v>
      </c>
      <c r="E225">
        <f t="shared" si="21"/>
        <v>0</v>
      </c>
      <c r="F225">
        <v>0</v>
      </c>
      <c r="G225">
        <v>0</v>
      </c>
      <c r="H225">
        <v>0</v>
      </c>
      <c r="I225">
        <v>0</v>
      </c>
      <c r="J225" s="107"/>
      <c r="K225" s="107"/>
    </row>
    <row r="226" spans="1:11" ht="16.5" customHeight="1" outlineLevel="1" x14ac:dyDescent="0.25">
      <c r="A226" s="107"/>
      <c r="B226" s="107"/>
      <c r="C226" s="107"/>
      <c r="D226">
        <v>2025</v>
      </c>
      <c r="E226">
        <f t="shared" si="21"/>
        <v>0</v>
      </c>
      <c r="F226">
        <v>0</v>
      </c>
      <c r="G226">
        <v>0</v>
      </c>
      <c r="H226">
        <v>0</v>
      </c>
      <c r="I226">
        <v>0</v>
      </c>
      <c r="J226" s="107"/>
      <c r="K226" s="107"/>
    </row>
    <row r="227" spans="1:11" ht="16.5" customHeight="1" outlineLevel="1" x14ac:dyDescent="0.25">
      <c r="A227" s="107" t="s">
        <v>846</v>
      </c>
      <c r="B227" s="107" t="s">
        <v>847</v>
      </c>
      <c r="C227" s="107" t="s">
        <v>14</v>
      </c>
      <c r="D227" t="s">
        <v>8</v>
      </c>
      <c r="E227">
        <f t="shared" si="21"/>
        <v>194</v>
      </c>
      <c r="F227">
        <f>SUM(F228:F232)</f>
        <v>194</v>
      </c>
      <c r="G227">
        <f>SUM(G228:G232)</f>
        <v>0</v>
      </c>
      <c r="H227">
        <f>SUM(H228:H232)</f>
        <v>0</v>
      </c>
      <c r="I227">
        <f>SUM(I228:I232)</f>
        <v>0</v>
      </c>
      <c r="J227" s="107" t="s">
        <v>848</v>
      </c>
      <c r="K227" s="107" t="s">
        <v>484</v>
      </c>
    </row>
    <row r="228" spans="1:11" ht="16.5" customHeight="1" outlineLevel="1" x14ac:dyDescent="0.25">
      <c r="A228" s="107"/>
      <c r="B228" s="107"/>
      <c r="C228" s="107"/>
      <c r="D228">
        <v>2021</v>
      </c>
      <c r="E228">
        <f t="shared" si="21"/>
        <v>194</v>
      </c>
      <c r="F228">
        <v>194</v>
      </c>
      <c r="G228">
        <v>0</v>
      </c>
      <c r="H228">
        <v>0</v>
      </c>
      <c r="I228">
        <v>0</v>
      </c>
      <c r="J228" s="107"/>
      <c r="K228" s="107"/>
    </row>
    <row r="229" spans="1:11" ht="16.5" customHeight="1" outlineLevel="1" x14ac:dyDescent="0.25">
      <c r="A229" s="107"/>
      <c r="B229" s="107"/>
      <c r="C229" s="107"/>
      <c r="D229">
        <v>2022</v>
      </c>
      <c r="E229">
        <f t="shared" si="21"/>
        <v>0</v>
      </c>
      <c r="F229">
        <v>0</v>
      </c>
      <c r="G229">
        <v>0</v>
      </c>
      <c r="H229">
        <v>0</v>
      </c>
      <c r="I229">
        <v>0</v>
      </c>
      <c r="J229" s="107"/>
      <c r="K229" s="107"/>
    </row>
    <row r="230" spans="1:11" ht="16.5" customHeight="1" outlineLevel="1" x14ac:dyDescent="0.25">
      <c r="A230" s="107"/>
      <c r="B230" s="107"/>
      <c r="C230" s="107"/>
      <c r="D230">
        <v>2023</v>
      </c>
      <c r="E230">
        <f t="shared" si="21"/>
        <v>0</v>
      </c>
      <c r="F230">
        <v>0</v>
      </c>
      <c r="G230">
        <v>0</v>
      </c>
      <c r="H230">
        <v>0</v>
      </c>
      <c r="I230">
        <v>0</v>
      </c>
      <c r="J230" s="107"/>
      <c r="K230" s="107"/>
    </row>
    <row r="231" spans="1:11" ht="16.5" customHeight="1" outlineLevel="1" x14ac:dyDescent="0.25">
      <c r="A231" s="107"/>
      <c r="B231" s="107"/>
      <c r="C231" s="107"/>
      <c r="D231">
        <v>2024</v>
      </c>
      <c r="E231">
        <f t="shared" si="21"/>
        <v>0</v>
      </c>
      <c r="F231">
        <v>0</v>
      </c>
      <c r="G231">
        <v>0</v>
      </c>
      <c r="H231">
        <v>0</v>
      </c>
      <c r="I231">
        <v>0</v>
      </c>
      <c r="J231" s="107"/>
      <c r="K231" s="107"/>
    </row>
    <row r="232" spans="1:11" ht="16.5" customHeight="1" outlineLevel="1" x14ac:dyDescent="0.25">
      <c r="A232" s="107"/>
      <c r="B232" s="107"/>
      <c r="C232" s="107"/>
      <c r="D232">
        <v>2025</v>
      </c>
      <c r="E232">
        <f t="shared" si="21"/>
        <v>0</v>
      </c>
      <c r="F232">
        <v>0</v>
      </c>
      <c r="G232">
        <v>0</v>
      </c>
      <c r="H232">
        <v>0</v>
      </c>
      <c r="I232">
        <v>0</v>
      </c>
      <c r="J232" s="107"/>
      <c r="K232" s="107"/>
    </row>
    <row r="233" spans="1:11" ht="16.5" customHeight="1" outlineLevel="1" x14ac:dyDescent="0.25">
      <c r="A233" s="107" t="s">
        <v>849</v>
      </c>
      <c r="B233" s="107" t="s">
        <v>850</v>
      </c>
      <c r="C233" s="107" t="s">
        <v>14</v>
      </c>
      <c r="D233" t="s">
        <v>8</v>
      </c>
      <c r="E233">
        <f t="shared" si="21"/>
        <v>2700</v>
      </c>
      <c r="F233">
        <f>SUM(F234:F238)</f>
        <v>2700</v>
      </c>
      <c r="G233">
        <f>SUM(G234:G238)</f>
        <v>0</v>
      </c>
      <c r="H233">
        <f>SUM(H234:H238)</f>
        <v>0</v>
      </c>
      <c r="I233">
        <f>SUM(I234:I238)</f>
        <v>0</v>
      </c>
      <c r="J233" s="107" t="s">
        <v>851</v>
      </c>
      <c r="K233" s="107" t="s">
        <v>484</v>
      </c>
    </row>
    <row r="234" spans="1:11" ht="16.5" customHeight="1" outlineLevel="1" x14ac:dyDescent="0.25">
      <c r="A234" s="107"/>
      <c r="B234" s="107"/>
      <c r="C234" s="107"/>
      <c r="D234">
        <v>2021</v>
      </c>
      <c r="E234">
        <f t="shared" si="21"/>
        <v>0</v>
      </c>
      <c r="F234">
        <v>0</v>
      </c>
      <c r="G234">
        <v>0</v>
      </c>
      <c r="H234">
        <v>0</v>
      </c>
      <c r="I234">
        <v>0</v>
      </c>
      <c r="J234" s="107"/>
      <c r="K234" s="107"/>
    </row>
    <row r="235" spans="1:11" ht="16.5" customHeight="1" outlineLevel="1" x14ac:dyDescent="0.25">
      <c r="A235" s="107"/>
      <c r="B235" s="107"/>
      <c r="C235" s="107"/>
      <c r="D235">
        <v>2022</v>
      </c>
      <c r="E235">
        <f t="shared" si="21"/>
        <v>900</v>
      </c>
      <c r="F235">
        <v>900</v>
      </c>
      <c r="G235">
        <v>0</v>
      </c>
      <c r="H235">
        <v>0</v>
      </c>
      <c r="I235">
        <v>0</v>
      </c>
      <c r="J235" s="107"/>
      <c r="K235" s="107"/>
    </row>
    <row r="236" spans="1:11" ht="16.5" customHeight="1" outlineLevel="1" x14ac:dyDescent="0.25">
      <c r="A236" s="107"/>
      <c r="B236" s="107"/>
      <c r="C236" s="107"/>
      <c r="D236">
        <v>2023</v>
      </c>
      <c r="E236">
        <f t="shared" si="21"/>
        <v>900</v>
      </c>
      <c r="F236">
        <v>900</v>
      </c>
      <c r="G236">
        <v>0</v>
      </c>
      <c r="H236">
        <v>0</v>
      </c>
      <c r="I236">
        <v>0</v>
      </c>
      <c r="J236" s="107"/>
      <c r="K236" s="107"/>
    </row>
    <row r="237" spans="1:11" ht="16.5" customHeight="1" outlineLevel="1" x14ac:dyDescent="0.25">
      <c r="A237" s="107"/>
      <c r="B237" s="107"/>
      <c r="C237" s="107"/>
      <c r="D237">
        <v>2024</v>
      </c>
      <c r="E237">
        <f t="shared" si="21"/>
        <v>900</v>
      </c>
      <c r="F237">
        <v>900</v>
      </c>
      <c r="G237">
        <v>0</v>
      </c>
      <c r="H237">
        <v>0</v>
      </c>
      <c r="I237">
        <v>0</v>
      </c>
      <c r="J237" s="107"/>
      <c r="K237" s="107"/>
    </row>
    <row r="238" spans="1:11" ht="16.5" customHeight="1" outlineLevel="1" x14ac:dyDescent="0.25">
      <c r="A238" s="107"/>
      <c r="B238" s="107"/>
      <c r="C238" s="107"/>
      <c r="D238">
        <v>2025</v>
      </c>
      <c r="E238">
        <f t="shared" si="21"/>
        <v>0</v>
      </c>
      <c r="F238">
        <v>0</v>
      </c>
      <c r="G238">
        <v>0</v>
      </c>
      <c r="H238">
        <v>0</v>
      </c>
      <c r="I238">
        <v>0</v>
      </c>
      <c r="J238" s="107"/>
      <c r="K238" s="107"/>
    </row>
    <row r="239" spans="1:11" ht="16.5" customHeight="1" outlineLevel="1" x14ac:dyDescent="0.25">
      <c r="A239" s="107" t="s">
        <v>852</v>
      </c>
      <c r="B239" s="107" t="s">
        <v>853</v>
      </c>
      <c r="C239" s="107" t="s">
        <v>14</v>
      </c>
      <c r="D239" t="s">
        <v>8</v>
      </c>
      <c r="E239">
        <f t="shared" si="21"/>
        <v>58898.464</v>
      </c>
      <c r="F239">
        <f>SUM(F240:F244)</f>
        <v>58898.464</v>
      </c>
      <c r="G239">
        <f>SUM(G240:G244)</f>
        <v>0</v>
      </c>
      <c r="H239">
        <f>SUM(H240:H244)</f>
        <v>0</v>
      </c>
      <c r="I239">
        <f>SUM(I240:I244)</f>
        <v>0</v>
      </c>
      <c r="J239" s="107" t="s">
        <v>854</v>
      </c>
      <c r="K239" s="107" t="s">
        <v>484</v>
      </c>
    </row>
    <row r="240" spans="1:11" ht="16.5" customHeight="1" outlineLevel="1" x14ac:dyDescent="0.25">
      <c r="A240" s="107"/>
      <c r="B240" s="107"/>
      <c r="C240" s="107"/>
      <c r="D240">
        <v>2021</v>
      </c>
      <c r="E240">
        <f t="shared" si="21"/>
        <v>0</v>
      </c>
      <c r="F240">
        <v>0</v>
      </c>
      <c r="G240">
        <v>0</v>
      </c>
      <c r="H240">
        <v>0</v>
      </c>
      <c r="I240">
        <v>0</v>
      </c>
      <c r="J240" s="107"/>
      <c r="K240" s="107"/>
    </row>
    <row r="241" spans="1:11" ht="16.5" customHeight="1" outlineLevel="1" x14ac:dyDescent="0.25">
      <c r="A241" s="107"/>
      <c r="B241" s="107"/>
      <c r="C241" s="107"/>
      <c r="D241">
        <v>2022</v>
      </c>
      <c r="E241">
        <f t="shared" ref="E241:E250" si="22">SUM(F241:I241)</f>
        <v>31611.274000000001</v>
      </c>
      <c r="F241">
        <v>31611.274000000001</v>
      </c>
      <c r="G241">
        <v>0</v>
      </c>
      <c r="H241">
        <v>0</v>
      </c>
      <c r="I241">
        <v>0</v>
      </c>
      <c r="J241" s="107"/>
      <c r="K241" s="107"/>
    </row>
    <row r="242" spans="1:11" ht="16.5" customHeight="1" outlineLevel="1" x14ac:dyDescent="0.25">
      <c r="A242" s="107"/>
      <c r="B242" s="107"/>
      <c r="C242" s="107"/>
      <c r="D242">
        <v>2023</v>
      </c>
      <c r="E242">
        <f t="shared" si="22"/>
        <v>13643.594999999999</v>
      </c>
      <c r="F242">
        <v>13643.594999999999</v>
      </c>
      <c r="G242">
        <v>0</v>
      </c>
      <c r="H242">
        <v>0</v>
      </c>
      <c r="I242">
        <v>0</v>
      </c>
      <c r="J242" s="107"/>
      <c r="K242" s="107"/>
    </row>
    <row r="243" spans="1:11" ht="16.5" customHeight="1" outlineLevel="1" x14ac:dyDescent="0.25">
      <c r="A243" s="107"/>
      <c r="B243" s="107"/>
      <c r="C243" s="107"/>
      <c r="D243">
        <v>2024</v>
      </c>
      <c r="E243">
        <f t="shared" si="22"/>
        <v>13643.594999999999</v>
      </c>
      <c r="F243">
        <v>13643.594999999999</v>
      </c>
      <c r="G243">
        <v>0</v>
      </c>
      <c r="H243">
        <v>0</v>
      </c>
      <c r="I243">
        <v>0</v>
      </c>
      <c r="J243" s="107"/>
      <c r="K243" s="107"/>
    </row>
    <row r="244" spans="1:11" ht="16.5" customHeight="1" outlineLevel="1" x14ac:dyDescent="0.25">
      <c r="A244" s="107"/>
      <c r="B244" s="107"/>
      <c r="C244" s="107"/>
      <c r="D244">
        <v>2025</v>
      </c>
      <c r="E244">
        <f t="shared" si="22"/>
        <v>0</v>
      </c>
      <c r="F244">
        <v>0</v>
      </c>
      <c r="G244">
        <v>0</v>
      </c>
      <c r="H244">
        <v>0</v>
      </c>
      <c r="I244">
        <v>0</v>
      </c>
      <c r="J244" s="107"/>
      <c r="K244" s="107"/>
    </row>
    <row r="245" spans="1:11" ht="34.5" customHeight="1" outlineLevel="1" x14ac:dyDescent="0.25">
      <c r="A245" s="107" t="s">
        <v>78</v>
      </c>
      <c r="B245" s="107" t="s">
        <v>538</v>
      </c>
      <c r="C245" s="107" t="s">
        <v>14</v>
      </c>
      <c r="D245" t="s">
        <v>8</v>
      </c>
      <c r="E245">
        <f t="shared" si="22"/>
        <v>237756.94021</v>
      </c>
      <c r="F245">
        <f>SUM(F246:F250)</f>
        <v>172000</v>
      </c>
      <c r="G245">
        <f>SUM(G246:G250)</f>
        <v>0</v>
      </c>
      <c r="H245">
        <f>SUM(H246:H250)</f>
        <v>65756.940210000001</v>
      </c>
      <c r="I245">
        <f>SUM(I246:I250)</f>
        <v>0</v>
      </c>
      <c r="J245" s="107" t="s">
        <v>539</v>
      </c>
      <c r="K245" s="107" t="s">
        <v>515</v>
      </c>
    </row>
    <row r="246" spans="1:11" ht="34.5" customHeight="1" outlineLevel="1" x14ac:dyDescent="0.25">
      <c r="A246" s="107"/>
      <c r="B246" s="107"/>
      <c r="C246" s="107"/>
      <c r="D246">
        <v>2021</v>
      </c>
      <c r="E246">
        <f t="shared" si="22"/>
        <v>54717.700210000003</v>
      </c>
      <c r="F246">
        <f t="shared" ref="F246:F248" si="23">F258+F252</f>
        <v>41400</v>
      </c>
      <c r="G246">
        <f t="shared" ref="F246:I250" si="24">G258+G252</f>
        <v>0</v>
      </c>
      <c r="H246">
        <f t="shared" si="24"/>
        <v>13317.700210000001</v>
      </c>
      <c r="I246">
        <f t="shared" si="24"/>
        <v>0</v>
      </c>
      <c r="J246" s="107"/>
      <c r="K246" s="107"/>
    </row>
    <row r="247" spans="1:11" ht="34.5" customHeight="1" outlineLevel="1" x14ac:dyDescent="0.25">
      <c r="A247" s="107"/>
      <c r="B247" s="107"/>
      <c r="C247" s="107"/>
      <c r="D247">
        <v>2022</v>
      </c>
      <c r="E247">
        <f t="shared" si="22"/>
        <v>67577.179999999993</v>
      </c>
      <c r="F247">
        <f t="shared" si="23"/>
        <v>47800</v>
      </c>
      <c r="G247">
        <f t="shared" si="24"/>
        <v>0</v>
      </c>
      <c r="H247">
        <f t="shared" si="24"/>
        <v>19777.18</v>
      </c>
      <c r="I247">
        <f t="shared" si="24"/>
        <v>0</v>
      </c>
      <c r="J247" s="107"/>
      <c r="K247" s="107"/>
    </row>
    <row r="248" spans="1:11" ht="34.5" customHeight="1" outlineLevel="1" x14ac:dyDescent="0.25">
      <c r="A248" s="107"/>
      <c r="B248" s="107"/>
      <c r="C248" s="107"/>
      <c r="D248">
        <v>2023</v>
      </c>
      <c r="E248">
        <f t="shared" si="22"/>
        <v>57731.03</v>
      </c>
      <c r="F248">
        <f t="shared" si="23"/>
        <v>41400</v>
      </c>
      <c r="G248">
        <f t="shared" si="24"/>
        <v>0</v>
      </c>
      <c r="H248">
        <f t="shared" si="24"/>
        <v>16331.03</v>
      </c>
      <c r="I248">
        <f t="shared" si="24"/>
        <v>0</v>
      </c>
      <c r="J248" s="107"/>
      <c r="K248" s="107"/>
    </row>
    <row r="249" spans="1:11" ht="34.5" customHeight="1" outlineLevel="1" x14ac:dyDescent="0.25">
      <c r="A249" s="107"/>
      <c r="B249" s="107"/>
      <c r="C249" s="107"/>
      <c r="D249">
        <v>2024</v>
      </c>
      <c r="E249">
        <f t="shared" si="22"/>
        <v>57731.03</v>
      </c>
      <c r="F249">
        <f t="shared" si="24"/>
        <v>41400</v>
      </c>
      <c r="G249">
        <f t="shared" si="24"/>
        <v>0</v>
      </c>
      <c r="H249">
        <f t="shared" si="24"/>
        <v>16331.03</v>
      </c>
      <c r="I249">
        <f t="shared" si="24"/>
        <v>0</v>
      </c>
      <c r="J249" s="107"/>
      <c r="K249" s="107"/>
    </row>
    <row r="250" spans="1:11" ht="34.5" customHeight="1" outlineLevel="1" x14ac:dyDescent="0.25">
      <c r="A250" s="107"/>
      <c r="B250" s="107"/>
      <c r="C250" s="107"/>
      <c r="D250">
        <v>2025</v>
      </c>
      <c r="E250">
        <f t="shared" si="22"/>
        <v>0</v>
      </c>
      <c r="F250">
        <f t="shared" si="24"/>
        <v>0</v>
      </c>
      <c r="G250">
        <f t="shared" si="24"/>
        <v>0</v>
      </c>
      <c r="H250">
        <f t="shared" si="24"/>
        <v>0</v>
      </c>
      <c r="I250">
        <f t="shared" si="24"/>
        <v>0</v>
      </c>
      <c r="J250" s="107"/>
      <c r="K250" s="107"/>
    </row>
    <row r="251" spans="1:11" ht="18.75" customHeight="1" outlineLevel="1" x14ac:dyDescent="0.25">
      <c r="A251" s="107" t="s">
        <v>81</v>
      </c>
      <c r="B251" s="107" t="s">
        <v>82</v>
      </c>
      <c r="C251" s="107">
        <v>2021</v>
      </c>
      <c r="D251" t="s">
        <v>8</v>
      </c>
      <c r="E251">
        <f>SUM(E252:E256)</f>
        <v>19647.06884</v>
      </c>
      <c r="F251">
        <f>SUM(F252:F256)</f>
        <v>12800</v>
      </c>
      <c r="G251">
        <f>SUM(G252:G256)</f>
        <v>0</v>
      </c>
      <c r="H251">
        <f>SUM(H252:H256)</f>
        <v>6847.0688399999999</v>
      </c>
      <c r="I251">
        <f>SUM(I252:I256)</f>
        <v>0</v>
      </c>
      <c r="J251" s="107" t="s">
        <v>83</v>
      </c>
      <c r="K251" s="107" t="s">
        <v>515</v>
      </c>
    </row>
    <row r="252" spans="1:11" ht="18.75" customHeight="1" outlineLevel="1" x14ac:dyDescent="0.25">
      <c r="A252" s="107"/>
      <c r="B252" s="107"/>
      <c r="C252" s="107"/>
      <c r="D252">
        <v>2021</v>
      </c>
      <c r="E252">
        <f t="shared" ref="E252:E256" si="25">SUM(F252:I252)</f>
        <v>9800.9188400000003</v>
      </c>
      <c r="F252">
        <v>6400</v>
      </c>
      <c r="G252">
        <v>0</v>
      </c>
      <c r="H252">
        <v>3400.9188399999998</v>
      </c>
      <c r="I252">
        <v>0</v>
      </c>
      <c r="J252" s="107"/>
      <c r="K252" s="107"/>
    </row>
    <row r="253" spans="1:11" ht="18.75" customHeight="1" outlineLevel="1" x14ac:dyDescent="0.25">
      <c r="A253" s="107"/>
      <c r="B253" s="107"/>
      <c r="C253" s="107"/>
      <c r="D253">
        <v>2022</v>
      </c>
      <c r="E253">
        <f t="shared" si="25"/>
        <v>9846.15</v>
      </c>
      <c r="F253">
        <v>6400</v>
      </c>
      <c r="G253">
        <v>0</v>
      </c>
      <c r="H253">
        <v>3446.15</v>
      </c>
      <c r="I253">
        <v>0</v>
      </c>
      <c r="J253" s="107"/>
      <c r="K253" s="107"/>
    </row>
    <row r="254" spans="1:11" ht="18.75" customHeight="1" outlineLevel="1" x14ac:dyDescent="0.25">
      <c r="A254" s="107"/>
      <c r="B254" s="107"/>
      <c r="C254" s="107"/>
      <c r="D254">
        <v>2023</v>
      </c>
      <c r="E254">
        <f t="shared" si="25"/>
        <v>0</v>
      </c>
      <c r="F254">
        <v>0</v>
      </c>
      <c r="G254">
        <v>0</v>
      </c>
      <c r="H254">
        <v>0</v>
      </c>
      <c r="I254">
        <v>0</v>
      </c>
      <c r="J254" s="107"/>
      <c r="K254" s="107"/>
    </row>
    <row r="255" spans="1:11" ht="18.75" customHeight="1" outlineLevel="1" x14ac:dyDescent="0.25">
      <c r="A255" s="107"/>
      <c r="B255" s="107"/>
      <c r="C255" s="107"/>
      <c r="D255">
        <v>2024</v>
      </c>
      <c r="E255">
        <f t="shared" si="25"/>
        <v>0</v>
      </c>
      <c r="F255">
        <v>0</v>
      </c>
      <c r="G255">
        <v>0</v>
      </c>
      <c r="H255">
        <v>0</v>
      </c>
      <c r="I255">
        <v>0</v>
      </c>
      <c r="J255" s="107"/>
      <c r="K255" s="107"/>
    </row>
    <row r="256" spans="1:11" ht="18.75" customHeight="1" outlineLevel="1" x14ac:dyDescent="0.25">
      <c r="A256" s="107"/>
      <c r="B256" s="107"/>
      <c r="C256" s="107"/>
      <c r="D256">
        <v>2025</v>
      </c>
      <c r="E256">
        <f t="shared" si="25"/>
        <v>0</v>
      </c>
      <c r="F256">
        <v>0</v>
      </c>
      <c r="G256">
        <v>0</v>
      </c>
      <c r="H256">
        <v>0</v>
      </c>
      <c r="I256">
        <v>0</v>
      </c>
      <c r="J256" s="107"/>
      <c r="K256" s="107"/>
    </row>
    <row r="257" spans="1:11" ht="17.100000000000001" customHeight="1" outlineLevel="1" x14ac:dyDescent="0.25">
      <c r="A257" s="107" t="s">
        <v>540</v>
      </c>
      <c r="B257" s="107" t="s">
        <v>541</v>
      </c>
      <c r="C257" s="107">
        <v>2021</v>
      </c>
      <c r="D257" t="s">
        <v>8</v>
      </c>
      <c r="E257">
        <f>SUM(E258:E262)</f>
        <v>218109.87136999998</v>
      </c>
      <c r="F257">
        <f>SUM(F258:F262)</f>
        <v>159200</v>
      </c>
      <c r="G257">
        <f>SUM(G258:G262)</f>
        <v>0</v>
      </c>
      <c r="H257">
        <f>SUM(H258:H262)</f>
        <v>58909.871370000001</v>
      </c>
      <c r="I257">
        <f>SUM(I258:I262)</f>
        <v>0</v>
      </c>
      <c r="J257" s="107" t="s">
        <v>542</v>
      </c>
      <c r="K257" s="107" t="s">
        <v>515</v>
      </c>
    </row>
    <row r="258" spans="1:11" ht="17.100000000000001" customHeight="1" outlineLevel="1" x14ac:dyDescent="0.25">
      <c r="A258" s="107"/>
      <c r="B258" s="107"/>
      <c r="C258" s="107"/>
      <c r="D258">
        <v>2021</v>
      </c>
      <c r="E258">
        <f t="shared" ref="E258:E292" si="26">SUM(F258:I258)</f>
        <v>44916.781369999997</v>
      </c>
      <c r="F258">
        <v>35000</v>
      </c>
      <c r="G258">
        <v>0</v>
      </c>
      <c r="H258">
        <v>9916.7813700000006</v>
      </c>
      <c r="I258">
        <v>0</v>
      </c>
      <c r="J258" s="107"/>
      <c r="K258" s="107"/>
    </row>
    <row r="259" spans="1:11" ht="17.100000000000001" customHeight="1" outlineLevel="1" x14ac:dyDescent="0.25">
      <c r="A259" s="107"/>
      <c r="B259" s="107"/>
      <c r="C259" s="107"/>
      <c r="D259">
        <v>2022</v>
      </c>
      <c r="E259">
        <f t="shared" si="26"/>
        <v>57731.03</v>
      </c>
      <c r="F259">
        <v>41400</v>
      </c>
      <c r="G259">
        <v>0</v>
      </c>
      <c r="H259">
        <v>16331.03</v>
      </c>
      <c r="I259">
        <v>0</v>
      </c>
      <c r="J259" s="107"/>
      <c r="K259" s="107"/>
    </row>
    <row r="260" spans="1:11" ht="17.100000000000001" customHeight="1" outlineLevel="1" x14ac:dyDescent="0.25">
      <c r="A260" s="107"/>
      <c r="B260" s="107"/>
      <c r="C260" s="107"/>
      <c r="D260">
        <v>2023</v>
      </c>
      <c r="E260">
        <f t="shared" si="26"/>
        <v>57731.03</v>
      </c>
      <c r="F260">
        <v>41400</v>
      </c>
      <c r="G260">
        <v>0</v>
      </c>
      <c r="H260">
        <v>16331.03</v>
      </c>
      <c r="I260">
        <v>0</v>
      </c>
      <c r="J260" s="107"/>
      <c r="K260" s="107"/>
    </row>
    <row r="261" spans="1:11" ht="17.100000000000001" customHeight="1" outlineLevel="1" x14ac:dyDescent="0.25">
      <c r="A261" s="107"/>
      <c r="B261" s="107"/>
      <c r="C261" s="107"/>
      <c r="D261">
        <v>2024</v>
      </c>
      <c r="E261">
        <f t="shared" si="26"/>
        <v>57731.03</v>
      </c>
      <c r="F261">
        <v>41400</v>
      </c>
      <c r="G261">
        <v>0</v>
      </c>
      <c r="H261">
        <v>16331.03</v>
      </c>
      <c r="I261">
        <v>0</v>
      </c>
      <c r="J261" s="107"/>
      <c r="K261" s="107"/>
    </row>
    <row r="262" spans="1:11" ht="17.100000000000001" customHeight="1" outlineLevel="1" x14ac:dyDescent="0.25">
      <c r="A262" s="107"/>
      <c r="B262" s="107"/>
      <c r="C262" s="107"/>
      <c r="D262">
        <v>2025</v>
      </c>
      <c r="E262">
        <f t="shared" si="26"/>
        <v>0</v>
      </c>
      <c r="F262">
        <v>0</v>
      </c>
      <c r="G262">
        <v>0</v>
      </c>
      <c r="H262">
        <v>0</v>
      </c>
      <c r="I262">
        <v>0</v>
      </c>
      <c r="J262" s="107"/>
      <c r="K262" s="107"/>
    </row>
    <row r="263" spans="1:11" ht="20.100000000000001" customHeight="1" outlineLevel="1" x14ac:dyDescent="0.25">
      <c r="A263" s="107" t="s">
        <v>84</v>
      </c>
      <c r="B263" s="107" t="s">
        <v>40</v>
      </c>
      <c r="C263" s="107" t="s">
        <v>41</v>
      </c>
      <c r="D263" t="s">
        <v>8</v>
      </c>
      <c r="E263">
        <f t="shared" si="26"/>
        <v>90242.095300000001</v>
      </c>
      <c r="F263">
        <f>SUM(F264:F268)</f>
        <v>11930.295300000002</v>
      </c>
      <c r="G263">
        <f>SUM(G264:G268)</f>
        <v>78311.8</v>
      </c>
      <c r="H263">
        <f>SUM(H264:H268)</f>
        <v>0</v>
      </c>
      <c r="I263">
        <f>SUM(I264:I268)</f>
        <v>0</v>
      </c>
      <c r="J263" s="107" t="s">
        <v>85</v>
      </c>
      <c r="K263" s="107" t="s">
        <v>486</v>
      </c>
    </row>
    <row r="264" spans="1:11" ht="20.100000000000001" customHeight="1" outlineLevel="1" x14ac:dyDescent="0.25">
      <c r="A264" s="107"/>
      <c r="B264" s="107"/>
      <c r="C264" s="107"/>
      <c r="D264">
        <v>2021</v>
      </c>
      <c r="E264">
        <f t="shared" si="26"/>
        <v>27296.792679999999</v>
      </c>
      <c r="F264">
        <f t="shared" ref="F264:I268" si="27">F270+F276</f>
        <v>3105.6926800000001</v>
      </c>
      <c r="G264">
        <f t="shared" si="27"/>
        <v>24191.1</v>
      </c>
      <c r="H264">
        <f t="shared" si="27"/>
        <v>0</v>
      </c>
      <c r="I264">
        <f t="shared" si="27"/>
        <v>0</v>
      </c>
      <c r="J264" s="107"/>
      <c r="K264" s="107"/>
    </row>
    <row r="265" spans="1:11" ht="20.100000000000001" customHeight="1" outlineLevel="1" x14ac:dyDescent="0.25">
      <c r="A265" s="107"/>
      <c r="B265" s="107"/>
      <c r="C265" s="107"/>
      <c r="D265">
        <v>2022</v>
      </c>
      <c r="E265">
        <f t="shared" si="26"/>
        <v>19308.751820000005</v>
      </c>
      <c r="F265">
        <f t="shared" si="27"/>
        <v>2754.9518200000002</v>
      </c>
      <c r="G265">
        <f t="shared" si="27"/>
        <v>16553.800000000003</v>
      </c>
      <c r="H265">
        <f t="shared" si="27"/>
        <v>0</v>
      </c>
      <c r="I265">
        <f t="shared" si="27"/>
        <v>0</v>
      </c>
      <c r="J265" s="107"/>
      <c r="K265" s="107"/>
    </row>
    <row r="266" spans="1:11" ht="20.100000000000001" customHeight="1" outlineLevel="1" x14ac:dyDescent="0.25">
      <c r="A266" s="107"/>
      <c r="B266" s="107"/>
      <c r="C266" s="107"/>
      <c r="D266">
        <v>2023</v>
      </c>
      <c r="E266">
        <f t="shared" si="26"/>
        <v>20156.305069999999</v>
      </c>
      <c r="F266">
        <f t="shared" si="27"/>
        <v>2805.8050699999999</v>
      </c>
      <c r="G266">
        <f t="shared" si="27"/>
        <v>17350.5</v>
      </c>
      <c r="H266">
        <f t="shared" si="27"/>
        <v>0</v>
      </c>
      <c r="I266">
        <f t="shared" si="27"/>
        <v>0</v>
      </c>
      <c r="J266" s="107"/>
      <c r="K266" s="107"/>
    </row>
    <row r="267" spans="1:11" ht="20.100000000000001" customHeight="1" outlineLevel="1" x14ac:dyDescent="0.25">
      <c r="A267" s="107"/>
      <c r="B267" s="107"/>
      <c r="C267" s="107"/>
      <c r="D267">
        <v>2024</v>
      </c>
      <c r="E267">
        <f t="shared" si="26"/>
        <v>23480.245730000002</v>
      </c>
      <c r="F267">
        <f t="shared" si="27"/>
        <v>3263.84573</v>
      </c>
      <c r="G267">
        <f t="shared" si="27"/>
        <v>20216.400000000001</v>
      </c>
      <c r="H267">
        <f t="shared" si="27"/>
        <v>0</v>
      </c>
      <c r="I267">
        <f t="shared" si="27"/>
        <v>0</v>
      </c>
      <c r="J267" s="107"/>
      <c r="K267" s="107"/>
    </row>
    <row r="268" spans="1:11" ht="20.100000000000001" customHeight="1" outlineLevel="1" x14ac:dyDescent="0.25">
      <c r="A268" s="107"/>
      <c r="B268" s="107"/>
      <c r="C268" s="107"/>
      <c r="D268">
        <v>2025</v>
      </c>
      <c r="E268">
        <f t="shared" si="26"/>
        <v>0</v>
      </c>
      <c r="F268">
        <f t="shared" si="27"/>
        <v>0</v>
      </c>
      <c r="G268">
        <f t="shared" si="27"/>
        <v>0</v>
      </c>
      <c r="H268">
        <f t="shared" si="27"/>
        <v>0</v>
      </c>
      <c r="I268">
        <f t="shared" si="27"/>
        <v>0</v>
      </c>
      <c r="J268" s="107"/>
      <c r="K268" s="107"/>
    </row>
    <row r="269" spans="1:11" ht="15.75" customHeight="1" outlineLevel="1" x14ac:dyDescent="0.25">
      <c r="A269" s="107" t="s">
        <v>86</v>
      </c>
      <c r="B269" s="107" t="s">
        <v>87</v>
      </c>
      <c r="C269" s="107" t="s">
        <v>41</v>
      </c>
      <c r="D269" t="s">
        <v>8</v>
      </c>
      <c r="E269">
        <f t="shared" si="26"/>
        <v>61912.658670000004</v>
      </c>
      <c r="F269">
        <f>SUM(F270:F274)</f>
        <v>3714.7586700000002</v>
      </c>
      <c r="G269">
        <f>SUM(G270:G274)</f>
        <v>58197.9</v>
      </c>
      <c r="H269">
        <f>SUM(H270:H274)</f>
        <v>0</v>
      </c>
      <c r="I269">
        <f>SUM(I270:I274)</f>
        <v>0</v>
      </c>
      <c r="J269" s="107" t="s">
        <v>543</v>
      </c>
      <c r="K269" s="107" t="s">
        <v>515</v>
      </c>
    </row>
    <row r="270" spans="1:11" outlineLevel="1" x14ac:dyDescent="0.25">
      <c r="A270" s="107"/>
      <c r="B270" s="107"/>
      <c r="C270" s="107"/>
      <c r="D270">
        <v>2021</v>
      </c>
      <c r="E270">
        <f t="shared" si="26"/>
        <v>20914.68</v>
      </c>
      <c r="F270">
        <v>1254.8800000000001</v>
      </c>
      <c r="G270">
        <v>19659.8</v>
      </c>
      <c r="H270">
        <v>0</v>
      </c>
      <c r="I270">
        <v>0</v>
      </c>
      <c r="J270" s="107"/>
      <c r="K270" s="107"/>
    </row>
    <row r="271" spans="1:11" outlineLevel="1" x14ac:dyDescent="0.25">
      <c r="A271" s="107"/>
      <c r="B271" s="107"/>
      <c r="C271" s="107"/>
      <c r="D271">
        <v>2022</v>
      </c>
      <c r="E271">
        <f t="shared" si="26"/>
        <v>12367.7659</v>
      </c>
      <c r="F271">
        <v>742.06590000000006</v>
      </c>
      <c r="G271">
        <v>11625.7</v>
      </c>
      <c r="H271">
        <v>0</v>
      </c>
      <c r="I271">
        <v>0</v>
      </c>
      <c r="J271" s="107"/>
      <c r="K271" s="107"/>
    </row>
    <row r="272" spans="1:11" outlineLevel="1" x14ac:dyDescent="0.25">
      <c r="A272" s="107"/>
      <c r="B272" s="107"/>
      <c r="C272" s="107"/>
      <c r="D272">
        <v>2023</v>
      </c>
      <c r="E272">
        <f t="shared" si="26"/>
        <v>13215.319149999999</v>
      </c>
      <c r="F272">
        <v>792.91914999999995</v>
      </c>
      <c r="G272">
        <v>12422.4</v>
      </c>
      <c r="H272">
        <v>0</v>
      </c>
      <c r="I272">
        <v>0</v>
      </c>
      <c r="J272" s="107"/>
      <c r="K272" s="107"/>
    </row>
    <row r="273" spans="1:11" outlineLevel="1" x14ac:dyDescent="0.25">
      <c r="A273" s="107"/>
      <c r="B273" s="107"/>
      <c r="C273" s="107"/>
      <c r="D273">
        <v>2024</v>
      </c>
      <c r="E273">
        <f t="shared" si="26"/>
        <v>15414.893620000001</v>
      </c>
      <c r="F273">
        <v>924.89362000000006</v>
      </c>
      <c r="G273">
        <v>14490</v>
      </c>
      <c r="H273">
        <v>0</v>
      </c>
      <c r="I273">
        <v>0</v>
      </c>
      <c r="J273" s="107"/>
      <c r="K273" s="107"/>
    </row>
    <row r="274" spans="1:11" outlineLevel="1" x14ac:dyDescent="0.25">
      <c r="A274" s="107"/>
      <c r="B274" s="107"/>
      <c r="C274" s="107"/>
      <c r="D274">
        <v>2025</v>
      </c>
      <c r="E274">
        <f t="shared" si="26"/>
        <v>0</v>
      </c>
      <c r="F274">
        <v>0</v>
      </c>
      <c r="G274">
        <v>0</v>
      </c>
      <c r="H274">
        <v>0</v>
      </c>
      <c r="I274">
        <v>0</v>
      </c>
      <c r="J274" s="107"/>
      <c r="K274" s="107"/>
    </row>
    <row r="275" spans="1:11" ht="19.5" customHeight="1" outlineLevel="1" x14ac:dyDescent="0.25">
      <c r="A275" s="107" t="s">
        <v>855</v>
      </c>
      <c r="B275" s="107" t="s">
        <v>90</v>
      </c>
      <c r="C275" s="107" t="s">
        <v>14</v>
      </c>
      <c r="D275" t="s">
        <v>8</v>
      </c>
      <c r="E275">
        <f t="shared" si="26"/>
        <v>28329.43663</v>
      </c>
      <c r="F275">
        <f>SUM(F276:F280)</f>
        <v>8215.5366299999987</v>
      </c>
      <c r="G275">
        <f>SUM(G276:G280)</f>
        <v>20113.900000000001</v>
      </c>
      <c r="H275">
        <f>SUM(H276:H280)</f>
        <v>0</v>
      </c>
      <c r="I275">
        <f>SUM(I276:I280)</f>
        <v>0</v>
      </c>
      <c r="J275" s="107" t="s">
        <v>544</v>
      </c>
      <c r="K275" s="107" t="s">
        <v>486</v>
      </c>
    </row>
    <row r="276" spans="1:11" ht="15" customHeight="1" outlineLevel="1" x14ac:dyDescent="0.25">
      <c r="A276" s="107"/>
      <c r="B276" s="107"/>
      <c r="C276" s="107"/>
      <c r="D276">
        <v>2021</v>
      </c>
      <c r="E276">
        <f t="shared" si="26"/>
        <v>6382.1126800000002</v>
      </c>
      <c r="F276">
        <v>1850.81268</v>
      </c>
      <c r="G276">
        <v>4531.3</v>
      </c>
      <c r="H276">
        <v>0</v>
      </c>
      <c r="I276">
        <v>0</v>
      </c>
      <c r="J276" s="107"/>
      <c r="K276" s="107"/>
    </row>
    <row r="277" spans="1:11" ht="16.5" customHeight="1" outlineLevel="1" x14ac:dyDescent="0.25">
      <c r="A277" s="107"/>
      <c r="B277" s="107"/>
      <c r="C277" s="107"/>
      <c r="D277">
        <v>2022</v>
      </c>
      <c r="E277">
        <f t="shared" si="26"/>
        <v>6940.9859200000001</v>
      </c>
      <c r="F277">
        <v>2012.8859199999999</v>
      </c>
      <c r="G277">
        <v>4928.1000000000004</v>
      </c>
      <c r="H277">
        <v>0</v>
      </c>
      <c r="I277">
        <v>0</v>
      </c>
      <c r="J277" s="107"/>
      <c r="K277" s="107"/>
    </row>
    <row r="278" spans="1:11" ht="14.25" customHeight="1" outlineLevel="1" x14ac:dyDescent="0.25">
      <c r="A278" s="107"/>
      <c r="B278" s="107"/>
      <c r="C278" s="107"/>
      <c r="D278">
        <v>2023</v>
      </c>
      <c r="E278">
        <f t="shared" si="26"/>
        <v>6940.9859200000001</v>
      </c>
      <c r="F278">
        <v>2012.8859199999999</v>
      </c>
      <c r="G278">
        <v>4928.1000000000004</v>
      </c>
      <c r="H278">
        <v>0</v>
      </c>
      <c r="I278">
        <v>0</v>
      </c>
      <c r="J278" s="107"/>
      <c r="K278" s="107"/>
    </row>
    <row r="279" spans="1:11" ht="12.75" customHeight="1" outlineLevel="1" x14ac:dyDescent="0.25">
      <c r="A279" s="107"/>
      <c r="B279" s="107"/>
      <c r="C279" s="107"/>
      <c r="D279">
        <v>2024</v>
      </c>
      <c r="E279">
        <f t="shared" si="26"/>
        <v>8065.3521099999998</v>
      </c>
      <c r="F279">
        <v>2338.9521100000002</v>
      </c>
      <c r="G279">
        <v>5726.4</v>
      </c>
      <c r="H279">
        <v>0</v>
      </c>
      <c r="I279">
        <v>0</v>
      </c>
      <c r="J279" s="107"/>
      <c r="K279" s="107"/>
    </row>
    <row r="280" spans="1:11" ht="14.25" customHeight="1" outlineLevel="1" x14ac:dyDescent="0.25">
      <c r="A280" s="107"/>
      <c r="B280" s="107"/>
      <c r="C280" s="107"/>
      <c r="D280">
        <v>2025</v>
      </c>
      <c r="E280">
        <f t="shared" si="26"/>
        <v>0</v>
      </c>
      <c r="F280">
        <v>0</v>
      </c>
      <c r="G280">
        <v>0</v>
      </c>
      <c r="H280">
        <v>0</v>
      </c>
      <c r="I280">
        <v>0</v>
      </c>
      <c r="J280" s="107"/>
      <c r="K280" s="107"/>
    </row>
    <row r="281" spans="1:11" ht="15.95" customHeight="1" x14ac:dyDescent="0.25">
      <c r="A281" s="107" t="s">
        <v>93</v>
      </c>
      <c r="B281" s="107" t="s">
        <v>94</v>
      </c>
      <c r="C281" s="107" t="s">
        <v>14</v>
      </c>
      <c r="D281" t="s">
        <v>8</v>
      </c>
      <c r="E281">
        <f t="shared" si="26"/>
        <v>5219687.6711193277</v>
      </c>
      <c r="F281">
        <f>SUM(F282:F286)</f>
        <v>3832214.0721700001</v>
      </c>
      <c r="G281">
        <f>SUM(G282:G286)</f>
        <v>502390.99900000001</v>
      </c>
      <c r="H281">
        <f>SUM(H282:H286)</f>
        <v>885082.59994932706</v>
      </c>
      <c r="I281">
        <f>SUM(I282:I286)</f>
        <v>0</v>
      </c>
      <c r="J281" s="107"/>
      <c r="K281" s="107" t="s">
        <v>856</v>
      </c>
    </row>
    <row r="282" spans="1:11" ht="15.95" customHeight="1" x14ac:dyDescent="0.25">
      <c r="A282" s="107"/>
      <c r="B282" s="107"/>
      <c r="C282" s="107"/>
      <c r="D282">
        <v>2021</v>
      </c>
      <c r="E282">
        <f t="shared" si="26"/>
        <v>543485.91945165035</v>
      </c>
      <c r="F282">
        <f t="shared" ref="F282:I286" si="28">F288+F402+F570</f>
        <v>255876.60702</v>
      </c>
      <c r="G282">
        <f t="shared" si="28"/>
        <v>257488.69899999999</v>
      </c>
      <c r="H282">
        <f t="shared" si="28"/>
        <v>30120.613431650385</v>
      </c>
      <c r="I282">
        <f t="shared" si="28"/>
        <v>0</v>
      </c>
      <c r="J282" s="107"/>
      <c r="K282" s="107"/>
    </row>
    <row r="283" spans="1:11" ht="15.95" customHeight="1" x14ac:dyDescent="0.25">
      <c r="A283" s="107"/>
      <c r="B283" s="107"/>
      <c r="C283" s="107"/>
      <c r="D283">
        <v>2022</v>
      </c>
      <c r="E283">
        <f t="shared" si="26"/>
        <v>2029602.1757776767</v>
      </c>
      <c r="F283">
        <f t="shared" si="28"/>
        <v>1691619.727</v>
      </c>
      <c r="G283">
        <f t="shared" si="28"/>
        <v>117511.3</v>
      </c>
      <c r="H283">
        <f>H289+H403+H571</f>
        <v>220471.14877767675</v>
      </c>
      <c r="I283">
        <f t="shared" si="28"/>
        <v>0</v>
      </c>
      <c r="J283" s="107"/>
      <c r="K283" s="107"/>
    </row>
    <row r="284" spans="1:11" ht="15.95" customHeight="1" x14ac:dyDescent="0.25">
      <c r="A284" s="107"/>
      <c r="B284" s="107"/>
      <c r="C284" s="107"/>
      <c r="D284">
        <v>2023</v>
      </c>
      <c r="E284">
        <f t="shared" si="26"/>
        <v>2628349.57589</v>
      </c>
      <c r="F284">
        <f t="shared" si="28"/>
        <v>1866467.7381500001</v>
      </c>
      <c r="G284">
        <f t="shared" si="28"/>
        <v>127391</v>
      </c>
      <c r="H284">
        <f t="shared" si="28"/>
        <v>634490.83773999999</v>
      </c>
      <c r="I284">
        <f t="shared" si="28"/>
        <v>0</v>
      </c>
      <c r="J284" s="107"/>
      <c r="K284" s="107"/>
    </row>
    <row r="285" spans="1:11" ht="15.95" customHeight="1" x14ac:dyDescent="0.25">
      <c r="A285" s="107"/>
      <c r="B285" s="107"/>
      <c r="C285" s="107"/>
      <c r="D285">
        <v>2024</v>
      </c>
      <c r="E285">
        <f t="shared" si="26"/>
        <v>12250</v>
      </c>
      <c r="F285">
        <f t="shared" si="28"/>
        <v>12250</v>
      </c>
      <c r="G285">
        <f t="shared" si="28"/>
        <v>0</v>
      </c>
      <c r="H285">
        <f t="shared" si="28"/>
        <v>0</v>
      </c>
      <c r="I285">
        <f t="shared" si="28"/>
        <v>0</v>
      </c>
      <c r="J285" s="107"/>
      <c r="K285" s="107"/>
    </row>
    <row r="286" spans="1:11" ht="15.95" customHeight="1" x14ac:dyDescent="0.25">
      <c r="A286" s="107"/>
      <c r="B286" s="107"/>
      <c r="C286" s="107"/>
      <c r="D286">
        <v>2025</v>
      </c>
      <c r="E286">
        <f t="shared" si="26"/>
        <v>6000</v>
      </c>
      <c r="F286">
        <f t="shared" si="28"/>
        <v>6000</v>
      </c>
      <c r="G286">
        <f t="shared" si="28"/>
        <v>0</v>
      </c>
      <c r="H286">
        <f t="shared" si="28"/>
        <v>0</v>
      </c>
      <c r="I286">
        <f t="shared" si="28"/>
        <v>0</v>
      </c>
      <c r="J286" s="107"/>
      <c r="K286" s="107"/>
    </row>
    <row r="287" spans="1:11" ht="15" customHeight="1" outlineLevel="1" x14ac:dyDescent="0.25">
      <c r="A287" s="107" t="s">
        <v>96</v>
      </c>
      <c r="B287" s="107" t="s">
        <v>97</v>
      </c>
      <c r="C287" s="107">
        <v>2021</v>
      </c>
      <c r="D287" t="s">
        <v>8</v>
      </c>
      <c r="E287">
        <f t="shared" si="26"/>
        <v>3554559.7224534294</v>
      </c>
      <c r="F287">
        <f>SUM(F288:F292)</f>
        <v>2721707.3382999999</v>
      </c>
      <c r="G287">
        <f>SUM(G288:G292)</f>
        <v>0</v>
      </c>
      <c r="H287">
        <f>SUM(H288:H292)</f>
        <v>832852.38415342965</v>
      </c>
      <c r="I287">
        <f>SUM(I288:I292)</f>
        <v>0</v>
      </c>
      <c r="J287" s="107" t="s">
        <v>98</v>
      </c>
      <c r="K287" s="107" t="s">
        <v>546</v>
      </c>
    </row>
    <row r="288" spans="1:11" outlineLevel="1" x14ac:dyDescent="0.25">
      <c r="A288" s="107"/>
      <c r="B288" s="107"/>
      <c r="C288" s="107"/>
      <c r="D288">
        <v>2021</v>
      </c>
      <c r="E288">
        <f t="shared" si="26"/>
        <v>70776.684685752902</v>
      </c>
      <c r="F288">
        <f>F294+F300+F306+F312+F318+F324</f>
        <v>57189.4473</v>
      </c>
      <c r="G288">
        <f>G294+G300+G306+G312+G318+G324</f>
        <v>0</v>
      </c>
      <c r="H288">
        <f t="shared" ref="H288:I292" si="29">H294+H300+H306+H312+H318</f>
        <v>13587.237385752907</v>
      </c>
      <c r="I288">
        <f t="shared" si="29"/>
        <v>0</v>
      </c>
      <c r="J288" s="107"/>
      <c r="K288" s="107"/>
    </row>
    <row r="289" spans="1:12" outlineLevel="1" x14ac:dyDescent="0.25">
      <c r="A289" s="107"/>
      <c r="B289" s="107"/>
      <c r="C289" s="107"/>
      <c r="D289">
        <v>2022</v>
      </c>
      <c r="E289">
        <f t="shared" si="26"/>
        <v>1093206.3767676768</v>
      </c>
      <c r="F289">
        <f>F295+F301+F307+F313+F319+F325+F331+F337+F343+F349+F355+F361+F367+F373+F379+F385+F391+F397</f>
        <v>903525.47199999995</v>
      </c>
      <c r="G289">
        <f t="shared" ref="G289:G292" si="30">G295+G301+G307+G313+G319</f>
        <v>0</v>
      </c>
      <c r="H289">
        <f>H295+H301+H307+H313+H319+H343+H349+H355+H361+H367+H373+H379+H385+H391+H397+H325+H331+H337</f>
        <v>189680.90476767675</v>
      </c>
      <c r="I289">
        <f t="shared" si="29"/>
        <v>0</v>
      </c>
      <c r="J289" s="107"/>
      <c r="K289" s="107"/>
    </row>
    <row r="290" spans="1:12" outlineLevel="1" x14ac:dyDescent="0.25">
      <c r="A290" s="107"/>
      <c r="B290" s="107"/>
      <c r="C290" s="107"/>
      <c r="D290">
        <v>2023</v>
      </c>
      <c r="E290">
        <f t="shared" si="26"/>
        <v>2390576.6609999998</v>
      </c>
      <c r="F290">
        <f>F296+F302+F308+F314+F320+F326+F332+F338+F344+F350+F356+F362+F368+F374+F380+F386+F392</f>
        <v>1760992.419</v>
      </c>
      <c r="G290">
        <f t="shared" si="30"/>
        <v>0</v>
      </c>
      <c r="H290">
        <f t="shared" ref="H290:H292" si="31">H296+H302+H308+H314+H320+H326+H332+H338+H344+H350+H356+H362+H368+H374+H380+H386+H392+H398</f>
        <v>629584.24199999997</v>
      </c>
      <c r="I290">
        <f t="shared" si="29"/>
        <v>0</v>
      </c>
      <c r="J290" s="107"/>
      <c r="K290" s="107"/>
    </row>
    <row r="291" spans="1:12" outlineLevel="1" x14ac:dyDescent="0.25">
      <c r="A291" s="107"/>
      <c r="B291" s="107"/>
      <c r="C291" s="107"/>
      <c r="D291">
        <v>2024</v>
      </c>
      <c r="E291">
        <f t="shared" si="26"/>
        <v>0</v>
      </c>
      <c r="F291">
        <f>F297+F303+F309+F315+F321+F327+F333+F339+F345</f>
        <v>0</v>
      </c>
      <c r="G291">
        <f t="shared" si="30"/>
        <v>0</v>
      </c>
      <c r="H291">
        <f t="shared" si="31"/>
        <v>0</v>
      </c>
      <c r="I291">
        <f t="shared" si="29"/>
        <v>0</v>
      </c>
      <c r="J291" s="107"/>
      <c r="K291" s="107"/>
    </row>
    <row r="292" spans="1:12" outlineLevel="1" x14ac:dyDescent="0.25">
      <c r="A292" s="107"/>
      <c r="B292" s="107"/>
      <c r="C292" s="107"/>
      <c r="D292">
        <v>2025</v>
      </c>
      <c r="E292">
        <f t="shared" si="26"/>
        <v>0</v>
      </c>
      <c r="F292">
        <f>F298+F304+F310+F316+F322</f>
        <v>0</v>
      </c>
      <c r="G292">
        <f t="shared" si="30"/>
        <v>0</v>
      </c>
      <c r="H292">
        <f t="shared" si="31"/>
        <v>0</v>
      </c>
      <c r="I292">
        <f t="shared" si="29"/>
        <v>0</v>
      </c>
      <c r="J292" s="107"/>
      <c r="K292" s="107"/>
    </row>
    <row r="293" spans="1:12" ht="14.25" customHeight="1" outlineLevel="1" x14ac:dyDescent="0.25">
      <c r="A293" s="107" t="s">
        <v>100</v>
      </c>
      <c r="B293" s="107" t="s">
        <v>101</v>
      </c>
      <c r="C293" s="107">
        <v>2021</v>
      </c>
      <c r="D293" t="s">
        <v>8</v>
      </c>
      <c r="E293">
        <f>SUM(E294:E298)</f>
        <v>509174.94176570047</v>
      </c>
      <c r="F293">
        <f>SUM(F294:F298)</f>
        <v>427125.34999000002</v>
      </c>
      <c r="G293">
        <f>SUM(G294:G298)</f>
        <v>0</v>
      </c>
      <c r="H293">
        <f>SUM(H294:H298)</f>
        <v>82049.591775700479</v>
      </c>
      <c r="I293">
        <f>SUM(I294:I298)</f>
        <v>0</v>
      </c>
      <c r="J293" s="107" t="s">
        <v>857</v>
      </c>
      <c r="K293" s="107" t="s">
        <v>547</v>
      </c>
    </row>
    <row r="294" spans="1:12" ht="14.25" customHeight="1" outlineLevel="1" x14ac:dyDescent="0.25">
      <c r="A294" s="107"/>
      <c r="B294" s="107"/>
      <c r="C294" s="107"/>
      <c r="D294">
        <v>2021</v>
      </c>
      <c r="E294">
        <f t="shared" ref="E294:E298" si="32">SUM(F294:I294)</f>
        <v>6584.2777657004835</v>
      </c>
      <c r="F294">
        <v>5451.7819900000004</v>
      </c>
      <c r="G294">
        <v>0</v>
      </c>
      <c r="H294">
        <f>F294/82.8*17.2</f>
        <v>1132.4957757004834</v>
      </c>
      <c r="I294">
        <v>0</v>
      </c>
      <c r="J294" s="107"/>
      <c r="K294" s="107"/>
    </row>
    <row r="295" spans="1:12" ht="14.25" customHeight="1" outlineLevel="1" x14ac:dyDescent="0.25">
      <c r="A295" s="107"/>
      <c r="B295" s="107"/>
      <c r="C295" s="107"/>
      <c r="D295">
        <v>2022</v>
      </c>
      <c r="E295">
        <f t="shared" si="32"/>
        <v>194614.003</v>
      </c>
      <c r="F295">
        <v>163281.149</v>
      </c>
      <c r="G295">
        <v>0</v>
      </c>
      <c r="H295">
        <v>31332.853999999999</v>
      </c>
      <c r="I295">
        <v>0</v>
      </c>
      <c r="J295" s="107"/>
      <c r="K295" s="107"/>
      <c r="L295" t="s">
        <v>858</v>
      </c>
    </row>
    <row r="296" spans="1:12" ht="14.25" customHeight="1" outlineLevel="1" x14ac:dyDescent="0.25">
      <c r="A296" s="107"/>
      <c r="B296" s="107"/>
      <c r="C296" s="107"/>
      <c r="D296">
        <v>2023</v>
      </c>
      <c r="E296">
        <f t="shared" si="32"/>
        <v>307976.66099999996</v>
      </c>
      <c r="F296">
        <v>258392.41899999999</v>
      </c>
      <c r="G296">
        <v>0</v>
      </c>
      <c r="H296">
        <v>49584.241999999998</v>
      </c>
      <c r="I296">
        <v>0</v>
      </c>
      <c r="J296" s="107"/>
      <c r="K296" s="107"/>
    </row>
    <row r="297" spans="1:12" ht="14.25" customHeight="1" outlineLevel="1" x14ac:dyDescent="0.25">
      <c r="A297" s="107"/>
      <c r="B297" s="107"/>
      <c r="C297" s="107"/>
      <c r="D297">
        <v>2024</v>
      </c>
      <c r="E297">
        <f t="shared" si="32"/>
        <v>0</v>
      </c>
      <c r="F297">
        <v>0</v>
      </c>
      <c r="G297">
        <v>0</v>
      </c>
      <c r="H297">
        <v>0</v>
      </c>
      <c r="I297">
        <v>0</v>
      </c>
      <c r="J297" s="107"/>
      <c r="K297" s="107"/>
    </row>
    <row r="298" spans="1:12" ht="14.25" customHeight="1" outlineLevel="1" x14ac:dyDescent="0.25">
      <c r="A298" s="107"/>
      <c r="B298" s="107"/>
      <c r="C298" s="107"/>
      <c r="D298">
        <v>2025</v>
      </c>
      <c r="E298">
        <f t="shared" si="32"/>
        <v>0</v>
      </c>
      <c r="F298">
        <v>0</v>
      </c>
      <c r="G298">
        <v>0</v>
      </c>
      <c r="H298">
        <v>0</v>
      </c>
      <c r="I298">
        <v>0</v>
      </c>
      <c r="J298" s="107"/>
      <c r="K298" s="107"/>
    </row>
    <row r="299" spans="1:12" ht="12" customHeight="1" outlineLevel="1" x14ac:dyDescent="0.25">
      <c r="A299" s="107" t="s">
        <v>548</v>
      </c>
      <c r="B299" s="107" t="s">
        <v>442</v>
      </c>
      <c r="C299" s="107">
        <v>2021</v>
      </c>
      <c r="D299" t="s">
        <v>8</v>
      </c>
      <c r="E299">
        <f>SUM(E300:E304)</f>
        <v>42104.816920052421</v>
      </c>
      <c r="F299">
        <f>SUM(F300:F304)</f>
        <v>32125.975309999998</v>
      </c>
      <c r="G299">
        <f>SUM(G300:G304)</f>
        <v>0</v>
      </c>
      <c r="H299">
        <f>SUM(H300:H304)</f>
        <v>9978.8416100524246</v>
      </c>
      <c r="I299">
        <f>SUM(I300:I304)</f>
        <v>0</v>
      </c>
      <c r="J299" s="107" t="s">
        <v>549</v>
      </c>
      <c r="K299" s="107" t="s">
        <v>547</v>
      </c>
    </row>
    <row r="300" spans="1:12" ht="12" customHeight="1" outlineLevel="1" x14ac:dyDescent="0.25">
      <c r="A300" s="107"/>
      <c r="B300" s="107"/>
      <c r="C300" s="107"/>
      <c r="D300">
        <v>2021</v>
      </c>
      <c r="E300">
        <f t="shared" ref="E300:E363" si="33">SUM(F300:I300)</f>
        <v>42104.816920052421</v>
      </c>
      <c r="F300">
        <f>32125975.31/1000</f>
        <v>32125.975309999998</v>
      </c>
      <c r="G300">
        <v>0</v>
      </c>
      <c r="H300">
        <f>F300/76.3*23.7</f>
        <v>9978.8416100524246</v>
      </c>
      <c r="I300">
        <v>0</v>
      </c>
      <c r="J300" s="107"/>
      <c r="K300" s="107"/>
    </row>
    <row r="301" spans="1:12" ht="12" customHeight="1" outlineLevel="1" x14ac:dyDescent="0.25">
      <c r="A301" s="107"/>
      <c r="B301" s="107"/>
      <c r="C301" s="107"/>
      <c r="D301">
        <v>2022</v>
      </c>
      <c r="E301">
        <f t="shared" si="33"/>
        <v>0</v>
      </c>
      <c r="F301">
        <v>0</v>
      </c>
      <c r="G301">
        <v>0</v>
      </c>
      <c r="H301">
        <v>0</v>
      </c>
      <c r="I301">
        <v>0</v>
      </c>
      <c r="J301" s="107"/>
      <c r="K301" s="107"/>
      <c r="L301" t="s">
        <v>858</v>
      </c>
    </row>
    <row r="302" spans="1:12" ht="12" customHeight="1" outlineLevel="1" x14ac:dyDescent="0.25">
      <c r="A302" s="107"/>
      <c r="B302" s="107"/>
      <c r="C302" s="107"/>
      <c r="D302">
        <v>2023</v>
      </c>
      <c r="E302">
        <f t="shared" si="33"/>
        <v>0</v>
      </c>
      <c r="F302">
        <v>0</v>
      </c>
      <c r="G302">
        <v>0</v>
      </c>
      <c r="H302">
        <v>0</v>
      </c>
      <c r="I302">
        <v>0</v>
      </c>
      <c r="J302" s="107"/>
      <c r="K302" s="107"/>
    </row>
    <row r="303" spans="1:12" ht="12" customHeight="1" outlineLevel="1" x14ac:dyDescent="0.25">
      <c r="A303" s="107"/>
      <c r="B303" s="107"/>
      <c r="C303" s="107"/>
      <c r="D303">
        <v>2024</v>
      </c>
      <c r="E303">
        <f t="shared" si="33"/>
        <v>0</v>
      </c>
      <c r="F303">
        <v>0</v>
      </c>
      <c r="G303">
        <v>0</v>
      </c>
      <c r="H303">
        <v>0</v>
      </c>
      <c r="I303">
        <v>0</v>
      </c>
      <c r="J303" s="107"/>
      <c r="K303" s="107"/>
    </row>
    <row r="304" spans="1:12" ht="12" customHeight="1" outlineLevel="1" x14ac:dyDescent="0.25">
      <c r="A304" s="107"/>
      <c r="B304" s="107"/>
      <c r="C304" s="107"/>
      <c r="D304">
        <v>2025</v>
      </c>
      <c r="E304">
        <f t="shared" si="33"/>
        <v>0</v>
      </c>
      <c r="F304">
        <v>0</v>
      </c>
      <c r="G304">
        <v>0</v>
      </c>
      <c r="H304">
        <v>0</v>
      </c>
      <c r="I304">
        <v>0</v>
      </c>
      <c r="J304" s="107"/>
      <c r="K304" s="107"/>
    </row>
    <row r="305" spans="1:12" ht="15" customHeight="1" outlineLevel="1" x14ac:dyDescent="0.25">
      <c r="A305" s="107" t="s">
        <v>550</v>
      </c>
      <c r="B305" s="107" t="s">
        <v>551</v>
      </c>
      <c r="C305" s="107">
        <v>2021</v>
      </c>
      <c r="D305" t="s">
        <v>8</v>
      </c>
      <c r="E305">
        <f t="shared" si="33"/>
        <v>1505.5</v>
      </c>
      <c r="F305">
        <f>SUM(F306:F310)</f>
        <v>1505.5</v>
      </c>
      <c r="G305">
        <f>SUM(G306:G310)</f>
        <v>0</v>
      </c>
      <c r="H305">
        <f>SUM(H306:H310)</f>
        <v>0</v>
      </c>
      <c r="I305">
        <f>SUM(I306:I310)</f>
        <v>0</v>
      </c>
      <c r="J305" s="107" t="s">
        <v>552</v>
      </c>
      <c r="K305" s="107" t="s">
        <v>553</v>
      </c>
    </row>
    <row r="306" spans="1:12" ht="15" customHeight="1" outlineLevel="1" x14ac:dyDescent="0.25">
      <c r="A306" s="107"/>
      <c r="B306" s="107"/>
      <c r="C306" s="107"/>
      <c r="D306">
        <v>2021</v>
      </c>
      <c r="E306">
        <f t="shared" si="33"/>
        <v>1505.5</v>
      </c>
      <c r="F306">
        <v>1505.5</v>
      </c>
      <c r="G306">
        <v>0</v>
      </c>
      <c r="H306">
        <v>0</v>
      </c>
      <c r="I306">
        <v>0</v>
      </c>
      <c r="J306" s="107"/>
      <c r="K306" s="107"/>
    </row>
    <row r="307" spans="1:12" outlineLevel="1" x14ac:dyDescent="0.25">
      <c r="A307" s="107"/>
      <c r="B307" s="107"/>
      <c r="C307" s="107"/>
      <c r="D307">
        <v>2022</v>
      </c>
      <c r="E307">
        <f t="shared" si="33"/>
        <v>0</v>
      </c>
      <c r="F307">
        <v>0</v>
      </c>
      <c r="G307">
        <v>0</v>
      </c>
      <c r="H307">
        <v>0</v>
      </c>
      <c r="I307">
        <v>0</v>
      </c>
      <c r="J307" s="107"/>
      <c r="K307" s="107"/>
    </row>
    <row r="308" spans="1:12" outlineLevel="1" x14ac:dyDescent="0.25">
      <c r="A308" s="107"/>
      <c r="B308" s="107"/>
      <c r="C308" s="107"/>
      <c r="D308">
        <v>2023</v>
      </c>
      <c r="E308">
        <f t="shared" si="33"/>
        <v>0</v>
      </c>
      <c r="F308">
        <v>0</v>
      </c>
      <c r="G308">
        <v>0</v>
      </c>
      <c r="H308">
        <v>0</v>
      </c>
      <c r="I308">
        <v>0</v>
      </c>
      <c r="J308" s="107"/>
      <c r="K308" s="107"/>
    </row>
    <row r="309" spans="1:12" outlineLevel="1" x14ac:dyDescent="0.25">
      <c r="A309" s="107"/>
      <c r="B309" s="107"/>
      <c r="C309" s="107"/>
      <c r="D309">
        <v>2024</v>
      </c>
      <c r="E309">
        <f t="shared" si="33"/>
        <v>0</v>
      </c>
      <c r="F309">
        <v>0</v>
      </c>
      <c r="G309">
        <v>0</v>
      </c>
      <c r="H309">
        <v>0</v>
      </c>
      <c r="I309">
        <v>0</v>
      </c>
      <c r="J309" s="107"/>
      <c r="K309" s="107"/>
    </row>
    <row r="310" spans="1:12" outlineLevel="1" x14ac:dyDescent="0.25">
      <c r="A310" s="107"/>
      <c r="B310" s="107"/>
      <c r="C310" s="107"/>
      <c r="D310">
        <v>2025</v>
      </c>
      <c r="E310">
        <f t="shared" si="33"/>
        <v>0</v>
      </c>
      <c r="F310">
        <v>0</v>
      </c>
      <c r="G310">
        <v>0</v>
      </c>
      <c r="H310">
        <v>0</v>
      </c>
      <c r="I310">
        <v>0</v>
      </c>
      <c r="J310" s="107"/>
      <c r="K310" s="107"/>
    </row>
    <row r="311" spans="1:12" ht="0.75" customHeight="1" outlineLevel="1" x14ac:dyDescent="0.25">
      <c r="A311" s="107" t="s">
        <v>554</v>
      </c>
      <c r="B311" s="107" t="s">
        <v>555</v>
      </c>
      <c r="C311" s="107">
        <v>2021</v>
      </c>
      <c r="D311" t="s">
        <v>8</v>
      </c>
      <c r="E311">
        <f t="shared" si="33"/>
        <v>0</v>
      </c>
      <c r="F311">
        <f>SUM(F312:F316)</f>
        <v>0</v>
      </c>
      <c r="G311">
        <f>SUM(G312:G316)</f>
        <v>0</v>
      </c>
      <c r="H311">
        <f>SUM(H312:H316)</f>
        <v>0</v>
      </c>
      <c r="I311">
        <f>SUM(I312:I316)</f>
        <v>0</v>
      </c>
      <c r="J311" s="107" t="s">
        <v>556</v>
      </c>
      <c r="K311" s="107" t="s">
        <v>515</v>
      </c>
    </row>
    <row r="312" spans="1:12" ht="17.25" hidden="1" customHeight="1" outlineLevel="1" x14ac:dyDescent="0.25">
      <c r="A312" s="107"/>
      <c r="B312" s="107"/>
      <c r="C312" s="107"/>
      <c r="D312">
        <v>2021</v>
      </c>
      <c r="E312">
        <f t="shared" si="33"/>
        <v>0</v>
      </c>
      <c r="F312">
        <v>0</v>
      </c>
      <c r="G312">
        <v>0</v>
      </c>
      <c r="H312">
        <v>0</v>
      </c>
      <c r="I312">
        <v>0</v>
      </c>
      <c r="J312" s="107"/>
      <c r="K312" s="107"/>
    </row>
    <row r="313" spans="1:12" ht="17.25" hidden="1" customHeight="1" outlineLevel="1" x14ac:dyDescent="0.25">
      <c r="A313" s="107"/>
      <c r="B313" s="107"/>
      <c r="C313" s="107"/>
      <c r="D313">
        <v>2022</v>
      </c>
      <c r="E313">
        <f t="shared" si="33"/>
        <v>0</v>
      </c>
      <c r="F313">
        <v>0</v>
      </c>
      <c r="G313">
        <v>0</v>
      </c>
      <c r="H313">
        <v>0</v>
      </c>
      <c r="I313">
        <v>0</v>
      </c>
      <c r="J313" s="107"/>
      <c r="K313" s="107"/>
    </row>
    <row r="314" spans="1:12" ht="17.25" hidden="1" customHeight="1" outlineLevel="1" x14ac:dyDescent="0.25">
      <c r="A314" s="107"/>
      <c r="B314" s="107"/>
      <c r="C314" s="107"/>
      <c r="D314">
        <v>2023</v>
      </c>
      <c r="E314">
        <f t="shared" si="33"/>
        <v>0</v>
      </c>
      <c r="F314">
        <v>0</v>
      </c>
      <c r="G314">
        <v>0</v>
      </c>
      <c r="H314">
        <v>0</v>
      </c>
      <c r="I314">
        <v>0</v>
      </c>
      <c r="J314" s="107"/>
      <c r="K314" s="107"/>
    </row>
    <row r="315" spans="1:12" ht="17.25" hidden="1" customHeight="1" outlineLevel="1" x14ac:dyDescent="0.25">
      <c r="A315" s="107"/>
      <c r="B315" s="107"/>
      <c r="C315" s="107"/>
      <c r="D315">
        <v>2024</v>
      </c>
      <c r="E315">
        <f t="shared" si="33"/>
        <v>0</v>
      </c>
      <c r="F315">
        <v>0</v>
      </c>
      <c r="G315">
        <v>0</v>
      </c>
      <c r="H315">
        <v>0</v>
      </c>
      <c r="I315">
        <v>0</v>
      </c>
      <c r="J315" s="107"/>
      <c r="K315" s="107"/>
    </row>
    <row r="316" spans="1:12" ht="17.25" hidden="1" customHeight="1" outlineLevel="1" x14ac:dyDescent="0.25">
      <c r="A316" s="107"/>
      <c r="B316" s="107"/>
      <c r="C316" s="107"/>
      <c r="D316">
        <v>2025</v>
      </c>
      <c r="E316">
        <f t="shared" si="33"/>
        <v>0</v>
      </c>
      <c r="F316">
        <v>0</v>
      </c>
      <c r="G316">
        <v>0</v>
      </c>
      <c r="H316">
        <v>0</v>
      </c>
      <c r="I316">
        <v>0</v>
      </c>
      <c r="J316" s="107"/>
      <c r="K316" s="107"/>
    </row>
    <row r="317" spans="1:12" ht="15" customHeight="1" outlineLevel="1" x14ac:dyDescent="0.25">
      <c r="A317" s="107" t="s">
        <v>557</v>
      </c>
      <c r="B317" s="107" t="s">
        <v>558</v>
      </c>
      <c r="C317" s="107">
        <v>2021</v>
      </c>
      <c r="D317" t="s">
        <v>8</v>
      </c>
      <c r="E317">
        <f t="shared" si="33"/>
        <v>119225.80933333332</v>
      </c>
      <c r="F317">
        <f>SUM(F318:F322)</f>
        <v>89555.156999999992</v>
      </c>
      <c r="G317">
        <f>SUM(G318:G322)</f>
        <v>0</v>
      </c>
      <c r="H317">
        <f>SUM(H318:H322)</f>
        <v>29670.652333333335</v>
      </c>
      <c r="I317">
        <f>SUM(I318:I322)</f>
        <v>0</v>
      </c>
      <c r="J317" s="107" t="s">
        <v>859</v>
      </c>
      <c r="K317" s="107" t="s">
        <v>547</v>
      </c>
      <c r="L317" t="s">
        <v>860</v>
      </c>
    </row>
    <row r="318" spans="1:12" ht="15" customHeight="1" outlineLevel="1" x14ac:dyDescent="0.25">
      <c r="A318" s="107"/>
      <c r="B318" s="107"/>
      <c r="C318" s="107"/>
      <c r="D318">
        <v>2021</v>
      </c>
      <c r="E318">
        <f t="shared" si="33"/>
        <v>10446.799999999999</v>
      </c>
      <c r="F318">
        <v>7970.9</v>
      </c>
      <c r="G318">
        <v>0</v>
      </c>
      <c r="H318">
        <v>2475.9</v>
      </c>
      <c r="I318">
        <v>0</v>
      </c>
      <c r="J318" s="107"/>
      <c r="K318" s="107"/>
    </row>
    <row r="319" spans="1:12" ht="15" customHeight="1" outlineLevel="1" x14ac:dyDescent="0.25">
      <c r="A319" s="107"/>
      <c r="B319" s="107"/>
      <c r="C319" s="107"/>
      <c r="D319">
        <v>2022</v>
      </c>
      <c r="E319">
        <f t="shared" si="33"/>
        <v>108779.00933333334</v>
      </c>
      <c r="F319">
        <v>81584.256999999998</v>
      </c>
      <c r="G319">
        <v>0</v>
      </c>
      <c r="H319">
        <f>F319/75*25</f>
        <v>27194.752333333334</v>
      </c>
      <c r="I319">
        <v>0</v>
      </c>
      <c r="J319" s="107"/>
      <c r="K319" s="107"/>
    </row>
    <row r="320" spans="1:12" ht="15" customHeight="1" outlineLevel="1" x14ac:dyDescent="0.25">
      <c r="A320" s="107"/>
      <c r="B320" s="107"/>
      <c r="C320" s="107"/>
      <c r="D320">
        <v>2023</v>
      </c>
      <c r="E320">
        <f t="shared" si="33"/>
        <v>0</v>
      </c>
      <c r="F320">
        <v>0</v>
      </c>
      <c r="G320">
        <v>0</v>
      </c>
      <c r="H320">
        <v>0</v>
      </c>
      <c r="I320">
        <v>0</v>
      </c>
      <c r="J320" s="107"/>
      <c r="K320" s="107"/>
    </row>
    <row r="321" spans="1:14" ht="15" customHeight="1" outlineLevel="1" x14ac:dyDescent="0.25">
      <c r="A321" s="107"/>
      <c r="B321" s="107"/>
      <c r="C321" s="107"/>
      <c r="D321">
        <v>2024</v>
      </c>
      <c r="E321">
        <f t="shared" si="33"/>
        <v>0</v>
      </c>
      <c r="F321">
        <v>0</v>
      </c>
      <c r="G321">
        <v>0</v>
      </c>
      <c r="H321">
        <v>0</v>
      </c>
      <c r="I321">
        <v>0</v>
      </c>
      <c r="J321" s="107"/>
      <c r="K321" s="107"/>
    </row>
    <row r="322" spans="1:14" ht="15" customHeight="1" outlineLevel="1" x14ac:dyDescent="0.25">
      <c r="A322" s="107"/>
      <c r="B322" s="107"/>
      <c r="C322" s="107"/>
      <c r="D322">
        <v>2025</v>
      </c>
      <c r="E322">
        <f t="shared" si="33"/>
        <v>0</v>
      </c>
      <c r="F322">
        <v>0</v>
      </c>
      <c r="G322">
        <v>0</v>
      </c>
      <c r="H322">
        <v>0</v>
      </c>
      <c r="I322">
        <v>0</v>
      </c>
      <c r="J322" s="107"/>
      <c r="K322" s="107"/>
    </row>
    <row r="323" spans="1:14" ht="15" customHeight="1" outlineLevel="1" x14ac:dyDescent="0.25">
      <c r="A323" s="107" t="s">
        <v>560</v>
      </c>
      <c r="B323" s="107" t="s">
        <v>561</v>
      </c>
      <c r="C323" s="107">
        <v>2021</v>
      </c>
      <c r="D323" t="s">
        <v>8</v>
      </c>
      <c r="E323">
        <f t="shared" si="33"/>
        <v>10135.290000000001</v>
      </c>
      <c r="F323">
        <f>SUM(F324:F328)</f>
        <v>10135.290000000001</v>
      </c>
      <c r="G323">
        <f>SUM(G324:G328)</f>
        <v>0</v>
      </c>
      <c r="H323">
        <f>SUM(H324:H328)</f>
        <v>0</v>
      </c>
      <c r="I323">
        <f>SUM(I324:I328)</f>
        <v>0</v>
      </c>
      <c r="J323" s="107" t="s">
        <v>562</v>
      </c>
      <c r="K323" s="107" t="s">
        <v>563</v>
      </c>
    </row>
    <row r="324" spans="1:14" ht="15" customHeight="1" outlineLevel="1" x14ac:dyDescent="0.25">
      <c r="A324" s="107"/>
      <c r="B324" s="107"/>
      <c r="C324" s="107"/>
      <c r="D324">
        <v>2021</v>
      </c>
      <c r="E324">
        <f t="shared" si="33"/>
        <v>10135.290000000001</v>
      </c>
      <c r="F324">
        <v>10135.290000000001</v>
      </c>
      <c r="G324">
        <v>0</v>
      </c>
      <c r="H324">
        <v>0</v>
      </c>
      <c r="I324">
        <v>0</v>
      </c>
      <c r="J324" s="107"/>
      <c r="K324" s="107"/>
    </row>
    <row r="325" spans="1:14" ht="15" customHeight="1" outlineLevel="1" x14ac:dyDescent="0.25">
      <c r="A325" s="107"/>
      <c r="B325" s="107"/>
      <c r="C325" s="107"/>
      <c r="D325">
        <v>2022</v>
      </c>
      <c r="E325">
        <f t="shared" si="33"/>
        <v>0</v>
      </c>
      <c r="F325">
        <v>0</v>
      </c>
      <c r="G325">
        <v>0</v>
      </c>
      <c r="H325">
        <v>0</v>
      </c>
      <c r="I325">
        <v>0</v>
      </c>
      <c r="J325" s="107"/>
      <c r="K325" s="107"/>
    </row>
    <row r="326" spans="1:14" ht="15" customHeight="1" outlineLevel="1" x14ac:dyDescent="0.25">
      <c r="A326" s="107"/>
      <c r="B326" s="107"/>
      <c r="C326" s="107"/>
      <c r="D326">
        <v>2023</v>
      </c>
      <c r="E326">
        <f t="shared" si="33"/>
        <v>0</v>
      </c>
      <c r="F326">
        <v>0</v>
      </c>
      <c r="G326">
        <v>0</v>
      </c>
      <c r="H326">
        <v>0</v>
      </c>
      <c r="I326">
        <v>0</v>
      </c>
      <c r="J326" s="107"/>
      <c r="K326" s="107"/>
    </row>
    <row r="327" spans="1:14" ht="15" customHeight="1" outlineLevel="1" x14ac:dyDescent="0.25">
      <c r="A327" s="107"/>
      <c r="B327" s="107"/>
      <c r="C327" s="107"/>
      <c r="D327">
        <v>2024</v>
      </c>
      <c r="E327">
        <f t="shared" si="33"/>
        <v>0</v>
      </c>
      <c r="F327">
        <v>0</v>
      </c>
      <c r="G327">
        <v>0</v>
      </c>
      <c r="H327">
        <v>0</v>
      </c>
      <c r="I327">
        <v>0</v>
      </c>
      <c r="J327" s="107"/>
      <c r="K327" s="107"/>
    </row>
    <row r="328" spans="1:14" ht="15" customHeight="1" outlineLevel="1" x14ac:dyDescent="0.25">
      <c r="A328" s="107"/>
      <c r="B328" s="107"/>
      <c r="C328" s="107"/>
      <c r="D328">
        <v>2025</v>
      </c>
      <c r="E328">
        <f t="shared" si="33"/>
        <v>0</v>
      </c>
      <c r="F328">
        <v>0</v>
      </c>
      <c r="G328">
        <v>0</v>
      </c>
      <c r="H328">
        <v>0</v>
      </c>
      <c r="I328">
        <v>0</v>
      </c>
      <c r="J328" s="107"/>
      <c r="K328" s="107"/>
    </row>
    <row r="329" spans="1:14" ht="15" customHeight="1" outlineLevel="1" x14ac:dyDescent="0.25">
      <c r="A329" s="107" t="s">
        <v>861</v>
      </c>
      <c r="B329" s="107" t="s">
        <v>862</v>
      </c>
      <c r="C329" s="107">
        <v>2022</v>
      </c>
      <c r="D329" t="s">
        <v>8</v>
      </c>
      <c r="E329">
        <f t="shared" si="33"/>
        <v>50000</v>
      </c>
      <c r="F329">
        <f>SUM(F330:F334)</f>
        <v>25000</v>
      </c>
      <c r="G329">
        <f>SUM(G330:G334)</f>
        <v>0</v>
      </c>
      <c r="H329">
        <f>SUM(H330:H334)</f>
        <v>25000</v>
      </c>
      <c r="I329">
        <f>SUM(I330:I334)</f>
        <v>0</v>
      </c>
      <c r="J329" s="107" t="s">
        <v>863</v>
      </c>
      <c r="K329" s="107" t="s">
        <v>864</v>
      </c>
      <c r="L329" s="107" t="s">
        <v>865</v>
      </c>
      <c r="M329" s="107" t="s">
        <v>866</v>
      </c>
    </row>
    <row r="330" spans="1:14" ht="15" customHeight="1" outlineLevel="1" x14ac:dyDescent="0.25">
      <c r="A330" s="107"/>
      <c r="B330" s="107"/>
      <c r="C330" s="107"/>
      <c r="D330">
        <v>2021</v>
      </c>
      <c r="E330">
        <f t="shared" si="33"/>
        <v>0</v>
      </c>
      <c r="F330">
        <v>0</v>
      </c>
      <c r="G330">
        <v>0</v>
      </c>
      <c r="H330">
        <v>0</v>
      </c>
      <c r="I330">
        <v>0</v>
      </c>
      <c r="J330" s="107"/>
      <c r="K330" s="107"/>
      <c r="L330" s="107"/>
      <c r="M330" s="107"/>
    </row>
    <row r="331" spans="1:14" ht="15" customHeight="1" outlineLevel="1" x14ac:dyDescent="0.25">
      <c r="A331" s="107"/>
      <c r="B331" s="107"/>
      <c r="C331" s="107"/>
      <c r="D331">
        <v>2022</v>
      </c>
      <c r="E331">
        <f t="shared" si="33"/>
        <v>50000</v>
      </c>
      <c r="F331">
        <v>25000</v>
      </c>
      <c r="G331">
        <v>0</v>
      </c>
      <c r="H331">
        <v>25000</v>
      </c>
      <c r="I331">
        <v>0</v>
      </c>
      <c r="J331" s="107"/>
      <c r="K331" s="107"/>
      <c r="L331" s="107"/>
      <c r="M331" s="107"/>
      <c r="N331" t="s">
        <v>867</v>
      </c>
    </row>
    <row r="332" spans="1:14" ht="15" customHeight="1" outlineLevel="1" x14ac:dyDescent="0.25">
      <c r="A332" s="107"/>
      <c r="B332" s="107"/>
      <c r="C332" s="107"/>
      <c r="D332">
        <v>2023</v>
      </c>
      <c r="E332">
        <f t="shared" si="33"/>
        <v>0</v>
      </c>
      <c r="F332">
        <v>0</v>
      </c>
      <c r="G332">
        <v>0</v>
      </c>
      <c r="H332">
        <v>0</v>
      </c>
      <c r="I332">
        <v>0</v>
      </c>
      <c r="J332" s="107"/>
      <c r="K332" s="107"/>
      <c r="L332" s="107"/>
      <c r="M332" s="107"/>
    </row>
    <row r="333" spans="1:14" ht="15" customHeight="1" outlineLevel="1" x14ac:dyDescent="0.25">
      <c r="A333" s="107"/>
      <c r="B333" s="107"/>
      <c r="C333" s="107"/>
      <c r="D333">
        <v>2024</v>
      </c>
      <c r="E333">
        <f t="shared" si="33"/>
        <v>0</v>
      </c>
      <c r="F333">
        <v>0</v>
      </c>
      <c r="G333">
        <v>0</v>
      </c>
      <c r="H333">
        <v>0</v>
      </c>
      <c r="I333">
        <v>0</v>
      </c>
      <c r="J333" s="107"/>
      <c r="K333" s="107"/>
      <c r="L333" s="107"/>
      <c r="M333" s="107"/>
    </row>
    <row r="334" spans="1:14" ht="15" customHeight="1" outlineLevel="1" x14ac:dyDescent="0.25">
      <c r="A334" s="107"/>
      <c r="B334" s="107"/>
      <c r="C334" s="107"/>
      <c r="D334">
        <v>2025</v>
      </c>
      <c r="E334">
        <f t="shared" si="33"/>
        <v>0</v>
      </c>
      <c r="F334">
        <v>0</v>
      </c>
      <c r="G334">
        <v>0</v>
      </c>
      <c r="H334">
        <v>0</v>
      </c>
      <c r="I334">
        <v>0</v>
      </c>
      <c r="J334" s="107"/>
      <c r="K334" s="107"/>
      <c r="L334" s="107"/>
      <c r="M334" s="107"/>
    </row>
    <row r="335" spans="1:14" ht="15" customHeight="1" outlineLevel="1" x14ac:dyDescent="0.25">
      <c r="A335" s="107" t="s">
        <v>868</v>
      </c>
      <c r="B335" s="107" t="s">
        <v>869</v>
      </c>
      <c r="C335" s="107">
        <v>2022</v>
      </c>
      <c r="D335" t="s">
        <v>8</v>
      </c>
      <c r="E335">
        <f t="shared" si="33"/>
        <v>680000</v>
      </c>
      <c r="F335">
        <f>SUM(F336:F340)</f>
        <v>340000</v>
      </c>
      <c r="G335">
        <f>SUM(G336:G340)</f>
        <v>0</v>
      </c>
      <c r="H335">
        <f>SUM(H336:H340)</f>
        <v>340000</v>
      </c>
      <c r="I335">
        <f>SUM(I336:I340)</f>
        <v>0</v>
      </c>
      <c r="J335" s="107" t="s">
        <v>870</v>
      </c>
      <c r="K335" s="107" t="s">
        <v>864</v>
      </c>
      <c r="L335" s="107" t="s">
        <v>871</v>
      </c>
      <c r="M335" s="107" t="s">
        <v>866</v>
      </c>
    </row>
    <row r="336" spans="1:14" ht="15" customHeight="1" outlineLevel="1" x14ac:dyDescent="0.25">
      <c r="A336" s="107"/>
      <c r="B336" s="107"/>
      <c r="C336" s="107"/>
      <c r="D336">
        <v>2021</v>
      </c>
      <c r="E336">
        <f t="shared" si="33"/>
        <v>0</v>
      </c>
      <c r="F336">
        <v>0</v>
      </c>
      <c r="G336">
        <v>0</v>
      </c>
      <c r="H336">
        <v>0</v>
      </c>
      <c r="I336">
        <v>0</v>
      </c>
      <c r="J336" s="107"/>
      <c r="K336" s="107"/>
      <c r="L336" s="107"/>
      <c r="M336" s="107"/>
    </row>
    <row r="337" spans="1:14" ht="15" customHeight="1" outlineLevel="1" x14ac:dyDescent="0.25">
      <c r="A337" s="107"/>
      <c r="B337" s="107"/>
      <c r="C337" s="107"/>
      <c r="D337">
        <v>2022</v>
      </c>
      <c r="E337">
        <f t="shared" si="33"/>
        <v>100000</v>
      </c>
      <c r="F337">
        <v>50000</v>
      </c>
      <c r="G337">
        <v>0</v>
      </c>
      <c r="H337">
        <v>50000</v>
      </c>
      <c r="I337">
        <v>0</v>
      </c>
      <c r="J337" s="107"/>
      <c r="K337" s="107"/>
      <c r="L337" s="107"/>
      <c r="M337" s="107"/>
      <c r="N337" t="s">
        <v>872</v>
      </c>
    </row>
    <row r="338" spans="1:14" ht="15" customHeight="1" outlineLevel="1" x14ac:dyDescent="0.25">
      <c r="A338" s="107"/>
      <c r="B338" s="107"/>
      <c r="C338" s="107"/>
      <c r="D338">
        <v>2023</v>
      </c>
      <c r="E338">
        <f t="shared" si="33"/>
        <v>580000</v>
      </c>
      <c r="F338">
        <v>290000</v>
      </c>
      <c r="G338">
        <v>0</v>
      </c>
      <c r="H338">
        <v>290000</v>
      </c>
      <c r="I338">
        <v>0</v>
      </c>
      <c r="J338" s="107"/>
      <c r="K338" s="107"/>
      <c r="L338" s="107"/>
      <c r="M338" s="107"/>
    </row>
    <row r="339" spans="1:14" ht="15" customHeight="1" outlineLevel="1" x14ac:dyDescent="0.25">
      <c r="A339" s="107"/>
      <c r="B339" s="107"/>
      <c r="C339" s="107"/>
      <c r="D339">
        <v>2024</v>
      </c>
      <c r="E339">
        <f t="shared" si="33"/>
        <v>0</v>
      </c>
      <c r="F339">
        <v>0</v>
      </c>
      <c r="G339">
        <v>0</v>
      </c>
      <c r="H339">
        <v>0</v>
      </c>
      <c r="I339">
        <v>0</v>
      </c>
      <c r="J339" s="107"/>
      <c r="K339" s="107"/>
      <c r="L339" s="107"/>
      <c r="M339" s="107"/>
    </row>
    <row r="340" spans="1:14" ht="15" customHeight="1" outlineLevel="1" x14ac:dyDescent="0.25">
      <c r="A340" s="107"/>
      <c r="B340" s="107"/>
      <c r="C340" s="107"/>
      <c r="D340">
        <v>2025</v>
      </c>
      <c r="E340">
        <f t="shared" si="33"/>
        <v>0</v>
      </c>
      <c r="F340">
        <v>0</v>
      </c>
      <c r="G340">
        <v>0</v>
      </c>
      <c r="H340">
        <v>0</v>
      </c>
      <c r="I340">
        <v>0</v>
      </c>
      <c r="J340" s="107"/>
      <c r="K340" s="107"/>
      <c r="L340" s="107"/>
      <c r="M340" s="107"/>
    </row>
    <row r="341" spans="1:14" ht="18.75" customHeight="1" outlineLevel="1" x14ac:dyDescent="0.25">
      <c r="A341" s="107" t="s">
        <v>873</v>
      </c>
      <c r="B341" s="107" t="s">
        <v>874</v>
      </c>
      <c r="C341" s="107">
        <v>2022</v>
      </c>
      <c r="D341" t="s">
        <v>8</v>
      </c>
      <c r="E341">
        <f t="shared" si="33"/>
        <v>6000</v>
      </c>
      <c r="F341">
        <f>SUM(F342:F346)</f>
        <v>6000</v>
      </c>
      <c r="G341">
        <f>SUM(G342:G346)</f>
        <v>0</v>
      </c>
      <c r="H341">
        <f>SUM(H342:H346)</f>
        <v>0</v>
      </c>
      <c r="I341">
        <f>SUM(I342:I346)</f>
        <v>0</v>
      </c>
      <c r="J341" s="107" t="s">
        <v>875</v>
      </c>
      <c r="K341" s="107" t="s">
        <v>876</v>
      </c>
      <c r="L341" s="107" t="s">
        <v>871</v>
      </c>
      <c r="M341" s="107" t="s">
        <v>877</v>
      </c>
    </row>
    <row r="342" spans="1:14" ht="18.75" customHeight="1" outlineLevel="1" x14ac:dyDescent="0.25">
      <c r="A342" s="107"/>
      <c r="B342" s="107"/>
      <c r="C342" s="107"/>
      <c r="D342">
        <v>2021</v>
      </c>
      <c r="E342">
        <f t="shared" si="33"/>
        <v>0</v>
      </c>
      <c r="F342">
        <v>0</v>
      </c>
      <c r="G342">
        <v>0</v>
      </c>
      <c r="H342">
        <v>0</v>
      </c>
      <c r="I342">
        <v>0</v>
      </c>
      <c r="J342" s="107"/>
      <c r="K342" s="107"/>
      <c r="L342" s="107"/>
      <c r="M342" s="107"/>
    </row>
    <row r="343" spans="1:14" ht="18.75" customHeight="1" outlineLevel="1" x14ac:dyDescent="0.25">
      <c r="A343" s="107"/>
      <c r="B343" s="107"/>
      <c r="C343" s="107"/>
      <c r="D343">
        <v>2022</v>
      </c>
      <c r="E343">
        <f t="shared" si="33"/>
        <v>6000</v>
      </c>
      <c r="F343">
        <v>6000</v>
      </c>
      <c r="G343">
        <v>0</v>
      </c>
      <c r="H343">
        <v>0</v>
      </c>
      <c r="I343">
        <v>0</v>
      </c>
      <c r="J343" s="107"/>
      <c r="K343" s="107"/>
      <c r="L343" s="107"/>
      <c r="M343" s="107"/>
      <c r="N343" t="s">
        <v>878</v>
      </c>
    </row>
    <row r="344" spans="1:14" ht="18.75" customHeight="1" outlineLevel="1" x14ac:dyDescent="0.25">
      <c r="A344" s="107"/>
      <c r="B344" s="107"/>
      <c r="C344" s="107"/>
      <c r="D344">
        <v>2023</v>
      </c>
      <c r="E344">
        <f t="shared" si="33"/>
        <v>0</v>
      </c>
      <c r="F344">
        <v>0</v>
      </c>
      <c r="G344">
        <v>0</v>
      </c>
      <c r="H344">
        <v>0</v>
      </c>
      <c r="I344">
        <v>0</v>
      </c>
      <c r="J344" s="107"/>
      <c r="K344" s="107"/>
      <c r="L344" s="107"/>
      <c r="M344" s="107"/>
    </row>
    <row r="345" spans="1:14" ht="18.75" customHeight="1" outlineLevel="1" x14ac:dyDescent="0.25">
      <c r="A345" s="107"/>
      <c r="B345" s="107"/>
      <c r="C345" s="107"/>
      <c r="D345">
        <v>2024</v>
      </c>
      <c r="E345">
        <f t="shared" si="33"/>
        <v>0</v>
      </c>
      <c r="F345">
        <v>0</v>
      </c>
      <c r="G345">
        <v>0</v>
      </c>
      <c r="H345">
        <v>0</v>
      </c>
      <c r="I345">
        <v>0</v>
      </c>
      <c r="J345" s="107"/>
      <c r="K345" s="107"/>
      <c r="L345" s="107"/>
      <c r="M345" s="107"/>
    </row>
    <row r="346" spans="1:14" ht="18.75" customHeight="1" outlineLevel="1" x14ac:dyDescent="0.25">
      <c r="A346" s="107"/>
      <c r="B346" s="107"/>
      <c r="C346" s="107"/>
      <c r="D346">
        <v>2025</v>
      </c>
      <c r="E346">
        <f t="shared" si="33"/>
        <v>0</v>
      </c>
      <c r="F346">
        <v>0</v>
      </c>
      <c r="G346">
        <v>0</v>
      </c>
      <c r="H346">
        <v>0</v>
      </c>
      <c r="I346">
        <v>0</v>
      </c>
      <c r="J346" s="107"/>
      <c r="K346" s="107"/>
      <c r="L346" s="107"/>
      <c r="M346" s="107"/>
    </row>
    <row r="347" spans="1:14" ht="15" customHeight="1" outlineLevel="1" x14ac:dyDescent="0.25">
      <c r="A347" s="107" t="s">
        <v>879</v>
      </c>
      <c r="B347" s="107" t="s">
        <v>880</v>
      </c>
      <c r="C347" s="107">
        <v>2022</v>
      </c>
      <c r="D347" t="s">
        <v>8</v>
      </c>
      <c r="E347">
        <f t="shared" si="33"/>
        <v>5000</v>
      </c>
      <c r="F347">
        <f>SUM(F348:F352)</f>
        <v>4750</v>
      </c>
      <c r="G347">
        <f>SUM(G348:G352)</f>
        <v>0</v>
      </c>
      <c r="H347">
        <f>SUM(H348:H352)</f>
        <v>250</v>
      </c>
      <c r="I347">
        <f>SUM(I348:I352)</f>
        <v>0</v>
      </c>
      <c r="J347" s="107" t="s">
        <v>881</v>
      </c>
      <c r="K347" s="107" t="s">
        <v>547</v>
      </c>
    </row>
    <row r="348" spans="1:14" ht="15" customHeight="1" outlineLevel="1" x14ac:dyDescent="0.25">
      <c r="A348" s="107"/>
      <c r="B348" s="107"/>
      <c r="C348" s="107"/>
      <c r="D348">
        <v>2021</v>
      </c>
      <c r="E348">
        <f t="shared" si="33"/>
        <v>0</v>
      </c>
      <c r="F348">
        <v>0</v>
      </c>
      <c r="G348">
        <v>0</v>
      </c>
      <c r="H348">
        <v>0</v>
      </c>
      <c r="I348">
        <v>0</v>
      </c>
      <c r="J348" s="107"/>
      <c r="K348" s="107"/>
    </row>
    <row r="349" spans="1:14" ht="15" customHeight="1" outlineLevel="1" x14ac:dyDescent="0.25">
      <c r="A349" s="107"/>
      <c r="B349" s="107"/>
      <c r="C349" s="107"/>
      <c r="D349">
        <v>2022</v>
      </c>
      <c r="E349">
        <f t="shared" si="33"/>
        <v>5000</v>
      </c>
      <c r="F349">
        <f>4750000/1000</f>
        <v>4750</v>
      </c>
      <c r="G349">
        <v>0</v>
      </c>
      <c r="H349">
        <f>F349*5%/95%</f>
        <v>250</v>
      </c>
      <c r="I349">
        <v>0</v>
      </c>
      <c r="J349" s="107"/>
      <c r="K349" s="107"/>
    </row>
    <row r="350" spans="1:14" ht="15" customHeight="1" outlineLevel="1" x14ac:dyDescent="0.25">
      <c r="A350" s="107"/>
      <c r="B350" s="107"/>
      <c r="C350" s="107"/>
      <c r="D350">
        <v>2023</v>
      </c>
      <c r="E350">
        <f t="shared" si="33"/>
        <v>0</v>
      </c>
      <c r="F350">
        <v>0</v>
      </c>
      <c r="G350">
        <v>0</v>
      </c>
      <c r="H350">
        <v>0</v>
      </c>
      <c r="I350">
        <v>0</v>
      </c>
      <c r="J350" s="107"/>
      <c r="K350" s="107"/>
    </row>
    <row r="351" spans="1:14" ht="15" customHeight="1" outlineLevel="1" x14ac:dyDescent="0.25">
      <c r="A351" s="107"/>
      <c r="B351" s="107"/>
      <c r="C351" s="107"/>
      <c r="D351">
        <v>2024</v>
      </c>
      <c r="E351">
        <f t="shared" si="33"/>
        <v>0</v>
      </c>
      <c r="F351">
        <v>0</v>
      </c>
      <c r="G351">
        <v>0</v>
      </c>
      <c r="H351">
        <v>0</v>
      </c>
      <c r="I351">
        <v>0</v>
      </c>
      <c r="J351" s="107"/>
      <c r="K351" s="107"/>
    </row>
    <row r="352" spans="1:14" ht="15" customHeight="1" outlineLevel="1" x14ac:dyDescent="0.25">
      <c r="A352" s="107"/>
      <c r="B352" s="107"/>
      <c r="C352" s="107"/>
      <c r="D352">
        <v>2025</v>
      </c>
      <c r="E352">
        <f t="shared" si="33"/>
        <v>0</v>
      </c>
      <c r="F352">
        <v>0</v>
      </c>
      <c r="G352">
        <v>0</v>
      </c>
      <c r="H352">
        <v>0</v>
      </c>
      <c r="I352">
        <v>0</v>
      </c>
      <c r="J352" s="107"/>
      <c r="K352" s="107"/>
    </row>
    <row r="353" spans="1:11" ht="15" customHeight="1" outlineLevel="1" x14ac:dyDescent="0.25">
      <c r="A353" s="107" t="s">
        <v>882</v>
      </c>
      <c r="B353" s="107" t="s">
        <v>883</v>
      </c>
      <c r="C353" s="107">
        <v>2022</v>
      </c>
      <c r="D353" t="s">
        <v>8</v>
      </c>
      <c r="E353">
        <f t="shared" si="33"/>
        <v>6717.1717171717173</v>
      </c>
      <c r="F353">
        <f>SUM(F354:F358)</f>
        <v>6650</v>
      </c>
      <c r="G353">
        <f t="shared" ref="G353:I389" si="34">SUM(G354:G358)</f>
        <v>0</v>
      </c>
      <c r="H353">
        <f>SUM(H354:H358)</f>
        <v>67.171717171717177</v>
      </c>
      <c r="I353">
        <f t="shared" ref="I353:I383" si="35">SUM(I354:I358)</f>
        <v>0</v>
      </c>
      <c r="J353" s="107" t="s">
        <v>884</v>
      </c>
      <c r="K353" s="107" t="s">
        <v>547</v>
      </c>
    </row>
    <row r="354" spans="1:11" ht="15" customHeight="1" outlineLevel="1" x14ac:dyDescent="0.25">
      <c r="A354" s="107"/>
      <c r="B354" s="107"/>
      <c r="C354" s="107"/>
      <c r="D354">
        <v>2021</v>
      </c>
      <c r="E354">
        <f t="shared" si="33"/>
        <v>0</v>
      </c>
      <c r="F354">
        <v>0</v>
      </c>
      <c r="G354">
        <f t="shared" si="34"/>
        <v>0</v>
      </c>
      <c r="H354">
        <v>0</v>
      </c>
      <c r="I354">
        <f t="shared" si="35"/>
        <v>0</v>
      </c>
      <c r="J354" s="107"/>
      <c r="K354" s="107"/>
    </row>
    <row r="355" spans="1:11" ht="15" customHeight="1" outlineLevel="1" x14ac:dyDescent="0.25">
      <c r="A355" s="107"/>
      <c r="B355" s="107"/>
      <c r="C355" s="107"/>
      <c r="D355">
        <v>2022</v>
      </c>
      <c r="E355">
        <f t="shared" si="33"/>
        <v>6717.1717171717173</v>
      </c>
      <c r="F355">
        <f>6650000/1000</f>
        <v>6650</v>
      </c>
      <c r="G355">
        <f t="shared" si="34"/>
        <v>0</v>
      </c>
      <c r="H355">
        <f>(6650000*1%/99%)/1000</f>
        <v>67.171717171717177</v>
      </c>
      <c r="I355">
        <f t="shared" si="35"/>
        <v>0</v>
      </c>
      <c r="J355" s="107"/>
      <c r="K355" s="107"/>
    </row>
    <row r="356" spans="1:11" ht="15" customHeight="1" outlineLevel="1" x14ac:dyDescent="0.25">
      <c r="A356" s="107"/>
      <c r="B356" s="107"/>
      <c r="C356" s="107"/>
      <c r="D356">
        <v>2023</v>
      </c>
      <c r="E356">
        <f t="shared" si="33"/>
        <v>0</v>
      </c>
      <c r="F356">
        <v>0</v>
      </c>
      <c r="G356">
        <f t="shared" si="34"/>
        <v>0</v>
      </c>
      <c r="H356">
        <v>0</v>
      </c>
      <c r="I356">
        <f t="shared" si="35"/>
        <v>0</v>
      </c>
      <c r="J356" s="107"/>
      <c r="K356" s="107"/>
    </row>
    <row r="357" spans="1:11" ht="15" customHeight="1" outlineLevel="1" x14ac:dyDescent="0.25">
      <c r="A357" s="107"/>
      <c r="B357" s="107"/>
      <c r="C357" s="107"/>
      <c r="D357">
        <v>2024</v>
      </c>
      <c r="E357">
        <f t="shared" si="33"/>
        <v>0</v>
      </c>
      <c r="F357">
        <v>0</v>
      </c>
      <c r="G357">
        <f t="shared" si="34"/>
        <v>0</v>
      </c>
      <c r="H357">
        <v>0</v>
      </c>
      <c r="I357">
        <f t="shared" si="35"/>
        <v>0</v>
      </c>
      <c r="J357" s="107"/>
      <c r="K357" s="107"/>
    </row>
    <row r="358" spans="1:11" ht="15" customHeight="1" outlineLevel="1" x14ac:dyDescent="0.25">
      <c r="A358" s="107"/>
      <c r="B358" s="107"/>
      <c r="C358" s="107"/>
      <c r="D358">
        <v>2025</v>
      </c>
      <c r="E358">
        <f t="shared" si="33"/>
        <v>0</v>
      </c>
      <c r="F358">
        <v>0</v>
      </c>
      <c r="G358">
        <f t="shared" si="34"/>
        <v>0</v>
      </c>
      <c r="H358">
        <v>0</v>
      </c>
      <c r="I358">
        <f t="shared" si="35"/>
        <v>0</v>
      </c>
      <c r="J358" s="107"/>
      <c r="K358" s="107"/>
    </row>
    <row r="359" spans="1:11" ht="15" customHeight="1" outlineLevel="1" x14ac:dyDescent="0.25">
      <c r="A359" s="107" t="s">
        <v>885</v>
      </c>
      <c r="B359" s="107" t="s">
        <v>886</v>
      </c>
      <c r="C359" s="107">
        <v>2022</v>
      </c>
      <c r="D359" t="s">
        <v>8</v>
      </c>
      <c r="E359">
        <f t="shared" si="33"/>
        <v>6815.7889999999998</v>
      </c>
      <c r="F359">
        <f>SUM(F360:F364)</f>
        <v>6475</v>
      </c>
      <c r="G359">
        <f t="shared" si="34"/>
        <v>0</v>
      </c>
      <c r="H359">
        <f>SUM(H360:H364)</f>
        <v>340.78899999999999</v>
      </c>
      <c r="I359">
        <f t="shared" si="35"/>
        <v>0</v>
      </c>
      <c r="J359" s="107" t="s">
        <v>887</v>
      </c>
      <c r="K359" s="107" t="s">
        <v>547</v>
      </c>
    </row>
    <row r="360" spans="1:11" ht="15" customHeight="1" outlineLevel="1" x14ac:dyDescent="0.25">
      <c r="A360" s="107"/>
      <c r="B360" s="107"/>
      <c r="C360" s="107"/>
      <c r="D360">
        <v>2021</v>
      </c>
      <c r="E360">
        <f t="shared" si="33"/>
        <v>0</v>
      </c>
      <c r="F360">
        <v>0</v>
      </c>
      <c r="G360">
        <v>0</v>
      </c>
      <c r="H360">
        <v>0</v>
      </c>
      <c r="I360">
        <f t="shared" si="35"/>
        <v>0</v>
      </c>
      <c r="J360" s="107"/>
      <c r="K360" s="107"/>
    </row>
    <row r="361" spans="1:11" ht="15" customHeight="1" outlineLevel="1" x14ac:dyDescent="0.25">
      <c r="A361" s="107"/>
      <c r="B361" s="107"/>
      <c r="C361" s="107"/>
      <c r="D361">
        <v>2022</v>
      </c>
      <c r="E361">
        <f t="shared" si="33"/>
        <v>6815.7889999999998</v>
      </c>
      <c r="F361">
        <v>6475</v>
      </c>
      <c r="G361">
        <v>0</v>
      </c>
      <c r="H361">
        <v>340.78899999999999</v>
      </c>
      <c r="I361">
        <f t="shared" si="35"/>
        <v>0</v>
      </c>
      <c r="J361" s="107"/>
      <c r="K361" s="107"/>
    </row>
    <row r="362" spans="1:11" ht="15" customHeight="1" outlineLevel="1" x14ac:dyDescent="0.25">
      <c r="A362" s="107"/>
      <c r="B362" s="107"/>
      <c r="C362" s="107"/>
      <c r="D362">
        <v>2023</v>
      </c>
      <c r="E362">
        <f t="shared" si="33"/>
        <v>0</v>
      </c>
      <c r="F362">
        <v>0</v>
      </c>
      <c r="G362">
        <v>0</v>
      </c>
      <c r="H362">
        <v>0</v>
      </c>
      <c r="I362">
        <f t="shared" si="35"/>
        <v>0</v>
      </c>
      <c r="J362" s="107"/>
      <c r="K362" s="107"/>
    </row>
    <row r="363" spans="1:11" ht="15" customHeight="1" outlineLevel="1" x14ac:dyDescent="0.25">
      <c r="A363" s="107"/>
      <c r="B363" s="107"/>
      <c r="C363" s="107"/>
      <c r="D363">
        <v>2024</v>
      </c>
      <c r="E363">
        <f t="shared" si="33"/>
        <v>0</v>
      </c>
      <c r="F363">
        <v>0</v>
      </c>
      <c r="G363">
        <v>0</v>
      </c>
      <c r="H363">
        <v>0</v>
      </c>
      <c r="I363">
        <f t="shared" si="35"/>
        <v>0</v>
      </c>
      <c r="J363" s="107"/>
      <c r="K363" s="107"/>
    </row>
    <row r="364" spans="1:11" ht="15" customHeight="1" outlineLevel="1" x14ac:dyDescent="0.25">
      <c r="A364" s="107"/>
      <c r="B364" s="107"/>
      <c r="C364" s="107"/>
      <c r="D364">
        <v>2025</v>
      </c>
      <c r="E364">
        <f t="shared" ref="E364:E426" si="36">SUM(F364:I364)</f>
        <v>0</v>
      </c>
      <c r="F364">
        <v>0</v>
      </c>
      <c r="G364">
        <v>0</v>
      </c>
      <c r="H364">
        <v>0</v>
      </c>
      <c r="I364">
        <f t="shared" si="35"/>
        <v>0</v>
      </c>
      <c r="J364" s="107"/>
      <c r="K364" s="107"/>
    </row>
    <row r="365" spans="1:11" ht="15" customHeight="1" outlineLevel="1" x14ac:dyDescent="0.25">
      <c r="A365" s="107" t="s">
        <v>888</v>
      </c>
      <c r="B365" s="107" t="s">
        <v>889</v>
      </c>
      <c r="C365" s="107">
        <v>2022</v>
      </c>
      <c r="D365" t="s">
        <v>8</v>
      </c>
      <c r="E365">
        <f t="shared" si="36"/>
        <v>6717.1717171717173</v>
      </c>
      <c r="F365">
        <f>SUM(F366:F370)</f>
        <v>6650</v>
      </c>
      <c r="G365">
        <v>0</v>
      </c>
      <c r="H365">
        <f>SUM(H366:H370)</f>
        <v>67.171717171717177</v>
      </c>
      <c r="I365">
        <f t="shared" si="35"/>
        <v>0</v>
      </c>
      <c r="J365" s="107" t="s">
        <v>890</v>
      </c>
      <c r="K365" s="107" t="s">
        <v>547</v>
      </c>
    </row>
    <row r="366" spans="1:11" ht="15" customHeight="1" outlineLevel="1" x14ac:dyDescent="0.25">
      <c r="A366" s="107"/>
      <c r="B366" s="107"/>
      <c r="C366" s="107"/>
      <c r="D366">
        <v>2021</v>
      </c>
      <c r="E366">
        <f t="shared" si="36"/>
        <v>0</v>
      </c>
      <c r="F366">
        <v>0</v>
      </c>
      <c r="G366">
        <v>0</v>
      </c>
      <c r="H366">
        <v>0</v>
      </c>
      <c r="I366">
        <f t="shared" si="35"/>
        <v>0</v>
      </c>
      <c r="J366" s="107"/>
      <c r="K366" s="107"/>
    </row>
    <row r="367" spans="1:11" ht="15" customHeight="1" outlineLevel="1" x14ac:dyDescent="0.25">
      <c r="A367" s="107"/>
      <c r="B367" s="107"/>
      <c r="C367" s="107"/>
      <c r="D367">
        <v>2022</v>
      </c>
      <c r="E367">
        <f t="shared" si="36"/>
        <v>6717.1717171717173</v>
      </c>
      <c r="F367">
        <v>6650</v>
      </c>
      <c r="G367">
        <v>0</v>
      </c>
      <c r="H367">
        <f>F367/99*1</f>
        <v>67.171717171717177</v>
      </c>
      <c r="I367">
        <f t="shared" si="35"/>
        <v>0</v>
      </c>
      <c r="J367" s="107"/>
      <c r="K367" s="107"/>
    </row>
    <row r="368" spans="1:11" ht="15" customHeight="1" outlineLevel="1" x14ac:dyDescent="0.25">
      <c r="A368" s="107"/>
      <c r="B368" s="107"/>
      <c r="C368" s="107"/>
      <c r="D368">
        <v>2023</v>
      </c>
      <c r="E368">
        <f t="shared" si="36"/>
        <v>0</v>
      </c>
      <c r="F368">
        <v>0</v>
      </c>
      <c r="G368">
        <v>0</v>
      </c>
      <c r="H368">
        <v>0</v>
      </c>
      <c r="I368">
        <f t="shared" si="35"/>
        <v>0</v>
      </c>
      <c r="J368" s="107"/>
      <c r="K368" s="107"/>
    </row>
    <row r="369" spans="1:14" ht="15" customHeight="1" outlineLevel="1" x14ac:dyDescent="0.25">
      <c r="A369" s="107"/>
      <c r="B369" s="107"/>
      <c r="C369" s="107"/>
      <c r="D369">
        <v>2024</v>
      </c>
      <c r="E369">
        <f t="shared" si="36"/>
        <v>0</v>
      </c>
      <c r="F369">
        <v>0</v>
      </c>
      <c r="G369">
        <v>0</v>
      </c>
      <c r="H369">
        <v>0</v>
      </c>
      <c r="I369">
        <f t="shared" si="35"/>
        <v>0</v>
      </c>
      <c r="J369" s="107"/>
      <c r="K369" s="107"/>
    </row>
    <row r="370" spans="1:14" ht="15" customHeight="1" outlineLevel="1" x14ac:dyDescent="0.25">
      <c r="A370" s="107"/>
      <c r="B370" s="107"/>
      <c r="C370" s="107"/>
      <c r="D370">
        <v>2025</v>
      </c>
      <c r="E370">
        <f t="shared" si="36"/>
        <v>0</v>
      </c>
      <c r="F370">
        <v>0</v>
      </c>
      <c r="G370">
        <v>0</v>
      </c>
      <c r="H370">
        <v>0</v>
      </c>
      <c r="I370">
        <f t="shared" si="35"/>
        <v>0</v>
      </c>
      <c r="J370" s="107"/>
      <c r="K370" s="107"/>
    </row>
    <row r="371" spans="1:14" ht="15" customHeight="1" outlineLevel="1" x14ac:dyDescent="0.25">
      <c r="A371" s="107" t="s">
        <v>891</v>
      </c>
      <c r="B371" s="107" t="s">
        <v>892</v>
      </c>
      <c r="C371" s="107">
        <v>2022</v>
      </c>
      <c r="D371" t="s">
        <v>8</v>
      </c>
      <c r="E371">
        <f t="shared" si="36"/>
        <v>680000</v>
      </c>
      <c r="F371">
        <f>SUM(F372:F376)</f>
        <v>340000</v>
      </c>
      <c r="G371">
        <v>0</v>
      </c>
      <c r="H371">
        <f>SUM(H372:H376)</f>
        <v>340000</v>
      </c>
      <c r="I371">
        <f t="shared" si="35"/>
        <v>0</v>
      </c>
      <c r="J371" s="107" t="s">
        <v>893</v>
      </c>
      <c r="K371" s="107" t="s">
        <v>864</v>
      </c>
      <c r="L371" s="107" t="s">
        <v>871</v>
      </c>
      <c r="M371" s="107" t="s">
        <v>866</v>
      </c>
    </row>
    <row r="372" spans="1:14" ht="15" customHeight="1" outlineLevel="1" x14ac:dyDescent="0.25">
      <c r="A372" s="107"/>
      <c r="B372" s="107"/>
      <c r="C372" s="107"/>
      <c r="D372">
        <v>2021</v>
      </c>
      <c r="E372">
        <f t="shared" si="36"/>
        <v>0</v>
      </c>
      <c r="F372">
        <v>0</v>
      </c>
      <c r="G372">
        <v>0</v>
      </c>
      <c r="H372">
        <v>0</v>
      </c>
      <c r="I372">
        <v>0</v>
      </c>
      <c r="J372" s="107"/>
      <c r="K372" s="107"/>
      <c r="L372" s="107"/>
      <c r="M372" s="107"/>
    </row>
    <row r="373" spans="1:14" ht="15" customHeight="1" outlineLevel="1" x14ac:dyDescent="0.25">
      <c r="A373" s="107"/>
      <c r="B373" s="107"/>
      <c r="C373" s="107"/>
      <c r="D373">
        <v>2022</v>
      </c>
      <c r="E373">
        <f t="shared" si="36"/>
        <v>100000</v>
      </c>
      <c r="F373">
        <v>50000</v>
      </c>
      <c r="G373">
        <v>0</v>
      </c>
      <c r="H373">
        <v>50000</v>
      </c>
      <c r="I373">
        <v>0</v>
      </c>
      <c r="J373" s="107"/>
      <c r="K373" s="107"/>
      <c r="L373" s="107"/>
      <c r="M373" s="107"/>
      <c r="N373" t="s">
        <v>872</v>
      </c>
    </row>
    <row r="374" spans="1:14" ht="15" customHeight="1" outlineLevel="1" x14ac:dyDescent="0.25">
      <c r="A374" s="107"/>
      <c r="B374" s="107"/>
      <c r="C374" s="107"/>
      <c r="D374">
        <v>2023</v>
      </c>
      <c r="E374">
        <f t="shared" si="36"/>
        <v>580000</v>
      </c>
      <c r="F374">
        <v>290000</v>
      </c>
      <c r="G374">
        <v>0</v>
      </c>
      <c r="H374">
        <v>290000</v>
      </c>
      <c r="I374">
        <v>0</v>
      </c>
      <c r="J374" s="107"/>
      <c r="K374" s="107"/>
      <c r="L374" s="107"/>
      <c r="M374" s="107"/>
    </row>
    <row r="375" spans="1:14" ht="15" customHeight="1" outlineLevel="1" x14ac:dyDescent="0.25">
      <c r="A375" s="107"/>
      <c r="B375" s="107"/>
      <c r="C375" s="107"/>
      <c r="D375">
        <v>2024</v>
      </c>
      <c r="E375">
        <f t="shared" si="36"/>
        <v>0</v>
      </c>
      <c r="F375">
        <v>0</v>
      </c>
      <c r="G375">
        <v>0</v>
      </c>
      <c r="H375">
        <v>0</v>
      </c>
      <c r="I375">
        <v>0</v>
      </c>
      <c r="J375" s="107"/>
      <c r="K375" s="107"/>
      <c r="L375" s="107"/>
      <c r="M375" s="107"/>
    </row>
    <row r="376" spans="1:14" ht="15" customHeight="1" outlineLevel="1" x14ac:dyDescent="0.25">
      <c r="A376" s="107"/>
      <c r="B376" s="107"/>
      <c r="C376" s="107"/>
      <c r="D376">
        <v>2025</v>
      </c>
      <c r="E376">
        <f t="shared" si="36"/>
        <v>0</v>
      </c>
      <c r="F376">
        <v>0</v>
      </c>
      <c r="G376">
        <v>0</v>
      </c>
      <c r="H376">
        <v>0</v>
      </c>
      <c r="I376">
        <v>0</v>
      </c>
      <c r="J376" s="107"/>
      <c r="K376" s="107"/>
      <c r="L376" s="107"/>
      <c r="M376" s="107"/>
    </row>
    <row r="377" spans="1:14" ht="15" customHeight="1" outlineLevel="1" x14ac:dyDescent="0.25">
      <c r="A377" s="107" t="s">
        <v>894</v>
      </c>
      <c r="B377" s="107" t="s">
        <v>793</v>
      </c>
      <c r="C377" s="107">
        <v>2022</v>
      </c>
      <c r="D377" t="s">
        <v>8</v>
      </c>
      <c r="E377">
        <f t="shared" si="36"/>
        <v>103157.9</v>
      </c>
      <c r="F377">
        <f>SUM(F378:F382)</f>
        <v>98000</v>
      </c>
      <c r="G377">
        <f t="shared" si="34"/>
        <v>0</v>
      </c>
      <c r="H377">
        <f>SUM(H378:H382)</f>
        <v>5157.8999999999996</v>
      </c>
      <c r="I377">
        <f t="shared" si="35"/>
        <v>0</v>
      </c>
      <c r="J377" s="107" t="s">
        <v>895</v>
      </c>
      <c r="K377" s="107" t="s">
        <v>864</v>
      </c>
      <c r="M377" s="107" t="s">
        <v>896</v>
      </c>
    </row>
    <row r="378" spans="1:14" ht="15" customHeight="1" outlineLevel="1" x14ac:dyDescent="0.25">
      <c r="A378" s="107"/>
      <c r="B378" s="107"/>
      <c r="C378" s="107"/>
      <c r="D378">
        <v>2021</v>
      </c>
      <c r="E378">
        <f t="shared" si="36"/>
        <v>0</v>
      </c>
      <c r="F378">
        <v>0</v>
      </c>
      <c r="G378">
        <v>0</v>
      </c>
      <c r="H378">
        <v>0</v>
      </c>
      <c r="I378">
        <v>0</v>
      </c>
      <c r="J378" s="107"/>
      <c r="K378" s="107"/>
      <c r="M378" s="107"/>
    </row>
    <row r="379" spans="1:14" ht="15" customHeight="1" outlineLevel="1" x14ac:dyDescent="0.25">
      <c r="A379" s="107"/>
      <c r="B379" s="107"/>
      <c r="C379" s="107"/>
      <c r="D379">
        <v>2022</v>
      </c>
      <c r="E379">
        <f t="shared" si="36"/>
        <v>103157.9</v>
      </c>
      <c r="F379">
        <v>98000</v>
      </c>
      <c r="G379">
        <v>0</v>
      </c>
      <c r="H379">
        <v>5157.8999999999996</v>
      </c>
      <c r="I379">
        <v>0</v>
      </c>
      <c r="J379" s="107"/>
      <c r="K379" s="107"/>
      <c r="M379" s="107"/>
      <c r="N379" t="s">
        <v>897</v>
      </c>
    </row>
    <row r="380" spans="1:14" ht="15" customHeight="1" outlineLevel="1" x14ac:dyDescent="0.25">
      <c r="A380" s="107"/>
      <c r="B380" s="107"/>
      <c r="C380" s="107"/>
      <c r="D380">
        <v>2023</v>
      </c>
      <c r="E380">
        <f t="shared" si="36"/>
        <v>0</v>
      </c>
      <c r="F380">
        <v>0</v>
      </c>
      <c r="G380">
        <v>0</v>
      </c>
      <c r="H380">
        <v>0</v>
      </c>
      <c r="I380">
        <v>0</v>
      </c>
      <c r="J380" s="107"/>
      <c r="K380" s="107"/>
      <c r="M380" s="107"/>
    </row>
    <row r="381" spans="1:14" ht="15" customHeight="1" outlineLevel="1" x14ac:dyDescent="0.25">
      <c r="A381" s="107"/>
      <c r="B381" s="107"/>
      <c r="C381" s="107"/>
      <c r="D381">
        <v>2024</v>
      </c>
      <c r="E381">
        <f t="shared" si="36"/>
        <v>0</v>
      </c>
      <c r="F381">
        <v>0</v>
      </c>
      <c r="G381">
        <v>0</v>
      </c>
      <c r="H381">
        <v>0</v>
      </c>
      <c r="I381">
        <v>0</v>
      </c>
      <c r="J381" s="107"/>
      <c r="K381" s="107"/>
      <c r="M381" s="107"/>
    </row>
    <row r="382" spans="1:14" ht="15" customHeight="1" outlineLevel="1" x14ac:dyDescent="0.25">
      <c r="A382" s="107"/>
      <c r="B382" s="107"/>
      <c r="C382" s="107"/>
      <c r="D382">
        <v>2025</v>
      </c>
      <c r="E382">
        <f t="shared" si="36"/>
        <v>0</v>
      </c>
      <c r="F382">
        <v>0</v>
      </c>
      <c r="G382">
        <v>0</v>
      </c>
      <c r="H382">
        <v>0</v>
      </c>
      <c r="I382">
        <v>0</v>
      </c>
      <c r="J382" s="107"/>
      <c r="K382" s="107"/>
      <c r="M382" s="107"/>
    </row>
    <row r="383" spans="1:14" ht="15" customHeight="1" outlineLevel="1" x14ac:dyDescent="0.25">
      <c r="A383" s="107" t="s">
        <v>898</v>
      </c>
      <c r="B383" s="107" t="s">
        <v>899</v>
      </c>
      <c r="C383" s="107">
        <v>2022</v>
      </c>
      <c r="D383" t="s">
        <v>8</v>
      </c>
      <c r="E383">
        <f t="shared" si="36"/>
        <v>776600</v>
      </c>
      <c r="F383">
        <f>SUM(F384:F388)</f>
        <v>776600</v>
      </c>
      <c r="G383">
        <f t="shared" si="34"/>
        <v>0</v>
      </c>
      <c r="H383">
        <f>SUM(H384:H388)</f>
        <v>0</v>
      </c>
      <c r="I383">
        <f t="shared" si="35"/>
        <v>0</v>
      </c>
      <c r="J383" s="107" t="s">
        <v>900</v>
      </c>
      <c r="K383" s="107" t="s">
        <v>901</v>
      </c>
      <c r="L383" s="107" t="s">
        <v>902</v>
      </c>
      <c r="M383" s="107" t="s">
        <v>903</v>
      </c>
    </row>
    <row r="384" spans="1:14" ht="15" customHeight="1" outlineLevel="1" x14ac:dyDescent="0.25">
      <c r="A384" s="107"/>
      <c r="B384" s="107"/>
      <c r="C384" s="107"/>
      <c r="D384">
        <v>2021</v>
      </c>
      <c r="E384">
        <f t="shared" si="36"/>
        <v>0</v>
      </c>
      <c r="F384">
        <v>0</v>
      </c>
      <c r="G384">
        <f t="shared" si="34"/>
        <v>0</v>
      </c>
      <c r="H384">
        <f t="shared" si="34"/>
        <v>0</v>
      </c>
      <c r="I384">
        <f t="shared" si="34"/>
        <v>0</v>
      </c>
      <c r="J384" s="107"/>
      <c r="K384" s="107"/>
      <c r="L384" s="107"/>
      <c r="M384" s="107"/>
    </row>
    <row r="385" spans="1:14" ht="15" customHeight="1" outlineLevel="1" x14ac:dyDescent="0.25">
      <c r="A385" s="107"/>
      <c r="B385" s="107"/>
      <c r="C385" s="107"/>
      <c r="D385">
        <v>2022</v>
      </c>
      <c r="E385">
        <f t="shared" si="36"/>
        <v>200000</v>
      </c>
      <c r="F385">
        <v>200000</v>
      </c>
      <c r="G385">
        <f t="shared" si="34"/>
        <v>0</v>
      </c>
      <c r="H385">
        <f t="shared" si="34"/>
        <v>0</v>
      </c>
      <c r="I385">
        <f t="shared" si="34"/>
        <v>0</v>
      </c>
      <c r="J385" s="107"/>
      <c r="K385" s="107"/>
      <c r="L385" s="107"/>
      <c r="M385" s="107"/>
      <c r="N385" t="s">
        <v>878</v>
      </c>
    </row>
    <row r="386" spans="1:14" ht="15" customHeight="1" outlineLevel="1" x14ac:dyDescent="0.25">
      <c r="A386" s="107"/>
      <c r="B386" s="107"/>
      <c r="C386" s="107"/>
      <c r="D386">
        <v>2023</v>
      </c>
      <c r="E386">
        <f t="shared" si="36"/>
        <v>576600</v>
      </c>
      <c r="F386">
        <v>576600</v>
      </c>
      <c r="G386">
        <f t="shared" si="34"/>
        <v>0</v>
      </c>
      <c r="H386">
        <f t="shared" si="34"/>
        <v>0</v>
      </c>
      <c r="I386">
        <f t="shared" si="34"/>
        <v>0</v>
      </c>
      <c r="J386" s="107"/>
      <c r="K386" s="107"/>
      <c r="L386" s="107"/>
      <c r="M386" s="107"/>
    </row>
    <row r="387" spans="1:14" ht="15" customHeight="1" outlineLevel="1" x14ac:dyDescent="0.25">
      <c r="A387" s="107"/>
      <c r="B387" s="107"/>
      <c r="C387" s="107"/>
      <c r="D387">
        <v>2024</v>
      </c>
      <c r="E387">
        <f t="shared" si="36"/>
        <v>0</v>
      </c>
      <c r="F387">
        <v>0</v>
      </c>
      <c r="G387">
        <f t="shared" si="34"/>
        <v>0</v>
      </c>
      <c r="H387">
        <f t="shared" si="34"/>
        <v>0</v>
      </c>
      <c r="I387">
        <f t="shared" si="34"/>
        <v>0</v>
      </c>
      <c r="J387" s="107"/>
      <c r="K387" s="107"/>
      <c r="L387" s="107"/>
      <c r="M387" s="107"/>
    </row>
    <row r="388" spans="1:14" ht="15" customHeight="1" outlineLevel="1" x14ac:dyDescent="0.25">
      <c r="A388" s="107"/>
      <c r="B388" s="107"/>
      <c r="C388" s="107"/>
      <c r="D388">
        <v>2025</v>
      </c>
      <c r="E388">
        <f t="shared" si="36"/>
        <v>0</v>
      </c>
      <c r="F388">
        <v>0</v>
      </c>
      <c r="G388">
        <f t="shared" si="34"/>
        <v>0</v>
      </c>
      <c r="H388">
        <f t="shared" si="34"/>
        <v>0</v>
      </c>
      <c r="I388">
        <f t="shared" si="34"/>
        <v>0</v>
      </c>
      <c r="J388" s="107"/>
      <c r="K388" s="107"/>
      <c r="L388" s="107"/>
      <c r="M388" s="107"/>
    </row>
    <row r="389" spans="1:14" ht="15" customHeight="1" outlineLevel="1" x14ac:dyDescent="0.25">
      <c r="A389" s="107" t="s">
        <v>904</v>
      </c>
      <c r="B389" s="107" t="s">
        <v>905</v>
      </c>
      <c r="C389" s="107">
        <v>2022</v>
      </c>
      <c r="D389" t="s">
        <v>8</v>
      </c>
      <c r="E389">
        <f t="shared" si="36"/>
        <v>546000</v>
      </c>
      <c r="F389">
        <f>SUM(F390:F394)</f>
        <v>546000</v>
      </c>
      <c r="G389">
        <f t="shared" si="34"/>
        <v>0</v>
      </c>
      <c r="H389">
        <f t="shared" si="34"/>
        <v>0</v>
      </c>
      <c r="I389">
        <f t="shared" si="34"/>
        <v>0</v>
      </c>
      <c r="J389" s="107" t="s">
        <v>906</v>
      </c>
      <c r="K389" s="107" t="s">
        <v>907</v>
      </c>
      <c r="L389" s="107"/>
      <c r="M389" s="107" t="s">
        <v>908</v>
      </c>
    </row>
    <row r="390" spans="1:14" ht="15" customHeight="1" outlineLevel="1" x14ac:dyDescent="0.25">
      <c r="A390" s="107"/>
      <c r="B390" s="107"/>
      <c r="C390" s="107"/>
      <c r="D390">
        <v>2021</v>
      </c>
      <c r="E390">
        <f t="shared" si="36"/>
        <v>0</v>
      </c>
      <c r="F390">
        <v>0</v>
      </c>
      <c r="G390">
        <f t="shared" ref="G390:G392" si="37">SUM(G391:G401)</f>
        <v>0</v>
      </c>
      <c r="H390">
        <v>0</v>
      </c>
      <c r="I390">
        <v>0</v>
      </c>
      <c r="J390" s="107"/>
      <c r="K390" s="107"/>
      <c r="L390" s="107"/>
      <c r="M390" s="107"/>
    </row>
    <row r="391" spans="1:14" ht="15" customHeight="1" outlineLevel="1" x14ac:dyDescent="0.25">
      <c r="A391" s="107"/>
      <c r="B391" s="107"/>
      <c r="C391" s="107"/>
      <c r="D391">
        <v>2022</v>
      </c>
      <c r="E391">
        <f t="shared" si="36"/>
        <v>200000</v>
      </c>
      <c r="F391">
        <v>200000</v>
      </c>
      <c r="G391">
        <f t="shared" si="37"/>
        <v>0</v>
      </c>
      <c r="H391">
        <v>0</v>
      </c>
      <c r="I391">
        <v>0</v>
      </c>
      <c r="J391" s="107"/>
      <c r="K391" s="107"/>
      <c r="L391" s="107"/>
      <c r="M391" s="107"/>
    </row>
    <row r="392" spans="1:14" ht="15" customHeight="1" outlineLevel="1" x14ac:dyDescent="0.25">
      <c r="A392" s="107"/>
      <c r="B392" s="107"/>
      <c r="C392" s="107"/>
      <c r="D392">
        <v>2023</v>
      </c>
      <c r="E392">
        <f t="shared" si="36"/>
        <v>346000</v>
      </c>
      <c r="F392">
        <v>346000</v>
      </c>
      <c r="G392">
        <f t="shared" si="37"/>
        <v>0</v>
      </c>
      <c r="H392">
        <v>0</v>
      </c>
      <c r="I392">
        <v>0</v>
      </c>
      <c r="J392" s="107"/>
      <c r="K392" s="107"/>
      <c r="L392" s="107"/>
      <c r="M392" s="107"/>
    </row>
    <row r="393" spans="1:14" ht="15" customHeight="1" outlineLevel="1" x14ac:dyDescent="0.25">
      <c r="A393" s="107"/>
      <c r="B393" s="107"/>
      <c r="C393" s="107"/>
      <c r="D393">
        <v>2024</v>
      </c>
      <c r="E393">
        <f t="shared" si="36"/>
        <v>0</v>
      </c>
      <c r="F393">
        <v>0</v>
      </c>
      <c r="G393">
        <v>0</v>
      </c>
      <c r="H393">
        <v>0</v>
      </c>
      <c r="I393">
        <v>0</v>
      </c>
      <c r="J393" s="107"/>
      <c r="K393" s="107"/>
      <c r="L393" s="107"/>
      <c r="M393" s="107"/>
    </row>
    <row r="394" spans="1:14" ht="15" customHeight="1" outlineLevel="1" x14ac:dyDescent="0.25">
      <c r="A394" s="107"/>
      <c r="B394" s="107"/>
      <c r="C394" s="107"/>
      <c r="D394">
        <v>2025</v>
      </c>
      <c r="E394">
        <f t="shared" si="36"/>
        <v>0</v>
      </c>
      <c r="F394">
        <v>0</v>
      </c>
      <c r="G394">
        <v>0</v>
      </c>
      <c r="H394">
        <v>0</v>
      </c>
      <c r="I394">
        <v>0</v>
      </c>
      <c r="J394" s="107"/>
      <c r="K394" s="107"/>
      <c r="L394" s="107"/>
      <c r="M394" s="107"/>
    </row>
    <row r="395" spans="1:14" ht="15" customHeight="1" outlineLevel="1" x14ac:dyDescent="0.25">
      <c r="A395" s="107" t="s">
        <v>909</v>
      </c>
      <c r="B395" s="107" t="s">
        <v>910</v>
      </c>
      <c r="C395" s="107">
        <v>2022</v>
      </c>
      <c r="D395" t="s">
        <v>8</v>
      </c>
      <c r="E395">
        <f t="shared" si="36"/>
        <v>5405.3319999999994</v>
      </c>
      <c r="F395">
        <f>SUM(F396:F400)</f>
        <v>5135.0659999999998</v>
      </c>
      <c r="G395">
        <f t="shared" ref="G395:G401" si="38">SUM(G396:G400)</f>
        <v>0</v>
      </c>
      <c r="H395">
        <f>SUM(H396:H400)</f>
        <v>270.26600000000002</v>
      </c>
      <c r="I395">
        <f t="shared" ref="I395:I401" si="39">SUM(I396:I400)</f>
        <v>0</v>
      </c>
      <c r="J395" s="107" t="s">
        <v>911</v>
      </c>
      <c r="K395" s="107" t="s">
        <v>547</v>
      </c>
    </row>
    <row r="396" spans="1:14" ht="15" customHeight="1" outlineLevel="1" x14ac:dyDescent="0.25">
      <c r="A396" s="107"/>
      <c r="B396" s="107"/>
      <c r="C396" s="107"/>
      <c r="D396">
        <v>2021</v>
      </c>
      <c r="E396">
        <f t="shared" si="36"/>
        <v>0</v>
      </c>
      <c r="F396">
        <v>0</v>
      </c>
      <c r="G396">
        <f t="shared" si="38"/>
        <v>0</v>
      </c>
      <c r="I396">
        <f t="shared" si="39"/>
        <v>0</v>
      </c>
      <c r="J396" s="107"/>
      <c r="K396" s="107"/>
    </row>
    <row r="397" spans="1:14" ht="15" customHeight="1" outlineLevel="1" x14ac:dyDescent="0.25">
      <c r="A397" s="107"/>
      <c r="B397" s="107"/>
      <c r="C397" s="107"/>
      <c r="D397">
        <v>2022</v>
      </c>
      <c r="E397">
        <f t="shared" si="36"/>
        <v>5405.3319999999994</v>
      </c>
      <c r="F397">
        <v>5135.0659999999998</v>
      </c>
      <c r="G397">
        <f t="shared" si="38"/>
        <v>0</v>
      </c>
      <c r="H397">
        <v>270.26600000000002</v>
      </c>
      <c r="I397">
        <f t="shared" si="39"/>
        <v>0</v>
      </c>
      <c r="J397" s="107"/>
      <c r="K397" s="107"/>
    </row>
    <row r="398" spans="1:14" ht="15" customHeight="1" outlineLevel="1" x14ac:dyDescent="0.25">
      <c r="A398" s="107"/>
      <c r="B398" s="107"/>
      <c r="C398" s="107"/>
      <c r="D398">
        <v>2023</v>
      </c>
      <c r="E398">
        <f t="shared" si="36"/>
        <v>0</v>
      </c>
      <c r="F398">
        <v>0</v>
      </c>
      <c r="G398">
        <f t="shared" si="38"/>
        <v>0</v>
      </c>
      <c r="I398">
        <f t="shared" si="39"/>
        <v>0</v>
      </c>
      <c r="J398" s="107"/>
      <c r="K398" s="107"/>
    </row>
    <row r="399" spans="1:14" ht="15" customHeight="1" outlineLevel="1" x14ac:dyDescent="0.25">
      <c r="A399" s="107"/>
      <c r="B399" s="107"/>
      <c r="C399" s="107"/>
      <c r="D399">
        <v>2024</v>
      </c>
      <c r="E399">
        <f t="shared" si="36"/>
        <v>0</v>
      </c>
      <c r="F399">
        <v>0</v>
      </c>
      <c r="G399">
        <f t="shared" si="38"/>
        <v>0</v>
      </c>
      <c r="I399">
        <f t="shared" si="39"/>
        <v>0</v>
      </c>
      <c r="J399" s="107"/>
      <c r="K399" s="107"/>
    </row>
    <row r="400" spans="1:14" ht="15" customHeight="1" outlineLevel="1" x14ac:dyDescent="0.25">
      <c r="A400" s="107"/>
      <c r="B400" s="107"/>
      <c r="C400" s="107"/>
      <c r="D400">
        <v>2025</v>
      </c>
      <c r="E400">
        <f t="shared" si="36"/>
        <v>0</v>
      </c>
      <c r="F400">
        <v>0</v>
      </c>
      <c r="G400">
        <f t="shared" si="38"/>
        <v>0</v>
      </c>
      <c r="I400">
        <f t="shared" si="39"/>
        <v>0</v>
      </c>
      <c r="J400" s="107"/>
      <c r="K400" s="107"/>
    </row>
    <row r="401" spans="1:15" ht="15" customHeight="1" outlineLevel="1" x14ac:dyDescent="0.25">
      <c r="A401" s="107" t="s">
        <v>104</v>
      </c>
      <c r="B401" s="107" t="s">
        <v>105</v>
      </c>
      <c r="C401" s="107" t="s">
        <v>14</v>
      </c>
      <c r="D401" t="s">
        <v>8</v>
      </c>
      <c r="E401">
        <f t="shared" si="36"/>
        <v>612367.59876589745</v>
      </c>
      <c r="F401">
        <f>SUM(F402:F406)</f>
        <v>582565.22372000001</v>
      </c>
      <c r="G401">
        <f t="shared" si="38"/>
        <v>0</v>
      </c>
      <c r="H401">
        <f>SUM(H402:H406)</f>
        <v>29802.375045897479</v>
      </c>
      <c r="I401">
        <f t="shared" si="39"/>
        <v>0</v>
      </c>
      <c r="J401" s="107" t="s">
        <v>106</v>
      </c>
      <c r="K401" s="107" t="s">
        <v>564</v>
      </c>
      <c r="L401" s="107"/>
      <c r="M401" s="107"/>
      <c r="N401" s="107"/>
      <c r="O401" s="107"/>
    </row>
    <row r="402" spans="1:15" outlineLevel="1" x14ac:dyDescent="0.25">
      <c r="A402" s="107"/>
      <c r="B402" s="107"/>
      <c r="C402" s="107"/>
      <c r="D402">
        <v>2021</v>
      </c>
      <c r="E402">
        <f t="shared" si="36"/>
        <v>195226.0557658975</v>
      </c>
      <c r="F402">
        <f>SUM(F408+F414+F420+F426+F432+F438+F444+F450+F456+F462+F468+F474+F480+F486+F492)</f>
        <v>179526.29972000001</v>
      </c>
      <c r="G402">
        <f t="shared" ref="F402:I406" si="40">SUM(G408+G414+G420+G426+G432+G438+G444+G450+G456+G462+G468+G474+G480)</f>
        <v>0</v>
      </c>
      <c r="H402">
        <f>SUM(H408+H414+H420+H426+H432+H438+H444+H450+H456+H462+H468+H474+H480+H486+H492)</f>
        <v>15699.756045897479</v>
      </c>
      <c r="I402">
        <f t="shared" si="40"/>
        <v>0</v>
      </c>
      <c r="J402" s="107"/>
      <c r="K402" s="107"/>
      <c r="L402" s="107"/>
      <c r="M402" s="107"/>
      <c r="N402" s="107"/>
      <c r="O402" s="107"/>
    </row>
    <row r="403" spans="1:15" outlineLevel="1" x14ac:dyDescent="0.25">
      <c r="A403" s="107"/>
      <c r="B403" s="107"/>
      <c r="C403" s="107"/>
      <c r="D403">
        <v>2022</v>
      </c>
      <c r="E403">
        <f t="shared" si="36"/>
        <v>309141.54300000001</v>
      </c>
      <c r="F403">
        <f>SUM(F409+F415+F421+F427+F433+F439+F445+F451+F457+F463+F469+F475+F481+F499+F505+F511+F517+F487+F523+F529+F535+F541+F547+F553+F559+F565)</f>
        <v>299538.924</v>
      </c>
      <c r="G403">
        <f t="shared" si="40"/>
        <v>0</v>
      </c>
      <c r="H403">
        <f t="shared" ref="H403:H406" si="41">SUM(H409+H415+H421+H427+H433+H439+H445+H451+H457+H463+H469+H475+H481+H499+H505+H511+H517+H487+H523+H529+H535+H541+H547+H553+H559+H565+H493)</f>
        <v>9602.6190000000006</v>
      </c>
      <c r="I403">
        <f t="shared" si="40"/>
        <v>0</v>
      </c>
      <c r="J403" s="107"/>
      <c r="K403" s="107"/>
      <c r="L403" s="107"/>
      <c r="M403" s="107"/>
      <c r="N403" s="107"/>
      <c r="O403" s="107"/>
    </row>
    <row r="404" spans="1:15" outlineLevel="1" x14ac:dyDescent="0.25">
      <c r="A404" s="107"/>
      <c r="B404" s="107"/>
      <c r="C404" s="107"/>
      <c r="D404">
        <v>2023</v>
      </c>
      <c r="E404">
        <f t="shared" si="36"/>
        <v>96000</v>
      </c>
      <c r="F404">
        <f>SUM(F410+F416+F422+F428+F434+F440+F446+F452+F458+F464+F470+F476+F482+F488+F500+F506+F512+F518+F524+F530+F536+F542+F548+F554+F560+F566)</f>
        <v>91500</v>
      </c>
      <c r="G404">
        <f t="shared" si="40"/>
        <v>0</v>
      </c>
      <c r="H404">
        <f t="shared" si="41"/>
        <v>4500</v>
      </c>
      <c r="I404">
        <f t="shared" si="40"/>
        <v>0</v>
      </c>
      <c r="J404" s="107"/>
      <c r="K404" s="107"/>
    </row>
    <row r="405" spans="1:15" outlineLevel="1" x14ac:dyDescent="0.25">
      <c r="A405" s="107"/>
      <c r="B405" s="107"/>
      <c r="C405" s="107"/>
      <c r="D405">
        <v>2024</v>
      </c>
      <c r="E405">
        <f t="shared" si="36"/>
        <v>6000</v>
      </c>
      <c r="F405">
        <f t="shared" si="40"/>
        <v>6000</v>
      </c>
      <c r="G405">
        <f t="shared" si="40"/>
        <v>0</v>
      </c>
      <c r="H405">
        <f t="shared" si="41"/>
        <v>0</v>
      </c>
      <c r="I405">
        <f t="shared" si="40"/>
        <v>0</v>
      </c>
      <c r="J405" s="107"/>
      <c r="K405" s="107"/>
    </row>
    <row r="406" spans="1:15" outlineLevel="1" x14ac:dyDescent="0.25">
      <c r="A406" s="107"/>
      <c r="B406" s="107"/>
      <c r="C406" s="107"/>
      <c r="D406">
        <v>2025</v>
      </c>
      <c r="E406">
        <f t="shared" si="36"/>
        <v>6000</v>
      </c>
      <c r="F406">
        <f t="shared" si="40"/>
        <v>6000</v>
      </c>
      <c r="G406">
        <f t="shared" si="40"/>
        <v>0</v>
      </c>
      <c r="H406">
        <f t="shared" si="41"/>
        <v>0</v>
      </c>
      <c r="I406">
        <f t="shared" si="40"/>
        <v>0</v>
      </c>
      <c r="J406" s="107"/>
      <c r="K406" s="107"/>
    </row>
    <row r="407" spans="1:15" ht="17.100000000000001" customHeight="1" outlineLevel="1" x14ac:dyDescent="0.25">
      <c r="A407" s="107" t="s">
        <v>108</v>
      </c>
      <c r="B407" s="107" t="s">
        <v>109</v>
      </c>
      <c r="C407" s="107">
        <v>2021</v>
      </c>
      <c r="D407" t="s">
        <v>8</v>
      </c>
      <c r="E407">
        <f t="shared" si="36"/>
        <v>27027.03</v>
      </c>
      <c r="F407">
        <f>SUM(F408:F412)</f>
        <v>25000</v>
      </c>
      <c r="G407">
        <f>SUM(G408:G412)</f>
        <v>0</v>
      </c>
      <c r="H407">
        <f>SUM(H408:H412)</f>
        <v>2027.03</v>
      </c>
      <c r="I407">
        <f>SUM(I408:I412)</f>
        <v>0</v>
      </c>
      <c r="J407" s="107" t="s">
        <v>565</v>
      </c>
      <c r="K407" s="107" t="s">
        <v>566</v>
      </c>
    </row>
    <row r="408" spans="1:15" ht="17.100000000000001" customHeight="1" outlineLevel="1" x14ac:dyDescent="0.25">
      <c r="A408" s="107"/>
      <c r="B408" s="107"/>
      <c r="C408" s="107"/>
      <c r="D408">
        <v>2021</v>
      </c>
      <c r="E408">
        <f t="shared" si="36"/>
        <v>27027.03</v>
      </c>
      <c r="F408">
        <v>25000</v>
      </c>
      <c r="G408">
        <v>0</v>
      </c>
      <c r="H408">
        <v>2027.03</v>
      </c>
      <c r="I408">
        <v>0</v>
      </c>
      <c r="J408" s="107"/>
      <c r="K408" s="107"/>
    </row>
    <row r="409" spans="1:15" ht="17.100000000000001" customHeight="1" outlineLevel="1" x14ac:dyDescent="0.25">
      <c r="A409" s="107"/>
      <c r="B409" s="107"/>
      <c r="C409" s="107"/>
      <c r="D409">
        <v>2022</v>
      </c>
      <c r="E409">
        <f t="shared" si="36"/>
        <v>0</v>
      </c>
      <c r="F409">
        <v>0</v>
      </c>
      <c r="G409">
        <v>0</v>
      </c>
      <c r="H409">
        <f>+H427</f>
        <v>0</v>
      </c>
      <c r="I409">
        <v>0</v>
      </c>
      <c r="J409" s="107"/>
      <c r="K409" s="107"/>
    </row>
    <row r="410" spans="1:15" ht="17.100000000000001" customHeight="1" outlineLevel="1" x14ac:dyDescent="0.25">
      <c r="A410" s="107"/>
      <c r="B410" s="107"/>
      <c r="C410" s="107"/>
      <c r="D410">
        <v>2023</v>
      </c>
      <c r="E410">
        <f t="shared" si="36"/>
        <v>0</v>
      </c>
      <c r="F410">
        <v>0</v>
      </c>
      <c r="G410">
        <v>0</v>
      </c>
      <c r="H410">
        <v>0</v>
      </c>
      <c r="I410">
        <v>0</v>
      </c>
      <c r="J410" s="107"/>
      <c r="K410" s="107"/>
    </row>
    <row r="411" spans="1:15" outlineLevel="1" x14ac:dyDescent="0.25">
      <c r="A411" s="107"/>
      <c r="B411" s="107"/>
      <c r="C411" s="107"/>
      <c r="D411">
        <v>2024</v>
      </c>
      <c r="E411">
        <f t="shared" si="36"/>
        <v>0</v>
      </c>
      <c r="F411">
        <v>0</v>
      </c>
      <c r="G411">
        <v>0</v>
      </c>
      <c r="H411">
        <v>0</v>
      </c>
      <c r="I411">
        <v>0</v>
      </c>
      <c r="J411" s="107"/>
      <c r="K411" s="107"/>
    </row>
    <row r="412" spans="1:15" outlineLevel="1" x14ac:dyDescent="0.25">
      <c r="A412" s="107"/>
      <c r="B412" s="107"/>
      <c r="C412" s="107"/>
      <c r="D412">
        <v>2025</v>
      </c>
      <c r="E412">
        <f t="shared" si="36"/>
        <v>0</v>
      </c>
      <c r="F412">
        <v>0</v>
      </c>
      <c r="G412">
        <v>0</v>
      </c>
      <c r="H412">
        <v>0</v>
      </c>
      <c r="I412">
        <v>0</v>
      </c>
      <c r="J412" s="107"/>
      <c r="K412" s="107"/>
    </row>
    <row r="413" spans="1:15" ht="17.100000000000001" customHeight="1" outlineLevel="1" x14ac:dyDescent="0.25">
      <c r="A413" s="107" t="s">
        <v>112</v>
      </c>
      <c r="B413" s="107" t="s">
        <v>113</v>
      </c>
      <c r="C413" s="107" t="s">
        <v>14</v>
      </c>
      <c r="D413" t="s">
        <v>8</v>
      </c>
      <c r="E413">
        <f t="shared" si="36"/>
        <v>30000</v>
      </c>
      <c r="F413">
        <f>SUM(F414:F418)</f>
        <v>30000</v>
      </c>
      <c r="G413">
        <f>SUM(G414:G418)</f>
        <v>0</v>
      </c>
      <c r="H413">
        <f>SUM(H414:H418)</f>
        <v>0</v>
      </c>
      <c r="I413">
        <f>SUM(I414:I418)</f>
        <v>0</v>
      </c>
      <c r="J413" s="107" t="s">
        <v>567</v>
      </c>
      <c r="K413" s="107" t="s">
        <v>563</v>
      </c>
    </row>
    <row r="414" spans="1:15" ht="17.100000000000001" customHeight="1" outlineLevel="1" x14ac:dyDescent="0.25">
      <c r="A414" s="107"/>
      <c r="B414" s="107"/>
      <c r="C414" s="107"/>
      <c r="D414">
        <v>2021</v>
      </c>
      <c r="E414">
        <f t="shared" si="36"/>
        <v>6000</v>
      </c>
      <c r="F414">
        <v>6000</v>
      </c>
      <c r="G414">
        <v>0</v>
      </c>
      <c r="H414">
        <v>0</v>
      </c>
      <c r="I414">
        <v>0</v>
      </c>
      <c r="J414" s="107"/>
      <c r="K414" s="107"/>
    </row>
    <row r="415" spans="1:15" ht="17.100000000000001" customHeight="1" outlineLevel="1" x14ac:dyDescent="0.25">
      <c r="A415" s="107"/>
      <c r="B415" s="107"/>
      <c r="C415" s="107"/>
      <c r="D415">
        <v>2022</v>
      </c>
      <c r="E415">
        <f t="shared" si="36"/>
        <v>6000</v>
      </c>
      <c r="F415">
        <v>6000</v>
      </c>
      <c r="G415">
        <v>0</v>
      </c>
      <c r="H415">
        <v>0</v>
      </c>
      <c r="I415">
        <v>0</v>
      </c>
      <c r="J415" s="107"/>
      <c r="K415" s="107"/>
    </row>
    <row r="416" spans="1:15" ht="17.100000000000001" customHeight="1" outlineLevel="1" x14ac:dyDescent="0.25">
      <c r="A416" s="107"/>
      <c r="B416" s="107"/>
      <c r="C416" s="107"/>
      <c r="D416">
        <v>2023</v>
      </c>
      <c r="E416">
        <f t="shared" si="36"/>
        <v>6000</v>
      </c>
      <c r="F416">
        <v>6000</v>
      </c>
      <c r="G416">
        <v>0</v>
      </c>
      <c r="H416">
        <v>0</v>
      </c>
      <c r="I416">
        <v>0</v>
      </c>
      <c r="J416" s="107"/>
      <c r="K416" s="107"/>
    </row>
    <row r="417" spans="1:11" outlineLevel="1" x14ac:dyDescent="0.25">
      <c r="A417" s="107"/>
      <c r="B417" s="107"/>
      <c r="C417" s="107"/>
      <c r="D417">
        <v>2024</v>
      </c>
      <c r="E417">
        <f t="shared" si="36"/>
        <v>6000</v>
      </c>
      <c r="F417">
        <v>6000</v>
      </c>
      <c r="G417">
        <v>0</v>
      </c>
      <c r="H417">
        <v>0</v>
      </c>
      <c r="I417">
        <v>0</v>
      </c>
      <c r="J417" s="107"/>
      <c r="K417" s="107"/>
    </row>
    <row r="418" spans="1:11" outlineLevel="1" x14ac:dyDescent="0.25">
      <c r="A418" s="107"/>
      <c r="B418" s="107"/>
      <c r="C418" s="107"/>
      <c r="D418">
        <v>2025</v>
      </c>
      <c r="E418">
        <f t="shared" si="36"/>
        <v>6000</v>
      </c>
      <c r="F418">
        <v>6000</v>
      </c>
      <c r="G418">
        <v>0</v>
      </c>
      <c r="H418">
        <v>0</v>
      </c>
      <c r="I418">
        <v>0</v>
      </c>
      <c r="J418" s="107"/>
      <c r="K418" s="107"/>
    </row>
    <row r="419" spans="1:11" ht="17.100000000000001" customHeight="1" outlineLevel="1" x14ac:dyDescent="0.25">
      <c r="A419" s="107" t="s">
        <v>568</v>
      </c>
      <c r="B419" s="107" t="s">
        <v>569</v>
      </c>
      <c r="C419" s="107">
        <v>2021</v>
      </c>
      <c r="D419" t="s">
        <v>8</v>
      </c>
      <c r="E419">
        <f t="shared" si="36"/>
        <v>36107.476999999999</v>
      </c>
      <c r="F419">
        <f>SUM(F420:F424)</f>
        <v>36107.476999999999</v>
      </c>
      <c r="G419">
        <f>SUM(G420:G424)</f>
        <v>0</v>
      </c>
      <c r="H419">
        <f>SUM(H420:H424)</f>
        <v>0</v>
      </c>
      <c r="I419">
        <f>SUM(I420:I424)</f>
        <v>0</v>
      </c>
      <c r="J419" s="107" t="s">
        <v>570</v>
      </c>
      <c r="K419" s="107" t="s">
        <v>486</v>
      </c>
    </row>
    <row r="420" spans="1:11" ht="17.100000000000001" customHeight="1" outlineLevel="1" x14ac:dyDescent="0.25">
      <c r="A420" s="107"/>
      <c r="B420" s="107"/>
      <c r="C420" s="107"/>
      <c r="D420">
        <v>2021</v>
      </c>
      <c r="E420">
        <f t="shared" si="36"/>
        <v>3963.1770000000001</v>
      </c>
      <c r="F420">
        <f>3963177/1000</f>
        <v>3963.1770000000001</v>
      </c>
      <c r="G420">
        <v>0</v>
      </c>
      <c r="H420">
        <v>0</v>
      </c>
      <c r="I420">
        <v>0</v>
      </c>
      <c r="J420" s="107"/>
      <c r="K420" s="107"/>
    </row>
    <row r="421" spans="1:11" ht="17.100000000000001" customHeight="1" outlineLevel="1" x14ac:dyDescent="0.25">
      <c r="A421" s="107"/>
      <c r="B421" s="107"/>
      <c r="C421" s="107"/>
      <c r="D421">
        <v>2022</v>
      </c>
      <c r="E421">
        <f t="shared" si="36"/>
        <v>32144.3</v>
      </c>
      <c r="F421">
        <v>32144.3</v>
      </c>
      <c r="G421">
        <v>0</v>
      </c>
      <c r="H421">
        <v>0</v>
      </c>
      <c r="I421">
        <v>0</v>
      </c>
      <c r="J421" s="107"/>
      <c r="K421" s="107"/>
    </row>
    <row r="422" spans="1:11" ht="17.100000000000001" customHeight="1" outlineLevel="1" x14ac:dyDescent="0.25">
      <c r="A422" s="107"/>
      <c r="B422" s="107"/>
      <c r="C422" s="107"/>
      <c r="D422">
        <v>2023</v>
      </c>
      <c r="E422">
        <f t="shared" si="36"/>
        <v>0</v>
      </c>
      <c r="F422">
        <v>0</v>
      </c>
      <c r="G422">
        <v>0</v>
      </c>
      <c r="H422">
        <v>0</v>
      </c>
      <c r="I422">
        <v>0</v>
      </c>
      <c r="J422" s="107"/>
      <c r="K422" s="107"/>
    </row>
    <row r="423" spans="1:11" outlineLevel="1" x14ac:dyDescent="0.25">
      <c r="A423" s="107"/>
      <c r="B423" s="107"/>
      <c r="C423" s="107"/>
      <c r="D423">
        <v>2024</v>
      </c>
      <c r="E423">
        <f t="shared" si="36"/>
        <v>0</v>
      </c>
      <c r="F423">
        <v>0</v>
      </c>
      <c r="G423">
        <v>0</v>
      </c>
      <c r="H423">
        <v>0</v>
      </c>
      <c r="I423">
        <v>0</v>
      </c>
      <c r="J423" s="107"/>
      <c r="K423" s="107"/>
    </row>
    <row r="424" spans="1:11" outlineLevel="1" x14ac:dyDescent="0.25">
      <c r="A424" s="107"/>
      <c r="B424" s="107"/>
      <c r="C424" s="107"/>
      <c r="D424">
        <v>2025</v>
      </c>
      <c r="E424">
        <f t="shared" si="36"/>
        <v>0</v>
      </c>
      <c r="F424">
        <v>0</v>
      </c>
      <c r="G424">
        <v>0</v>
      </c>
      <c r="H424">
        <v>0</v>
      </c>
      <c r="I424">
        <v>0</v>
      </c>
      <c r="J424" s="107"/>
      <c r="K424" s="107"/>
    </row>
    <row r="425" spans="1:11" ht="17.100000000000001" customHeight="1" outlineLevel="1" x14ac:dyDescent="0.25">
      <c r="A425" s="107" t="s">
        <v>571</v>
      </c>
      <c r="B425" s="107" t="s">
        <v>572</v>
      </c>
      <c r="C425" s="107">
        <v>2021</v>
      </c>
      <c r="D425" t="s">
        <v>8</v>
      </c>
      <c r="E425">
        <f t="shared" si="36"/>
        <v>22778.260870000002</v>
      </c>
      <c r="F425">
        <f>SUM(F426:F430)</f>
        <v>18860.400000000001</v>
      </c>
      <c r="G425">
        <f>SUM(G426:G430)</f>
        <v>0</v>
      </c>
      <c r="H425">
        <f>SUM(H426:H430)</f>
        <v>3917.86087</v>
      </c>
      <c r="I425">
        <f>SUM(I426:I430)</f>
        <v>0</v>
      </c>
      <c r="J425" s="107" t="s">
        <v>573</v>
      </c>
      <c r="K425" s="107" t="s">
        <v>566</v>
      </c>
    </row>
    <row r="426" spans="1:11" ht="17.100000000000001" customHeight="1" outlineLevel="1" x14ac:dyDescent="0.25">
      <c r="A426" s="107"/>
      <c r="B426" s="107"/>
      <c r="C426" s="107"/>
      <c r="D426">
        <v>2021</v>
      </c>
      <c r="E426">
        <f t="shared" si="36"/>
        <v>22778.260870000002</v>
      </c>
      <c r="F426">
        <v>18860.400000000001</v>
      </c>
      <c r="G426">
        <v>0</v>
      </c>
      <c r="H426">
        <v>3917.86087</v>
      </c>
      <c r="I426">
        <v>0</v>
      </c>
      <c r="J426" s="107"/>
      <c r="K426" s="107"/>
    </row>
    <row r="427" spans="1:11" ht="17.100000000000001" customHeight="1" outlineLevel="1" x14ac:dyDescent="0.25">
      <c r="A427" s="107"/>
      <c r="B427" s="107"/>
      <c r="C427" s="107"/>
      <c r="D427">
        <v>2022</v>
      </c>
      <c r="E427">
        <v>0</v>
      </c>
      <c r="F427">
        <v>0</v>
      </c>
      <c r="G427">
        <v>0</v>
      </c>
      <c r="H427">
        <v>0</v>
      </c>
      <c r="I427">
        <v>0</v>
      </c>
      <c r="J427" s="107"/>
      <c r="K427" s="107"/>
    </row>
    <row r="428" spans="1:11" ht="17.100000000000001" customHeight="1" outlineLevel="1" x14ac:dyDescent="0.25">
      <c r="A428" s="107"/>
      <c r="B428" s="107"/>
      <c r="C428" s="107"/>
      <c r="D428">
        <v>2023</v>
      </c>
      <c r="E428">
        <v>0</v>
      </c>
      <c r="F428">
        <v>0</v>
      </c>
      <c r="G428">
        <v>0</v>
      </c>
      <c r="H428">
        <v>0</v>
      </c>
      <c r="I428">
        <v>0</v>
      </c>
      <c r="J428" s="107"/>
      <c r="K428" s="107"/>
    </row>
    <row r="429" spans="1:11" outlineLevel="1" x14ac:dyDescent="0.25">
      <c r="A429" s="107"/>
      <c r="B429" s="107"/>
      <c r="C429" s="107"/>
      <c r="D429">
        <v>2024</v>
      </c>
      <c r="E429">
        <v>0</v>
      </c>
      <c r="F429">
        <v>0</v>
      </c>
      <c r="G429">
        <v>0</v>
      </c>
      <c r="H429">
        <v>0</v>
      </c>
      <c r="I429">
        <v>0</v>
      </c>
      <c r="J429" s="107"/>
      <c r="K429" s="107"/>
    </row>
    <row r="430" spans="1:11" outlineLevel="1" x14ac:dyDescent="0.25">
      <c r="A430" s="107"/>
      <c r="B430" s="107"/>
      <c r="C430" s="107"/>
      <c r="D430">
        <v>2025</v>
      </c>
      <c r="E430">
        <v>0</v>
      </c>
      <c r="F430">
        <v>0</v>
      </c>
      <c r="G430">
        <v>0</v>
      </c>
      <c r="H430">
        <v>0</v>
      </c>
      <c r="I430">
        <v>0</v>
      </c>
      <c r="J430" s="107"/>
      <c r="K430" s="107"/>
    </row>
    <row r="431" spans="1:11" ht="17.100000000000001" customHeight="1" outlineLevel="1" x14ac:dyDescent="0.25">
      <c r="A431" s="107" t="s">
        <v>574</v>
      </c>
      <c r="B431" s="107" t="s">
        <v>575</v>
      </c>
      <c r="C431" s="107">
        <v>2021</v>
      </c>
      <c r="D431" t="s">
        <v>8</v>
      </c>
      <c r="E431">
        <f t="shared" ref="E431:E491" si="42">SUM(F431:I431)</f>
        <v>13210.697336842104</v>
      </c>
      <c r="F431">
        <f>SUM(F432:F436)</f>
        <v>12550.162469999999</v>
      </c>
      <c r="G431">
        <f>SUM(G432:G436)</f>
        <v>0</v>
      </c>
      <c r="H431">
        <f>SUM(H432:H436)</f>
        <v>660.5348668421052</v>
      </c>
      <c r="I431">
        <f>SUM(I432:I436)</f>
        <v>0</v>
      </c>
      <c r="J431" s="107" t="s">
        <v>576</v>
      </c>
      <c r="K431" s="107" t="s">
        <v>547</v>
      </c>
    </row>
    <row r="432" spans="1:11" ht="17.100000000000001" customHeight="1" outlineLevel="1" x14ac:dyDescent="0.25">
      <c r="A432" s="107"/>
      <c r="B432" s="107"/>
      <c r="C432" s="107"/>
      <c r="D432">
        <v>2021</v>
      </c>
      <c r="E432">
        <f t="shared" si="42"/>
        <v>13210.697336842104</v>
      </c>
      <c r="F432">
        <v>12550.162469999999</v>
      </c>
      <c r="G432">
        <v>0</v>
      </c>
      <c r="H432">
        <f>F432/95*5</f>
        <v>660.5348668421052</v>
      </c>
      <c r="I432">
        <v>0</v>
      </c>
      <c r="J432" s="107"/>
      <c r="K432" s="107"/>
    </row>
    <row r="433" spans="1:11" ht="17.100000000000001" customHeight="1" outlineLevel="1" x14ac:dyDescent="0.25">
      <c r="A433" s="107"/>
      <c r="B433" s="107"/>
      <c r="C433" s="107"/>
      <c r="D433">
        <v>2022</v>
      </c>
      <c r="E433">
        <v>0</v>
      </c>
      <c r="F433">
        <v>0</v>
      </c>
      <c r="G433">
        <v>0</v>
      </c>
      <c r="H433">
        <v>0</v>
      </c>
      <c r="I433">
        <v>0</v>
      </c>
      <c r="J433" s="107"/>
      <c r="K433" s="107"/>
    </row>
    <row r="434" spans="1:11" ht="17.100000000000001" customHeight="1" outlineLevel="1" x14ac:dyDescent="0.25">
      <c r="A434" s="107"/>
      <c r="B434" s="107"/>
      <c r="C434" s="107"/>
      <c r="D434">
        <v>2023</v>
      </c>
      <c r="E434">
        <v>0</v>
      </c>
      <c r="F434">
        <v>0</v>
      </c>
      <c r="G434">
        <v>0</v>
      </c>
      <c r="H434">
        <v>0</v>
      </c>
      <c r="I434">
        <v>0</v>
      </c>
      <c r="J434" s="107"/>
      <c r="K434" s="107"/>
    </row>
    <row r="435" spans="1:11" outlineLevel="1" x14ac:dyDescent="0.25">
      <c r="A435" s="107"/>
      <c r="B435" s="107"/>
      <c r="C435" s="107"/>
      <c r="D435">
        <v>2024</v>
      </c>
      <c r="E435">
        <v>0</v>
      </c>
      <c r="F435">
        <v>0</v>
      </c>
      <c r="G435">
        <v>0</v>
      </c>
      <c r="H435">
        <v>0</v>
      </c>
      <c r="I435">
        <v>0</v>
      </c>
      <c r="J435" s="107"/>
      <c r="K435" s="107"/>
    </row>
    <row r="436" spans="1:11" outlineLevel="1" x14ac:dyDescent="0.25">
      <c r="A436" s="107"/>
      <c r="B436" s="107"/>
      <c r="C436" s="107"/>
      <c r="D436">
        <v>2025</v>
      </c>
      <c r="E436">
        <v>0</v>
      </c>
      <c r="F436">
        <v>0</v>
      </c>
      <c r="G436">
        <v>0</v>
      </c>
      <c r="H436">
        <v>0</v>
      </c>
      <c r="I436">
        <v>0</v>
      </c>
      <c r="J436" s="107"/>
      <c r="K436" s="107"/>
    </row>
    <row r="437" spans="1:11" ht="17.100000000000001" customHeight="1" outlineLevel="1" x14ac:dyDescent="0.25">
      <c r="A437" s="107" t="s">
        <v>577</v>
      </c>
      <c r="B437" s="107" t="s">
        <v>578</v>
      </c>
      <c r="C437" s="107">
        <v>2021</v>
      </c>
      <c r="D437" t="s">
        <v>8</v>
      </c>
      <c r="E437">
        <f t="shared" si="42"/>
        <v>7451.59</v>
      </c>
      <c r="F437">
        <f>SUM(F438:F442)</f>
        <v>7079.0105000000003</v>
      </c>
      <c r="G437">
        <f>SUM(G438:G442)</f>
        <v>0</v>
      </c>
      <c r="H437">
        <f>SUM(H438:H442)</f>
        <v>372.5795</v>
      </c>
      <c r="I437">
        <f>SUM(I438:I442)</f>
        <v>0</v>
      </c>
      <c r="J437" s="107" t="s">
        <v>579</v>
      </c>
      <c r="K437" s="107" t="s">
        <v>547</v>
      </c>
    </row>
    <row r="438" spans="1:11" ht="17.100000000000001" customHeight="1" outlineLevel="1" x14ac:dyDescent="0.25">
      <c r="A438" s="107"/>
      <c r="B438" s="107"/>
      <c r="C438" s="107"/>
      <c r="D438">
        <v>2021</v>
      </c>
      <c r="E438">
        <f t="shared" si="42"/>
        <v>7451.59</v>
      </c>
      <c r="F438">
        <v>7079.0105000000003</v>
      </c>
      <c r="G438">
        <v>0</v>
      </c>
      <c r="H438">
        <f>F438/95*5</f>
        <v>372.5795</v>
      </c>
      <c r="I438">
        <v>0</v>
      </c>
      <c r="J438" s="107"/>
      <c r="K438" s="107"/>
    </row>
    <row r="439" spans="1:11" ht="17.100000000000001" customHeight="1" outlineLevel="1" x14ac:dyDescent="0.25">
      <c r="A439" s="107"/>
      <c r="B439" s="107"/>
      <c r="C439" s="107"/>
      <c r="D439">
        <v>2022</v>
      </c>
      <c r="E439">
        <v>0</v>
      </c>
      <c r="F439">
        <v>0</v>
      </c>
      <c r="G439">
        <v>0</v>
      </c>
      <c r="H439">
        <v>0</v>
      </c>
      <c r="I439">
        <v>0</v>
      </c>
      <c r="J439" s="107"/>
      <c r="K439" s="107"/>
    </row>
    <row r="440" spans="1:11" ht="17.100000000000001" customHeight="1" outlineLevel="1" x14ac:dyDescent="0.25">
      <c r="A440" s="107"/>
      <c r="B440" s="107"/>
      <c r="C440" s="107"/>
      <c r="D440">
        <v>2023</v>
      </c>
      <c r="E440">
        <v>0</v>
      </c>
      <c r="F440">
        <v>0</v>
      </c>
      <c r="G440">
        <v>0</v>
      </c>
      <c r="H440">
        <v>0</v>
      </c>
      <c r="I440">
        <v>0</v>
      </c>
      <c r="J440" s="107"/>
      <c r="K440" s="107"/>
    </row>
    <row r="441" spans="1:11" outlineLevel="1" x14ac:dyDescent="0.25">
      <c r="A441" s="107"/>
      <c r="B441" s="107"/>
      <c r="C441" s="107"/>
      <c r="D441">
        <v>2024</v>
      </c>
      <c r="E441">
        <v>0</v>
      </c>
      <c r="F441">
        <v>0</v>
      </c>
      <c r="G441">
        <v>0</v>
      </c>
      <c r="H441">
        <v>0</v>
      </c>
      <c r="I441">
        <v>0</v>
      </c>
      <c r="J441" s="107"/>
      <c r="K441" s="107"/>
    </row>
    <row r="442" spans="1:11" outlineLevel="1" x14ac:dyDescent="0.25">
      <c r="A442" s="107"/>
      <c r="B442" s="107"/>
      <c r="C442" s="107"/>
      <c r="D442">
        <v>2025</v>
      </c>
      <c r="E442">
        <v>0</v>
      </c>
      <c r="F442">
        <v>0</v>
      </c>
      <c r="G442">
        <v>0</v>
      </c>
      <c r="H442">
        <v>0</v>
      </c>
      <c r="I442">
        <v>0</v>
      </c>
      <c r="J442" s="107"/>
      <c r="K442" s="107"/>
    </row>
    <row r="443" spans="1:11" ht="17.100000000000001" customHeight="1" outlineLevel="1" x14ac:dyDescent="0.25">
      <c r="A443" s="107" t="s">
        <v>580</v>
      </c>
      <c r="B443" s="107" t="s">
        <v>416</v>
      </c>
      <c r="C443" s="107">
        <v>2021</v>
      </c>
      <c r="D443" t="s">
        <v>8</v>
      </c>
      <c r="E443">
        <f t="shared" si="42"/>
        <v>50013.516600000003</v>
      </c>
      <c r="F443">
        <f>SUM(F444:F448)</f>
        <v>47512.840770000003</v>
      </c>
      <c r="G443">
        <f>SUM(G444:G448)</f>
        <v>0</v>
      </c>
      <c r="H443">
        <f>SUM(H444:H448)</f>
        <v>2500.6758300000001</v>
      </c>
      <c r="I443">
        <f>SUM(I444:I448)</f>
        <v>0</v>
      </c>
      <c r="J443" s="107" t="s">
        <v>581</v>
      </c>
      <c r="K443" s="107" t="s">
        <v>547</v>
      </c>
    </row>
    <row r="444" spans="1:11" ht="17.100000000000001" customHeight="1" outlineLevel="1" x14ac:dyDescent="0.25">
      <c r="A444" s="107"/>
      <c r="B444" s="107"/>
      <c r="C444" s="107"/>
      <c r="D444">
        <v>2021</v>
      </c>
      <c r="E444">
        <f t="shared" si="42"/>
        <v>50013.516600000003</v>
      </c>
      <c r="F444">
        <v>47512.840770000003</v>
      </c>
      <c r="G444">
        <v>0</v>
      </c>
      <c r="H444">
        <f>F444/95*5</f>
        <v>2500.6758300000001</v>
      </c>
      <c r="I444">
        <v>0</v>
      </c>
      <c r="J444" s="107"/>
      <c r="K444" s="107"/>
    </row>
    <row r="445" spans="1:11" ht="17.100000000000001" customHeight="1" outlineLevel="1" x14ac:dyDescent="0.25">
      <c r="A445" s="107"/>
      <c r="B445" s="107"/>
      <c r="C445" s="107"/>
      <c r="D445">
        <v>2022</v>
      </c>
      <c r="E445">
        <v>0</v>
      </c>
      <c r="F445">
        <v>0</v>
      </c>
      <c r="G445">
        <v>0</v>
      </c>
      <c r="H445">
        <v>0</v>
      </c>
      <c r="I445">
        <v>0</v>
      </c>
      <c r="J445" s="107"/>
      <c r="K445" s="107"/>
    </row>
    <row r="446" spans="1:11" ht="17.100000000000001" customHeight="1" outlineLevel="1" x14ac:dyDescent="0.25">
      <c r="A446" s="107"/>
      <c r="B446" s="107"/>
      <c r="C446" s="107"/>
      <c r="D446">
        <v>2023</v>
      </c>
      <c r="E446">
        <v>0</v>
      </c>
      <c r="F446">
        <v>0</v>
      </c>
      <c r="G446">
        <v>0</v>
      </c>
      <c r="H446">
        <v>0</v>
      </c>
      <c r="I446">
        <v>0</v>
      </c>
      <c r="J446" s="107"/>
      <c r="K446" s="107"/>
    </row>
    <row r="447" spans="1:11" outlineLevel="1" x14ac:dyDescent="0.25">
      <c r="A447" s="107"/>
      <c r="B447" s="107"/>
      <c r="C447" s="107"/>
      <c r="D447">
        <v>2024</v>
      </c>
      <c r="E447">
        <v>0</v>
      </c>
      <c r="F447">
        <v>0</v>
      </c>
      <c r="G447">
        <v>0</v>
      </c>
      <c r="H447">
        <v>0</v>
      </c>
      <c r="I447">
        <v>0</v>
      </c>
      <c r="J447" s="107"/>
      <c r="K447" s="107"/>
    </row>
    <row r="448" spans="1:11" outlineLevel="1" x14ac:dyDescent="0.25">
      <c r="A448" s="107"/>
      <c r="B448" s="107"/>
      <c r="C448" s="107"/>
      <c r="D448">
        <v>2025</v>
      </c>
      <c r="E448">
        <v>0</v>
      </c>
      <c r="F448">
        <v>0</v>
      </c>
      <c r="G448">
        <v>0</v>
      </c>
      <c r="H448">
        <v>0</v>
      </c>
      <c r="I448">
        <v>0</v>
      </c>
      <c r="J448" s="107"/>
      <c r="K448" s="107"/>
    </row>
    <row r="449" spans="1:11" ht="17.100000000000001" customHeight="1" outlineLevel="1" x14ac:dyDescent="0.25">
      <c r="A449" s="107" t="s">
        <v>582</v>
      </c>
      <c r="B449" s="107" t="s">
        <v>419</v>
      </c>
      <c r="C449" s="107">
        <v>2021</v>
      </c>
      <c r="D449" t="s">
        <v>8</v>
      </c>
      <c r="E449">
        <f t="shared" si="42"/>
        <v>9928.3460643185299</v>
      </c>
      <c r="F449">
        <f>SUM(F450:F454)</f>
        <v>6483.2099799999996</v>
      </c>
      <c r="G449">
        <f>SUM(G450:G454)</f>
        <v>0</v>
      </c>
      <c r="H449">
        <f>SUM(H450:H454)</f>
        <v>3445.1360843185298</v>
      </c>
      <c r="I449">
        <f>SUM(I450:I454)</f>
        <v>0</v>
      </c>
      <c r="J449" s="107" t="s">
        <v>583</v>
      </c>
      <c r="K449" s="107" t="s">
        <v>547</v>
      </c>
    </row>
    <row r="450" spans="1:11" ht="17.100000000000001" customHeight="1" outlineLevel="1" x14ac:dyDescent="0.25">
      <c r="A450" s="107"/>
      <c r="B450" s="107"/>
      <c r="C450" s="107"/>
      <c r="D450">
        <v>2021</v>
      </c>
      <c r="E450">
        <f t="shared" si="42"/>
        <v>9928.3460643185299</v>
      </c>
      <c r="F450">
        <v>6483.2099799999996</v>
      </c>
      <c r="G450">
        <v>0</v>
      </c>
      <c r="H450">
        <f>F450/65.3*34.7</f>
        <v>3445.1360843185298</v>
      </c>
      <c r="I450">
        <v>0</v>
      </c>
      <c r="J450" s="107"/>
      <c r="K450" s="107"/>
    </row>
    <row r="451" spans="1:11" ht="17.100000000000001" customHeight="1" outlineLevel="1" x14ac:dyDescent="0.25">
      <c r="A451" s="107"/>
      <c r="B451" s="107"/>
      <c r="C451" s="107"/>
      <c r="D451">
        <v>2022</v>
      </c>
      <c r="E451">
        <v>0</v>
      </c>
      <c r="F451">
        <v>0</v>
      </c>
      <c r="G451">
        <v>0</v>
      </c>
      <c r="H451">
        <v>0</v>
      </c>
      <c r="I451">
        <v>0</v>
      </c>
      <c r="J451" s="107"/>
      <c r="K451" s="107"/>
    </row>
    <row r="452" spans="1:11" ht="17.100000000000001" customHeight="1" outlineLevel="1" x14ac:dyDescent="0.25">
      <c r="A452" s="107"/>
      <c r="B452" s="107"/>
      <c r="C452" s="107"/>
      <c r="D452">
        <v>2023</v>
      </c>
      <c r="E452">
        <v>0</v>
      </c>
      <c r="F452">
        <v>0</v>
      </c>
      <c r="G452">
        <v>0</v>
      </c>
      <c r="H452">
        <v>0</v>
      </c>
      <c r="I452">
        <v>0</v>
      </c>
      <c r="J452" s="107"/>
      <c r="K452" s="107"/>
    </row>
    <row r="453" spans="1:11" outlineLevel="1" x14ac:dyDescent="0.25">
      <c r="A453" s="107"/>
      <c r="B453" s="107"/>
      <c r="C453" s="107"/>
      <c r="D453">
        <v>2024</v>
      </c>
      <c r="E453">
        <v>0</v>
      </c>
      <c r="F453">
        <v>0</v>
      </c>
      <c r="G453">
        <v>0</v>
      </c>
      <c r="H453">
        <v>0</v>
      </c>
      <c r="I453">
        <v>0</v>
      </c>
      <c r="J453" s="107"/>
      <c r="K453" s="107"/>
    </row>
    <row r="454" spans="1:11" ht="28.5" customHeight="1" outlineLevel="1" x14ac:dyDescent="0.25">
      <c r="A454" s="107"/>
      <c r="B454" s="107"/>
      <c r="C454" s="107"/>
      <c r="D454">
        <v>2025</v>
      </c>
      <c r="E454">
        <v>0</v>
      </c>
      <c r="F454">
        <v>0</v>
      </c>
      <c r="G454">
        <v>0</v>
      </c>
      <c r="H454">
        <v>0</v>
      </c>
      <c r="I454">
        <v>0</v>
      </c>
      <c r="J454" s="107"/>
      <c r="K454" s="107"/>
    </row>
    <row r="455" spans="1:11" ht="16.5" hidden="1" customHeight="1" outlineLevel="1" x14ac:dyDescent="0.25">
      <c r="A455" s="107" t="s">
        <v>584</v>
      </c>
      <c r="B455" s="107" t="s">
        <v>424</v>
      </c>
      <c r="C455" s="107">
        <v>2021</v>
      </c>
      <c r="D455" t="s">
        <v>8</v>
      </c>
      <c r="E455">
        <f t="shared" si="42"/>
        <v>0</v>
      </c>
      <c r="F455">
        <f>SUM(F456:F460)</f>
        <v>0</v>
      </c>
      <c r="G455">
        <f>SUM(G456:G460)</f>
        <v>0</v>
      </c>
      <c r="H455">
        <f>SUM(H456:H460)</f>
        <v>0</v>
      </c>
      <c r="I455">
        <f>SUM(I456:I460)</f>
        <v>0</v>
      </c>
      <c r="J455" s="107" t="s">
        <v>585</v>
      </c>
      <c r="K455" s="107" t="s">
        <v>103</v>
      </c>
    </row>
    <row r="456" spans="1:11" ht="0.75" hidden="1" customHeight="1" outlineLevel="1" x14ac:dyDescent="0.25">
      <c r="A456" s="107"/>
      <c r="B456" s="107"/>
      <c r="C456" s="107"/>
      <c r="D456">
        <v>2021</v>
      </c>
      <c r="E456">
        <f t="shared" si="42"/>
        <v>0</v>
      </c>
      <c r="F456">
        <v>0</v>
      </c>
      <c r="G456">
        <v>0</v>
      </c>
      <c r="H456">
        <f>F456/95*5</f>
        <v>0</v>
      </c>
      <c r="I456">
        <v>0</v>
      </c>
      <c r="J456" s="107"/>
      <c r="K456" s="107"/>
    </row>
    <row r="457" spans="1:11" ht="9" hidden="1" customHeight="1" outlineLevel="1" x14ac:dyDescent="0.25">
      <c r="A457" s="107"/>
      <c r="B457" s="107"/>
      <c r="C457" s="107"/>
      <c r="D457">
        <v>2022</v>
      </c>
      <c r="E457">
        <v>0</v>
      </c>
      <c r="F457">
        <v>0</v>
      </c>
      <c r="G457">
        <v>0</v>
      </c>
      <c r="H457">
        <v>0</v>
      </c>
      <c r="I457">
        <v>0</v>
      </c>
      <c r="J457" s="107"/>
      <c r="K457" s="107"/>
    </row>
    <row r="458" spans="1:11" ht="9" hidden="1" customHeight="1" outlineLevel="1" x14ac:dyDescent="0.25">
      <c r="A458" s="107"/>
      <c r="B458" s="107"/>
      <c r="C458" s="107"/>
      <c r="D458">
        <v>2023</v>
      </c>
      <c r="E458">
        <v>0</v>
      </c>
      <c r="F458">
        <v>0</v>
      </c>
      <c r="G458">
        <v>0</v>
      </c>
      <c r="H458">
        <v>0</v>
      </c>
      <c r="I458">
        <v>0</v>
      </c>
      <c r="J458" s="107"/>
      <c r="K458" s="107"/>
    </row>
    <row r="459" spans="1:11" ht="15" hidden="1" customHeight="1" outlineLevel="1" x14ac:dyDescent="0.25">
      <c r="A459" s="107"/>
      <c r="B459" s="107"/>
      <c r="C459" s="107"/>
      <c r="D459">
        <v>2024</v>
      </c>
      <c r="E459">
        <v>0</v>
      </c>
      <c r="F459">
        <v>0</v>
      </c>
      <c r="G459">
        <v>0</v>
      </c>
      <c r="H459">
        <v>0</v>
      </c>
      <c r="I459">
        <v>0</v>
      </c>
      <c r="J459" s="107"/>
      <c r="K459" s="107"/>
    </row>
    <row r="460" spans="1:11" ht="16.5" hidden="1" customHeight="1" outlineLevel="1" x14ac:dyDescent="0.25">
      <c r="A460" s="107"/>
      <c r="B460" s="107"/>
      <c r="C460" s="107"/>
      <c r="D460">
        <v>2025</v>
      </c>
      <c r="E460">
        <v>0</v>
      </c>
      <c r="F460">
        <v>0</v>
      </c>
      <c r="G460">
        <v>0</v>
      </c>
      <c r="H460">
        <v>0</v>
      </c>
      <c r="I460">
        <v>0</v>
      </c>
      <c r="J460" s="107"/>
      <c r="K460" s="107"/>
    </row>
    <row r="461" spans="1:11" ht="15" customHeight="1" outlineLevel="1" x14ac:dyDescent="0.25">
      <c r="A461" s="107" t="s">
        <v>586</v>
      </c>
      <c r="B461" s="107" t="s">
        <v>587</v>
      </c>
      <c r="C461" s="107">
        <v>2021</v>
      </c>
      <c r="D461" t="s">
        <v>8</v>
      </c>
      <c r="E461">
        <f t="shared" si="42"/>
        <v>28829.676842105262</v>
      </c>
      <c r="F461">
        <f>SUM(F462:F466)</f>
        <v>27388.192999999999</v>
      </c>
      <c r="G461">
        <f>SUM(G462:G466)</f>
        <v>0</v>
      </c>
      <c r="H461">
        <f>SUM(H462:H466)</f>
        <v>1441.483842105263</v>
      </c>
      <c r="I461">
        <f>SUM(I462:I466)</f>
        <v>0</v>
      </c>
      <c r="J461" s="107" t="s">
        <v>588</v>
      </c>
      <c r="K461" s="107" t="s">
        <v>547</v>
      </c>
    </row>
    <row r="462" spans="1:11" ht="15" customHeight="1" outlineLevel="1" x14ac:dyDescent="0.25">
      <c r="A462" s="107"/>
      <c r="B462" s="107"/>
      <c r="C462" s="107"/>
      <c r="D462">
        <v>2021</v>
      </c>
      <c r="E462">
        <f t="shared" si="42"/>
        <v>28829.676842105262</v>
      </c>
      <c r="F462">
        <v>27388.192999999999</v>
      </c>
      <c r="G462">
        <v>0</v>
      </c>
      <c r="H462">
        <f>F462/95*5</f>
        <v>1441.483842105263</v>
      </c>
      <c r="I462">
        <v>0</v>
      </c>
      <c r="J462" s="107"/>
      <c r="K462" s="107"/>
    </row>
    <row r="463" spans="1:11" ht="15" customHeight="1" outlineLevel="1" x14ac:dyDescent="0.25">
      <c r="A463" s="107"/>
      <c r="B463" s="107"/>
      <c r="C463" s="107"/>
      <c r="D463">
        <v>2022</v>
      </c>
      <c r="E463">
        <v>0</v>
      </c>
      <c r="F463">
        <v>0</v>
      </c>
      <c r="G463">
        <v>0</v>
      </c>
      <c r="H463">
        <v>0</v>
      </c>
      <c r="I463">
        <v>0</v>
      </c>
      <c r="J463" s="107"/>
      <c r="K463" s="107"/>
    </row>
    <row r="464" spans="1:11" ht="15" customHeight="1" outlineLevel="1" x14ac:dyDescent="0.25">
      <c r="A464" s="107"/>
      <c r="B464" s="107"/>
      <c r="C464" s="107"/>
      <c r="D464">
        <v>2023</v>
      </c>
      <c r="E464">
        <v>0</v>
      </c>
      <c r="F464">
        <v>0</v>
      </c>
      <c r="G464">
        <v>0</v>
      </c>
      <c r="H464">
        <v>0</v>
      </c>
      <c r="I464">
        <v>0</v>
      </c>
      <c r="J464" s="107"/>
      <c r="K464" s="107"/>
    </row>
    <row r="465" spans="1:11" ht="15" customHeight="1" outlineLevel="1" x14ac:dyDescent="0.25">
      <c r="A465" s="107"/>
      <c r="B465" s="107"/>
      <c r="C465" s="107"/>
      <c r="D465">
        <v>2024</v>
      </c>
      <c r="E465">
        <v>0</v>
      </c>
      <c r="F465">
        <v>0</v>
      </c>
      <c r="G465">
        <v>0</v>
      </c>
      <c r="H465">
        <v>0</v>
      </c>
      <c r="I465">
        <v>0</v>
      </c>
      <c r="J465" s="107"/>
      <c r="K465" s="107"/>
    </row>
    <row r="466" spans="1:11" ht="15" customHeight="1" outlineLevel="1" x14ac:dyDescent="0.25">
      <c r="A466" s="107"/>
      <c r="B466" s="107"/>
      <c r="C466" s="107"/>
      <c r="D466">
        <v>2025</v>
      </c>
      <c r="E466">
        <v>0</v>
      </c>
      <c r="F466">
        <v>0</v>
      </c>
      <c r="G466">
        <v>0</v>
      </c>
      <c r="H466">
        <v>0</v>
      </c>
      <c r="I466">
        <v>0</v>
      </c>
      <c r="J466" s="107"/>
      <c r="K466" s="107"/>
    </row>
    <row r="467" spans="1:11" ht="15" customHeight="1" outlineLevel="1" x14ac:dyDescent="0.25">
      <c r="A467" s="107" t="s">
        <v>589</v>
      </c>
      <c r="B467" s="107" t="s">
        <v>590</v>
      </c>
      <c r="C467" s="107">
        <v>2021</v>
      </c>
      <c r="D467" t="s">
        <v>8</v>
      </c>
      <c r="E467">
        <f t="shared" si="42"/>
        <v>2270.6600000000003</v>
      </c>
      <c r="F467">
        <f>SUM(F468:F472)</f>
        <v>2100.36</v>
      </c>
      <c r="G467">
        <f>SUM(G468:G472)</f>
        <v>0</v>
      </c>
      <c r="H467">
        <f>SUM(H468:H472)</f>
        <v>170.3</v>
      </c>
      <c r="I467">
        <f>SUM(I468:I472)</f>
        <v>0</v>
      </c>
      <c r="J467" s="107" t="s">
        <v>591</v>
      </c>
      <c r="K467" s="107" t="s">
        <v>547</v>
      </c>
    </row>
    <row r="468" spans="1:11" ht="15" customHeight="1" outlineLevel="1" x14ac:dyDescent="0.25">
      <c r="A468" s="107"/>
      <c r="B468" s="107"/>
      <c r="C468" s="107"/>
      <c r="D468">
        <v>2021</v>
      </c>
      <c r="E468">
        <f t="shared" si="42"/>
        <v>2270.6600000000003</v>
      </c>
      <c r="F468">
        <v>2100.36</v>
      </c>
      <c r="G468">
        <v>0</v>
      </c>
      <c r="H468">
        <v>170.3</v>
      </c>
      <c r="I468">
        <v>0</v>
      </c>
      <c r="J468" s="107"/>
      <c r="K468" s="107"/>
    </row>
    <row r="469" spans="1:11" ht="15" customHeight="1" outlineLevel="1" x14ac:dyDescent="0.25">
      <c r="A469" s="107"/>
      <c r="B469" s="107"/>
      <c r="C469" s="107"/>
      <c r="D469">
        <v>2022</v>
      </c>
      <c r="E469">
        <f t="shared" si="42"/>
        <v>0</v>
      </c>
      <c r="F469">
        <v>0</v>
      </c>
      <c r="G469">
        <v>0</v>
      </c>
      <c r="H469">
        <v>0</v>
      </c>
      <c r="I469">
        <v>0</v>
      </c>
      <c r="J469" s="107"/>
      <c r="K469" s="107"/>
    </row>
    <row r="470" spans="1:11" ht="15" customHeight="1" outlineLevel="1" x14ac:dyDescent="0.25">
      <c r="A470" s="107"/>
      <c r="B470" s="107"/>
      <c r="C470" s="107"/>
      <c r="D470">
        <v>2023</v>
      </c>
      <c r="E470">
        <f t="shared" si="42"/>
        <v>0</v>
      </c>
      <c r="F470">
        <v>0</v>
      </c>
      <c r="G470">
        <v>0</v>
      </c>
      <c r="H470">
        <v>0</v>
      </c>
      <c r="I470">
        <v>0</v>
      </c>
      <c r="J470" s="107"/>
      <c r="K470" s="107"/>
    </row>
    <row r="471" spans="1:11" ht="15" customHeight="1" outlineLevel="1" x14ac:dyDescent="0.25">
      <c r="A471" s="107"/>
      <c r="B471" s="107"/>
      <c r="C471" s="107"/>
      <c r="D471">
        <v>2024</v>
      </c>
      <c r="E471">
        <f t="shared" si="42"/>
        <v>0</v>
      </c>
      <c r="F471">
        <v>0</v>
      </c>
      <c r="G471">
        <v>0</v>
      </c>
      <c r="H471">
        <v>0</v>
      </c>
      <c r="I471">
        <v>0</v>
      </c>
      <c r="J471" s="107"/>
      <c r="K471" s="107"/>
    </row>
    <row r="472" spans="1:11" ht="13.5" customHeight="1" outlineLevel="1" x14ac:dyDescent="0.25">
      <c r="A472" s="107"/>
      <c r="B472" s="107"/>
      <c r="C472" s="107"/>
      <c r="D472">
        <v>2025</v>
      </c>
      <c r="E472">
        <f t="shared" si="42"/>
        <v>0</v>
      </c>
      <c r="F472">
        <v>0</v>
      </c>
      <c r="G472">
        <v>0</v>
      </c>
      <c r="H472">
        <v>0</v>
      </c>
      <c r="I472">
        <v>0</v>
      </c>
      <c r="J472" s="107"/>
      <c r="K472" s="107"/>
    </row>
    <row r="473" spans="1:11" ht="15" hidden="1" customHeight="1" outlineLevel="1" x14ac:dyDescent="0.25">
      <c r="A473" s="107" t="s">
        <v>592</v>
      </c>
      <c r="B473" s="107" t="s">
        <v>593</v>
      </c>
      <c r="C473" s="107">
        <v>2021</v>
      </c>
      <c r="D473" t="s">
        <v>8</v>
      </c>
      <c r="J473" s="107" t="s">
        <v>594</v>
      </c>
      <c r="K473" s="107" t="s">
        <v>103</v>
      </c>
    </row>
    <row r="474" spans="1:11" ht="14.25" hidden="1" customHeight="1" outlineLevel="1" x14ac:dyDescent="0.25">
      <c r="A474" s="107"/>
      <c r="B474" s="107"/>
      <c r="C474" s="107"/>
      <c r="D474">
        <v>2021</v>
      </c>
      <c r="J474" s="107"/>
      <c r="K474" s="107"/>
    </row>
    <row r="475" spans="1:11" ht="12.75" hidden="1" customHeight="1" outlineLevel="1" x14ac:dyDescent="0.25">
      <c r="A475" s="107"/>
      <c r="B475" s="107"/>
      <c r="C475" s="107"/>
      <c r="D475">
        <v>2022</v>
      </c>
      <c r="J475" s="107"/>
      <c r="K475" s="107"/>
    </row>
    <row r="476" spans="1:11" ht="12.75" hidden="1" customHeight="1" outlineLevel="1" x14ac:dyDescent="0.25">
      <c r="A476" s="107"/>
      <c r="B476" s="107"/>
      <c r="C476" s="107"/>
      <c r="D476">
        <v>2023</v>
      </c>
      <c r="J476" s="107"/>
      <c r="K476" s="107"/>
    </row>
    <row r="477" spans="1:11" ht="12.75" hidden="1" customHeight="1" outlineLevel="1" x14ac:dyDescent="0.25">
      <c r="A477" s="107"/>
      <c r="B477" s="107"/>
      <c r="C477" s="107"/>
      <c r="D477">
        <v>2024</v>
      </c>
      <c r="J477" s="107"/>
      <c r="K477" s="107"/>
    </row>
    <row r="478" spans="1:11" ht="20.25" hidden="1" customHeight="1" outlineLevel="1" x14ac:dyDescent="0.25">
      <c r="A478" s="107"/>
      <c r="B478" s="107"/>
      <c r="C478" s="107"/>
      <c r="D478">
        <v>2025</v>
      </c>
      <c r="J478" s="107"/>
      <c r="K478" s="107"/>
    </row>
    <row r="479" spans="1:11" ht="12.75" customHeight="1" outlineLevel="1" x14ac:dyDescent="0.25">
      <c r="A479" s="107" t="s">
        <v>592</v>
      </c>
      <c r="B479" s="107" t="s">
        <v>595</v>
      </c>
      <c r="C479" s="107">
        <v>2021</v>
      </c>
      <c r="D479" t="s">
        <v>8</v>
      </c>
      <c r="E479">
        <f t="shared" si="42"/>
        <v>470</v>
      </c>
      <c r="F479">
        <f>SUM(F480:F484)</f>
        <v>470</v>
      </c>
      <c r="G479">
        <f>SUM(G480:G484)</f>
        <v>0</v>
      </c>
      <c r="H479">
        <f>SUM(H480:H484)</f>
        <v>0</v>
      </c>
      <c r="I479">
        <f>SUM(I480:I484)</f>
        <v>0</v>
      </c>
      <c r="J479" s="107" t="s">
        <v>596</v>
      </c>
      <c r="K479" s="107" t="s">
        <v>597</v>
      </c>
    </row>
    <row r="480" spans="1:11" ht="12.75" customHeight="1" outlineLevel="1" x14ac:dyDescent="0.25">
      <c r="A480" s="107"/>
      <c r="B480" s="107"/>
      <c r="C480" s="107"/>
      <c r="D480">
        <v>2021</v>
      </c>
      <c r="E480">
        <f t="shared" si="42"/>
        <v>470</v>
      </c>
      <c r="F480">
        <v>470</v>
      </c>
      <c r="G480">
        <v>0</v>
      </c>
      <c r="H480">
        <v>0</v>
      </c>
      <c r="I480">
        <v>0</v>
      </c>
      <c r="J480" s="107"/>
      <c r="K480" s="107"/>
    </row>
    <row r="481" spans="1:11" ht="12.75" customHeight="1" outlineLevel="1" x14ac:dyDescent="0.25">
      <c r="A481" s="107"/>
      <c r="B481" s="107"/>
      <c r="C481" s="107"/>
      <c r="D481">
        <v>2022</v>
      </c>
      <c r="E481">
        <f t="shared" si="42"/>
        <v>0</v>
      </c>
      <c r="F481">
        <v>0</v>
      </c>
      <c r="G481">
        <v>0</v>
      </c>
      <c r="H481">
        <v>0</v>
      </c>
      <c r="I481">
        <v>0</v>
      </c>
      <c r="J481" s="107"/>
      <c r="K481" s="107"/>
    </row>
    <row r="482" spans="1:11" ht="12.75" customHeight="1" outlineLevel="1" x14ac:dyDescent="0.25">
      <c r="A482" s="107"/>
      <c r="B482" s="107"/>
      <c r="C482" s="107"/>
      <c r="D482">
        <v>2023</v>
      </c>
      <c r="E482">
        <f t="shared" si="42"/>
        <v>0</v>
      </c>
      <c r="F482">
        <v>0</v>
      </c>
      <c r="G482">
        <v>0</v>
      </c>
      <c r="H482">
        <v>0</v>
      </c>
      <c r="I482">
        <v>0</v>
      </c>
      <c r="J482" s="107"/>
      <c r="K482" s="107"/>
    </row>
    <row r="483" spans="1:11" ht="12.75" customHeight="1" outlineLevel="1" x14ac:dyDescent="0.25">
      <c r="A483" s="107"/>
      <c r="B483" s="107"/>
      <c r="C483" s="107"/>
      <c r="D483">
        <v>2024</v>
      </c>
      <c r="E483">
        <f t="shared" si="42"/>
        <v>0</v>
      </c>
      <c r="F483">
        <v>0</v>
      </c>
      <c r="G483">
        <v>0</v>
      </c>
      <c r="H483">
        <v>0</v>
      </c>
      <c r="I483">
        <v>0</v>
      </c>
      <c r="J483" s="107"/>
      <c r="K483" s="107"/>
    </row>
    <row r="484" spans="1:11" ht="12.75" customHeight="1" outlineLevel="1" x14ac:dyDescent="0.25">
      <c r="A484" s="107"/>
      <c r="B484" s="107"/>
      <c r="C484" s="107"/>
      <c r="D484">
        <v>2025</v>
      </c>
      <c r="E484">
        <f t="shared" si="42"/>
        <v>0</v>
      </c>
      <c r="F484">
        <v>0</v>
      </c>
      <c r="G484">
        <v>0</v>
      </c>
      <c r="H484">
        <v>0</v>
      </c>
      <c r="I484">
        <v>0</v>
      </c>
      <c r="J484" s="107"/>
      <c r="K484" s="107"/>
    </row>
    <row r="485" spans="1:11" ht="12.75" customHeight="1" outlineLevel="1" x14ac:dyDescent="0.25">
      <c r="A485" s="107" t="s">
        <v>598</v>
      </c>
      <c r="B485" s="107" t="s">
        <v>599</v>
      </c>
      <c r="C485" s="107">
        <v>2021</v>
      </c>
      <c r="D485" t="s">
        <v>8</v>
      </c>
      <c r="E485">
        <f t="shared" si="42"/>
        <v>8226.4694736842102</v>
      </c>
      <c r="F485">
        <f>SUM(F486:F490)</f>
        <v>7815.1459999999997</v>
      </c>
      <c r="G485">
        <f>SUM(G486:G490)</f>
        <v>0</v>
      </c>
      <c r="H485">
        <f>SUM(H486:H490)</f>
        <v>411.32347368421051</v>
      </c>
      <c r="I485">
        <f>SUM(I486:I490)</f>
        <v>0</v>
      </c>
      <c r="J485" s="107" t="s">
        <v>600</v>
      </c>
      <c r="K485" s="107" t="s">
        <v>547</v>
      </c>
    </row>
    <row r="486" spans="1:11" ht="12.75" customHeight="1" outlineLevel="1" x14ac:dyDescent="0.25">
      <c r="A486" s="107"/>
      <c r="B486" s="107"/>
      <c r="C486" s="107"/>
      <c r="D486">
        <v>2021</v>
      </c>
      <c r="E486">
        <f t="shared" si="42"/>
        <v>8226.4694736842102</v>
      </c>
      <c r="F486">
        <v>7815.1459999999997</v>
      </c>
      <c r="G486">
        <v>0</v>
      </c>
      <c r="H486">
        <f>F486/95*5</f>
        <v>411.32347368421051</v>
      </c>
      <c r="I486">
        <v>0</v>
      </c>
      <c r="J486" s="107"/>
      <c r="K486" s="107"/>
    </row>
    <row r="487" spans="1:11" ht="12.75" customHeight="1" outlineLevel="1" x14ac:dyDescent="0.25">
      <c r="A487" s="107"/>
      <c r="B487" s="107"/>
      <c r="C487" s="107"/>
      <c r="D487">
        <v>2022</v>
      </c>
      <c r="E487">
        <f t="shared" si="42"/>
        <v>0</v>
      </c>
      <c r="F487">
        <v>0</v>
      </c>
      <c r="G487">
        <v>0</v>
      </c>
      <c r="H487">
        <v>0</v>
      </c>
      <c r="I487">
        <v>0</v>
      </c>
      <c r="J487" s="107"/>
      <c r="K487" s="107"/>
    </row>
    <row r="488" spans="1:11" ht="12.75" customHeight="1" outlineLevel="1" x14ac:dyDescent="0.25">
      <c r="A488" s="107"/>
      <c r="B488" s="107"/>
      <c r="C488" s="107"/>
      <c r="D488">
        <v>2023</v>
      </c>
      <c r="E488">
        <f t="shared" si="42"/>
        <v>0</v>
      </c>
      <c r="F488">
        <v>0</v>
      </c>
      <c r="G488">
        <v>0</v>
      </c>
      <c r="H488">
        <v>0</v>
      </c>
      <c r="I488">
        <v>0</v>
      </c>
      <c r="J488" s="107"/>
      <c r="K488" s="107"/>
    </row>
    <row r="489" spans="1:11" ht="12.75" customHeight="1" outlineLevel="1" x14ac:dyDescent="0.25">
      <c r="A489" s="107"/>
      <c r="B489" s="107"/>
      <c r="C489" s="107"/>
      <c r="D489">
        <v>2024</v>
      </c>
      <c r="E489">
        <f t="shared" si="42"/>
        <v>0</v>
      </c>
      <c r="F489">
        <v>0</v>
      </c>
      <c r="G489">
        <v>0</v>
      </c>
      <c r="H489">
        <v>0</v>
      </c>
      <c r="I489">
        <v>0</v>
      </c>
      <c r="J489" s="107"/>
      <c r="K489" s="107"/>
    </row>
    <row r="490" spans="1:11" ht="12.75" customHeight="1" outlineLevel="1" x14ac:dyDescent="0.25">
      <c r="A490" s="107"/>
      <c r="B490" s="107"/>
      <c r="C490" s="107"/>
      <c r="D490">
        <v>2025</v>
      </c>
      <c r="E490">
        <f t="shared" si="42"/>
        <v>0</v>
      </c>
      <c r="F490">
        <v>0</v>
      </c>
      <c r="G490">
        <v>0</v>
      </c>
      <c r="H490">
        <v>0</v>
      </c>
      <c r="I490">
        <v>0</v>
      </c>
      <c r="J490" s="107"/>
      <c r="K490" s="107"/>
    </row>
    <row r="491" spans="1:11" ht="18" customHeight="1" outlineLevel="1" x14ac:dyDescent="0.25">
      <c r="A491" s="107" t="s">
        <v>612</v>
      </c>
      <c r="B491" s="107" t="s">
        <v>613</v>
      </c>
      <c r="C491" s="107">
        <v>2021</v>
      </c>
      <c r="D491" t="s">
        <v>8</v>
      </c>
      <c r="E491">
        <f t="shared" si="42"/>
        <v>15056.631578947368</v>
      </c>
      <c r="F491">
        <f>SUM(F492:F496)</f>
        <v>14303.8</v>
      </c>
      <c r="G491">
        <f>SUM(G492:G496)</f>
        <v>0</v>
      </c>
      <c r="H491">
        <f>SUM(H492:H496)</f>
        <v>752.83157894736837</v>
      </c>
      <c r="I491">
        <f>SUM(I492:I496)</f>
        <v>0</v>
      </c>
      <c r="J491" s="107" t="s">
        <v>614</v>
      </c>
      <c r="K491" s="107" t="s">
        <v>547</v>
      </c>
    </row>
    <row r="492" spans="1:11" ht="18" customHeight="1" outlineLevel="1" x14ac:dyDescent="0.25">
      <c r="A492" s="107"/>
      <c r="B492" s="107"/>
      <c r="C492" s="107"/>
      <c r="D492">
        <v>2021</v>
      </c>
      <c r="E492">
        <f t="shared" ref="E492:E555" si="43">SUM(F492:I492)</f>
        <v>15056.631578947368</v>
      </c>
      <c r="F492">
        <v>14303.8</v>
      </c>
      <c r="G492">
        <v>0</v>
      </c>
      <c r="H492">
        <f>F492/95*5</f>
        <v>752.83157894736837</v>
      </c>
      <c r="I492">
        <f>SUM(I493:I569)</f>
        <v>0</v>
      </c>
      <c r="J492" s="107"/>
      <c r="K492" s="107"/>
    </row>
    <row r="493" spans="1:11" ht="18" customHeight="1" outlineLevel="1" x14ac:dyDescent="0.25">
      <c r="A493" s="107"/>
      <c r="B493" s="107"/>
      <c r="C493" s="107"/>
      <c r="D493">
        <v>2022</v>
      </c>
      <c r="E493">
        <f t="shared" si="43"/>
        <v>0</v>
      </c>
      <c r="F493">
        <v>0</v>
      </c>
      <c r="G493">
        <v>0</v>
      </c>
      <c r="H493">
        <v>0</v>
      </c>
      <c r="I493">
        <v>0</v>
      </c>
      <c r="J493" s="107"/>
      <c r="K493" s="107"/>
    </row>
    <row r="494" spans="1:11" ht="18" customHeight="1" outlineLevel="1" x14ac:dyDescent="0.25">
      <c r="A494" s="107"/>
      <c r="B494" s="107"/>
      <c r="C494" s="107"/>
      <c r="D494">
        <v>2023</v>
      </c>
      <c r="E494">
        <f t="shared" si="43"/>
        <v>0</v>
      </c>
      <c r="F494">
        <v>0</v>
      </c>
      <c r="G494">
        <v>0</v>
      </c>
      <c r="H494">
        <v>0</v>
      </c>
      <c r="I494">
        <v>0</v>
      </c>
      <c r="J494" s="107"/>
      <c r="K494" s="107"/>
    </row>
    <row r="495" spans="1:11" ht="18" customHeight="1" outlineLevel="1" x14ac:dyDescent="0.25">
      <c r="A495" s="107"/>
      <c r="B495" s="107"/>
      <c r="C495" s="107"/>
      <c r="D495">
        <v>2024</v>
      </c>
      <c r="E495">
        <f t="shared" si="43"/>
        <v>0</v>
      </c>
      <c r="F495">
        <v>0</v>
      </c>
      <c r="G495">
        <v>0</v>
      </c>
      <c r="H495">
        <v>0</v>
      </c>
      <c r="I495">
        <v>0</v>
      </c>
      <c r="J495" s="107"/>
      <c r="K495" s="107"/>
    </row>
    <row r="496" spans="1:11" ht="18" customHeight="1" outlineLevel="1" x14ac:dyDescent="0.25">
      <c r="A496" s="107"/>
      <c r="B496" s="107"/>
      <c r="C496" s="107"/>
      <c r="D496">
        <v>2025</v>
      </c>
      <c r="E496">
        <f t="shared" si="43"/>
        <v>0</v>
      </c>
      <c r="F496">
        <v>0</v>
      </c>
      <c r="G496">
        <v>0</v>
      </c>
      <c r="H496">
        <v>0</v>
      </c>
      <c r="I496">
        <v>0</v>
      </c>
      <c r="J496" s="107"/>
      <c r="K496" s="107"/>
    </row>
    <row r="497" spans="1:11" ht="18" customHeight="1" outlineLevel="1" x14ac:dyDescent="0.25">
      <c r="A497" s="107" t="s">
        <v>912</v>
      </c>
      <c r="B497" s="107" t="s">
        <v>913</v>
      </c>
      <c r="C497" s="107">
        <v>2022</v>
      </c>
      <c r="D497" t="s">
        <v>8</v>
      </c>
      <c r="E497">
        <f t="shared" si="43"/>
        <v>20000</v>
      </c>
      <c r="F497">
        <f>SUM(F498:F502)</f>
        <v>20000</v>
      </c>
      <c r="G497">
        <f>SUM(G498:G502)</f>
        <v>0</v>
      </c>
      <c r="H497">
        <f>SUM(H498:H502)</f>
        <v>0</v>
      </c>
      <c r="I497">
        <f>SUM(I498:I502)</f>
        <v>0</v>
      </c>
      <c r="J497" s="107" t="s">
        <v>914</v>
      </c>
      <c r="K497" s="107" t="s">
        <v>915</v>
      </c>
    </row>
    <row r="498" spans="1:11" ht="18" customHeight="1" outlineLevel="1" x14ac:dyDescent="0.25">
      <c r="A498" s="107"/>
      <c r="B498" s="107"/>
      <c r="C498" s="107"/>
      <c r="D498">
        <v>2021</v>
      </c>
      <c r="E498">
        <f t="shared" si="43"/>
        <v>0</v>
      </c>
      <c r="F498">
        <v>0</v>
      </c>
      <c r="G498">
        <v>0</v>
      </c>
      <c r="H498">
        <v>0</v>
      </c>
      <c r="I498">
        <v>0</v>
      </c>
      <c r="J498" s="107"/>
      <c r="K498" s="107"/>
    </row>
    <row r="499" spans="1:11" ht="18" customHeight="1" outlineLevel="1" x14ac:dyDescent="0.25">
      <c r="A499" s="107"/>
      <c r="B499" s="107"/>
      <c r="C499" s="107"/>
      <c r="D499">
        <v>2022</v>
      </c>
      <c r="E499">
        <f t="shared" si="43"/>
        <v>20000</v>
      </c>
      <c r="F499">
        <v>20000</v>
      </c>
      <c r="G499">
        <v>0</v>
      </c>
      <c r="H499">
        <v>0</v>
      </c>
      <c r="I499">
        <v>0</v>
      </c>
      <c r="J499" s="107"/>
      <c r="K499" s="107"/>
    </row>
    <row r="500" spans="1:11" ht="18" customHeight="1" outlineLevel="1" x14ac:dyDescent="0.25">
      <c r="A500" s="107"/>
      <c r="B500" s="107"/>
      <c r="C500" s="107"/>
      <c r="D500">
        <v>2023</v>
      </c>
      <c r="E500">
        <f t="shared" si="43"/>
        <v>0</v>
      </c>
      <c r="F500">
        <v>0</v>
      </c>
      <c r="G500">
        <v>0</v>
      </c>
      <c r="H500">
        <v>0</v>
      </c>
      <c r="I500">
        <v>0</v>
      </c>
      <c r="J500" s="107"/>
      <c r="K500" s="107"/>
    </row>
    <row r="501" spans="1:11" ht="18" customHeight="1" outlineLevel="1" x14ac:dyDescent="0.25">
      <c r="A501" s="107"/>
      <c r="B501" s="107"/>
      <c r="C501" s="107"/>
      <c r="D501">
        <v>2024</v>
      </c>
      <c r="E501">
        <f t="shared" si="43"/>
        <v>0</v>
      </c>
      <c r="F501">
        <v>0</v>
      </c>
      <c r="G501">
        <v>0</v>
      </c>
      <c r="H501">
        <v>0</v>
      </c>
      <c r="I501">
        <v>0</v>
      </c>
      <c r="J501" s="107"/>
      <c r="K501" s="107"/>
    </row>
    <row r="502" spans="1:11" ht="18" customHeight="1" outlineLevel="1" x14ac:dyDescent="0.25">
      <c r="A502" s="107"/>
      <c r="B502" s="107"/>
      <c r="C502" s="107"/>
      <c r="D502">
        <v>2025</v>
      </c>
      <c r="E502">
        <f t="shared" si="43"/>
        <v>0</v>
      </c>
      <c r="F502">
        <v>0</v>
      </c>
      <c r="G502">
        <v>0</v>
      </c>
      <c r="H502">
        <v>0</v>
      </c>
      <c r="I502">
        <v>0</v>
      </c>
      <c r="J502" s="107"/>
      <c r="K502" s="107"/>
    </row>
    <row r="503" spans="1:11" ht="12.75" customHeight="1" outlineLevel="1" x14ac:dyDescent="0.25">
      <c r="A503" s="107" t="s">
        <v>916</v>
      </c>
      <c r="B503" s="107" t="s">
        <v>917</v>
      </c>
      <c r="C503" s="107">
        <v>2022</v>
      </c>
      <c r="D503" t="s">
        <v>8</v>
      </c>
      <c r="E503">
        <f t="shared" si="43"/>
        <v>150000</v>
      </c>
      <c r="F503">
        <f>SUM(F504:F508)</f>
        <v>142500</v>
      </c>
      <c r="G503">
        <f>SUM(G504:G508)</f>
        <v>0</v>
      </c>
      <c r="H503">
        <f>SUM(H504:H508)</f>
        <v>7500</v>
      </c>
      <c r="I503">
        <f>SUM(I504:I508)</f>
        <v>0</v>
      </c>
      <c r="J503" s="107" t="s">
        <v>918</v>
      </c>
      <c r="K503" s="107" t="s">
        <v>547</v>
      </c>
    </row>
    <row r="504" spans="1:11" ht="12.75" customHeight="1" outlineLevel="1" x14ac:dyDescent="0.25">
      <c r="A504" s="107"/>
      <c r="B504" s="107"/>
      <c r="C504" s="107"/>
      <c r="D504">
        <v>2021</v>
      </c>
      <c r="E504">
        <f t="shared" si="43"/>
        <v>0</v>
      </c>
      <c r="F504">
        <v>0</v>
      </c>
      <c r="G504">
        <v>0</v>
      </c>
      <c r="H504">
        <v>0</v>
      </c>
      <c r="I504">
        <v>0</v>
      </c>
      <c r="J504" s="107"/>
      <c r="K504" s="107"/>
    </row>
    <row r="505" spans="1:11" ht="12.75" customHeight="1" outlineLevel="1" x14ac:dyDescent="0.25">
      <c r="A505" s="107"/>
      <c r="B505" s="107"/>
      <c r="C505" s="107"/>
      <c r="D505">
        <v>2022</v>
      </c>
      <c r="E505">
        <f t="shared" si="43"/>
        <v>70000</v>
      </c>
      <c r="F505">
        <v>66500</v>
      </c>
      <c r="G505">
        <v>0</v>
      </c>
      <c r="H505">
        <v>3500</v>
      </c>
      <c r="I505">
        <v>0</v>
      </c>
      <c r="J505" s="107"/>
      <c r="K505" s="107"/>
    </row>
    <row r="506" spans="1:11" ht="12.75" customHeight="1" outlineLevel="1" x14ac:dyDescent="0.25">
      <c r="A506" s="107"/>
      <c r="B506" s="107"/>
      <c r="C506" s="107"/>
      <c r="D506">
        <v>2023</v>
      </c>
      <c r="E506">
        <f t="shared" si="43"/>
        <v>80000</v>
      </c>
      <c r="F506">
        <v>76000</v>
      </c>
      <c r="G506">
        <v>0</v>
      </c>
      <c r="H506">
        <v>4000</v>
      </c>
      <c r="I506">
        <v>0</v>
      </c>
      <c r="J506" s="107"/>
      <c r="K506" s="107"/>
    </row>
    <row r="507" spans="1:11" ht="12.75" customHeight="1" outlineLevel="1" x14ac:dyDescent="0.25">
      <c r="A507" s="107"/>
      <c r="B507" s="107"/>
      <c r="C507" s="107"/>
      <c r="D507">
        <v>2024</v>
      </c>
      <c r="E507">
        <f t="shared" si="43"/>
        <v>0</v>
      </c>
      <c r="F507">
        <v>0</v>
      </c>
      <c r="G507">
        <v>0</v>
      </c>
      <c r="H507">
        <v>0</v>
      </c>
      <c r="I507">
        <v>0</v>
      </c>
      <c r="J507" s="107"/>
      <c r="K507" s="107"/>
    </row>
    <row r="508" spans="1:11" ht="12.75" customHeight="1" outlineLevel="1" x14ac:dyDescent="0.25">
      <c r="A508" s="107"/>
      <c r="B508" s="107"/>
      <c r="C508" s="107"/>
      <c r="D508">
        <v>2025</v>
      </c>
      <c r="E508">
        <f t="shared" si="43"/>
        <v>0</v>
      </c>
      <c r="F508">
        <v>0</v>
      </c>
      <c r="G508">
        <v>0</v>
      </c>
      <c r="H508">
        <v>0</v>
      </c>
      <c r="I508">
        <v>0</v>
      </c>
      <c r="J508" s="107"/>
      <c r="K508" s="107"/>
    </row>
    <row r="509" spans="1:11" ht="12.75" customHeight="1" outlineLevel="1" x14ac:dyDescent="0.25">
      <c r="A509" s="107" t="s">
        <v>919</v>
      </c>
      <c r="B509" s="107" t="s">
        <v>920</v>
      </c>
      <c r="C509" s="107">
        <v>2022</v>
      </c>
      <c r="D509" t="s">
        <v>8</v>
      </c>
      <c r="E509">
        <f t="shared" si="43"/>
        <v>4400</v>
      </c>
      <c r="F509">
        <f>SUM(F510:F514)</f>
        <v>4400</v>
      </c>
      <c r="G509">
        <f>SUM(G510:G514)</f>
        <v>0</v>
      </c>
      <c r="H509">
        <f>SUM(H510:H514)</f>
        <v>0</v>
      </c>
      <c r="I509">
        <f>SUM(I510:I514)</f>
        <v>0</v>
      </c>
      <c r="J509" s="107" t="s">
        <v>921</v>
      </c>
      <c r="K509" s="107" t="s">
        <v>563</v>
      </c>
    </row>
    <row r="510" spans="1:11" ht="12.75" customHeight="1" outlineLevel="1" x14ac:dyDescent="0.25">
      <c r="A510" s="107"/>
      <c r="B510" s="107"/>
      <c r="C510" s="107"/>
      <c r="D510">
        <v>2021</v>
      </c>
      <c r="E510">
        <f t="shared" si="43"/>
        <v>0</v>
      </c>
      <c r="F510">
        <v>0</v>
      </c>
      <c r="G510">
        <v>0</v>
      </c>
      <c r="H510">
        <v>0</v>
      </c>
      <c r="I510">
        <v>0</v>
      </c>
      <c r="J510" s="107"/>
      <c r="K510" s="107"/>
    </row>
    <row r="511" spans="1:11" ht="12.75" customHeight="1" outlineLevel="1" x14ac:dyDescent="0.25">
      <c r="A511" s="107"/>
      <c r="B511" s="107"/>
      <c r="C511" s="107"/>
      <c r="D511">
        <v>2022</v>
      </c>
      <c r="E511">
        <f t="shared" si="43"/>
        <v>4400</v>
      </c>
      <c r="F511">
        <v>4400</v>
      </c>
      <c r="G511">
        <v>0</v>
      </c>
      <c r="H511">
        <v>0</v>
      </c>
      <c r="I511">
        <v>0</v>
      </c>
      <c r="J511" s="107"/>
      <c r="K511" s="107"/>
    </row>
    <row r="512" spans="1:11" ht="12.75" customHeight="1" outlineLevel="1" x14ac:dyDescent="0.25">
      <c r="A512" s="107"/>
      <c r="B512" s="107"/>
      <c r="C512" s="107"/>
      <c r="D512">
        <v>2023</v>
      </c>
      <c r="E512">
        <f t="shared" si="43"/>
        <v>0</v>
      </c>
      <c r="F512">
        <v>0</v>
      </c>
      <c r="G512">
        <v>0</v>
      </c>
      <c r="H512">
        <v>0</v>
      </c>
      <c r="I512">
        <v>0</v>
      </c>
      <c r="J512" s="107"/>
      <c r="K512" s="107"/>
    </row>
    <row r="513" spans="1:11" ht="12.75" customHeight="1" outlineLevel="1" x14ac:dyDescent="0.25">
      <c r="A513" s="107"/>
      <c r="B513" s="107"/>
      <c r="C513" s="107"/>
      <c r="D513">
        <v>2024</v>
      </c>
      <c r="E513">
        <f t="shared" si="43"/>
        <v>0</v>
      </c>
      <c r="F513">
        <v>0</v>
      </c>
      <c r="G513">
        <v>0</v>
      </c>
      <c r="H513">
        <v>0</v>
      </c>
      <c r="I513">
        <v>0</v>
      </c>
      <c r="J513" s="107"/>
      <c r="K513" s="107"/>
    </row>
    <row r="514" spans="1:11" ht="12.75" customHeight="1" outlineLevel="1" x14ac:dyDescent="0.25">
      <c r="A514" s="107"/>
      <c r="B514" s="107"/>
      <c r="C514" s="107"/>
      <c r="D514">
        <v>2025</v>
      </c>
      <c r="E514">
        <f t="shared" si="43"/>
        <v>0</v>
      </c>
      <c r="F514">
        <v>0</v>
      </c>
      <c r="G514">
        <v>0</v>
      </c>
      <c r="H514">
        <v>0</v>
      </c>
      <c r="I514">
        <v>0</v>
      </c>
      <c r="J514" s="107"/>
      <c r="K514" s="107"/>
    </row>
    <row r="515" spans="1:11" ht="12.75" customHeight="1" outlineLevel="1" x14ac:dyDescent="0.25">
      <c r="A515" s="107" t="s">
        <v>922</v>
      </c>
      <c r="B515" s="107" t="s">
        <v>923</v>
      </c>
      <c r="C515" s="107">
        <v>2022</v>
      </c>
      <c r="D515" t="s">
        <v>8</v>
      </c>
      <c r="E515">
        <f t="shared" si="43"/>
        <v>50000</v>
      </c>
      <c r="F515">
        <f>SUM(F516:F520)</f>
        <v>50000</v>
      </c>
      <c r="G515">
        <f>SUM(G516:G520)</f>
        <v>0</v>
      </c>
      <c r="H515">
        <f>SUM(H516:H520)</f>
        <v>0</v>
      </c>
      <c r="I515">
        <f>SUM(I516:I520)</f>
        <v>0</v>
      </c>
      <c r="J515" s="107" t="s">
        <v>924</v>
      </c>
      <c r="K515" s="107" t="s">
        <v>597</v>
      </c>
    </row>
    <row r="516" spans="1:11" ht="12.75" customHeight="1" outlineLevel="1" x14ac:dyDescent="0.25">
      <c r="A516" s="107"/>
      <c r="B516" s="107"/>
      <c r="C516" s="107"/>
      <c r="D516">
        <v>2021</v>
      </c>
      <c r="E516">
        <f t="shared" si="43"/>
        <v>0</v>
      </c>
      <c r="F516">
        <v>0</v>
      </c>
      <c r="G516">
        <v>0</v>
      </c>
      <c r="H516">
        <v>0</v>
      </c>
      <c r="I516">
        <v>0</v>
      </c>
      <c r="J516" s="107"/>
      <c r="K516" s="107"/>
    </row>
    <row r="517" spans="1:11" ht="12.75" customHeight="1" outlineLevel="1" x14ac:dyDescent="0.25">
      <c r="A517" s="107"/>
      <c r="B517" s="107"/>
      <c r="C517" s="107"/>
      <c r="D517">
        <v>2022</v>
      </c>
      <c r="E517">
        <f t="shared" si="43"/>
        <v>50000</v>
      </c>
      <c r="F517">
        <v>50000</v>
      </c>
      <c r="G517">
        <v>0</v>
      </c>
      <c r="H517">
        <v>0</v>
      </c>
      <c r="I517">
        <v>0</v>
      </c>
      <c r="J517" s="107"/>
      <c r="K517" s="107"/>
    </row>
    <row r="518" spans="1:11" ht="12.75" customHeight="1" outlineLevel="1" x14ac:dyDescent="0.25">
      <c r="A518" s="107"/>
      <c r="B518" s="107"/>
      <c r="C518" s="107"/>
      <c r="D518">
        <v>2023</v>
      </c>
      <c r="E518">
        <f t="shared" si="43"/>
        <v>0</v>
      </c>
      <c r="F518">
        <v>0</v>
      </c>
      <c r="G518">
        <v>0</v>
      </c>
      <c r="H518">
        <v>0</v>
      </c>
      <c r="I518">
        <v>0</v>
      </c>
      <c r="J518" s="107"/>
      <c r="K518" s="107"/>
    </row>
    <row r="519" spans="1:11" ht="12.75" customHeight="1" outlineLevel="1" x14ac:dyDescent="0.25">
      <c r="A519" s="107"/>
      <c r="B519" s="107"/>
      <c r="C519" s="107"/>
      <c r="D519">
        <v>2024</v>
      </c>
      <c r="E519">
        <f t="shared" si="43"/>
        <v>0</v>
      </c>
      <c r="F519">
        <v>0</v>
      </c>
      <c r="G519">
        <v>0</v>
      </c>
      <c r="H519">
        <v>0</v>
      </c>
      <c r="I519">
        <v>0</v>
      </c>
      <c r="J519" s="107"/>
      <c r="K519" s="107"/>
    </row>
    <row r="520" spans="1:11" ht="12.75" customHeight="1" outlineLevel="1" x14ac:dyDescent="0.25">
      <c r="A520" s="107"/>
      <c r="B520" s="107"/>
      <c r="C520" s="107"/>
      <c r="D520">
        <v>2025</v>
      </c>
      <c r="E520">
        <f t="shared" si="43"/>
        <v>0</v>
      </c>
      <c r="F520">
        <v>0</v>
      </c>
      <c r="G520">
        <v>0</v>
      </c>
      <c r="H520">
        <v>0</v>
      </c>
      <c r="I520">
        <v>0</v>
      </c>
      <c r="J520" s="107"/>
      <c r="K520" s="107"/>
    </row>
    <row r="521" spans="1:11" ht="12.75" customHeight="1" outlineLevel="1" x14ac:dyDescent="0.25">
      <c r="A521" s="107" t="s">
        <v>925</v>
      </c>
      <c r="B521" s="107" t="s">
        <v>926</v>
      </c>
      <c r="C521" s="107">
        <v>2022</v>
      </c>
      <c r="D521" t="s">
        <v>8</v>
      </c>
      <c r="E521">
        <f t="shared" si="43"/>
        <v>65500</v>
      </c>
      <c r="F521">
        <f>SUM(F522:F526)</f>
        <v>62225</v>
      </c>
      <c r="G521">
        <f>SUM(G522:G526)</f>
        <v>0</v>
      </c>
      <c r="H521">
        <f>SUM(H522:H526)</f>
        <v>3275</v>
      </c>
      <c r="I521">
        <f>SUM(I522:I526)</f>
        <v>0</v>
      </c>
      <c r="J521" s="107" t="s">
        <v>927</v>
      </c>
      <c r="K521" s="107" t="s">
        <v>547</v>
      </c>
    </row>
    <row r="522" spans="1:11" ht="12.75" customHeight="1" outlineLevel="1" x14ac:dyDescent="0.25">
      <c r="A522" s="107"/>
      <c r="B522" s="107"/>
      <c r="C522" s="107"/>
      <c r="D522">
        <v>2021</v>
      </c>
      <c r="E522">
        <f t="shared" si="43"/>
        <v>0</v>
      </c>
      <c r="F522">
        <v>0</v>
      </c>
      <c r="G522">
        <v>0</v>
      </c>
      <c r="H522">
        <v>0</v>
      </c>
      <c r="I522">
        <v>0</v>
      </c>
      <c r="J522" s="107"/>
      <c r="K522" s="107"/>
    </row>
    <row r="523" spans="1:11" ht="12.75" customHeight="1" outlineLevel="1" x14ac:dyDescent="0.25">
      <c r="A523" s="107"/>
      <c r="B523" s="107"/>
      <c r="C523" s="107"/>
      <c r="D523">
        <v>2022</v>
      </c>
      <c r="E523">
        <f t="shared" si="43"/>
        <v>65500</v>
      </c>
      <c r="F523">
        <v>62225</v>
      </c>
      <c r="G523">
        <v>0</v>
      </c>
      <c r="H523">
        <v>3275</v>
      </c>
      <c r="I523">
        <v>0</v>
      </c>
      <c r="J523" s="107"/>
      <c r="K523" s="107"/>
    </row>
    <row r="524" spans="1:11" ht="12.75" customHeight="1" outlineLevel="1" x14ac:dyDescent="0.25">
      <c r="A524" s="107"/>
      <c r="B524" s="107"/>
      <c r="C524" s="107"/>
      <c r="D524">
        <v>2023</v>
      </c>
      <c r="E524">
        <f t="shared" si="43"/>
        <v>0</v>
      </c>
      <c r="F524">
        <v>0</v>
      </c>
      <c r="G524">
        <v>0</v>
      </c>
      <c r="H524">
        <v>0</v>
      </c>
      <c r="I524">
        <v>0</v>
      </c>
      <c r="J524" s="107"/>
      <c r="K524" s="107"/>
    </row>
    <row r="525" spans="1:11" ht="12.75" customHeight="1" outlineLevel="1" x14ac:dyDescent="0.25">
      <c r="A525" s="107"/>
      <c r="B525" s="107"/>
      <c r="C525" s="107"/>
      <c r="D525">
        <v>2024</v>
      </c>
      <c r="E525">
        <f t="shared" si="43"/>
        <v>0</v>
      </c>
      <c r="F525">
        <v>0</v>
      </c>
      <c r="G525">
        <v>0</v>
      </c>
      <c r="H525">
        <v>0</v>
      </c>
      <c r="I525">
        <v>0</v>
      </c>
      <c r="J525" s="107"/>
      <c r="K525" s="107"/>
    </row>
    <row r="526" spans="1:11" ht="12.75" customHeight="1" outlineLevel="1" x14ac:dyDescent="0.25">
      <c r="A526" s="107"/>
      <c r="B526" s="107"/>
      <c r="C526" s="107"/>
      <c r="D526">
        <v>2025</v>
      </c>
      <c r="E526">
        <f t="shared" si="43"/>
        <v>0</v>
      </c>
      <c r="F526">
        <v>0</v>
      </c>
      <c r="G526">
        <v>0</v>
      </c>
      <c r="H526">
        <v>0</v>
      </c>
      <c r="I526">
        <v>0</v>
      </c>
      <c r="J526" s="107"/>
      <c r="K526" s="107"/>
    </row>
    <row r="527" spans="1:11" ht="12.75" customHeight="1" outlineLevel="1" x14ac:dyDescent="0.25">
      <c r="A527" s="107" t="s">
        <v>928</v>
      </c>
      <c r="B527" s="107" t="s">
        <v>929</v>
      </c>
      <c r="C527" s="107">
        <v>2022</v>
      </c>
      <c r="D527" t="s">
        <v>8</v>
      </c>
      <c r="E527">
        <f t="shared" si="43"/>
        <v>5681.0050000000001</v>
      </c>
      <c r="F527">
        <f>SUM(F528:F532)</f>
        <v>5624.1949999999997</v>
      </c>
      <c r="G527">
        <f t="shared" ref="G527:G569" si="44">SUM(G528:G532)</f>
        <v>0</v>
      </c>
      <c r="H527">
        <f>SUM(H528:H532)</f>
        <v>56.81</v>
      </c>
      <c r="I527">
        <f t="shared" ref="I527:I563" si="45">SUM(I528:I532)</f>
        <v>0</v>
      </c>
      <c r="J527" s="107" t="s">
        <v>930</v>
      </c>
      <c r="K527" s="107" t="s">
        <v>547</v>
      </c>
    </row>
    <row r="528" spans="1:11" ht="12.75" customHeight="1" outlineLevel="1" x14ac:dyDescent="0.25">
      <c r="A528" s="107"/>
      <c r="B528" s="107"/>
      <c r="C528" s="107"/>
      <c r="D528">
        <v>2021</v>
      </c>
      <c r="E528">
        <f t="shared" si="43"/>
        <v>0</v>
      </c>
      <c r="G528">
        <f t="shared" si="44"/>
        <v>0</v>
      </c>
      <c r="I528">
        <f t="shared" si="45"/>
        <v>0</v>
      </c>
      <c r="J528" s="107"/>
      <c r="K528" s="107"/>
    </row>
    <row r="529" spans="1:11" ht="12.75" customHeight="1" outlineLevel="1" x14ac:dyDescent="0.25">
      <c r="A529" s="107"/>
      <c r="B529" s="107"/>
      <c r="C529" s="107"/>
      <c r="D529">
        <v>2022</v>
      </c>
      <c r="E529">
        <f t="shared" si="43"/>
        <v>5681.0050000000001</v>
      </c>
      <c r="F529">
        <v>5624.1949999999997</v>
      </c>
      <c r="G529">
        <f t="shared" si="44"/>
        <v>0</v>
      </c>
      <c r="H529">
        <v>56.81</v>
      </c>
      <c r="I529">
        <f t="shared" si="45"/>
        <v>0</v>
      </c>
      <c r="J529" s="107"/>
      <c r="K529" s="107"/>
    </row>
    <row r="530" spans="1:11" ht="12.75" customHeight="1" outlineLevel="1" x14ac:dyDescent="0.25">
      <c r="A530" s="107"/>
      <c r="B530" s="107"/>
      <c r="C530" s="107"/>
      <c r="D530">
        <v>2023</v>
      </c>
      <c r="E530">
        <f t="shared" si="43"/>
        <v>0</v>
      </c>
      <c r="G530">
        <f t="shared" si="44"/>
        <v>0</v>
      </c>
      <c r="I530">
        <f t="shared" si="45"/>
        <v>0</v>
      </c>
      <c r="J530" s="107"/>
      <c r="K530" s="107"/>
    </row>
    <row r="531" spans="1:11" ht="12.75" customHeight="1" outlineLevel="1" x14ac:dyDescent="0.25">
      <c r="A531" s="107"/>
      <c r="B531" s="107"/>
      <c r="C531" s="107"/>
      <c r="D531">
        <v>2024</v>
      </c>
      <c r="E531">
        <f t="shared" si="43"/>
        <v>0</v>
      </c>
      <c r="G531">
        <f t="shared" si="44"/>
        <v>0</v>
      </c>
      <c r="I531">
        <f t="shared" si="45"/>
        <v>0</v>
      </c>
      <c r="J531" s="107"/>
      <c r="K531" s="107"/>
    </row>
    <row r="532" spans="1:11" ht="12.75" customHeight="1" outlineLevel="1" x14ac:dyDescent="0.25">
      <c r="A532" s="107"/>
      <c r="B532" s="107"/>
      <c r="C532" s="107"/>
      <c r="D532">
        <v>2025</v>
      </c>
      <c r="E532">
        <f t="shared" si="43"/>
        <v>0</v>
      </c>
      <c r="G532">
        <f t="shared" si="44"/>
        <v>0</v>
      </c>
      <c r="I532">
        <f t="shared" si="45"/>
        <v>0</v>
      </c>
      <c r="J532" s="107"/>
      <c r="K532" s="107"/>
    </row>
    <row r="533" spans="1:11" ht="12.75" customHeight="1" outlineLevel="1" x14ac:dyDescent="0.25">
      <c r="A533" s="107" t="s">
        <v>931</v>
      </c>
      <c r="B533" s="107" t="s">
        <v>932</v>
      </c>
      <c r="C533" s="107">
        <v>2022</v>
      </c>
      <c r="D533" t="s">
        <v>8</v>
      </c>
      <c r="E533">
        <f t="shared" si="43"/>
        <v>9956.0759999999991</v>
      </c>
      <c r="F533">
        <f>SUM(F534:F538)</f>
        <v>9458.2729999999992</v>
      </c>
      <c r="G533">
        <f t="shared" si="44"/>
        <v>0</v>
      </c>
      <c r="H533">
        <f>SUM(H534:H538)</f>
        <v>497.803</v>
      </c>
      <c r="I533">
        <f t="shared" si="45"/>
        <v>0</v>
      </c>
      <c r="J533" s="107" t="s">
        <v>933</v>
      </c>
      <c r="K533" s="107" t="s">
        <v>547</v>
      </c>
    </row>
    <row r="534" spans="1:11" ht="12.75" customHeight="1" outlineLevel="1" x14ac:dyDescent="0.25">
      <c r="A534" s="107"/>
      <c r="B534" s="107"/>
      <c r="C534" s="107"/>
      <c r="D534">
        <v>2021</v>
      </c>
      <c r="E534">
        <f t="shared" si="43"/>
        <v>0</v>
      </c>
      <c r="F534">
        <v>0</v>
      </c>
      <c r="G534">
        <f t="shared" si="44"/>
        <v>0</v>
      </c>
      <c r="H534">
        <v>0</v>
      </c>
      <c r="I534">
        <f t="shared" si="45"/>
        <v>0</v>
      </c>
      <c r="J534" s="107"/>
      <c r="K534" s="107"/>
    </row>
    <row r="535" spans="1:11" ht="12.75" customHeight="1" outlineLevel="1" x14ac:dyDescent="0.25">
      <c r="A535" s="107"/>
      <c r="B535" s="107"/>
      <c r="C535" s="107"/>
      <c r="D535">
        <v>2022</v>
      </c>
      <c r="E535">
        <f t="shared" si="43"/>
        <v>9956.0759999999991</v>
      </c>
      <c r="F535">
        <v>9458.2729999999992</v>
      </c>
      <c r="G535">
        <f t="shared" si="44"/>
        <v>0</v>
      </c>
      <c r="H535">
        <v>497.803</v>
      </c>
      <c r="I535">
        <f t="shared" si="45"/>
        <v>0</v>
      </c>
      <c r="J535" s="107"/>
      <c r="K535" s="107"/>
    </row>
    <row r="536" spans="1:11" ht="12.75" customHeight="1" outlineLevel="1" x14ac:dyDescent="0.25">
      <c r="A536" s="107"/>
      <c r="B536" s="107"/>
      <c r="C536" s="107"/>
      <c r="D536">
        <v>2023</v>
      </c>
      <c r="E536">
        <f t="shared" si="43"/>
        <v>0</v>
      </c>
      <c r="F536">
        <v>0</v>
      </c>
      <c r="G536">
        <f t="shared" si="44"/>
        <v>0</v>
      </c>
      <c r="H536">
        <v>0</v>
      </c>
      <c r="I536">
        <f t="shared" si="45"/>
        <v>0</v>
      </c>
      <c r="J536" s="107"/>
      <c r="K536" s="107"/>
    </row>
    <row r="537" spans="1:11" ht="12.75" customHeight="1" outlineLevel="1" x14ac:dyDescent="0.25">
      <c r="A537" s="107"/>
      <c r="B537" s="107"/>
      <c r="C537" s="107"/>
      <c r="D537">
        <v>2024</v>
      </c>
      <c r="E537">
        <f t="shared" si="43"/>
        <v>0</v>
      </c>
      <c r="F537">
        <v>0</v>
      </c>
      <c r="G537">
        <f t="shared" si="44"/>
        <v>0</v>
      </c>
      <c r="H537">
        <v>0</v>
      </c>
      <c r="I537">
        <f t="shared" si="45"/>
        <v>0</v>
      </c>
      <c r="J537" s="107"/>
      <c r="K537" s="107"/>
    </row>
    <row r="538" spans="1:11" ht="12.75" customHeight="1" outlineLevel="1" x14ac:dyDescent="0.25">
      <c r="A538" s="107"/>
      <c r="B538" s="107"/>
      <c r="C538" s="107"/>
      <c r="D538">
        <v>2025</v>
      </c>
      <c r="E538">
        <f t="shared" si="43"/>
        <v>0</v>
      </c>
      <c r="F538">
        <v>0</v>
      </c>
      <c r="G538">
        <f t="shared" si="44"/>
        <v>0</v>
      </c>
      <c r="H538">
        <v>0</v>
      </c>
      <c r="I538">
        <f t="shared" si="45"/>
        <v>0</v>
      </c>
      <c r="J538" s="107"/>
      <c r="K538" s="107"/>
    </row>
    <row r="539" spans="1:11" ht="12.75" customHeight="1" outlineLevel="1" x14ac:dyDescent="0.25">
      <c r="A539" s="107" t="s">
        <v>934</v>
      </c>
      <c r="B539" s="107" t="s">
        <v>935</v>
      </c>
      <c r="C539" s="107">
        <v>2022</v>
      </c>
      <c r="D539" t="s">
        <v>8</v>
      </c>
      <c r="E539">
        <f t="shared" si="43"/>
        <v>4736.8419999999996</v>
      </c>
      <c r="F539">
        <f>SUM(F540:F544)</f>
        <v>4500</v>
      </c>
      <c r="G539">
        <f t="shared" si="44"/>
        <v>0</v>
      </c>
      <c r="H539">
        <f>SUM(H540:H544)</f>
        <v>236.84200000000001</v>
      </c>
      <c r="I539">
        <f t="shared" si="45"/>
        <v>0</v>
      </c>
      <c r="J539" s="107" t="s">
        <v>936</v>
      </c>
      <c r="K539" s="107" t="s">
        <v>547</v>
      </c>
    </row>
    <row r="540" spans="1:11" ht="12.75" customHeight="1" outlineLevel="1" x14ac:dyDescent="0.25">
      <c r="A540" s="107"/>
      <c r="B540" s="107"/>
      <c r="C540" s="107"/>
      <c r="D540">
        <v>2021</v>
      </c>
      <c r="E540">
        <f t="shared" si="43"/>
        <v>0</v>
      </c>
      <c r="F540">
        <v>0</v>
      </c>
      <c r="G540">
        <f t="shared" si="44"/>
        <v>0</v>
      </c>
      <c r="H540">
        <v>0</v>
      </c>
      <c r="I540">
        <f t="shared" si="45"/>
        <v>0</v>
      </c>
      <c r="J540" s="107"/>
      <c r="K540" s="107"/>
    </row>
    <row r="541" spans="1:11" ht="12.75" customHeight="1" outlineLevel="1" x14ac:dyDescent="0.25">
      <c r="A541" s="107"/>
      <c r="B541" s="107"/>
      <c r="C541" s="107"/>
      <c r="D541">
        <v>2022</v>
      </c>
      <c r="E541">
        <f t="shared" si="43"/>
        <v>4736.8419999999996</v>
      </c>
      <c r="F541">
        <v>4500</v>
      </c>
      <c r="G541">
        <f t="shared" si="44"/>
        <v>0</v>
      </c>
      <c r="H541">
        <v>236.84200000000001</v>
      </c>
      <c r="I541">
        <f t="shared" si="45"/>
        <v>0</v>
      </c>
      <c r="J541" s="107"/>
      <c r="K541" s="107"/>
    </row>
    <row r="542" spans="1:11" ht="12.75" customHeight="1" outlineLevel="1" x14ac:dyDescent="0.25">
      <c r="A542" s="107"/>
      <c r="B542" s="107"/>
      <c r="C542" s="107"/>
      <c r="D542">
        <v>2023</v>
      </c>
      <c r="E542">
        <f t="shared" si="43"/>
        <v>0</v>
      </c>
      <c r="F542">
        <v>0</v>
      </c>
      <c r="G542">
        <f t="shared" si="44"/>
        <v>0</v>
      </c>
      <c r="H542">
        <v>0</v>
      </c>
      <c r="I542">
        <f t="shared" si="45"/>
        <v>0</v>
      </c>
      <c r="J542" s="107"/>
      <c r="K542" s="107"/>
    </row>
    <row r="543" spans="1:11" ht="12.75" customHeight="1" outlineLevel="1" x14ac:dyDescent="0.25">
      <c r="A543" s="107"/>
      <c r="B543" s="107"/>
      <c r="C543" s="107"/>
      <c r="D543">
        <v>2024</v>
      </c>
      <c r="E543">
        <f t="shared" si="43"/>
        <v>0</v>
      </c>
      <c r="F543">
        <v>0</v>
      </c>
      <c r="G543">
        <f t="shared" si="44"/>
        <v>0</v>
      </c>
      <c r="H543">
        <v>0</v>
      </c>
      <c r="I543">
        <f t="shared" si="45"/>
        <v>0</v>
      </c>
      <c r="J543" s="107"/>
      <c r="K543" s="107"/>
    </row>
    <row r="544" spans="1:11" ht="12.75" customHeight="1" outlineLevel="1" x14ac:dyDescent="0.25">
      <c r="A544" s="107"/>
      <c r="B544" s="107"/>
      <c r="C544" s="107"/>
      <c r="D544">
        <v>2025</v>
      </c>
      <c r="E544">
        <f t="shared" si="43"/>
        <v>0</v>
      </c>
      <c r="F544">
        <v>0</v>
      </c>
      <c r="G544">
        <f t="shared" si="44"/>
        <v>0</v>
      </c>
      <c r="H544">
        <v>0</v>
      </c>
      <c r="I544">
        <f t="shared" si="45"/>
        <v>0</v>
      </c>
      <c r="J544" s="107"/>
      <c r="K544" s="107"/>
    </row>
    <row r="545" spans="1:11" ht="12.75" customHeight="1" outlineLevel="1" x14ac:dyDescent="0.25">
      <c r="A545" s="107" t="s">
        <v>937</v>
      </c>
      <c r="B545" s="107" t="s">
        <v>938</v>
      </c>
      <c r="C545" s="107">
        <v>2022</v>
      </c>
      <c r="D545" t="s">
        <v>8</v>
      </c>
      <c r="E545">
        <f t="shared" si="43"/>
        <v>17129.316999999999</v>
      </c>
      <c r="F545">
        <f>SUM(F546:F550)</f>
        <v>16272.852000000001</v>
      </c>
      <c r="G545">
        <f t="shared" si="44"/>
        <v>0</v>
      </c>
      <c r="H545">
        <f>SUM(H546:H550)</f>
        <v>856.46500000000003</v>
      </c>
      <c r="I545">
        <f t="shared" si="45"/>
        <v>0</v>
      </c>
      <c r="J545" s="107" t="s">
        <v>939</v>
      </c>
      <c r="K545" s="107" t="s">
        <v>547</v>
      </c>
    </row>
    <row r="546" spans="1:11" ht="12.75" customHeight="1" outlineLevel="1" x14ac:dyDescent="0.25">
      <c r="A546" s="107"/>
      <c r="B546" s="107"/>
      <c r="C546" s="107"/>
      <c r="D546">
        <v>2021</v>
      </c>
      <c r="E546">
        <f t="shared" si="43"/>
        <v>0</v>
      </c>
      <c r="F546">
        <v>0</v>
      </c>
      <c r="G546">
        <f t="shared" si="44"/>
        <v>0</v>
      </c>
      <c r="H546">
        <v>0</v>
      </c>
      <c r="I546">
        <f t="shared" si="45"/>
        <v>0</v>
      </c>
      <c r="J546" s="107"/>
      <c r="K546" s="107"/>
    </row>
    <row r="547" spans="1:11" ht="12.75" customHeight="1" outlineLevel="1" x14ac:dyDescent="0.25">
      <c r="A547" s="107"/>
      <c r="B547" s="107"/>
      <c r="C547" s="107"/>
      <c r="D547">
        <v>2022</v>
      </c>
      <c r="E547">
        <f t="shared" si="43"/>
        <v>17129.316999999999</v>
      </c>
      <c r="F547">
        <v>16272.852000000001</v>
      </c>
      <c r="G547">
        <f t="shared" si="44"/>
        <v>0</v>
      </c>
      <c r="H547">
        <v>856.46500000000003</v>
      </c>
      <c r="I547">
        <f t="shared" si="45"/>
        <v>0</v>
      </c>
      <c r="J547" s="107"/>
      <c r="K547" s="107"/>
    </row>
    <row r="548" spans="1:11" ht="12.75" customHeight="1" outlineLevel="1" x14ac:dyDescent="0.25">
      <c r="A548" s="107"/>
      <c r="B548" s="107"/>
      <c r="C548" s="107"/>
      <c r="D548">
        <v>2023</v>
      </c>
      <c r="E548">
        <f t="shared" si="43"/>
        <v>0</v>
      </c>
      <c r="F548">
        <v>0</v>
      </c>
      <c r="G548">
        <f t="shared" si="44"/>
        <v>0</v>
      </c>
      <c r="H548">
        <v>0</v>
      </c>
      <c r="I548">
        <f t="shared" si="45"/>
        <v>0</v>
      </c>
      <c r="J548" s="107"/>
      <c r="K548" s="107"/>
    </row>
    <row r="549" spans="1:11" ht="12.75" customHeight="1" outlineLevel="1" x14ac:dyDescent="0.25">
      <c r="A549" s="107"/>
      <c r="B549" s="107"/>
      <c r="C549" s="107"/>
      <c r="D549">
        <v>2024</v>
      </c>
      <c r="E549">
        <f t="shared" si="43"/>
        <v>0</v>
      </c>
      <c r="F549">
        <v>0</v>
      </c>
      <c r="G549">
        <f t="shared" si="44"/>
        <v>0</v>
      </c>
      <c r="H549">
        <v>0</v>
      </c>
      <c r="I549">
        <f t="shared" si="45"/>
        <v>0</v>
      </c>
      <c r="J549" s="107"/>
      <c r="K549" s="107"/>
    </row>
    <row r="550" spans="1:11" ht="12.75" customHeight="1" outlineLevel="1" x14ac:dyDescent="0.25">
      <c r="A550" s="107"/>
      <c r="B550" s="107"/>
      <c r="C550" s="107"/>
      <c r="D550">
        <v>2025</v>
      </c>
      <c r="E550">
        <f t="shared" si="43"/>
        <v>0</v>
      </c>
      <c r="F550">
        <v>0</v>
      </c>
      <c r="G550">
        <f t="shared" si="44"/>
        <v>0</v>
      </c>
      <c r="H550">
        <v>0</v>
      </c>
      <c r="I550">
        <f t="shared" si="45"/>
        <v>0</v>
      </c>
      <c r="J550" s="107"/>
      <c r="K550" s="107"/>
    </row>
    <row r="551" spans="1:11" ht="12.75" customHeight="1" outlineLevel="1" x14ac:dyDescent="0.25">
      <c r="A551" s="107" t="s">
        <v>940</v>
      </c>
      <c r="B551" s="107" t="s">
        <v>941</v>
      </c>
      <c r="C551" s="107">
        <v>2022</v>
      </c>
      <c r="D551" t="s">
        <v>8</v>
      </c>
      <c r="E551">
        <f t="shared" si="43"/>
        <v>5286.9529999999995</v>
      </c>
      <c r="F551">
        <f>SUM(F552:F556)</f>
        <v>5022.6059999999998</v>
      </c>
      <c r="G551">
        <f t="shared" si="44"/>
        <v>0</v>
      </c>
      <c r="H551">
        <f>SUM(H552:H556)</f>
        <v>264.34699999999998</v>
      </c>
      <c r="I551">
        <f t="shared" si="45"/>
        <v>0</v>
      </c>
      <c r="J551" s="107" t="s">
        <v>942</v>
      </c>
      <c r="K551" s="107" t="s">
        <v>547</v>
      </c>
    </row>
    <row r="552" spans="1:11" ht="12.75" customHeight="1" outlineLevel="1" x14ac:dyDescent="0.25">
      <c r="A552" s="107"/>
      <c r="B552" s="107"/>
      <c r="C552" s="107"/>
      <c r="D552">
        <v>2021</v>
      </c>
      <c r="E552">
        <f t="shared" si="43"/>
        <v>0</v>
      </c>
      <c r="F552">
        <v>0</v>
      </c>
      <c r="G552">
        <f t="shared" si="44"/>
        <v>0</v>
      </c>
      <c r="H552">
        <v>0</v>
      </c>
      <c r="I552">
        <f t="shared" si="45"/>
        <v>0</v>
      </c>
      <c r="J552" s="107"/>
      <c r="K552" s="107"/>
    </row>
    <row r="553" spans="1:11" ht="12.75" customHeight="1" outlineLevel="1" x14ac:dyDescent="0.25">
      <c r="A553" s="107"/>
      <c r="B553" s="107"/>
      <c r="C553" s="107"/>
      <c r="D553">
        <v>2022</v>
      </c>
      <c r="E553">
        <f t="shared" si="43"/>
        <v>5286.9529999999995</v>
      </c>
      <c r="F553">
        <v>5022.6059999999998</v>
      </c>
      <c r="G553">
        <f t="shared" si="44"/>
        <v>0</v>
      </c>
      <c r="H553">
        <v>264.34699999999998</v>
      </c>
      <c r="I553">
        <f t="shared" si="45"/>
        <v>0</v>
      </c>
      <c r="J553" s="107"/>
      <c r="K553" s="107"/>
    </row>
    <row r="554" spans="1:11" ht="12.75" customHeight="1" outlineLevel="1" x14ac:dyDescent="0.25">
      <c r="A554" s="107"/>
      <c r="B554" s="107"/>
      <c r="C554" s="107"/>
      <c r="D554">
        <v>2023</v>
      </c>
      <c r="E554">
        <f t="shared" si="43"/>
        <v>0</v>
      </c>
      <c r="F554">
        <v>0</v>
      </c>
      <c r="G554">
        <f t="shared" si="44"/>
        <v>0</v>
      </c>
      <c r="H554">
        <v>0</v>
      </c>
      <c r="I554">
        <f t="shared" si="45"/>
        <v>0</v>
      </c>
      <c r="J554" s="107"/>
      <c r="K554" s="107"/>
    </row>
    <row r="555" spans="1:11" ht="12.75" customHeight="1" outlineLevel="1" x14ac:dyDescent="0.25">
      <c r="A555" s="107"/>
      <c r="B555" s="107"/>
      <c r="C555" s="107"/>
      <c r="D555">
        <v>2024</v>
      </c>
      <c r="E555">
        <f t="shared" si="43"/>
        <v>0</v>
      </c>
      <c r="F555">
        <v>0</v>
      </c>
      <c r="G555">
        <f t="shared" si="44"/>
        <v>0</v>
      </c>
      <c r="H555">
        <v>0</v>
      </c>
      <c r="I555">
        <f t="shared" si="45"/>
        <v>0</v>
      </c>
      <c r="J555" s="107"/>
      <c r="K555" s="107"/>
    </row>
    <row r="556" spans="1:11" ht="12.75" customHeight="1" outlineLevel="1" x14ac:dyDescent="0.25">
      <c r="A556" s="107"/>
      <c r="B556" s="107"/>
      <c r="C556" s="107"/>
      <c r="D556">
        <v>2025</v>
      </c>
      <c r="E556">
        <f t="shared" ref="E556:E616" si="46">SUM(F556:I556)</f>
        <v>0</v>
      </c>
      <c r="F556">
        <v>0</v>
      </c>
      <c r="G556">
        <f t="shared" si="44"/>
        <v>0</v>
      </c>
      <c r="H556">
        <v>0</v>
      </c>
      <c r="I556">
        <f t="shared" si="45"/>
        <v>0</v>
      </c>
      <c r="J556" s="107"/>
      <c r="K556" s="107"/>
    </row>
    <row r="557" spans="1:11" ht="12.75" customHeight="1" outlineLevel="1" x14ac:dyDescent="0.25">
      <c r="A557" s="107" t="s">
        <v>943</v>
      </c>
      <c r="B557" s="107" t="s">
        <v>944</v>
      </c>
      <c r="C557" s="107">
        <v>2022</v>
      </c>
      <c r="D557" t="s">
        <v>8</v>
      </c>
      <c r="E557">
        <f t="shared" si="46"/>
        <v>4292.34</v>
      </c>
      <c r="F557">
        <f>SUM(F558:F562)</f>
        <v>4077.723</v>
      </c>
      <c r="G557">
        <f t="shared" si="44"/>
        <v>0</v>
      </c>
      <c r="H557">
        <f>SUM(H558:H562)</f>
        <v>214.61699999999999</v>
      </c>
      <c r="I557">
        <f t="shared" si="45"/>
        <v>0</v>
      </c>
      <c r="J557" s="107" t="s">
        <v>945</v>
      </c>
      <c r="K557" s="107" t="s">
        <v>547</v>
      </c>
    </row>
    <row r="558" spans="1:11" ht="12.75" customHeight="1" outlineLevel="1" x14ac:dyDescent="0.25">
      <c r="A558" s="107"/>
      <c r="B558" s="107"/>
      <c r="C558" s="107"/>
      <c r="D558">
        <v>2021</v>
      </c>
      <c r="E558">
        <f t="shared" si="46"/>
        <v>0</v>
      </c>
      <c r="F558">
        <v>0</v>
      </c>
      <c r="G558">
        <f t="shared" si="44"/>
        <v>0</v>
      </c>
      <c r="H558">
        <v>0</v>
      </c>
      <c r="I558">
        <v>0</v>
      </c>
      <c r="J558" s="107"/>
      <c r="K558" s="107"/>
    </row>
    <row r="559" spans="1:11" ht="12.75" customHeight="1" outlineLevel="1" x14ac:dyDescent="0.25">
      <c r="A559" s="107"/>
      <c r="B559" s="107"/>
      <c r="C559" s="107"/>
      <c r="D559">
        <v>2022</v>
      </c>
      <c r="E559">
        <f t="shared" si="46"/>
        <v>4292.34</v>
      </c>
      <c r="F559">
        <v>4077.723</v>
      </c>
      <c r="G559">
        <f t="shared" si="44"/>
        <v>0</v>
      </c>
      <c r="H559">
        <v>214.61699999999999</v>
      </c>
      <c r="I559">
        <v>0</v>
      </c>
      <c r="J559" s="107"/>
      <c r="K559" s="107"/>
    </row>
    <row r="560" spans="1:11" ht="12.75" customHeight="1" outlineLevel="1" x14ac:dyDescent="0.25">
      <c r="A560" s="107"/>
      <c r="B560" s="107"/>
      <c r="C560" s="107"/>
      <c r="D560">
        <v>2023</v>
      </c>
      <c r="E560">
        <f t="shared" si="46"/>
        <v>0</v>
      </c>
      <c r="F560">
        <v>0</v>
      </c>
      <c r="G560">
        <v>0</v>
      </c>
      <c r="H560">
        <v>0</v>
      </c>
      <c r="I560">
        <v>0</v>
      </c>
      <c r="J560" s="107"/>
      <c r="K560" s="107"/>
    </row>
    <row r="561" spans="1:11" ht="12.75" customHeight="1" outlineLevel="1" x14ac:dyDescent="0.25">
      <c r="A561" s="107"/>
      <c r="B561" s="107"/>
      <c r="C561" s="107"/>
      <c r="D561">
        <v>2024</v>
      </c>
      <c r="E561">
        <f t="shared" si="46"/>
        <v>0</v>
      </c>
      <c r="F561">
        <v>0</v>
      </c>
      <c r="G561">
        <v>0</v>
      </c>
      <c r="H561">
        <v>0</v>
      </c>
      <c r="I561">
        <v>0</v>
      </c>
      <c r="J561" s="107"/>
      <c r="K561" s="107"/>
    </row>
    <row r="562" spans="1:11" ht="12.75" customHeight="1" outlineLevel="1" x14ac:dyDescent="0.25">
      <c r="A562" s="107"/>
      <c r="B562" s="107"/>
      <c r="C562" s="107"/>
      <c r="D562">
        <v>2025</v>
      </c>
      <c r="E562">
        <f t="shared" si="46"/>
        <v>0</v>
      </c>
      <c r="F562">
        <v>0</v>
      </c>
      <c r="G562">
        <v>0</v>
      </c>
      <c r="H562">
        <v>0</v>
      </c>
      <c r="I562">
        <v>0</v>
      </c>
      <c r="J562" s="107"/>
      <c r="K562" s="107"/>
    </row>
    <row r="563" spans="1:11" ht="12.75" customHeight="1" outlineLevel="1" x14ac:dyDescent="0.25">
      <c r="A563" s="107" t="s">
        <v>946</v>
      </c>
      <c r="B563" s="107" t="s">
        <v>947</v>
      </c>
      <c r="C563" s="107">
        <v>2022</v>
      </c>
      <c r="D563" t="s">
        <v>8</v>
      </c>
      <c r="E563">
        <f t="shared" si="46"/>
        <v>24014.71</v>
      </c>
      <c r="F563">
        <f>SUM(F564:F568)</f>
        <v>22813.974999999999</v>
      </c>
      <c r="G563">
        <f t="shared" si="44"/>
        <v>0</v>
      </c>
      <c r="H563">
        <f>SUM(H564:H568)</f>
        <v>1200.7350000000001</v>
      </c>
      <c r="I563">
        <f t="shared" si="45"/>
        <v>0</v>
      </c>
      <c r="J563" s="107" t="s">
        <v>948</v>
      </c>
      <c r="K563" s="107" t="s">
        <v>547</v>
      </c>
    </row>
    <row r="564" spans="1:11" ht="12.75" customHeight="1" outlineLevel="1" x14ac:dyDescent="0.25">
      <c r="A564" s="107"/>
      <c r="B564" s="107"/>
      <c r="C564" s="107"/>
      <c r="D564">
        <v>2021</v>
      </c>
      <c r="E564">
        <f t="shared" si="46"/>
        <v>0</v>
      </c>
      <c r="F564">
        <v>0</v>
      </c>
      <c r="G564">
        <v>0</v>
      </c>
      <c r="H564">
        <v>0</v>
      </c>
      <c r="I564">
        <f>SUM(I565:I568)</f>
        <v>0</v>
      </c>
      <c r="J564" s="107"/>
      <c r="K564" s="107"/>
    </row>
    <row r="565" spans="1:11" ht="12.75" customHeight="1" outlineLevel="1" x14ac:dyDescent="0.25">
      <c r="A565" s="107"/>
      <c r="B565" s="107"/>
      <c r="C565" s="107"/>
      <c r="D565">
        <v>2022</v>
      </c>
      <c r="E565">
        <f t="shared" si="46"/>
        <v>14014.710000000001</v>
      </c>
      <c r="F565">
        <v>13313.975</v>
      </c>
      <c r="G565">
        <v>0</v>
      </c>
      <c r="H565">
        <v>700.73500000000001</v>
      </c>
      <c r="I565">
        <f>SUM(I566:I568)</f>
        <v>0</v>
      </c>
      <c r="J565" s="107"/>
      <c r="K565" s="107"/>
    </row>
    <row r="566" spans="1:11" ht="12.75" customHeight="1" outlineLevel="1" x14ac:dyDescent="0.25">
      <c r="A566" s="107"/>
      <c r="B566" s="107"/>
      <c r="C566" s="107"/>
      <c r="D566">
        <v>2023</v>
      </c>
      <c r="E566">
        <f t="shared" si="46"/>
        <v>10000</v>
      </c>
      <c r="F566">
        <v>9500</v>
      </c>
      <c r="G566">
        <v>0</v>
      </c>
      <c r="H566">
        <v>500</v>
      </c>
      <c r="I566">
        <f>SUM(I567:I568)</f>
        <v>0</v>
      </c>
      <c r="J566" s="107"/>
      <c r="K566" s="107"/>
    </row>
    <row r="567" spans="1:11" ht="12.75" customHeight="1" outlineLevel="1" x14ac:dyDescent="0.25">
      <c r="A567" s="107"/>
      <c r="B567" s="107"/>
      <c r="C567" s="107"/>
      <c r="D567">
        <v>2024</v>
      </c>
      <c r="E567">
        <f t="shared" si="46"/>
        <v>0</v>
      </c>
      <c r="F567">
        <v>0</v>
      </c>
      <c r="G567">
        <v>0</v>
      </c>
      <c r="H567">
        <v>0</v>
      </c>
      <c r="I567">
        <v>0</v>
      </c>
      <c r="J567" s="107"/>
      <c r="K567" s="107"/>
    </row>
    <row r="568" spans="1:11" ht="12.75" customHeight="1" outlineLevel="1" x14ac:dyDescent="0.25">
      <c r="A568" s="107"/>
      <c r="B568" s="107"/>
      <c r="C568" s="107"/>
      <c r="D568">
        <v>2025</v>
      </c>
      <c r="E568">
        <f t="shared" si="46"/>
        <v>0</v>
      </c>
      <c r="F568">
        <v>0</v>
      </c>
      <c r="G568">
        <v>0</v>
      </c>
      <c r="H568">
        <v>0</v>
      </c>
      <c r="I568">
        <v>0</v>
      </c>
      <c r="J568" s="107"/>
      <c r="K568" s="107"/>
    </row>
    <row r="569" spans="1:11" ht="12.75" customHeight="1" outlineLevel="1" x14ac:dyDescent="0.25">
      <c r="A569" s="107" t="s">
        <v>116</v>
      </c>
      <c r="B569" s="107" t="s">
        <v>40</v>
      </c>
      <c r="C569" s="107" t="s">
        <v>41</v>
      </c>
      <c r="D569" t="s">
        <v>8</v>
      </c>
      <c r="E569">
        <f t="shared" si="46"/>
        <v>1052760.3499</v>
      </c>
      <c r="F569">
        <f>SUM(F570:F574)</f>
        <v>527941.51014999999</v>
      </c>
      <c r="G569">
        <f t="shared" si="44"/>
        <v>502390.99900000001</v>
      </c>
      <c r="H569">
        <f>SUM(H570:H574)</f>
        <v>22427.840749999974</v>
      </c>
      <c r="I569">
        <f>SUM(I570:I574)</f>
        <v>0</v>
      </c>
      <c r="J569" s="107" t="s">
        <v>117</v>
      </c>
      <c r="K569" s="107" t="s">
        <v>601</v>
      </c>
    </row>
    <row r="570" spans="1:11" outlineLevel="1" x14ac:dyDescent="0.25">
      <c r="A570" s="107"/>
      <c r="B570" s="107"/>
      <c r="C570" s="107"/>
      <c r="D570">
        <v>2021</v>
      </c>
      <c r="E570">
        <f t="shared" si="46"/>
        <v>277483.179</v>
      </c>
      <c r="F570">
        <f t="shared" ref="F570:I574" si="47">F576+F582+F588+F594</f>
        <v>19160.86</v>
      </c>
      <c r="G570">
        <f t="shared" si="47"/>
        <v>257488.69899999999</v>
      </c>
      <c r="H570">
        <f t="shared" si="47"/>
        <v>833.61999999999989</v>
      </c>
      <c r="I570">
        <f t="shared" si="47"/>
        <v>0</v>
      </c>
      <c r="J570" s="107"/>
      <c r="K570" s="107"/>
    </row>
    <row r="571" spans="1:11" outlineLevel="1" x14ac:dyDescent="0.25">
      <c r="A571" s="107"/>
      <c r="B571" s="107"/>
      <c r="C571" s="107"/>
      <c r="D571">
        <v>2022</v>
      </c>
      <c r="E571">
        <f t="shared" si="46"/>
        <v>627254.25601000001</v>
      </c>
      <c r="F571">
        <f t="shared" si="47"/>
        <v>488555.33100000001</v>
      </c>
      <c r="G571">
        <f t="shared" si="47"/>
        <v>117511.3</v>
      </c>
      <c r="H571">
        <f t="shared" si="47"/>
        <v>21187.62501</v>
      </c>
      <c r="I571">
        <f t="shared" si="47"/>
        <v>0</v>
      </c>
      <c r="J571" s="107"/>
      <c r="K571" s="107"/>
    </row>
    <row r="572" spans="1:11" outlineLevel="1" x14ac:dyDescent="0.25">
      <c r="A572" s="107"/>
      <c r="B572" s="107"/>
      <c r="C572" s="107"/>
      <c r="D572">
        <v>2023</v>
      </c>
      <c r="E572">
        <f t="shared" si="46"/>
        <v>141772.91488999996</v>
      </c>
      <c r="F572">
        <f t="shared" si="47"/>
        <v>13975.319150000007</v>
      </c>
      <c r="G572">
        <f t="shared" si="47"/>
        <v>127391</v>
      </c>
      <c r="H572">
        <f t="shared" si="47"/>
        <v>406.59573999997519</v>
      </c>
      <c r="I572">
        <f t="shared" si="47"/>
        <v>0</v>
      </c>
      <c r="J572" s="107"/>
      <c r="K572" s="107"/>
    </row>
    <row r="573" spans="1:11" outlineLevel="1" x14ac:dyDescent="0.25">
      <c r="A573" s="107"/>
      <c r="B573" s="107"/>
      <c r="C573" s="107"/>
      <c r="D573">
        <v>2024</v>
      </c>
      <c r="E573">
        <f t="shared" si="46"/>
        <v>6250</v>
      </c>
      <c r="F573">
        <f t="shared" si="47"/>
        <v>6250</v>
      </c>
      <c r="G573">
        <f t="shared" si="47"/>
        <v>0</v>
      </c>
      <c r="H573">
        <f t="shared" si="47"/>
        <v>0</v>
      </c>
      <c r="I573">
        <f t="shared" si="47"/>
        <v>0</v>
      </c>
      <c r="J573" s="107"/>
      <c r="K573" s="107"/>
    </row>
    <row r="574" spans="1:11" outlineLevel="1" x14ac:dyDescent="0.25">
      <c r="A574" s="107"/>
      <c r="B574" s="107"/>
      <c r="C574" s="107"/>
      <c r="D574">
        <v>2025</v>
      </c>
      <c r="E574">
        <f t="shared" si="46"/>
        <v>0</v>
      </c>
      <c r="F574">
        <f t="shared" si="47"/>
        <v>0</v>
      </c>
      <c r="G574">
        <f t="shared" si="47"/>
        <v>0</v>
      </c>
      <c r="H574">
        <f t="shared" si="47"/>
        <v>0</v>
      </c>
      <c r="I574">
        <f t="shared" si="47"/>
        <v>0</v>
      </c>
      <c r="J574" s="107"/>
      <c r="K574" s="107"/>
    </row>
    <row r="575" spans="1:11" x14ac:dyDescent="0.25">
      <c r="A575" s="107" t="s">
        <v>119</v>
      </c>
      <c r="B575" s="107" t="s">
        <v>120</v>
      </c>
      <c r="C575" s="107" t="s">
        <v>41</v>
      </c>
      <c r="D575" t="s">
        <v>8</v>
      </c>
      <c r="E575">
        <f t="shared" si="46"/>
        <v>22070.7</v>
      </c>
      <c r="F575">
        <f>SUM(F576:F580)</f>
        <v>22070.7</v>
      </c>
      <c r="G575">
        <f>SUM(G576:G580)</f>
        <v>0</v>
      </c>
      <c r="H575">
        <f>SUM(H576:H580)</f>
        <v>0</v>
      </c>
      <c r="I575">
        <f>SUM(I576:I580)</f>
        <v>0</v>
      </c>
      <c r="J575" s="107" t="s">
        <v>121</v>
      </c>
      <c r="K575" s="107" t="s">
        <v>484</v>
      </c>
    </row>
    <row r="576" spans="1:11" ht="14.25" customHeight="1" x14ac:dyDescent="0.25">
      <c r="A576" s="107"/>
      <c r="B576" s="107"/>
      <c r="C576" s="107"/>
      <c r="D576">
        <v>2021</v>
      </c>
      <c r="E576">
        <f t="shared" si="46"/>
        <v>3320.7</v>
      </c>
      <c r="F576">
        <v>3320.7</v>
      </c>
      <c r="G576">
        <v>0</v>
      </c>
      <c r="H576">
        <v>0</v>
      </c>
      <c r="I576">
        <v>0</v>
      </c>
      <c r="J576" s="107"/>
      <c r="K576" s="107"/>
    </row>
    <row r="577" spans="1:12" x14ac:dyDescent="0.25">
      <c r="A577" s="107"/>
      <c r="B577" s="107"/>
      <c r="C577" s="107"/>
      <c r="D577">
        <v>2022</v>
      </c>
      <c r="E577">
        <f t="shared" si="46"/>
        <v>6250</v>
      </c>
      <c r="F577">
        <v>6250</v>
      </c>
      <c r="G577">
        <v>0</v>
      </c>
      <c r="H577">
        <v>0</v>
      </c>
      <c r="I577">
        <v>0</v>
      </c>
      <c r="J577" s="107"/>
      <c r="K577" s="107"/>
    </row>
    <row r="578" spans="1:12" x14ac:dyDescent="0.25">
      <c r="A578" s="107"/>
      <c r="B578" s="107"/>
      <c r="C578" s="107"/>
      <c r="D578">
        <v>2023</v>
      </c>
      <c r="E578">
        <f t="shared" si="46"/>
        <v>6250</v>
      </c>
      <c r="F578">
        <v>6250</v>
      </c>
      <c r="G578">
        <v>0</v>
      </c>
      <c r="H578">
        <v>0</v>
      </c>
      <c r="I578">
        <v>0</v>
      </c>
      <c r="J578" s="107"/>
      <c r="K578" s="107"/>
    </row>
    <row r="579" spans="1:12" x14ac:dyDescent="0.25">
      <c r="A579" s="107"/>
      <c r="B579" s="107"/>
      <c r="C579" s="107"/>
      <c r="D579">
        <v>2024</v>
      </c>
      <c r="E579">
        <f t="shared" si="46"/>
        <v>6250</v>
      </c>
      <c r="F579">
        <v>6250</v>
      </c>
      <c r="G579">
        <v>0</v>
      </c>
      <c r="H579">
        <v>0</v>
      </c>
      <c r="I579">
        <v>0</v>
      </c>
      <c r="J579" s="107"/>
      <c r="K579" s="107"/>
    </row>
    <row r="580" spans="1:12" x14ac:dyDescent="0.25">
      <c r="A580" s="107"/>
      <c r="B580" s="107"/>
      <c r="C580" s="107"/>
      <c r="D580">
        <v>2025</v>
      </c>
      <c r="E580">
        <f t="shared" si="46"/>
        <v>0</v>
      </c>
      <c r="F580">
        <v>0</v>
      </c>
      <c r="G580">
        <v>0</v>
      </c>
      <c r="H580">
        <v>0</v>
      </c>
      <c r="I580">
        <v>0</v>
      </c>
      <c r="J580" s="107"/>
      <c r="K580" s="107"/>
    </row>
    <row r="581" spans="1:12" ht="21" customHeight="1" x14ac:dyDescent="0.25">
      <c r="A581" s="107" t="s">
        <v>122</v>
      </c>
      <c r="B581" s="107" t="s">
        <v>123</v>
      </c>
      <c r="C581" s="107" t="s">
        <v>124</v>
      </c>
      <c r="D581" t="s">
        <v>8</v>
      </c>
      <c r="E581">
        <f t="shared" si="46"/>
        <v>386449.05105000001</v>
      </c>
      <c r="F581">
        <f>SUM(F582:F586)</f>
        <v>255936.07800000001</v>
      </c>
      <c r="G581">
        <f>SUM(G582:G586)</f>
        <v>121253.24804000001</v>
      </c>
      <c r="H581">
        <f>SUM(H582:H586)</f>
        <v>9259.7250100000001</v>
      </c>
      <c r="I581">
        <f>SUM(I582:I586)</f>
        <v>0</v>
      </c>
      <c r="J581" s="107" t="s">
        <v>949</v>
      </c>
      <c r="K581" s="107" t="s">
        <v>547</v>
      </c>
      <c r="L581" s="107" t="s">
        <v>950</v>
      </c>
    </row>
    <row r="582" spans="1:12" ht="21" customHeight="1" x14ac:dyDescent="0.25">
      <c r="A582" s="107"/>
      <c r="B582" s="107"/>
      <c r="C582" s="107"/>
      <c r="D582">
        <v>2021</v>
      </c>
      <c r="E582">
        <f t="shared" si="46"/>
        <v>94469.148000000001</v>
      </c>
      <c r="F582">
        <v>5458.1030000000001</v>
      </c>
      <c r="G582">
        <v>88723.845000000001</v>
      </c>
      <c r="H582">
        <v>287.2</v>
      </c>
      <c r="I582">
        <v>0</v>
      </c>
      <c r="J582" s="107"/>
      <c r="K582" s="107"/>
      <c r="L582" s="107"/>
    </row>
    <row r="583" spans="1:12" ht="21" customHeight="1" x14ac:dyDescent="0.25">
      <c r="A583" s="107"/>
      <c r="B583" s="107"/>
      <c r="C583" s="107"/>
      <c r="D583">
        <v>2022</v>
      </c>
      <c r="E583">
        <f t="shared" si="46"/>
        <v>291979.90304999996</v>
      </c>
      <c r="F583">
        <v>250477.97500000001</v>
      </c>
      <c r="G583">
        <v>32529.403040000001</v>
      </c>
      <c r="H583">
        <f>(103817.25+8868707.76)/1000</f>
        <v>8972.5250099999994</v>
      </c>
      <c r="I583">
        <v>0</v>
      </c>
      <c r="J583" s="107"/>
      <c r="K583" s="107"/>
      <c r="L583" s="107"/>
    </row>
    <row r="584" spans="1:12" ht="21" customHeight="1" x14ac:dyDescent="0.25">
      <c r="A584" s="107"/>
      <c r="B584" s="107"/>
      <c r="C584" s="107"/>
      <c r="D584">
        <v>2023</v>
      </c>
      <c r="E584">
        <f t="shared" si="46"/>
        <v>0</v>
      </c>
      <c r="F584">
        <v>0</v>
      </c>
      <c r="G584">
        <v>0</v>
      </c>
      <c r="H584">
        <v>0</v>
      </c>
      <c r="I584">
        <v>0</v>
      </c>
      <c r="J584" s="107"/>
      <c r="K584" s="107"/>
      <c r="L584" s="107"/>
    </row>
    <row r="585" spans="1:12" ht="21" customHeight="1" x14ac:dyDescent="0.25">
      <c r="A585" s="107"/>
      <c r="B585" s="107"/>
      <c r="C585" s="107"/>
      <c r="D585">
        <v>2024</v>
      </c>
      <c r="E585">
        <f t="shared" si="46"/>
        <v>0</v>
      </c>
      <c r="F585">
        <v>0</v>
      </c>
      <c r="G585">
        <v>0</v>
      </c>
      <c r="H585">
        <v>0</v>
      </c>
      <c r="I585">
        <v>0</v>
      </c>
      <c r="J585" s="107"/>
      <c r="K585" s="107"/>
      <c r="L585" s="107"/>
    </row>
    <row r="586" spans="1:12" ht="21" customHeight="1" x14ac:dyDescent="0.25">
      <c r="A586" s="107"/>
      <c r="B586" s="107"/>
      <c r="C586" s="107"/>
      <c r="D586">
        <v>2025</v>
      </c>
      <c r="E586">
        <f t="shared" si="46"/>
        <v>0</v>
      </c>
      <c r="F586">
        <v>0</v>
      </c>
      <c r="G586">
        <v>0</v>
      </c>
      <c r="H586">
        <v>0</v>
      </c>
      <c r="I586">
        <v>0</v>
      </c>
      <c r="J586" s="107"/>
      <c r="K586" s="107"/>
      <c r="L586" s="107"/>
    </row>
    <row r="587" spans="1:12" ht="20.25" customHeight="1" x14ac:dyDescent="0.25">
      <c r="A587" s="107" t="s">
        <v>126</v>
      </c>
      <c r="B587" s="107" t="s">
        <v>127</v>
      </c>
      <c r="C587" s="107" t="s">
        <v>124</v>
      </c>
      <c r="D587" t="s">
        <v>8</v>
      </c>
      <c r="E587">
        <f t="shared" si="46"/>
        <v>508717.68395999999</v>
      </c>
      <c r="F587">
        <f>SUM(F588:F592)</f>
        <v>242209.413</v>
      </c>
      <c r="G587">
        <f>SUM(G588:G592)</f>
        <v>253746.75095999998</v>
      </c>
      <c r="H587">
        <f>SUM(H588:H592)</f>
        <v>12761.52</v>
      </c>
      <c r="I587">
        <f>SUM(I588:I592)</f>
        <v>0</v>
      </c>
      <c r="J587" s="107" t="s">
        <v>951</v>
      </c>
      <c r="K587" s="107" t="s">
        <v>547</v>
      </c>
      <c r="L587" s="107"/>
    </row>
    <row r="588" spans="1:12" ht="20.25" customHeight="1" x14ac:dyDescent="0.25">
      <c r="A588" s="107"/>
      <c r="B588" s="107"/>
      <c r="C588" s="107"/>
      <c r="D588">
        <v>2021</v>
      </c>
      <c r="E588">
        <f t="shared" si="46"/>
        <v>179693.33100000001</v>
      </c>
      <c r="F588">
        <v>10382.057000000001</v>
      </c>
      <c r="G588">
        <v>168764.85399999999</v>
      </c>
      <c r="H588">
        <v>546.41999999999996</v>
      </c>
      <c r="I588">
        <v>0</v>
      </c>
      <c r="J588" s="107"/>
      <c r="K588" s="107"/>
      <c r="L588" s="107"/>
    </row>
    <row r="589" spans="1:12" ht="20.25" customHeight="1" x14ac:dyDescent="0.25">
      <c r="A589" s="107"/>
      <c r="B589" s="107"/>
      <c r="C589" s="107"/>
      <c r="D589">
        <v>2022</v>
      </c>
      <c r="E589">
        <f t="shared" si="46"/>
        <v>329024.35295999999</v>
      </c>
      <c r="F589">
        <v>231827.356</v>
      </c>
      <c r="G589">
        <v>84981.896959999998</v>
      </c>
      <c r="H589">
        <v>12215.1</v>
      </c>
      <c r="I589">
        <v>0</v>
      </c>
      <c r="J589" s="107"/>
      <c r="K589" s="107"/>
      <c r="L589" s="107"/>
    </row>
    <row r="590" spans="1:12" ht="20.25" customHeight="1" x14ac:dyDescent="0.25">
      <c r="A590" s="107"/>
      <c r="B590" s="107"/>
      <c r="C590" s="107"/>
      <c r="D590">
        <v>2023</v>
      </c>
      <c r="E590">
        <f t="shared" si="46"/>
        <v>0</v>
      </c>
      <c r="F590">
        <v>0</v>
      </c>
      <c r="G590">
        <v>0</v>
      </c>
      <c r="H590">
        <v>0</v>
      </c>
      <c r="I590">
        <v>0</v>
      </c>
      <c r="J590" s="107"/>
      <c r="K590" s="107"/>
      <c r="L590" s="107"/>
    </row>
    <row r="591" spans="1:12" ht="20.25" customHeight="1" x14ac:dyDescent="0.25">
      <c r="A591" s="107"/>
      <c r="B591" s="107"/>
      <c r="C591" s="107"/>
      <c r="D591">
        <v>2024</v>
      </c>
      <c r="E591">
        <f t="shared" si="46"/>
        <v>0</v>
      </c>
      <c r="F591">
        <v>0</v>
      </c>
      <c r="G591">
        <v>0</v>
      </c>
      <c r="H591">
        <v>0</v>
      </c>
      <c r="I591">
        <v>0</v>
      </c>
      <c r="J591" s="107"/>
      <c r="K591" s="107"/>
      <c r="L591" s="107"/>
    </row>
    <row r="592" spans="1:12" ht="20.25" customHeight="1" x14ac:dyDescent="0.25">
      <c r="A592" s="107"/>
      <c r="B592" s="107"/>
      <c r="C592" s="107"/>
      <c r="D592">
        <v>2025</v>
      </c>
      <c r="E592">
        <f t="shared" si="46"/>
        <v>0</v>
      </c>
      <c r="F592">
        <v>0</v>
      </c>
      <c r="G592">
        <v>0</v>
      </c>
      <c r="H592">
        <v>0</v>
      </c>
      <c r="I592">
        <v>0</v>
      </c>
      <c r="J592" s="107"/>
      <c r="K592" s="107"/>
      <c r="L592" s="107"/>
    </row>
    <row r="593" spans="1:13" ht="15" customHeight="1" x14ac:dyDescent="0.25">
      <c r="A593" s="107" t="s">
        <v>128</v>
      </c>
      <c r="B593" s="107" t="s">
        <v>747</v>
      </c>
      <c r="C593" s="107">
        <v>2023</v>
      </c>
      <c r="D593" t="s">
        <v>8</v>
      </c>
      <c r="E593">
        <f t="shared" si="46"/>
        <v>135522.91488999996</v>
      </c>
      <c r="F593">
        <f>SUM(F594:F598)</f>
        <v>7725.3191500000057</v>
      </c>
      <c r="G593">
        <f>SUM(G594:G598)</f>
        <v>127391</v>
      </c>
      <c r="H593">
        <f>SUM(H594:H598)</f>
        <v>406.59573999997519</v>
      </c>
      <c r="I593">
        <f>SUM(I594:I598)</f>
        <v>0</v>
      </c>
      <c r="J593" s="107" t="s">
        <v>952</v>
      </c>
      <c r="K593" s="107" t="s">
        <v>547</v>
      </c>
      <c r="M593" s="107" t="s">
        <v>953</v>
      </c>
    </row>
    <row r="594" spans="1:13" x14ac:dyDescent="0.25">
      <c r="A594" s="107"/>
      <c r="B594" s="107"/>
      <c r="C594" s="107"/>
      <c r="D594">
        <v>2021</v>
      </c>
      <c r="E594">
        <f t="shared" si="46"/>
        <v>0</v>
      </c>
      <c r="F594">
        <v>0</v>
      </c>
      <c r="G594">
        <v>0</v>
      </c>
      <c r="H594">
        <v>0</v>
      </c>
      <c r="I594">
        <v>0</v>
      </c>
      <c r="J594" s="107"/>
      <c r="K594" s="107"/>
      <c r="M594" s="107"/>
    </row>
    <row r="595" spans="1:13" x14ac:dyDescent="0.25">
      <c r="A595" s="107"/>
      <c r="B595" s="107"/>
      <c r="C595" s="107"/>
      <c r="D595">
        <v>2022</v>
      </c>
      <c r="E595">
        <f t="shared" si="46"/>
        <v>0</v>
      </c>
      <c r="F595">
        <v>0</v>
      </c>
      <c r="G595">
        <v>0</v>
      </c>
      <c r="H595">
        <v>0</v>
      </c>
      <c r="I595">
        <v>0</v>
      </c>
      <c r="J595" s="107"/>
      <c r="K595" s="107"/>
      <c r="M595" s="107"/>
    </row>
    <row r="596" spans="1:13" x14ac:dyDescent="0.25">
      <c r="A596" s="107"/>
      <c r="B596" s="107"/>
      <c r="C596" s="107"/>
      <c r="D596">
        <v>2023</v>
      </c>
      <c r="E596">
        <f t="shared" si="46"/>
        <v>135522.91488999996</v>
      </c>
      <c r="F596">
        <f>(135116319.15-127391000)/1000</f>
        <v>7725.3191500000057</v>
      </c>
      <c r="G596">
        <v>127391</v>
      </c>
      <c r="H596">
        <f>135522914.89/1000-F596-G596</f>
        <v>406.59573999997519</v>
      </c>
      <c r="I596">
        <v>0</v>
      </c>
      <c r="J596" s="107"/>
      <c r="K596" s="107"/>
      <c r="M596" s="107"/>
    </row>
    <row r="597" spans="1:13" x14ac:dyDescent="0.25">
      <c r="A597" s="107"/>
      <c r="B597" s="107"/>
      <c r="C597" s="107"/>
      <c r="D597">
        <v>2024</v>
      </c>
      <c r="E597">
        <f t="shared" si="46"/>
        <v>0</v>
      </c>
      <c r="F597">
        <v>0</v>
      </c>
      <c r="G597">
        <v>0</v>
      </c>
      <c r="H597">
        <v>0</v>
      </c>
      <c r="I597">
        <v>0</v>
      </c>
      <c r="J597" s="107"/>
      <c r="K597" s="107"/>
      <c r="M597" s="107"/>
    </row>
    <row r="598" spans="1:13" x14ac:dyDescent="0.25">
      <c r="A598" s="107"/>
      <c r="B598" s="107"/>
      <c r="C598" s="107"/>
      <c r="D598">
        <v>2025</v>
      </c>
      <c r="E598">
        <f t="shared" si="46"/>
        <v>0</v>
      </c>
      <c r="F598">
        <v>0</v>
      </c>
      <c r="G598">
        <v>0</v>
      </c>
      <c r="H598">
        <v>0</v>
      </c>
      <c r="I598">
        <v>0</v>
      </c>
      <c r="J598" s="107"/>
      <c r="K598" s="107"/>
      <c r="M598" s="107"/>
    </row>
    <row r="599" spans="1:13" x14ac:dyDescent="0.25">
      <c r="A599" s="107" t="s">
        <v>131</v>
      </c>
      <c r="B599" s="107" t="s">
        <v>132</v>
      </c>
      <c r="C599" s="107" t="s">
        <v>14</v>
      </c>
      <c r="D599" t="s">
        <v>8</v>
      </c>
      <c r="E599">
        <f t="shared" si="46"/>
        <v>230700.24300000002</v>
      </c>
      <c r="F599">
        <f>SUM(F600:F604)</f>
        <v>230700.24300000002</v>
      </c>
      <c r="G599">
        <f>SUM(G600:G604)</f>
        <v>0</v>
      </c>
      <c r="H599">
        <f>SUM(H600:H604)</f>
        <v>0</v>
      </c>
      <c r="I599">
        <f>SUM(I600:I604)</f>
        <v>0</v>
      </c>
      <c r="J599" s="107"/>
      <c r="K599" s="107" t="s">
        <v>484</v>
      </c>
    </row>
    <row r="600" spans="1:13" x14ac:dyDescent="0.25">
      <c r="A600" s="107"/>
      <c r="B600" s="107"/>
      <c r="C600" s="107"/>
      <c r="D600">
        <v>2021</v>
      </c>
      <c r="E600">
        <f t="shared" si="46"/>
        <v>40456.81</v>
      </c>
      <c r="F600">
        <f t="shared" ref="F600:I604" si="48">F606</f>
        <v>40456.81</v>
      </c>
      <c r="G600">
        <f t="shared" si="48"/>
        <v>0</v>
      </c>
      <c r="H600">
        <f t="shared" si="48"/>
        <v>0</v>
      </c>
      <c r="I600">
        <f t="shared" si="48"/>
        <v>0</v>
      </c>
      <c r="J600" s="107"/>
      <c r="K600" s="107"/>
    </row>
    <row r="601" spans="1:13" x14ac:dyDescent="0.25">
      <c r="A601" s="107"/>
      <c r="B601" s="107"/>
      <c r="C601" s="107"/>
      <c r="D601">
        <v>2022</v>
      </c>
      <c r="E601">
        <f t="shared" si="46"/>
        <v>46084.21</v>
      </c>
      <c r="F601">
        <f t="shared" si="48"/>
        <v>46084.21</v>
      </c>
      <c r="G601">
        <f t="shared" si="48"/>
        <v>0</v>
      </c>
      <c r="H601">
        <f t="shared" si="48"/>
        <v>0</v>
      </c>
      <c r="I601">
        <f t="shared" si="48"/>
        <v>0</v>
      </c>
      <c r="J601" s="107"/>
      <c r="K601" s="107"/>
    </row>
    <row r="602" spans="1:13" x14ac:dyDescent="0.25">
      <c r="A602" s="107"/>
      <c r="B602" s="107"/>
      <c r="C602" s="107"/>
      <c r="D602">
        <v>2023</v>
      </c>
      <c r="E602">
        <f t="shared" si="46"/>
        <v>47752.76</v>
      </c>
      <c r="F602">
        <f t="shared" si="48"/>
        <v>47752.76</v>
      </c>
      <c r="G602">
        <f t="shared" si="48"/>
        <v>0</v>
      </c>
      <c r="H602">
        <f t="shared" si="48"/>
        <v>0</v>
      </c>
      <c r="I602">
        <f t="shared" si="48"/>
        <v>0</v>
      </c>
      <c r="J602" s="107"/>
      <c r="K602" s="107"/>
    </row>
    <row r="603" spans="1:13" x14ac:dyDescent="0.25">
      <c r="A603" s="107"/>
      <c r="B603" s="107"/>
      <c r="C603" s="107"/>
      <c r="D603">
        <v>2024</v>
      </c>
      <c r="E603">
        <f t="shared" si="46"/>
        <v>49488.053999999996</v>
      </c>
      <c r="F603">
        <f t="shared" si="48"/>
        <v>49488.053999999996</v>
      </c>
      <c r="G603">
        <f t="shared" si="48"/>
        <v>0</v>
      </c>
      <c r="H603">
        <f t="shared" si="48"/>
        <v>0</v>
      </c>
      <c r="I603">
        <f t="shared" si="48"/>
        <v>0</v>
      </c>
      <c r="J603" s="107"/>
      <c r="K603" s="107"/>
    </row>
    <row r="604" spans="1:13" x14ac:dyDescent="0.25">
      <c r="A604" s="107"/>
      <c r="B604" s="107"/>
      <c r="C604" s="107"/>
      <c r="D604">
        <v>2025</v>
      </c>
      <c r="E604">
        <f t="shared" si="46"/>
        <v>46918.409</v>
      </c>
      <c r="F604">
        <f t="shared" si="48"/>
        <v>46918.409</v>
      </c>
      <c r="G604">
        <f t="shared" si="48"/>
        <v>0</v>
      </c>
      <c r="H604">
        <f t="shared" si="48"/>
        <v>0</v>
      </c>
      <c r="I604">
        <f t="shared" si="48"/>
        <v>0</v>
      </c>
      <c r="J604" s="107"/>
      <c r="K604" s="107"/>
    </row>
    <row r="605" spans="1:13" ht="15" customHeight="1" x14ac:dyDescent="0.25">
      <c r="A605" s="107" t="s">
        <v>133</v>
      </c>
      <c r="B605" s="107" t="s">
        <v>134</v>
      </c>
      <c r="C605" s="107" t="s">
        <v>14</v>
      </c>
      <c r="D605" t="s">
        <v>8</v>
      </c>
      <c r="E605">
        <f t="shared" si="46"/>
        <v>230700.24300000002</v>
      </c>
      <c r="F605">
        <f>SUM(F606:F610)</f>
        <v>230700.24300000002</v>
      </c>
      <c r="G605">
        <f>SUM(G606:G610)</f>
        <v>0</v>
      </c>
      <c r="H605">
        <f>SUM(H606:H610)</f>
        <v>0</v>
      </c>
      <c r="I605">
        <f>SUM(I606:I610)</f>
        <v>0</v>
      </c>
      <c r="J605" s="107" t="s">
        <v>605</v>
      </c>
      <c r="K605" s="107" t="s">
        <v>484</v>
      </c>
    </row>
    <row r="606" spans="1:13" x14ac:dyDescent="0.25">
      <c r="A606" s="107"/>
      <c r="B606" s="107"/>
      <c r="C606" s="107"/>
      <c r="D606">
        <v>2021</v>
      </c>
      <c r="E606">
        <f t="shared" si="46"/>
        <v>40456.81</v>
      </c>
      <c r="F606">
        <f t="shared" ref="F606:I610" si="49">F612</f>
        <v>40456.81</v>
      </c>
      <c r="G606">
        <f t="shared" si="49"/>
        <v>0</v>
      </c>
      <c r="H606">
        <f t="shared" si="49"/>
        <v>0</v>
      </c>
      <c r="I606">
        <f t="shared" si="49"/>
        <v>0</v>
      </c>
      <c r="J606" s="107"/>
      <c r="K606" s="107"/>
    </row>
    <row r="607" spans="1:13" x14ac:dyDescent="0.25">
      <c r="A607" s="107"/>
      <c r="B607" s="107"/>
      <c r="C607" s="107"/>
      <c r="D607">
        <v>2022</v>
      </c>
      <c r="E607">
        <f t="shared" si="46"/>
        <v>46084.21</v>
      </c>
      <c r="F607">
        <f t="shared" si="49"/>
        <v>46084.21</v>
      </c>
      <c r="G607">
        <f t="shared" si="49"/>
        <v>0</v>
      </c>
      <c r="H607">
        <f t="shared" si="49"/>
        <v>0</v>
      </c>
      <c r="I607">
        <f t="shared" si="49"/>
        <v>0</v>
      </c>
      <c r="J607" s="107"/>
      <c r="K607" s="107"/>
    </row>
    <row r="608" spans="1:13" x14ac:dyDescent="0.25">
      <c r="A608" s="107"/>
      <c r="B608" s="107"/>
      <c r="C608" s="107"/>
      <c r="D608">
        <v>2023</v>
      </c>
      <c r="E608">
        <f t="shared" si="46"/>
        <v>47752.76</v>
      </c>
      <c r="F608">
        <f t="shared" si="49"/>
        <v>47752.76</v>
      </c>
      <c r="G608">
        <f t="shared" si="49"/>
        <v>0</v>
      </c>
      <c r="H608">
        <f t="shared" si="49"/>
        <v>0</v>
      </c>
      <c r="I608">
        <f t="shared" si="49"/>
        <v>0</v>
      </c>
      <c r="J608" s="107"/>
      <c r="K608" s="107"/>
    </row>
    <row r="609" spans="1:11" x14ac:dyDescent="0.25">
      <c r="A609" s="107"/>
      <c r="B609" s="107"/>
      <c r="C609" s="107"/>
      <c r="D609">
        <v>2024</v>
      </c>
      <c r="E609">
        <f t="shared" si="46"/>
        <v>49488.053999999996</v>
      </c>
      <c r="F609">
        <f t="shared" si="49"/>
        <v>49488.053999999996</v>
      </c>
      <c r="G609">
        <f t="shared" si="49"/>
        <v>0</v>
      </c>
      <c r="H609">
        <f t="shared" si="49"/>
        <v>0</v>
      </c>
      <c r="I609">
        <f t="shared" si="49"/>
        <v>0</v>
      </c>
      <c r="J609" s="107"/>
      <c r="K609" s="107"/>
    </row>
    <row r="610" spans="1:11" ht="52.5" customHeight="1" x14ac:dyDescent="0.25">
      <c r="A610" s="107"/>
      <c r="B610" s="107"/>
      <c r="C610" s="107"/>
      <c r="D610">
        <v>2025</v>
      </c>
      <c r="E610">
        <f t="shared" si="46"/>
        <v>46918.409</v>
      </c>
      <c r="F610">
        <f t="shared" si="49"/>
        <v>46918.409</v>
      </c>
      <c r="G610">
        <f>G616</f>
        <v>0</v>
      </c>
      <c r="H610">
        <f>H616</f>
        <v>0</v>
      </c>
      <c r="I610">
        <f>I616</f>
        <v>0</v>
      </c>
      <c r="J610" s="107"/>
      <c r="K610" s="107"/>
    </row>
    <row r="611" spans="1:11" x14ac:dyDescent="0.25">
      <c r="A611" s="107" t="s">
        <v>135</v>
      </c>
      <c r="B611" s="107" t="s">
        <v>954</v>
      </c>
      <c r="C611" s="107" t="s">
        <v>14</v>
      </c>
      <c r="D611" t="s">
        <v>8</v>
      </c>
      <c r="E611">
        <f t="shared" si="46"/>
        <v>230700.24300000002</v>
      </c>
      <c r="F611">
        <f>SUM(F612:F616)</f>
        <v>230700.24300000002</v>
      </c>
      <c r="G611">
        <f>SUM(G612:G616)</f>
        <v>0</v>
      </c>
      <c r="H611">
        <f>SUM(H612:H616)</f>
        <v>0</v>
      </c>
      <c r="I611">
        <f>SUM(I612:I616)</f>
        <v>0</v>
      </c>
      <c r="J611" s="107" t="s">
        <v>607</v>
      </c>
      <c r="K611" s="107" t="s">
        <v>484</v>
      </c>
    </row>
    <row r="612" spans="1:11" x14ac:dyDescent="0.25">
      <c r="A612" s="107"/>
      <c r="B612" s="107"/>
      <c r="C612" s="107"/>
      <c r="D612">
        <v>2021</v>
      </c>
      <c r="E612">
        <f t="shared" si="46"/>
        <v>40456.81</v>
      </c>
      <c r="F612">
        <v>40456.81</v>
      </c>
      <c r="G612">
        <v>0</v>
      </c>
      <c r="H612">
        <v>0</v>
      </c>
      <c r="I612">
        <v>0</v>
      </c>
      <c r="J612" s="107"/>
      <c r="K612" s="107"/>
    </row>
    <row r="613" spans="1:11" x14ac:dyDescent="0.25">
      <c r="A613" s="107"/>
      <c r="B613" s="107"/>
      <c r="C613" s="107"/>
      <c r="D613">
        <v>2022</v>
      </c>
      <c r="E613">
        <f t="shared" si="46"/>
        <v>46084.21</v>
      </c>
      <c r="F613">
        <v>46084.21</v>
      </c>
      <c r="G613">
        <v>0</v>
      </c>
      <c r="H613">
        <v>0</v>
      </c>
      <c r="I613">
        <v>0</v>
      </c>
      <c r="J613" s="107"/>
      <c r="K613" s="107"/>
    </row>
    <row r="614" spans="1:11" x14ac:dyDescent="0.25">
      <c r="A614" s="107"/>
      <c r="B614" s="107"/>
      <c r="C614" s="107"/>
      <c r="D614">
        <v>2023</v>
      </c>
      <c r="E614">
        <f t="shared" si="46"/>
        <v>47752.76</v>
      </c>
      <c r="F614">
        <v>47752.76</v>
      </c>
      <c r="G614">
        <v>0</v>
      </c>
      <c r="H614">
        <v>0</v>
      </c>
      <c r="I614">
        <v>0</v>
      </c>
      <c r="J614" s="107"/>
      <c r="K614" s="107"/>
    </row>
    <row r="615" spans="1:11" x14ac:dyDescent="0.25">
      <c r="A615" s="107"/>
      <c r="B615" s="107"/>
      <c r="C615" s="107"/>
      <c r="D615">
        <v>2024</v>
      </c>
      <c r="E615">
        <f t="shared" si="46"/>
        <v>49488.053999999996</v>
      </c>
      <c r="F615">
        <v>49488.053999999996</v>
      </c>
      <c r="G615">
        <v>0</v>
      </c>
      <c r="H615">
        <v>0</v>
      </c>
      <c r="I615">
        <v>0</v>
      </c>
      <c r="J615" s="107"/>
      <c r="K615" s="107"/>
    </row>
    <row r="616" spans="1:11" x14ac:dyDescent="0.25">
      <c r="A616" s="107"/>
      <c r="B616" s="107"/>
      <c r="C616" s="107"/>
      <c r="D616">
        <v>2025</v>
      </c>
      <c r="E616">
        <f t="shared" si="46"/>
        <v>46918.409</v>
      </c>
      <c r="F616">
        <v>46918.409</v>
      </c>
      <c r="G616">
        <v>0</v>
      </c>
      <c r="H616">
        <v>0</v>
      </c>
      <c r="I616">
        <v>0</v>
      </c>
      <c r="J616" s="107"/>
      <c r="K616" s="107"/>
    </row>
  </sheetData>
  <autoFilter ref="A4:L616"/>
  <mergeCells count="541">
    <mergeCell ref="A605:A610"/>
    <mergeCell ref="B605:B610"/>
    <mergeCell ref="C605:C610"/>
    <mergeCell ref="J605:J610"/>
    <mergeCell ref="K605:K610"/>
    <mergeCell ref="A611:A616"/>
    <mergeCell ref="B611:B616"/>
    <mergeCell ref="C611:C616"/>
    <mergeCell ref="J611:J616"/>
    <mergeCell ref="K611:K616"/>
    <mergeCell ref="A593:A598"/>
    <mergeCell ref="B593:B598"/>
    <mergeCell ref="C593:C598"/>
    <mergeCell ref="J593:J598"/>
    <mergeCell ref="K593:K598"/>
    <mergeCell ref="M593:M598"/>
    <mergeCell ref="A599:A604"/>
    <mergeCell ref="B599:B604"/>
    <mergeCell ref="C599:C604"/>
    <mergeCell ref="J599:J604"/>
    <mergeCell ref="K599:K604"/>
    <mergeCell ref="A581:A586"/>
    <mergeCell ref="B581:B586"/>
    <mergeCell ref="C581:C586"/>
    <mergeCell ref="J581:J586"/>
    <mergeCell ref="K581:K586"/>
    <mergeCell ref="L581:L586"/>
    <mergeCell ref="A587:A592"/>
    <mergeCell ref="B587:B592"/>
    <mergeCell ref="C587:C592"/>
    <mergeCell ref="J587:J592"/>
    <mergeCell ref="K587:K592"/>
    <mergeCell ref="L587:L592"/>
    <mergeCell ref="A569:A574"/>
    <mergeCell ref="B569:B574"/>
    <mergeCell ref="C569:C574"/>
    <mergeCell ref="J569:J574"/>
    <mergeCell ref="K569:K574"/>
    <mergeCell ref="A575:A580"/>
    <mergeCell ref="B575:B580"/>
    <mergeCell ref="C575:C580"/>
    <mergeCell ref="J575:J580"/>
    <mergeCell ref="K575:K580"/>
    <mergeCell ref="A557:A562"/>
    <mergeCell ref="B557:B562"/>
    <mergeCell ref="C557:C562"/>
    <mergeCell ref="J557:J562"/>
    <mergeCell ref="K557:K562"/>
    <mergeCell ref="A563:A568"/>
    <mergeCell ref="B563:B568"/>
    <mergeCell ref="C563:C568"/>
    <mergeCell ref="J563:J568"/>
    <mergeCell ref="K563:K568"/>
    <mergeCell ref="A545:A550"/>
    <mergeCell ref="B545:B550"/>
    <mergeCell ref="C545:C550"/>
    <mergeCell ref="J545:J550"/>
    <mergeCell ref="K545:K550"/>
    <mergeCell ref="A551:A556"/>
    <mergeCell ref="B551:B556"/>
    <mergeCell ref="C551:C556"/>
    <mergeCell ref="J551:J556"/>
    <mergeCell ref="K551:K556"/>
    <mergeCell ref="A533:A538"/>
    <mergeCell ref="B533:B538"/>
    <mergeCell ref="C533:C538"/>
    <mergeCell ref="J533:J538"/>
    <mergeCell ref="K533:K538"/>
    <mergeCell ref="A539:A544"/>
    <mergeCell ref="B539:B544"/>
    <mergeCell ref="C539:C544"/>
    <mergeCell ref="J539:J544"/>
    <mergeCell ref="K539:K544"/>
    <mergeCell ref="A521:A526"/>
    <mergeCell ref="B521:B526"/>
    <mergeCell ref="C521:C526"/>
    <mergeCell ref="J521:J526"/>
    <mergeCell ref="K521:K526"/>
    <mergeCell ref="A527:A532"/>
    <mergeCell ref="B527:B532"/>
    <mergeCell ref="C527:C532"/>
    <mergeCell ref="J527:J532"/>
    <mergeCell ref="K527:K532"/>
    <mergeCell ref="A509:A514"/>
    <mergeCell ref="B509:B514"/>
    <mergeCell ref="C509:C514"/>
    <mergeCell ref="J509:J514"/>
    <mergeCell ref="K509:K514"/>
    <mergeCell ref="A515:A520"/>
    <mergeCell ref="B515:B520"/>
    <mergeCell ref="C515:C520"/>
    <mergeCell ref="J515:J520"/>
    <mergeCell ref="K515:K520"/>
    <mergeCell ref="A497:A502"/>
    <mergeCell ref="B497:B502"/>
    <mergeCell ref="C497:C502"/>
    <mergeCell ref="J497:J502"/>
    <mergeCell ref="K497:K502"/>
    <mergeCell ref="A503:A508"/>
    <mergeCell ref="B503:B508"/>
    <mergeCell ref="C503:C508"/>
    <mergeCell ref="J503:J508"/>
    <mergeCell ref="K503:K508"/>
    <mergeCell ref="A485:A490"/>
    <mergeCell ref="B485:B490"/>
    <mergeCell ref="C485:C490"/>
    <mergeCell ref="J485:J490"/>
    <mergeCell ref="K485:K490"/>
    <mergeCell ref="A491:A496"/>
    <mergeCell ref="B491:B496"/>
    <mergeCell ref="C491:C496"/>
    <mergeCell ref="J491:J496"/>
    <mergeCell ref="K491:K496"/>
    <mergeCell ref="A473:A478"/>
    <mergeCell ref="B473:B478"/>
    <mergeCell ref="C473:C478"/>
    <mergeCell ref="J473:J478"/>
    <mergeCell ref="K473:K478"/>
    <mergeCell ref="A479:A484"/>
    <mergeCell ref="B479:B484"/>
    <mergeCell ref="C479:C484"/>
    <mergeCell ref="J479:J484"/>
    <mergeCell ref="K479:K484"/>
    <mergeCell ref="A461:A466"/>
    <mergeCell ref="B461:B466"/>
    <mergeCell ref="C461:C466"/>
    <mergeCell ref="J461:J466"/>
    <mergeCell ref="K461:K466"/>
    <mergeCell ref="A467:A472"/>
    <mergeCell ref="B467:B472"/>
    <mergeCell ref="C467:C472"/>
    <mergeCell ref="J467:J472"/>
    <mergeCell ref="K467:K472"/>
    <mergeCell ref="A449:A454"/>
    <mergeCell ref="B449:B454"/>
    <mergeCell ref="C449:C454"/>
    <mergeCell ref="J449:J454"/>
    <mergeCell ref="K449:K454"/>
    <mergeCell ref="A455:A460"/>
    <mergeCell ref="B455:B460"/>
    <mergeCell ref="C455:C460"/>
    <mergeCell ref="J455:J460"/>
    <mergeCell ref="K455:K460"/>
    <mergeCell ref="A437:A442"/>
    <mergeCell ref="B437:B442"/>
    <mergeCell ref="C437:C442"/>
    <mergeCell ref="J437:J442"/>
    <mergeCell ref="K437:K442"/>
    <mergeCell ref="A443:A448"/>
    <mergeCell ref="B443:B448"/>
    <mergeCell ref="C443:C448"/>
    <mergeCell ref="J443:J448"/>
    <mergeCell ref="K443:K448"/>
    <mergeCell ref="A425:A430"/>
    <mergeCell ref="B425:B430"/>
    <mergeCell ref="C425:C430"/>
    <mergeCell ref="J425:J430"/>
    <mergeCell ref="K425:K430"/>
    <mergeCell ref="A431:A436"/>
    <mergeCell ref="B431:B436"/>
    <mergeCell ref="C431:C436"/>
    <mergeCell ref="J431:J436"/>
    <mergeCell ref="K431:K436"/>
    <mergeCell ref="A413:A418"/>
    <mergeCell ref="B413:B418"/>
    <mergeCell ref="C413:C418"/>
    <mergeCell ref="J413:J418"/>
    <mergeCell ref="K413:K418"/>
    <mergeCell ref="A419:A424"/>
    <mergeCell ref="B419:B424"/>
    <mergeCell ref="C419:C424"/>
    <mergeCell ref="J419:J424"/>
    <mergeCell ref="K419:K424"/>
    <mergeCell ref="A401:A406"/>
    <mergeCell ref="B401:B406"/>
    <mergeCell ref="C401:C406"/>
    <mergeCell ref="J401:J406"/>
    <mergeCell ref="K401:K406"/>
    <mergeCell ref="L401:O403"/>
    <mergeCell ref="A407:A412"/>
    <mergeCell ref="B407:B412"/>
    <mergeCell ref="C407:C412"/>
    <mergeCell ref="J407:J412"/>
    <mergeCell ref="K407:K412"/>
    <mergeCell ref="A389:A394"/>
    <mergeCell ref="B389:B394"/>
    <mergeCell ref="C389:C394"/>
    <mergeCell ref="J389:J394"/>
    <mergeCell ref="K389:K394"/>
    <mergeCell ref="L389:L394"/>
    <mergeCell ref="M389:M394"/>
    <mergeCell ref="A395:A400"/>
    <mergeCell ref="B395:B400"/>
    <mergeCell ref="C395:C400"/>
    <mergeCell ref="J395:J400"/>
    <mergeCell ref="K395:K400"/>
    <mergeCell ref="L371:L376"/>
    <mergeCell ref="M371:M376"/>
    <mergeCell ref="A377:A382"/>
    <mergeCell ref="B377:B382"/>
    <mergeCell ref="C377:C382"/>
    <mergeCell ref="J377:J382"/>
    <mergeCell ref="K377:K382"/>
    <mergeCell ref="M377:M382"/>
    <mergeCell ref="A383:A388"/>
    <mergeCell ref="B383:B388"/>
    <mergeCell ref="C383:C388"/>
    <mergeCell ref="J383:J388"/>
    <mergeCell ref="K383:K388"/>
    <mergeCell ref="L383:L388"/>
    <mergeCell ref="M383:M388"/>
    <mergeCell ref="A365:A370"/>
    <mergeCell ref="B365:B370"/>
    <mergeCell ref="C365:C370"/>
    <mergeCell ref="J365:J370"/>
    <mergeCell ref="K365:K370"/>
    <mergeCell ref="A371:A376"/>
    <mergeCell ref="B371:B376"/>
    <mergeCell ref="C371:C376"/>
    <mergeCell ref="J371:J376"/>
    <mergeCell ref="K371:K376"/>
    <mergeCell ref="A353:A358"/>
    <mergeCell ref="B353:B358"/>
    <mergeCell ref="C353:C358"/>
    <mergeCell ref="J353:J358"/>
    <mergeCell ref="K353:K358"/>
    <mergeCell ref="A359:A364"/>
    <mergeCell ref="B359:B364"/>
    <mergeCell ref="C359:C364"/>
    <mergeCell ref="J359:J364"/>
    <mergeCell ref="K359:K364"/>
    <mergeCell ref="A341:A346"/>
    <mergeCell ref="B341:B346"/>
    <mergeCell ref="C341:C346"/>
    <mergeCell ref="J341:J346"/>
    <mergeCell ref="K341:K346"/>
    <mergeCell ref="L341:L346"/>
    <mergeCell ref="M341:M346"/>
    <mergeCell ref="A347:A352"/>
    <mergeCell ref="B347:B352"/>
    <mergeCell ref="C347:C352"/>
    <mergeCell ref="J347:J352"/>
    <mergeCell ref="K347:K352"/>
    <mergeCell ref="L329:L334"/>
    <mergeCell ref="M329:M334"/>
    <mergeCell ref="A335:A340"/>
    <mergeCell ref="B335:B340"/>
    <mergeCell ref="C335:C340"/>
    <mergeCell ref="J335:J340"/>
    <mergeCell ref="K335:K340"/>
    <mergeCell ref="L335:L340"/>
    <mergeCell ref="M335:M340"/>
    <mergeCell ref="A323:A328"/>
    <mergeCell ref="B323:B328"/>
    <mergeCell ref="C323:C328"/>
    <mergeCell ref="J323:J328"/>
    <mergeCell ref="K323:K328"/>
    <mergeCell ref="A329:A334"/>
    <mergeCell ref="B329:B334"/>
    <mergeCell ref="C329:C334"/>
    <mergeCell ref="J329:J334"/>
    <mergeCell ref="K329:K334"/>
    <mergeCell ref="A311:A316"/>
    <mergeCell ref="B311:B316"/>
    <mergeCell ref="C311:C316"/>
    <mergeCell ref="J311:J316"/>
    <mergeCell ref="K311:K316"/>
    <mergeCell ref="A317:A322"/>
    <mergeCell ref="B317:B322"/>
    <mergeCell ref="C317:C322"/>
    <mergeCell ref="J317:J322"/>
    <mergeCell ref="K317:K322"/>
    <mergeCell ref="A299:A304"/>
    <mergeCell ref="B299:B304"/>
    <mergeCell ref="C299:C304"/>
    <mergeCell ref="J299:J304"/>
    <mergeCell ref="K299:K304"/>
    <mergeCell ref="A305:A310"/>
    <mergeCell ref="B305:B310"/>
    <mergeCell ref="C305:C310"/>
    <mergeCell ref="J305:J310"/>
    <mergeCell ref="K305:K310"/>
    <mergeCell ref="A287:A292"/>
    <mergeCell ref="B287:B292"/>
    <mergeCell ref="C287:C292"/>
    <mergeCell ref="J287:J292"/>
    <mergeCell ref="K287:K292"/>
    <mergeCell ref="A293:A298"/>
    <mergeCell ref="B293:B298"/>
    <mergeCell ref="C293:C298"/>
    <mergeCell ref="J293:J298"/>
    <mergeCell ref="K293:K298"/>
    <mergeCell ref="A275:A280"/>
    <mergeCell ref="B275:B280"/>
    <mergeCell ref="C275:C280"/>
    <mergeCell ref="J275:J280"/>
    <mergeCell ref="K275:K280"/>
    <mergeCell ref="A281:A286"/>
    <mergeCell ref="B281:B286"/>
    <mergeCell ref="C281:C286"/>
    <mergeCell ref="J281:J286"/>
    <mergeCell ref="K281:K286"/>
    <mergeCell ref="A263:A268"/>
    <mergeCell ref="B263:B268"/>
    <mergeCell ref="C263:C268"/>
    <mergeCell ref="J263:J268"/>
    <mergeCell ref="K263:K268"/>
    <mergeCell ref="A269:A274"/>
    <mergeCell ref="B269:B274"/>
    <mergeCell ref="C269:C274"/>
    <mergeCell ref="J269:J274"/>
    <mergeCell ref="K269:K274"/>
    <mergeCell ref="A251:A256"/>
    <mergeCell ref="B251:B256"/>
    <mergeCell ref="C251:C256"/>
    <mergeCell ref="J251:J256"/>
    <mergeCell ref="K251:K256"/>
    <mergeCell ref="A257:A262"/>
    <mergeCell ref="B257:B262"/>
    <mergeCell ref="C257:C262"/>
    <mergeCell ref="J257:J262"/>
    <mergeCell ref="K257:K262"/>
    <mergeCell ref="A239:A244"/>
    <mergeCell ref="B239:B244"/>
    <mergeCell ref="C239:C244"/>
    <mergeCell ref="J239:J244"/>
    <mergeCell ref="K239:K244"/>
    <mergeCell ref="A245:A250"/>
    <mergeCell ref="B245:B250"/>
    <mergeCell ref="C245:C250"/>
    <mergeCell ref="J245:J250"/>
    <mergeCell ref="K245:K250"/>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79:A184"/>
    <mergeCell ref="B179:B184"/>
    <mergeCell ref="C179:C184"/>
    <mergeCell ref="J179:J184"/>
    <mergeCell ref="K179:K184"/>
    <mergeCell ref="A185:A190"/>
    <mergeCell ref="B185:B190"/>
    <mergeCell ref="C185:C190"/>
    <mergeCell ref="J185:J190"/>
    <mergeCell ref="K185:K190"/>
    <mergeCell ref="A167:A172"/>
    <mergeCell ref="B167:B172"/>
    <mergeCell ref="C167:C172"/>
    <mergeCell ref="J167:J172"/>
    <mergeCell ref="K167:K172"/>
    <mergeCell ref="A173:A178"/>
    <mergeCell ref="B173:B178"/>
    <mergeCell ref="C173:C178"/>
    <mergeCell ref="J173:J178"/>
    <mergeCell ref="K173:K178"/>
    <mergeCell ref="A155:A160"/>
    <mergeCell ref="B155:B160"/>
    <mergeCell ref="C155:C160"/>
    <mergeCell ref="J155:J160"/>
    <mergeCell ref="K155:K160"/>
    <mergeCell ref="L155:N160"/>
    <mergeCell ref="A161:A166"/>
    <mergeCell ref="B161:B166"/>
    <mergeCell ref="C161:C166"/>
    <mergeCell ref="J161:J166"/>
    <mergeCell ref="K161:K166"/>
    <mergeCell ref="A143:A148"/>
    <mergeCell ref="B143:B148"/>
    <mergeCell ref="C143:C148"/>
    <mergeCell ref="J143:J148"/>
    <mergeCell ref="K143:K148"/>
    <mergeCell ref="L143:N148"/>
    <mergeCell ref="A149:A154"/>
    <mergeCell ref="B149:B154"/>
    <mergeCell ref="C149:C154"/>
    <mergeCell ref="J149:J154"/>
    <mergeCell ref="K149:K154"/>
    <mergeCell ref="L149:N154"/>
    <mergeCell ref="L125:N130"/>
    <mergeCell ref="A131:A136"/>
    <mergeCell ref="B131:B136"/>
    <mergeCell ref="C131:C136"/>
    <mergeCell ref="J131:J136"/>
    <mergeCell ref="K131:K136"/>
    <mergeCell ref="A137:A142"/>
    <mergeCell ref="B137:B142"/>
    <mergeCell ref="C137:C142"/>
    <mergeCell ref="J137:J142"/>
    <mergeCell ref="K137:K142"/>
    <mergeCell ref="A119:A124"/>
    <mergeCell ref="B119:B124"/>
    <mergeCell ref="C119:C124"/>
    <mergeCell ref="J119:J124"/>
    <mergeCell ref="K119:K124"/>
    <mergeCell ref="A125:A130"/>
    <mergeCell ref="B125:B130"/>
    <mergeCell ref="C125:C130"/>
    <mergeCell ref="J125:J130"/>
    <mergeCell ref="K125:K130"/>
    <mergeCell ref="A107:A112"/>
    <mergeCell ref="B107:B112"/>
    <mergeCell ref="C107:C112"/>
    <mergeCell ref="J107:J112"/>
    <mergeCell ref="K107:K112"/>
    <mergeCell ref="A113:A118"/>
    <mergeCell ref="B113:B118"/>
    <mergeCell ref="C113:C118"/>
    <mergeCell ref="J113:J118"/>
    <mergeCell ref="K113:K118"/>
    <mergeCell ref="A95:A100"/>
    <mergeCell ref="B95:B100"/>
    <mergeCell ref="C95:C100"/>
    <mergeCell ref="J95:J100"/>
    <mergeCell ref="K95:K100"/>
    <mergeCell ref="A101:A106"/>
    <mergeCell ref="B101:B106"/>
    <mergeCell ref="C101:C106"/>
    <mergeCell ref="J101:J106"/>
    <mergeCell ref="K101:K106"/>
    <mergeCell ref="A83:A88"/>
    <mergeCell ref="B83:B88"/>
    <mergeCell ref="C83:C88"/>
    <mergeCell ref="J83:J88"/>
    <mergeCell ref="K83:K88"/>
    <mergeCell ref="A89:A94"/>
    <mergeCell ref="B89:B94"/>
    <mergeCell ref="C89:C94"/>
    <mergeCell ref="J89:J94"/>
    <mergeCell ref="K89:K94"/>
    <mergeCell ref="A71:A76"/>
    <mergeCell ref="B71:B76"/>
    <mergeCell ref="C71:C76"/>
    <mergeCell ref="J71:J76"/>
    <mergeCell ref="K71:K76"/>
    <mergeCell ref="A77:A82"/>
    <mergeCell ref="B77:B82"/>
    <mergeCell ref="C77:C82"/>
    <mergeCell ref="J77:J82"/>
    <mergeCell ref="K77:K82"/>
    <mergeCell ref="A59:A64"/>
    <mergeCell ref="B59:B64"/>
    <mergeCell ref="C59:C64"/>
    <mergeCell ref="J59:J64"/>
    <mergeCell ref="K59:K64"/>
    <mergeCell ref="A65:A70"/>
    <mergeCell ref="B65:B70"/>
    <mergeCell ref="C65:C70"/>
    <mergeCell ref="J65:J70"/>
    <mergeCell ref="K65:K70"/>
    <mergeCell ref="L41:N46"/>
    <mergeCell ref="A47:A52"/>
    <mergeCell ref="B47:B52"/>
    <mergeCell ref="C47:C52"/>
    <mergeCell ref="J47:J52"/>
    <mergeCell ref="K47:K52"/>
    <mergeCell ref="A53:A58"/>
    <mergeCell ref="B53:B58"/>
    <mergeCell ref="C53:C58"/>
    <mergeCell ref="J53:J58"/>
    <mergeCell ref="K53:K58"/>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L23:N28"/>
    <mergeCell ref="A29:A34"/>
    <mergeCell ref="B29:B34"/>
    <mergeCell ref="C29:C34"/>
    <mergeCell ref="J29:J34"/>
    <mergeCell ref="K29:K34"/>
    <mergeCell ref="L29:N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O616"/>
  <sheetViews>
    <sheetView workbookViewId="0">
      <pane xSplit="3" ySplit="4" topLeftCell="D5" activePane="bottomRight" state="frozen"/>
      <selection activeCell="J287" sqref="J287:J292"/>
      <selection pane="topRight"/>
      <selection pane="bottomLeft"/>
      <selection pane="bottomRight" activeCell="D5" sqref="D5"/>
    </sheetView>
  </sheetViews>
  <sheetFormatPr defaultRowHeight="15" outlineLevelRow="1" x14ac:dyDescent="0.25"/>
  <cols>
    <col min="1" max="1" width="6.28515625" customWidth="1"/>
    <col min="2" max="2" width="31.7109375" customWidth="1"/>
    <col min="3" max="4" width="8.85546875" customWidth="1"/>
    <col min="5" max="5" width="12.140625" customWidth="1"/>
    <col min="6" max="6" width="12.5703125" customWidth="1"/>
    <col min="7" max="9" width="10" customWidth="1"/>
    <col min="10" max="10" width="34" customWidth="1"/>
    <col min="11" max="11" width="22.5703125" customWidth="1"/>
    <col min="12" max="13" width="0.140625" customWidth="1"/>
    <col min="14" max="14" width="5.42578125" hidden="1" customWidth="1"/>
    <col min="15" max="15" width="13.140625" hidden="1" customWidth="1"/>
    <col min="16" max="16" width="21.7109375" customWidth="1"/>
  </cols>
  <sheetData>
    <row r="1" spans="1:11" ht="15.75" customHeight="1" x14ac:dyDescent="0.25">
      <c r="A1" s="107" t="s">
        <v>0</v>
      </c>
      <c r="B1" s="107"/>
      <c r="C1" s="107"/>
      <c r="D1" s="107"/>
      <c r="E1" s="107"/>
      <c r="F1" s="107"/>
      <c r="G1" s="107"/>
      <c r="H1" s="107"/>
      <c r="I1" s="107"/>
      <c r="J1" s="107"/>
      <c r="K1" s="107"/>
    </row>
    <row r="2" spans="1:11" x14ac:dyDescent="0.25">
      <c r="A2" s="107"/>
      <c r="B2" s="107"/>
      <c r="C2" s="107"/>
      <c r="D2" s="107"/>
      <c r="E2" s="107"/>
      <c r="F2" s="107"/>
      <c r="G2" s="107"/>
      <c r="H2" s="107"/>
      <c r="I2" s="107"/>
      <c r="J2" s="107"/>
      <c r="K2" s="107"/>
    </row>
    <row r="3" spans="1:11" ht="15" customHeight="1" x14ac:dyDescent="0.25">
      <c r="A3" s="107" t="s">
        <v>1</v>
      </c>
      <c r="B3" s="107" t="s">
        <v>2</v>
      </c>
      <c r="C3" s="107" t="s">
        <v>3</v>
      </c>
      <c r="D3" s="107" t="s">
        <v>4</v>
      </c>
      <c r="E3" s="107"/>
      <c r="F3" s="107"/>
      <c r="G3" s="107"/>
      <c r="H3" s="107"/>
      <c r="I3" s="107"/>
      <c r="J3" s="107" t="s">
        <v>5</v>
      </c>
      <c r="K3" s="107" t="s">
        <v>6</v>
      </c>
    </row>
    <row r="4" spans="1:11" ht="36.75" customHeight="1" x14ac:dyDescent="0.25">
      <c r="A4" s="107"/>
      <c r="B4" s="107"/>
      <c r="C4" s="107"/>
      <c r="D4" t="s">
        <v>7</v>
      </c>
      <c r="E4" t="s">
        <v>8</v>
      </c>
      <c r="F4" t="s">
        <v>9</v>
      </c>
      <c r="G4" t="s">
        <v>10</v>
      </c>
      <c r="H4" t="s">
        <v>11</v>
      </c>
      <c r="I4" t="s">
        <v>12</v>
      </c>
      <c r="J4" s="107"/>
      <c r="K4" s="107"/>
    </row>
    <row r="5" spans="1:11" ht="15" customHeight="1" x14ac:dyDescent="0.25">
      <c r="A5" s="107"/>
      <c r="B5" s="107" t="s">
        <v>13</v>
      </c>
      <c r="C5" s="107" t="s">
        <v>14</v>
      </c>
      <c r="D5" t="s">
        <v>8</v>
      </c>
      <c r="E5">
        <f t="shared" ref="E5:E40" si="0">SUM(F5:I5)</f>
        <v>10569518.505119327</v>
      </c>
      <c r="F5">
        <f>SUM(F6:F10)</f>
        <v>9014136.0669599995</v>
      </c>
      <c r="G5">
        <f>SUM(G6:G10)</f>
        <v>604542.89800000004</v>
      </c>
      <c r="H5">
        <f>SUM(H6:H10)</f>
        <v>950839.54015932721</v>
      </c>
      <c r="I5">
        <f>SUM(I6:I10)</f>
        <v>0</v>
      </c>
      <c r="J5" s="107"/>
      <c r="K5" s="107" t="s">
        <v>482</v>
      </c>
    </row>
    <row r="6" spans="1:11" x14ac:dyDescent="0.25">
      <c r="A6" s="107"/>
      <c r="B6" s="107"/>
      <c r="C6" s="107"/>
      <c r="D6">
        <v>2021</v>
      </c>
      <c r="E6">
        <f t="shared" si="0"/>
        <v>1613228.6017916503</v>
      </c>
      <c r="F6">
        <f t="shared" ref="F6:G10" si="1">F24+F144+F282+F600</f>
        <v>1267910.29015</v>
      </c>
      <c r="G6">
        <f t="shared" si="1"/>
        <v>301879.99800000002</v>
      </c>
      <c r="H6">
        <f>H12+H18</f>
        <v>43438.313641650384</v>
      </c>
      <c r="I6">
        <f t="shared" ref="I6:I10" si="2">I24+I144+I282+I600</f>
        <v>0</v>
      </c>
      <c r="J6" s="107"/>
      <c r="K6" s="107"/>
    </row>
    <row r="7" spans="1:11" x14ac:dyDescent="0.25">
      <c r="A7" s="107"/>
      <c r="B7" s="107"/>
      <c r="C7" s="107"/>
      <c r="D7">
        <v>2022</v>
      </c>
      <c r="E7">
        <f t="shared" si="0"/>
        <v>3298453.4397876766</v>
      </c>
      <c r="F7">
        <f t="shared" si="1"/>
        <v>2922318.7110099997</v>
      </c>
      <c r="G7">
        <f t="shared" si="1"/>
        <v>135886.39999999999</v>
      </c>
      <c r="H7">
        <f t="shared" ref="H7:H10" si="3">H25+H145+H283+H601</f>
        <v>240248.32877767674</v>
      </c>
      <c r="I7">
        <f t="shared" si="2"/>
        <v>0</v>
      </c>
      <c r="J7" s="107"/>
      <c r="K7" s="107"/>
    </row>
    <row r="8" spans="1:11" x14ac:dyDescent="0.25">
      <c r="A8" s="107"/>
      <c r="B8" s="107"/>
      <c r="C8" s="107"/>
      <c r="D8">
        <v>2023</v>
      </c>
      <c r="E8">
        <f t="shared" si="0"/>
        <v>3718375.6118100001</v>
      </c>
      <c r="F8">
        <f t="shared" si="1"/>
        <v>2920993.6440699999</v>
      </c>
      <c r="G8">
        <f t="shared" si="1"/>
        <v>146560.1</v>
      </c>
      <c r="H8">
        <f t="shared" si="3"/>
        <v>650821.86774000002</v>
      </c>
      <c r="I8">
        <f t="shared" si="2"/>
        <v>0</v>
      </c>
      <c r="J8" s="107"/>
      <c r="K8" s="107"/>
    </row>
    <row r="9" spans="1:11" x14ac:dyDescent="0.25">
      <c r="A9" s="107"/>
      <c r="B9" s="107"/>
      <c r="C9" s="107"/>
      <c r="D9">
        <v>2024</v>
      </c>
      <c r="E9">
        <f t="shared" si="0"/>
        <v>1120012.9897299998</v>
      </c>
      <c r="F9">
        <f t="shared" si="1"/>
        <v>1083465.5597299999</v>
      </c>
      <c r="G9">
        <f t="shared" si="1"/>
        <v>20216.400000000001</v>
      </c>
      <c r="H9">
        <f t="shared" si="3"/>
        <v>16331.03</v>
      </c>
      <c r="I9">
        <f t="shared" si="2"/>
        <v>0</v>
      </c>
      <c r="J9" s="107"/>
      <c r="K9" s="107"/>
    </row>
    <row r="10" spans="1:11" x14ac:dyDescent="0.25">
      <c r="A10" s="107"/>
      <c r="B10" s="107"/>
      <c r="C10" s="107"/>
      <c r="D10">
        <v>2025</v>
      </c>
      <c r="E10">
        <f t="shared" si="0"/>
        <v>819447.86199999996</v>
      </c>
      <c r="F10">
        <f t="shared" si="1"/>
        <v>819447.86199999996</v>
      </c>
      <c r="G10">
        <f t="shared" si="1"/>
        <v>0</v>
      </c>
      <c r="H10">
        <f t="shared" si="3"/>
        <v>0</v>
      </c>
      <c r="I10">
        <f t="shared" si="2"/>
        <v>0</v>
      </c>
      <c r="J10" s="107"/>
      <c r="K10" s="107"/>
    </row>
    <row r="11" spans="1:11" x14ac:dyDescent="0.25">
      <c r="A11" s="107"/>
      <c r="B11" s="107" t="s">
        <v>483</v>
      </c>
      <c r="C11" s="107" t="s">
        <v>14</v>
      </c>
      <c r="D11" t="s">
        <v>8</v>
      </c>
      <c r="E11">
        <f t="shared" si="0"/>
        <v>5552819.5918699997</v>
      </c>
      <c r="F11">
        <f>SUM(F12:F16)</f>
        <v>5378965.8617899995</v>
      </c>
      <c r="G11">
        <f>SUM(G12:G16)</f>
        <v>102151.899</v>
      </c>
      <c r="H11">
        <f>SUM(H12:H16)</f>
        <v>71701.831080000004</v>
      </c>
      <c r="I11">
        <f>SUM(I12:I16)</f>
        <v>0</v>
      </c>
      <c r="J11" s="107"/>
      <c r="K11" s="107" t="s">
        <v>484</v>
      </c>
    </row>
    <row r="12" spans="1:11" x14ac:dyDescent="0.25">
      <c r="A12" s="107"/>
      <c r="B12" s="107"/>
      <c r="C12" s="107"/>
      <c r="D12">
        <v>2021</v>
      </c>
      <c r="E12">
        <f t="shared" si="0"/>
        <v>1143437.1402100001</v>
      </c>
      <c r="F12">
        <f>F24+F144+F408+F414+F420+F426+F576+F600+F480+F312+F324</f>
        <v>1079783.2501300001</v>
      </c>
      <c r="G12">
        <f>G24+G144+G408+G414+G420+G426+G576+G600+G480+G312</f>
        <v>44391.298999999999</v>
      </c>
      <c r="H12">
        <f>H24+H144+H408+H426+H576+H600</f>
        <v>19262.591080000002</v>
      </c>
      <c r="I12">
        <f t="shared" ref="I12:I15" si="4">I6-I18</f>
        <v>0</v>
      </c>
      <c r="J12" s="107"/>
      <c r="K12" s="107"/>
    </row>
    <row r="13" spans="1:11" x14ac:dyDescent="0.25">
      <c r="A13" s="107"/>
      <c r="B13" s="107"/>
      <c r="C13" s="107"/>
      <c r="D13">
        <v>2022</v>
      </c>
      <c r="E13">
        <f t="shared" ref="E13:E15" si="5">SUM(F13:I13)</f>
        <v>1367645.5640099996</v>
      </c>
      <c r="F13">
        <f t="shared" ref="F13:G16" si="6">F7-F19</f>
        <v>1329493.2840099996</v>
      </c>
      <c r="G13">
        <f t="shared" si="6"/>
        <v>18375.099999999991</v>
      </c>
      <c r="H13">
        <f t="shared" ref="H13:H14" si="7">H25+H145+H325+H409+H415+H421+H427+H481+H511+H517+H577+H601</f>
        <v>19777.18</v>
      </c>
      <c r="I13">
        <f t="shared" si="4"/>
        <v>0</v>
      </c>
      <c r="J13" s="107"/>
      <c r="K13" s="107"/>
    </row>
    <row r="14" spans="1:11" x14ac:dyDescent="0.25">
      <c r="A14" s="107"/>
      <c r="B14" s="107"/>
      <c r="C14" s="107"/>
      <c r="D14">
        <v>2023</v>
      </c>
      <c r="E14">
        <f t="shared" si="5"/>
        <v>1102276.0359199999</v>
      </c>
      <c r="F14">
        <f t="shared" si="6"/>
        <v>1066775.9059199998</v>
      </c>
      <c r="G14">
        <f t="shared" si="6"/>
        <v>19169.100000000006</v>
      </c>
      <c r="H14">
        <f t="shared" si="7"/>
        <v>16331.03</v>
      </c>
      <c r="I14">
        <f t="shared" si="4"/>
        <v>0</v>
      </c>
      <c r="J14" s="107"/>
      <c r="K14" s="107"/>
    </row>
    <row r="15" spans="1:11" x14ac:dyDescent="0.25">
      <c r="A15" s="107"/>
      <c r="B15" s="107"/>
      <c r="C15" s="107"/>
      <c r="D15">
        <v>2024</v>
      </c>
      <c r="E15">
        <f t="shared" si="5"/>
        <v>1120012.9897299998</v>
      </c>
      <c r="F15">
        <f t="shared" si="6"/>
        <v>1083465.5597299999</v>
      </c>
      <c r="G15">
        <f t="shared" si="6"/>
        <v>20216.400000000001</v>
      </c>
      <c r="H15">
        <f>H9-H21</f>
        <v>16331.03</v>
      </c>
      <c r="I15">
        <f t="shared" si="4"/>
        <v>0</v>
      </c>
      <c r="J15" s="107"/>
      <c r="K15" s="107"/>
    </row>
    <row r="16" spans="1:11" x14ac:dyDescent="0.25">
      <c r="A16" s="107"/>
      <c r="B16" s="107"/>
      <c r="C16" s="107"/>
      <c r="D16">
        <v>2025</v>
      </c>
      <c r="E16">
        <f t="shared" si="0"/>
        <v>819447.86199999996</v>
      </c>
      <c r="F16">
        <f t="shared" si="6"/>
        <v>819447.86199999996</v>
      </c>
      <c r="G16">
        <f t="shared" si="6"/>
        <v>0</v>
      </c>
      <c r="H16">
        <f>H10-H22</f>
        <v>0</v>
      </c>
      <c r="I16">
        <f>I10-I22</f>
        <v>0</v>
      </c>
      <c r="J16" s="107"/>
      <c r="K16" s="107"/>
    </row>
    <row r="17" spans="1:14" x14ac:dyDescent="0.25">
      <c r="A17" s="107"/>
      <c r="B17" s="107" t="s">
        <v>18</v>
      </c>
      <c r="C17" s="107" t="s">
        <v>19</v>
      </c>
      <c r="D17" t="s">
        <v>8</v>
      </c>
      <c r="E17">
        <f t="shared" si="0"/>
        <v>5016698.9132493269</v>
      </c>
      <c r="F17">
        <f>SUM(F18:F22)</f>
        <v>3635170.20517</v>
      </c>
      <c r="G17">
        <f>SUM(G18:G22)</f>
        <v>502390.99900000001</v>
      </c>
      <c r="H17">
        <f>SUM(H18:H22)</f>
        <v>879137.70907932706</v>
      </c>
      <c r="I17">
        <f>SUM(I18:I22)</f>
        <v>0</v>
      </c>
      <c r="J17" s="107"/>
      <c r="K17" s="107" t="s">
        <v>20</v>
      </c>
    </row>
    <row r="18" spans="1:14" x14ac:dyDescent="0.25">
      <c r="A18" s="107"/>
      <c r="B18" s="107"/>
      <c r="C18" s="107"/>
      <c r="D18">
        <v>2021</v>
      </c>
      <c r="E18">
        <f t="shared" si="0"/>
        <v>469791.46158165036</v>
      </c>
      <c r="F18">
        <f>F582+F588+F294+F594+F300+F432+F438+F444+F450+F456+F462+F306+F318+F468+F474+F486+F492</f>
        <v>188127.04001999999</v>
      </c>
      <c r="G18">
        <f>G582+G588+G294+G594+G300+G432+G438+G444+G450+G456+G462+G306+G318+G468+G474</f>
        <v>257488.69899999999</v>
      </c>
      <c r="H18">
        <f>H582+H588+H294+H594+H300+H432+H438+H444+H450+H456+H462+H306+H318+H468+H474+H486+H492</f>
        <v>24175.722561650382</v>
      </c>
      <c r="I18">
        <f t="shared" ref="I18:I22" si="8">I582+I588+I294+I594+I300+I432+I438+I444+I450+I456+I462+I306+I318+I468+I474</f>
        <v>0</v>
      </c>
      <c r="J18" s="107"/>
      <c r="K18" s="107"/>
    </row>
    <row r="19" spans="1:14" x14ac:dyDescent="0.25">
      <c r="A19" s="107"/>
      <c r="B19" s="107"/>
      <c r="C19" s="107"/>
      <c r="D19">
        <v>2022</v>
      </c>
      <c r="E19">
        <f t="shared" si="0"/>
        <v>1930807.8757776769</v>
      </c>
      <c r="F19">
        <f>F583+F589+F295+F595+F301+F433+F439+F445+F451+F457+F463+F307+F319+F469+F475+F331+F337+F343+F487+F499+F505+F349+F355+F361+F367+F373+F379+F385+F523+F529+F535+F541+F547+F553+F559+F565+F391+F397</f>
        <v>1592825.4270000001</v>
      </c>
      <c r="G19">
        <f>G583+G589+G295+G595+G301+G433+G439+G445+G451+G457+G463+G307+G319+G469+G475+G331+G337+G343+G487+G499+G505+G349+G355+G361+G367+G373+G379+G385+G523+G529+G535+G541+G547+G553+G559+G565+G391+G397</f>
        <v>117511.3</v>
      </c>
      <c r="H19">
        <f>H583+H589+H295+H595+H301+H433+H439+H445+H451+H457+H463+H307+H319+H469+H475+H331+H337+H343+H487+H499+H505+H349+H355+H361+H367+H373+H379+H385+H523+H529+H535+H541+H547+H553+H559+H565+H391+H397</f>
        <v>220471.14877767672</v>
      </c>
      <c r="I19">
        <f t="shared" si="8"/>
        <v>0</v>
      </c>
      <c r="J19" s="107"/>
      <c r="K19" s="107"/>
    </row>
    <row r="20" spans="1:14" x14ac:dyDescent="0.25">
      <c r="A20" s="107"/>
      <c r="B20" s="107"/>
      <c r="C20" s="107"/>
      <c r="D20">
        <v>2023</v>
      </c>
      <c r="E20">
        <f t="shared" si="0"/>
        <v>2616099.57589</v>
      </c>
      <c r="F20">
        <f>F584+F590+F296+F596+F302+F434+F440+F446+F452+F458+F464+F308+F320+F470+F476+F332+F338+F344+F350+F356+F362+F368+F374+F380+F386+F392+F506+F524+F530+F536+F542+F548+F554+F560+F566+F398</f>
        <v>1854217.7381500001</v>
      </c>
      <c r="G20">
        <f>G584+G590+G296+G596+G302+G434+G440+G446+G452+G458+G464+G308+G320+G470+G476+G332+G338+G344+G350+G356+G362+G368+G374+G380+G386+G392+G506+G524+G530+G536+G542+G548+G554+G560+G566+G398</f>
        <v>127391</v>
      </c>
      <c r="H20">
        <f>H584+H590+H296+H596+H302+H434+H440+H446+H452+H458+H464+H308+H320+H470+H476+H332+H338+H344+H350+H356+H362+H368+H374+H380+H386+H392+H506+H524+H530+H536+H542+H548+H554+H560+H566+H398</f>
        <v>634490.83773999999</v>
      </c>
      <c r="I20">
        <f t="shared" si="8"/>
        <v>0</v>
      </c>
      <c r="J20" s="107"/>
      <c r="K20" s="107"/>
    </row>
    <row r="21" spans="1:14" x14ac:dyDescent="0.25">
      <c r="A21" s="107"/>
      <c r="B21" s="107"/>
      <c r="C21" s="107"/>
      <c r="D21">
        <v>2024</v>
      </c>
      <c r="E21">
        <f>SUM(F21:I21)</f>
        <v>0</v>
      </c>
      <c r="F21">
        <f t="shared" ref="F21:H22" si="9">F585+F591+F297+F597+F303+F435+F441+F447+F453+F459+F465+F309+F321+F471+F477</f>
        <v>0</v>
      </c>
      <c r="G21">
        <f t="shared" si="9"/>
        <v>0</v>
      </c>
      <c r="H21">
        <f t="shared" si="9"/>
        <v>0</v>
      </c>
      <c r="I21">
        <f t="shared" si="8"/>
        <v>0</v>
      </c>
      <c r="J21" s="107"/>
      <c r="K21" s="107"/>
    </row>
    <row r="22" spans="1:14" x14ac:dyDescent="0.25">
      <c r="A22" s="107"/>
      <c r="B22" s="107"/>
      <c r="C22" s="107"/>
      <c r="D22">
        <v>2025</v>
      </c>
      <c r="E22">
        <f t="shared" si="0"/>
        <v>0</v>
      </c>
      <c r="F22">
        <f t="shared" si="9"/>
        <v>0</v>
      </c>
      <c r="G22">
        <f t="shared" si="9"/>
        <v>0</v>
      </c>
      <c r="H22">
        <f t="shared" si="9"/>
        <v>0</v>
      </c>
      <c r="I22">
        <f t="shared" si="8"/>
        <v>0</v>
      </c>
      <c r="J22" s="107"/>
      <c r="K22" s="107"/>
    </row>
    <row r="23" spans="1:14" ht="15" customHeight="1" x14ac:dyDescent="0.25">
      <c r="A23" s="107">
        <v>1</v>
      </c>
      <c r="B23" s="107" t="s">
        <v>818</v>
      </c>
      <c r="C23" s="107" t="s">
        <v>14</v>
      </c>
      <c r="D23" t="s">
        <v>8</v>
      </c>
      <c r="E23">
        <f t="shared" si="0"/>
        <v>782552.06079000013</v>
      </c>
      <c r="F23">
        <f>SUM(F24:F28)</f>
        <v>758711.96179000009</v>
      </c>
      <c r="G23">
        <f>SUM(G24:G28)</f>
        <v>23840.098999999995</v>
      </c>
      <c r="H23">
        <f>SUM(H24:H28)</f>
        <v>0</v>
      </c>
      <c r="I23">
        <f>SUM(I24:I28)</f>
        <v>0</v>
      </c>
      <c r="J23" s="107"/>
      <c r="K23" s="107" t="s">
        <v>486</v>
      </c>
      <c r="L23" s="107"/>
      <c r="M23" s="107"/>
      <c r="N23" s="107"/>
    </row>
    <row r="24" spans="1:14" x14ac:dyDescent="0.25">
      <c r="A24" s="107"/>
      <c r="B24" s="107"/>
      <c r="C24" s="107"/>
      <c r="D24">
        <v>2021</v>
      </c>
      <c r="E24">
        <f t="shared" si="0"/>
        <v>138607.88275000002</v>
      </c>
      <c r="F24">
        <f t="shared" ref="F24:I28" si="10">F30+F48+F114</f>
        <v>118407.68375000001</v>
      </c>
      <c r="G24">
        <f t="shared" si="10"/>
        <v>20200.198999999997</v>
      </c>
      <c r="H24">
        <f t="shared" si="10"/>
        <v>0</v>
      </c>
      <c r="I24">
        <f t="shared" si="10"/>
        <v>0</v>
      </c>
      <c r="J24" s="107"/>
      <c r="K24" s="107"/>
      <c r="L24" s="107"/>
      <c r="M24" s="107"/>
      <c r="N24" s="107"/>
    </row>
    <row r="25" spans="1:14" x14ac:dyDescent="0.25">
      <c r="A25" s="107"/>
      <c r="B25" s="107"/>
      <c r="C25" s="107"/>
      <c r="D25">
        <v>2022</v>
      </c>
      <c r="E25">
        <f t="shared" si="0"/>
        <v>233028.22118999998</v>
      </c>
      <c r="F25">
        <f t="shared" si="10"/>
        <v>231206.92118999999</v>
      </c>
      <c r="G25">
        <f t="shared" si="10"/>
        <v>1821.3</v>
      </c>
      <c r="H25">
        <f t="shared" si="10"/>
        <v>0</v>
      </c>
      <c r="I25">
        <f t="shared" si="10"/>
        <v>0</v>
      </c>
      <c r="J25" s="107"/>
      <c r="K25" s="107"/>
      <c r="L25" s="107"/>
      <c r="M25" s="107"/>
      <c r="N25" s="107"/>
    </row>
    <row r="26" spans="1:14" x14ac:dyDescent="0.25">
      <c r="A26" s="107"/>
      <c r="B26" s="107"/>
      <c r="C26" s="107"/>
      <c r="D26">
        <v>2023</v>
      </c>
      <c r="E26">
        <f t="shared" si="0"/>
        <v>191425.31885000001</v>
      </c>
      <c r="F26">
        <f t="shared" si="10"/>
        <v>189606.71885</v>
      </c>
      <c r="G26">
        <f t="shared" si="10"/>
        <v>1818.6</v>
      </c>
      <c r="H26">
        <f t="shared" si="10"/>
        <v>0</v>
      </c>
      <c r="I26">
        <f t="shared" si="10"/>
        <v>0</v>
      </c>
      <c r="J26" s="107"/>
      <c r="K26" s="107"/>
      <c r="L26" s="107"/>
      <c r="M26" s="107"/>
      <c r="N26" s="107"/>
    </row>
    <row r="27" spans="1:14" x14ac:dyDescent="0.25">
      <c r="A27" s="107"/>
      <c r="B27" s="107"/>
      <c r="C27" s="107"/>
      <c r="D27">
        <v>2024</v>
      </c>
      <c r="E27">
        <f t="shared" si="0"/>
        <v>189490.63800000001</v>
      </c>
      <c r="F27">
        <f t="shared" si="10"/>
        <v>189490.63800000001</v>
      </c>
      <c r="G27">
        <f t="shared" si="10"/>
        <v>0</v>
      </c>
      <c r="H27">
        <f t="shared" si="10"/>
        <v>0</v>
      </c>
      <c r="I27">
        <f t="shared" si="10"/>
        <v>0</v>
      </c>
      <c r="J27" s="107"/>
      <c r="K27" s="107"/>
      <c r="L27" s="107"/>
      <c r="M27" s="107"/>
      <c r="N27" s="107"/>
    </row>
    <row r="28" spans="1:14" x14ac:dyDescent="0.25">
      <c r="A28" s="107"/>
      <c r="B28" s="107"/>
      <c r="C28" s="107"/>
      <c r="D28">
        <v>2025</v>
      </c>
      <c r="E28">
        <f t="shared" si="0"/>
        <v>30000</v>
      </c>
      <c r="F28">
        <f t="shared" si="10"/>
        <v>30000</v>
      </c>
      <c r="G28">
        <f t="shared" si="10"/>
        <v>0</v>
      </c>
      <c r="H28">
        <f t="shared" si="10"/>
        <v>0</v>
      </c>
      <c r="I28">
        <f t="shared" si="10"/>
        <v>0</v>
      </c>
      <c r="J28" s="107"/>
      <c r="K28" s="107"/>
      <c r="L28" s="107"/>
      <c r="M28" s="107"/>
      <c r="N28" s="107"/>
    </row>
    <row r="29" spans="1:14" x14ac:dyDescent="0.25">
      <c r="A29" s="107" t="s">
        <v>23</v>
      </c>
      <c r="B29" s="107" t="s">
        <v>24</v>
      </c>
      <c r="C29" s="107" t="s">
        <v>14</v>
      </c>
      <c r="D29" t="s">
        <v>8</v>
      </c>
      <c r="E29">
        <f t="shared" si="0"/>
        <v>3354.4259999999999</v>
      </c>
      <c r="F29">
        <f>SUM(F30:F34)</f>
        <v>3354.4259999999999</v>
      </c>
      <c r="G29">
        <f>SUM(G30:G34)</f>
        <v>0</v>
      </c>
      <c r="H29">
        <f>SUM(H30:H34)</f>
        <v>0</v>
      </c>
      <c r="I29">
        <f>SUM(I30:I34)</f>
        <v>0</v>
      </c>
      <c r="J29" s="107" t="s">
        <v>487</v>
      </c>
      <c r="K29" s="107" t="s">
        <v>488</v>
      </c>
      <c r="L29" s="107"/>
      <c r="M29" s="107"/>
      <c r="N29" s="107"/>
    </row>
    <row r="30" spans="1:14" x14ac:dyDescent="0.25">
      <c r="A30" s="107"/>
      <c r="B30" s="107"/>
      <c r="C30" s="107"/>
      <c r="D30">
        <v>2021</v>
      </c>
      <c r="E30">
        <f t="shared" si="0"/>
        <v>3054.4259999999999</v>
      </c>
      <c r="F30">
        <f>F42</f>
        <v>3054.4259999999999</v>
      </c>
      <c r="G30">
        <f t="shared" ref="F30:I33" si="11">G42</f>
        <v>0</v>
      </c>
      <c r="H30">
        <f t="shared" si="11"/>
        <v>0</v>
      </c>
      <c r="I30">
        <f t="shared" si="11"/>
        <v>0</v>
      </c>
      <c r="J30" s="107"/>
      <c r="K30" s="107"/>
      <c r="L30" s="107"/>
      <c r="M30" s="107"/>
      <c r="N30" s="107"/>
    </row>
    <row r="31" spans="1:14" x14ac:dyDescent="0.25">
      <c r="A31" s="107"/>
      <c r="B31" s="107"/>
      <c r="C31" s="107"/>
      <c r="D31">
        <v>2022</v>
      </c>
      <c r="E31">
        <f t="shared" si="0"/>
        <v>300</v>
      </c>
      <c r="F31">
        <f>F37+F43</f>
        <v>300</v>
      </c>
      <c r="G31">
        <f t="shared" si="11"/>
        <v>0</v>
      </c>
      <c r="H31">
        <f t="shared" si="11"/>
        <v>0</v>
      </c>
      <c r="I31">
        <f t="shared" si="11"/>
        <v>0</v>
      </c>
      <c r="J31" s="107"/>
      <c r="K31" s="107"/>
      <c r="L31" s="107"/>
      <c r="M31" s="107"/>
      <c r="N31" s="107"/>
    </row>
    <row r="32" spans="1:14" x14ac:dyDescent="0.25">
      <c r="A32" s="107"/>
      <c r="B32" s="107"/>
      <c r="C32" s="107"/>
      <c r="D32">
        <v>2023</v>
      </c>
      <c r="E32">
        <f t="shared" si="0"/>
        <v>0</v>
      </c>
      <c r="F32">
        <f t="shared" si="11"/>
        <v>0</v>
      </c>
      <c r="G32">
        <f t="shared" si="11"/>
        <v>0</v>
      </c>
      <c r="H32">
        <f t="shared" si="11"/>
        <v>0</v>
      </c>
      <c r="I32">
        <f t="shared" si="11"/>
        <v>0</v>
      </c>
      <c r="J32" s="107"/>
      <c r="K32" s="107"/>
      <c r="L32" s="107"/>
      <c r="M32" s="107"/>
      <c r="N32" s="107"/>
    </row>
    <row r="33" spans="1:14" x14ac:dyDescent="0.25">
      <c r="A33" s="107"/>
      <c r="B33" s="107"/>
      <c r="C33" s="107"/>
      <c r="D33">
        <v>2024</v>
      </c>
      <c r="E33">
        <f t="shared" si="0"/>
        <v>0</v>
      </c>
      <c r="F33">
        <f>F45+F39</f>
        <v>0</v>
      </c>
      <c r="G33">
        <f>G39+G45</f>
        <v>0</v>
      </c>
      <c r="H33">
        <f t="shared" si="11"/>
        <v>0</v>
      </c>
      <c r="I33">
        <f t="shared" si="11"/>
        <v>0</v>
      </c>
      <c r="J33" s="107"/>
      <c r="K33" s="107"/>
      <c r="L33" s="107"/>
      <c r="M33" s="107"/>
      <c r="N33" s="107"/>
    </row>
    <row r="34" spans="1:14" x14ac:dyDescent="0.25">
      <c r="A34" s="107"/>
      <c r="B34" s="107"/>
      <c r="C34" s="107"/>
      <c r="D34">
        <v>2025</v>
      </c>
      <c r="E34">
        <f t="shared" si="0"/>
        <v>0</v>
      </c>
      <c r="F34">
        <f>F46</f>
        <v>0</v>
      </c>
      <c r="G34">
        <f>G46</f>
        <v>0</v>
      </c>
      <c r="H34">
        <f>H46</f>
        <v>0</v>
      </c>
      <c r="I34">
        <f>I46</f>
        <v>0</v>
      </c>
      <c r="J34" s="107"/>
      <c r="K34" s="107"/>
      <c r="L34" s="107"/>
      <c r="M34" s="107"/>
      <c r="N34" s="107"/>
    </row>
    <row r="35" spans="1:14" x14ac:dyDescent="0.25">
      <c r="A35" s="107" t="s">
        <v>27</v>
      </c>
      <c r="B35" s="107" t="s">
        <v>489</v>
      </c>
      <c r="C35" s="107" t="s">
        <v>490</v>
      </c>
      <c r="D35" t="s">
        <v>8</v>
      </c>
      <c r="E35">
        <f t="shared" si="0"/>
        <v>300</v>
      </c>
      <c r="F35">
        <f>SUM(F36:F40)</f>
        <v>300</v>
      </c>
      <c r="G35">
        <f>SUM(G36:G40)</f>
        <v>0</v>
      </c>
      <c r="H35">
        <f>SUM(H36:H40)</f>
        <v>0</v>
      </c>
      <c r="I35">
        <f>SUM(I36:I40)</f>
        <v>0</v>
      </c>
      <c r="J35" s="107" t="s">
        <v>29</v>
      </c>
      <c r="K35" s="107" t="s">
        <v>486</v>
      </c>
    </row>
    <row r="36" spans="1:14" x14ac:dyDescent="0.25">
      <c r="A36" s="107"/>
      <c r="B36" s="107"/>
      <c r="C36" s="107"/>
      <c r="D36">
        <v>2021</v>
      </c>
      <c r="E36">
        <f t="shared" si="0"/>
        <v>0</v>
      </c>
      <c r="F36">
        <v>0</v>
      </c>
      <c r="G36">
        <v>0</v>
      </c>
      <c r="H36">
        <v>0</v>
      </c>
      <c r="I36">
        <v>0</v>
      </c>
      <c r="J36" s="107"/>
      <c r="K36" s="107"/>
    </row>
    <row r="37" spans="1:14" x14ac:dyDescent="0.25">
      <c r="A37" s="107"/>
      <c r="B37" s="107"/>
      <c r="C37" s="107"/>
      <c r="D37">
        <v>2022</v>
      </c>
      <c r="E37">
        <f t="shared" si="0"/>
        <v>300</v>
      </c>
      <c r="F37">
        <v>300</v>
      </c>
      <c r="G37">
        <v>0</v>
      </c>
      <c r="H37">
        <v>0</v>
      </c>
      <c r="I37">
        <v>0</v>
      </c>
      <c r="J37" s="107"/>
      <c r="K37" s="107"/>
    </row>
    <row r="38" spans="1:14" x14ac:dyDescent="0.25">
      <c r="A38" s="107"/>
      <c r="B38" s="107"/>
      <c r="C38" s="107"/>
      <c r="D38">
        <v>2023</v>
      </c>
      <c r="E38">
        <f t="shared" si="0"/>
        <v>0</v>
      </c>
      <c r="F38">
        <v>0</v>
      </c>
      <c r="G38">
        <v>0</v>
      </c>
      <c r="H38">
        <v>0</v>
      </c>
      <c r="I38">
        <v>0</v>
      </c>
      <c r="J38" s="107"/>
      <c r="K38" s="107"/>
    </row>
    <row r="39" spans="1:14" x14ac:dyDescent="0.25">
      <c r="A39" s="107"/>
      <c r="B39" s="107"/>
      <c r="C39" s="107"/>
      <c r="D39">
        <v>2024</v>
      </c>
      <c r="E39">
        <f t="shared" si="0"/>
        <v>0</v>
      </c>
      <c r="F39">
        <v>0</v>
      </c>
      <c r="G39">
        <v>0</v>
      </c>
      <c r="H39">
        <v>0</v>
      </c>
      <c r="I39">
        <v>0</v>
      </c>
      <c r="J39" s="107"/>
      <c r="K39" s="107"/>
    </row>
    <row r="40" spans="1:14" x14ac:dyDescent="0.25">
      <c r="A40" s="107"/>
      <c r="B40" s="107"/>
      <c r="C40" s="107"/>
      <c r="D40">
        <v>2025</v>
      </c>
      <c r="E40">
        <f t="shared" si="0"/>
        <v>0</v>
      </c>
      <c r="F40">
        <v>0</v>
      </c>
      <c r="G40">
        <v>0</v>
      </c>
      <c r="H40">
        <v>0</v>
      </c>
      <c r="I40">
        <v>0</v>
      </c>
      <c r="J40" s="107"/>
      <c r="K40" s="107"/>
    </row>
    <row r="41" spans="1:14" x14ac:dyDescent="0.25">
      <c r="A41" s="107" t="s">
        <v>491</v>
      </c>
      <c r="B41" s="107" t="s">
        <v>492</v>
      </c>
      <c r="C41" s="107" t="s">
        <v>490</v>
      </c>
      <c r="D41" t="s">
        <v>8</v>
      </c>
      <c r="E41">
        <f>SUM(E42:E46)</f>
        <v>3054.4259999999999</v>
      </c>
      <c r="F41">
        <f>SUM(F42:F46)</f>
        <v>3054.4259999999999</v>
      </c>
      <c r="G41">
        <f>SUM(G42:G46)</f>
        <v>0</v>
      </c>
      <c r="H41">
        <f>SUM(H42:H46)</f>
        <v>0</v>
      </c>
      <c r="I41">
        <f>SUM(I42:I46)</f>
        <v>0</v>
      </c>
      <c r="J41" s="107" t="s">
        <v>493</v>
      </c>
      <c r="K41" s="107" t="s">
        <v>494</v>
      </c>
      <c r="L41" s="107"/>
      <c r="M41" s="107"/>
      <c r="N41" s="107"/>
    </row>
    <row r="42" spans="1:14" x14ac:dyDescent="0.25">
      <c r="A42" s="107"/>
      <c r="B42" s="107"/>
      <c r="C42" s="107"/>
      <c r="D42">
        <v>2021</v>
      </c>
      <c r="E42">
        <f t="shared" ref="E42:E105" si="12">SUM(F42:I42)</f>
        <v>3054.4259999999999</v>
      </c>
      <c r="F42">
        <v>3054.4259999999999</v>
      </c>
      <c r="G42">
        <v>0</v>
      </c>
      <c r="H42">
        <v>0</v>
      </c>
      <c r="I42">
        <v>0</v>
      </c>
      <c r="J42" s="107"/>
      <c r="K42" s="107"/>
      <c r="L42" s="107"/>
      <c r="M42" s="107"/>
      <c r="N42" s="107"/>
    </row>
    <row r="43" spans="1:14" x14ac:dyDescent="0.25">
      <c r="A43" s="107"/>
      <c r="B43" s="107"/>
      <c r="C43" s="107"/>
      <c r="D43">
        <v>2022</v>
      </c>
      <c r="E43">
        <f t="shared" si="12"/>
        <v>0</v>
      </c>
      <c r="F43">
        <v>0</v>
      </c>
      <c r="G43">
        <v>0</v>
      </c>
      <c r="H43">
        <v>0</v>
      </c>
      <c r="I43">
        <v>0</v>
      </c>
      <c r="J43" s="107"/>
      <c r="K43" s="107"/>
      <c r="L43" s="107"/>
      <c r="M43" s="107"/>
      <c r="N43" s="107"/>
    </row>
    <row r="44" spans="1:14" x14ac:dyDescent="0.25">
      <c r="A44" s="107"/>
      <c r="B44" s="107"/>
      <c r="C44" s="107"/>
      <c r="D44">
        <v>2023</v>
      </c>
      <c r="E44">
        <f t="shared" si="12"/>
        <v>0</v>
      </c>
      <c r="F44">
        <v>0</v>
      </c>
      <c r="G44">
        <v>0</v>
      </c>
      <c r="H44">
        <v>0</v>
      </c>
      <c r="I44">
        <v>0</v>
      </c>
      <c r="J44" s="107"/>
      <c r="K44" s="107"/>
      <c r="L44" s="107"/>
      <c r="M44" s="107"/>
      <c r="N44" s="107"/>
    </row>
    <row r="45" spans="1:14" x14ac:dyDescent="0.25">
      <c r="A45" s="107"/>
      <c r="B45" s="107"/>
      <c r="C45" s="107"/>
      <c r="D45">
        <v>2024</v>
      </c>
      <c r="E45">
        <f t="shared" si="12"/>
        <v>0</v>
      </c>
      <c r="F45">
        <v>0</v>
      </c>
      <c r="G45">
        <v>0</v>
      </c>
      <c r="H45">
        <v>0</v>
      </c>
      <c r="I45">
        <v>0</v>
      </c>
      <c r="J45" s="107"/>
      <c r="K45" s="107"/>
      <c r="L45" s="107"/>
      <c r="M45" s="107"/>
      <c r="N45" s="107"/>
    </row>
    <row r="46" spans="1:14" x14ac:dyDescent="0.25">
      <c r="A46" s="107"/>
      <c r="B46" s="107"/>
      <c r="C46" s="107"/>
      <c r="D46">
        <v>2025</v>
      </c>
      <c r="E46">
        <f t="shared" si="12"/>
        <v>0</v>
      </c>
      <c r="F46">
        <v>0</v>
      </c>
      <c r="G46">
        <v>0</v>
      </c>
      <c r="H46">
        <v>0</v>
      </c>
      <c r="I46">
        <v>0</v>
      </c>
      <c r="J46" s="107"/>
      <c r="K46" s="107"/>
      <c r="L46" s="107"/>
      <c r="M46" s="107"/>
      <c r="N46" s="107"/>
    </row>
    <row r="47" spans="1:14" ht="27.75" customHeight="1" x14ac:dyDescent="0.25">
      <c r="A47" s="107" t="s">
        <v>30</v>
      </c>
      <c r="B47" s="107" t="s">
        <v>31</v>
      </c>
      <c r="C47" s="107" t="s">
        <v>14</v>
      </c>
      <c r="D47" t="s">
        <v>8</v>
      </c>
      <c r="E47">
        <f t="shared" si="12"/>
        <v>726431.50800000003</v>
      </c>
      <c r="F47">
        <f>SUM(F48:F52)</f>
        <v>726431.50800000003</v>
      </c>
      <c r="G47">
        <f>SUM(G48:G52)</f>
        <v>0</v>
      </c>
      <c r="H47">
        <f>SUM(H48:H52)</f>
        <v>0</v>
      </c>
      <c r="I47">
        <f>SUM(I48:I52)</f>
        <v>0</v>
      </c>
      <c r="J47" s="107" t="s">
        <v>495</v>
      </c>
      <c r="K47" s="107" t="s">
        <v>486</v>
      </c>
    </row>
    <row r="48" spans="1:14" ht="27.75" customHeight="1" x14ac:dyDescent="0.25">
      <c r="A48" s="107"/>
      <c r="B48" s="107"/>
      <c r="C48" s="107"/>
      <c r="D48">
        <v>2021</v>
      </c>
      <c r="E48">
        <f t="shared" si="12"/>
        <v>108436.894</v>
      </c>
      <c r="F48">
        <f>SUM(F54+F60+F66+F72+F78+F84+F90+F102+F108)</f>
        <v>108436.894</v>
      </c>
      <c r="G48">
        <f t="shared" ref="G48:I52" si="13">SUM(G54+G60+G66+G72+G78)</f>
        <v>0</v>
      </c>
      <c r="H48">
        <f t="shared" si="13"/>
        <v>0</v>
      </c>
      <c r="I48">
        <f t="shared" si="13"/>
        <v>0</v>
      </c>
      <c r="J48" s="107"/>
      <c r="K48" s="107"/>
    </row>
    <row r="49" spans="1:11" ht="27.75" customHeight="1" x14ac:dyDescent="0.25">
      <c r="A49" s="107"/>
      <c r="B49" s="107"/>
      <c r="C49" s="107"/>
      <c r="D49">
        <v>2022</v>
      </c>
      <c r="E49">
        <f t="shared" si="12"/>
        <v>223331.538</v>
      </c>
      <c r="F49">
        <f t="shared" ref="F49:F51" si="14">SUM(F55+F61+F67+F73+F79+F85+F91+F103+F109+F97)</f>
        <v>223331.538</v>
      </c>
      <c r="G49">
        <f t="shared" si="13"/>
        <v>0</v>
      </c>
      <c r="H49">
        <f t="shared" si="13"/>
        <v>0</v>
      </c>
      <c r="I49">
        <f t="shared" si="13"/>
        <v>0</v>
      </c>
      <c r="J49" s="107"/>
      <c r="K49" s="107"/>
    </row>
    <row r="50" spans="1:11" ht="27.75" customHeight="1" x14ac:dyDescent="0.25">
      <c r="A50" s="107"/>
      <c r="B50" s="107"/>
      <c r="C50" s="107"/>
      <c r="D50">
        <v>2023</v>
      </c>
      <c r="E50">
        <f t="shared" si="12"/>
        <v>182331.538</v>
      </c>
      <c r="F50">
        <f t="shared" si="14"/>
        <v>182331.538</v>
      </c>
      <c r="G50">
        <f t="shared" si="13"/>
        <v>0</v>
      </c>
      <c r="H50">
        <f t="shared" si="13"/>
        <v>0</v>
      </c>
      <c r="I50">
        <f t="shared" si="13"/>
        <v>0</v>
      </c>
      <c r="J50" s="107"/>
      <c r="K50" s="107"/>
    </row>
    <row r="51" spans="1:11" ht="27.75" customHeight="1" x14ac:dyDescent="0.25">
      <c r="A51" s="107"/>
      <c r="B51" s="107"/>
      <c r="C51" s="107"/>
      <c r="D51">
        <v>2024</v>
      </c>
      <c r="E51">
        <f t="shared" si="12"/>
        <v>182331.538</v>
      </c>
      <c r="F51">
        <f t="shared" si="14"/>
        <v>182331.538</v>
      </c>
      <c r="G51">
        <f>SUM(G57+G63+G69+G75+G81+G87)</f>
        <v>0</v>
      </c>
      <c r="H51">
        <f t="shared" si="13"/>
        <v>0</v>
      </c>
      <c r="I51">
        <f t="shared" si="13"/>
        <v>0</v>
      </c>
      <c r="J51" s="107"/>
      <c r="K51" s="107"/>
    </row>
    <row r="52" spans="1:11" ht="27.75" customHeight="1" x14ac:dyDescent="0.25">
      <c r="A52" s="107"/>
      <c r="B52" s="107"/>
      <c r="C52" s="107"/>
      <c r="D52">
        <v>2025</v>
      </c>
      <c r="E52">
        <f t="shared" si="12"/>
        <v>30000</v>
      </c>
      <c r="F52">
        <f>SUM(F58+F64+F70+F76+F82+F88+F94+F106+F112+F100)</f>
        <v>30000</v>
      </c>
      <c r="G52">
        <f t="shared" si="13"/>
        <v>0</v>
      </c>
      <c r="H52">
        <f t="shared" si="13"/>
        <v>0</v>
      </c>
      <c r="I52">
        <f t="shared" si="13"/>
        <v>0</v>
      </c>
      <c r="J52" s="107"/>
      <c r="K52" s="107"/>
    </row>
    <row r="53" spans="1:11" ht="15" customHeight="1" x14ac:dyDescent="0.25">
      <c r="A53" s="107" t="s">
        <v>33</v>
      </c>
      <c r="B53" s="107" t="s">
        <v>496</v>
      </c>
      <c r="C53" s="107" t="s">
        <v>14</v>
      </c>
      <c r="D53" t="s">
        <v>8</v>
      </c>
      <c r="E53">
        <f t="shared" si="12"/>
        <v>178000</v>
      </c>
      <c r="F53">
        <f>SUM(F54:F58)</f>
        <v>178000</v>
      </c>
      <c r="G53">
        <f>SUM(G54:G58)</f>
        <v>0</v>
      </c>
      <c r="H53">
        <f>SUM(H54:H58)</f>
        <v>0</v>
      </c>
      <c r="I53">
        <f>SUM(I54:I58)</f>
        <v>0</v>
      </c>
      <c r="J53" s="107" t="s">
        <v>819</v>
      </c>
      <c r="K53" s="107" t="s">
        <v>484</v>
      </c>
    </row>
    <row r="54" spans="1:11" x14ac:dyDescent="0.25">
      <c r="A54" s="107"/>
      <c r="B54" s="107"/>
      <c r="C54" s="107"/>
      <c r="D54">
        <v>2021</v>
      </c>
      <c r="E54">
        <f t="shared" si="12"/>
        <v>43000</v>
      </c>
      <c r="F54">
        <v>43000</v>
      </c>
      <c r="G54">
        <v>0</v>
      </c>
      <c r="H54">
        <v>0</v>
      </c>
      <c r="I54">
        <v>0</v>
      </c>
      <c r="J54" s="107"/>
      <c r="K54" s="107"/>
    </row>
    <row r="55" spans="1:11" x14ac:dyDescent="0.25">
      <c r="A55" s="107"/>
      <c r="B55" s="107"/>
      <c r="C55" s="107"/>
      <c r="D55">
        <v>2022</v>
      </c>
      <c r="E55">
        <v>30000</v>
      </c>
      <c r="F55">
        <v>45000</v>
      </c>
      <c r="G55">
        <v>0</v>
      </c>
      <c r="H55">
        <v>0</v>
      </c>
      <c r="I55">
        <v>0</v>
      </c>
      <c r="J55" s="107"/>
      <c r="K55" s="107"/>
    </row>
    <row r="56" spans="1:11" x14ac:dyDescent="0.25">
      <c r="A56" s="107"/>
      <c r="B56" s="107"/>
      <c r="C56" s="107"/>
      <c r="D56">
        <v>2023</v>
      </c>
      <c r="E56">
        <f t="shared" si="12"/>
        <v>30000</v>
      </c>
      <c r="F56">
        <v>30000</v>
      </c>
      <c r="G56">
        <v>0</v>
      </c>
      <c r="H56">
        <v>0</v>
      </c>
      <c r="I56">
        <v>0</v>
      </c>
      <c r="J56" s="107"/>
      <c r="K56" s="107"/>
    </row>
    <row r="57" spans="1:11" x14ac:dyDescent="0.25">
      <c r="A57" s="107"/>
      <c r="B57" s="107"/>
      <c r="C57" s="107"/>
      <c r="D57">
        <v>2024</v>
      </c>
      <c r="E57">
        <f t="shared" si="12"/>
        <v>30000</v>
      </c>
      <c r="F57">
        <v>30000</v>
      </c>
      <c r="G57">
        <v>0</v>
      </c>
      <c r="H57">
        <v>0</v>
      </c>
      <c r="I57">
        <v>0</v>
      </c>
      <c r="J57" s="107"/>
      <c r="K57" s="107"/>
    </row>
    <row r="58" spans="1:11" x14ac:dyDescent="0.25">
      <c r="A58" s="107"/>
      <c r="B58" s="107"/>
      <c r="C58" s="107"/>
      <c r="D58">
        <v>2025</v>
      </c>
      <c r="E58">
        <f t="shared" si="12"/>
        <v>30000</v>
      </c>
      <c r="F58">
        <v>30000</v>
      </c>
      <c r="G58">
        <v>0</v>
      </c>
      <c r="H58">
        <v>0</v>
      </c>
      <c r="I58">
        <v>0</v>
      </c>
      <c r="J58" s="107"/>
      <c r="K58" s="107"/>
    </row>
    <row r="59" spans="1:11" ht="13.5" customHeight="1" outlineLevel="1" x14ac:dyDescent="0.25">
      <c r="A59" s="107" t="s">
        <v>36</v>
      </c>
      <c r="B59" s="107" t="s">
        <v>498</v>
      </c>
      <c r="C59" s="107">
        <v>2021</v>
      </c>
      <c r="D59" t="s">
        <v>8</v>
      </c>
      <c r="E59">
        <f t="shared" si="12"/>
        <v>0</v>
      </c>
      <c r="F59">
        <f>SUM(F60:F64)</f>
        <v>0</v>
      </c>
      <c r="G59">
        <f>SUM(G60:G64)</f>
        <v>0</v>
      </c>
      <c r="H59">
        <f>SUM(H60:H64)</f>
        <v>0</v>
      </c>
      <c r="I59">
        <f>SUM(I60:I64)</f>
        <v>0</v>
      </c>
      <c r="J59" s="107" t="s">
        <v>499</v>
      </c>
      <c r="K59" s="107" t="s">
        <v>484</v>
      </c>
    </row>
    <row r="60" spans="1:11" ht="13.5" customHeight="1" outlineLevel="1" x14ac:dyDescent="0.25">
      <c r="A60" s="107"/>
      <c r="B60" s="107"/>
      <c r="C60" s="107"/>
      <c r="D60">
        <v>2021</v>
      </c>
      <c r="E60">
        <f t="shared" si="12"/>
        <v>0</v>
      </c>
      <c r="F60">
        <v>0</v>
      </c>
      <c r="G60">
        <v>0</v>
      </c>
      <c r="H60">
        <v>0</v>
      </c>
      <c r="I60">
        <v>0</v>
      </c>
      <c r="J60" s="107"/>
      <c r="K60" s="107"/>
    </row>
    <row r="61" spans="1:11" ht="13.5" customHeight="1" outlineLevel="1" x14ac:dyDescent="0.25">
      <c r="A61" s="107"/>
      <c r="B61" s="107"/>
      <c r="C61" s="107"/>
      <c r="D61">
        <v>2022</v>
      </c>
      <c r="E61">
        <f t="shared" si="12"/>
        <v>0</v>
      </c>
      <c r="F61">
        <v>0</v>
      </c>
      <c r="G61">
        <v>0</v>
      </c>
      <c r="H61">
        <v>0</v>
      </c>
      <c r="I61">
        <v>0</v>
      </c>
      <c r="J61" s="107"/>
      <c r="K61" s="107"/>
    </row>
    <row r="62" spans="1:11" ht="13.5" customHeight="1" outlineLevel="1" x14ac:dyDescent="0.25">
      <c r="A62" s="107"/>
      <c r="B62" s="107"/>
      <c r="C62" s="107"/>
      <c r="D62">
        <v>2023</v>
      </c>
      <c r="E62">
        <f t="shared" si="12"/>
        <v>0</v>
      </c>
      <c r="F62">
        <v>0</v>
      </c>
      <c r="G62">
        <v>0</v>
      </c>
      <c r="H62">
        <v>0</v>
      </c>
      <c r="I62">
        <v>0</v>
      </c>
      <c r="J62" s="107"/>
      <c r="K62" s="107"/>
    </row>
    <row r="63" spans="1:11" ht="13.5" customHeight="1" outlineLevel="1" x14ac:dyDescent="0.25">
      <c r="A63" s="107"/>
      <c r="B63" s="107"/>
      <c r="C63" s="107"/>
      <c r="D63">
        <v>2024</v>
      </c>
      <c r="E63">
        <f t="shared" si="12"/>
        <v>0</v>
      </c>
      <c r="F63">
        <v>0</v>
      </c>
      <c r="G63">
        <v>0</v>
      </c>
      <c r="H63">
        <v>0</v>
      </c>
      <c r="I63">
        <v>0</v>
      </c>
      <c r="J63" s="107"/>
      <c r="K63" s="107"/>
    </row>
    <row r="64" spans="1:11" ht="13.5" customHeight="1" outlineLevel="1" x14ac:dyDescent="0.25">
      <c r="A64" s="107"/>
      <c r="B64" s="107"/>
      <c r="C64" s="107"/>
      <c r="D64">
        <v>2025</v>
      </c>
      <c r="E64">
        <f t="shared" si="12"/>
        <v>0</v>
      </c>
      <c r="F64">
        <v>0</v>
      </c>
      <c r="G64">
        <v>0</v>
      </c>
      <c r="H64">
        <v>0</v>
      </c>
      <c r="I64">
        <v>0</v>
      </c>
      <c r="J64" s="107"/>
      <c r="K64" s="107"/>
    </row>
    <row r="65" spans="1:11" ht="13.5" customHeight="1" outlineLevel="1" x14ac:dyDescent="0.25">
      <c r="A65" s="107" t="s">
        <v>500</v>
      </c>
      <c r="B65" s="107" t="s">
        <v>501</v>
      </c>
      <c r="C65" s="107">
        <v>2021</v>
      </c>
      <c r="D65" t="s">
        <v>8</v>
      </c>
      <c r="E65">
        <f t="shared" si="12"/>
        <v>153993.769</v>
      </c>
      <c r="F65">
        <f>SUM(F66:F70)</f>
        <v>153993.769</v>
      </c>
      <c r="G65">
        <f>SUM(G66:G70)</f>
        <v>0</v>
      </c>
      <c r="H65">
        <f>SUM(H66:H70)</f>
        <v>0</v>
      </c>
      <c r="I65">
        <f>SUM(I66:I70)</f>
        <v>0</v>
      </c>
      <c r="J65" s="107" t="s">
        <v>820</v>
      </c>
      <c r="K65" s="107" t="s">
        <v>484</v>
      </c>
    </row>
    <row r="66" spans="1:11" ht="13.5" customHeight="1" outlineLevel="1" x14ac:dyDescent="0.25">
      <c r="A66" s="107"/>
      <c r="B66" s="107"/>
      <c r="C66" s="107"/>
      <c r="D66">
        <v>2021</v>
      </c>
      <c r="E66">
        <f t="shared" si="12"/>
        <v>33993.769</v>
      </c>
      <c r="F66">
        <v>33993.769</v>
      </c>
      <c r="G66">
        <v>0</v>
      </c>
      <c r="H66">
        <v>0</v>
      </c>
      <c r="I66">
        <v>0</v>
      </c>
      <c r="J66" s="107"/>
      <c r="K66" s="107"/>
    </row>
    <row r="67" spans="1:11" ht="13.5" customHeight="1" outlineLevel="1" x14ac:dyDescent="0.25">
      <c r="A67" s="107"/>
      <c r="B67" s="107"/>
      <c r="C67" s="107"/>
      <c r="D67">
        <v>2022</v>
      </c>
      <c r="E67">
        <f t="shared" si="12"/>
        <v>40000</v>
      </c>
      <c r="F67">
        <v>40000</v>
      </c>
      <c r="G67">
        <v>0</v>
      </c>
      <c r="H67">
        <v>0</v>
      </c>
      <c r="I67">
        <v>0</v>
      </c>
      <c r="J67" s="107"/>
      <c r="K67" s="107"/>
    </row>
    <row r="68" spans="1:11" ht="13.5" customHeight="1" outlineLevel="1" x14ac:dyDescent="0.25">
      <c r="A68" s="107"/>
      <c r="B68" s="107"/>
      <c r="C68" s="107"/>
      <c r="D68">
        <v>2023</v>
      </c>
      <c r="E68">
        <f t="shared" si="12"/>
        <v>40000</v>
      </c>
      <c r="F68">
        <v>40000</v>
      </c>
      <c r="G68">
        <v>0</v>
      </c>
      <c r="H68">
        <v>0</v>
      </c>
      <c r="I68">
        <v>0</v>
      </c>
      <c r="J68" s="107"/>
      <c r="K68" s="107"/>
    </row>
    <row r="69" spans="1:11" ht="13.5" customHeight="1" outlineLevel="1" x14ac:dyDescent="0.25">
      <c r="A69" s="107"/>
      <c r="B69" s="107"/>
      <c r="C69" s="107"/>
      <c r="D69">
        <v>2024</v>
      </c>
      <c r="E69">
        <f t="shared" si="12"/>
        <v>40000</v>
      </c>
      <c r="F69">
        <v>40000</v>
      </c>
      <c r="G69">
        <v>0</v>
      </c>
      <c r="H69">
        <v>0</v>
      </c>
      <c r="I69">
        <v>0</v>
      </c>
      <c r="J69" s="107"/>
      <c r="K69" s="107"/>
    </row>
    <row r="70" spans="1:11" ht="13.5" customHeight="1" outlineLevel="1" x14ac:dyDescent="0.25">
      <c r="A70" s="107"/>
      <c r="B70" s="107"/>
      <c r="C70" s="107"/>
      <c r="D70">
        <v>2025</v>
      </c>
      <c r="E70">
        <f t="shared" si="12"/>
        <v>0</v>
      </c>
      <c r="F70">
        <v>0</v>
      </c>
      <c r="G70">
        <v>0</v>
      </c>
      <c r="H70">
        <v>0</v>
      </c>
      <c r="I70">
        <v>0</v>
      </c>
      <c r="J70" s="107"/>
      <c r="K70" s="107"/>
    </row>
    <row r="71" spans="1:11" ht="13.5" customHeight="1" outlineLevel="1" x14ac:dyDescent="0.25">
      <c r="A71" s="107" t="s">
        <v>503</v>
      </c>
      <c r="B71" s="107" t="s">
        <v>504</v>
      </c>
      <c r="C71" s="107">
        <v>2021</v>
      </c>
      <c r="D71" t="s">
        <v>8</v>
      </c>
      <c r="E71">
        <f t="shared" si="12"/>
        <v>18800</v>
      </c>
      <c r="F71">
        <f>SUM(F72:F76)</f>
        <v>18800</v>
      </c>
      <c r="G71">
        <f>SUM(G72:G76)</f>
        <v>0</v>
      </c>
      <c r="H71">
        <f>SUM(H72:H76)</f>
        <v>0</v>
      </c>
      <c r="I71">
        <f>SUM(I72:I76)</f>
        <v>0</v>
      </c>
      <c r="J71" s="107" t="s">
        <v>505</v>
      </c>
      <c r="K71" s="107" t="s">
        <v>484</v>
      </c>
    </row>
    <row r="72" spans="1:11" ht="13.5" customHeight="1" outlineLevel="1" x14ac:dyDescent="0.25">
      <c r="A72" s="107"/>
      <c r="B72" s="107"/>
      <c r="C72" s="107"/>
      <c r="D72">
        <v>2021</v>
      </c>
      <c r="E72">
        <f t="shared" si="12"/>
        <v>2000</v>
      </c>
      <c r="F72">
        <v>2000</v>
      </c>
      <c r="G72">
        <v>0</v>
      </c>
      <c r="H72">
        <v>0</v>
      </c>
      <c r="I72">
        <v>0</v>
      </c>
      <c r="J72" s="107"/>
      <c r="K72" s="107"/>
    </row>
    <row r="73" spans="1:11" ht="13.5" customHeight="1" outlineLevel="1" x14ac:dyDescent="0.25">
      <c r="A73" s="107"/>
      <c r="B73" s="107"/>
      <c r="C73" s="107"/>
      <c r="D73">
        <v>2022</v>
      </c>
      <c r="E73">
        <f t="shared" si="12"/>
        <v>5600</v>
      </c>
      <c r="F73">
        <v>5600</v>
      </c>
      <c r="G73">
        <v>0</v>
      </c>
      <c r="H73">
        <v>0</v>
      </c>
      <c r="I73">
        <v>0</v>
      </c>
      <c r="J73" s="107"/>
      <c r="K73" s="107"/>
    </row>
    <row r="74" spans="1:11" ht="13.5" customHeight="1" outlineLevel="1" x14ac:dyDescent="0.25">
      <c r="A74" s="107"/>
      <c r="B74" s="107"/>
      <c r="C74" s="107"/>
      <c r="D74">
        <v>2023</v>
      </c>
      <c r="E74">
        <f t="shared" si="12"/>
        <v>5600</v>
      </c>
      <c r="F74">
        <v>5600</v>
      </c>
      <c r="G74">
        <v>0</v>
      </c>
      <c r="H74">
        <v>0</v>
      </c>
      <c r="I74">
        <v>0</v>
      </c>
      <c r="J74" s="107"/>
      <c r="K74" s="107"/>
    </row>
    <row r="75" spans="1:11" ht="13.5" customHeight="1" outlineLevel="1" x14ac:dyDescent="0.25">
      <c r="A75" s="107"/>
      <c r="B75" s="107"/>
      <c r="C75" s="107"/>
      <c r="D75">
        <v>2024</v>
      </c>
      <c r="E75">
        <f t="shared" si="12"/>
        <v>5600</v>
      </c>
      <c r="F75">
        <v>5600</v>
      </c>
      <c r="G75">
        <v>0</v>
      </c>
      <c r="H75">
        <v>0</v>
      </c>
      <c r="I75">
        <v>0</v>
      </c>
      <c r="J75" s="107"/>
      <c r="K75" s="107"/>
    </row>
    <row r="76" spans="1:11" ht="13.5" customHeight="1" outlineLevel="1" x14ac:dyDescent="0.25">
      <c r="A76" s="107"/>
      <c r="B76" s="107"/>
      <c r="C76" s="107"/>
      <c r="D76">
        <v>2025</v>
      </c>
      <c r="E76">
        <f t="shared" si="12"/>
        <v>0</v>
      </c>
      <c r="F76">
        <v>0</v>
      </c>
      <c r="G76">
        <v>0</v>
      </c>
      <c r="H76">
        <v>0</v>
      </c>
      <c r="I76">
        <v>0</v>
      </c>
      <c r="J76" s="107"/>
      <c r="K76" s="107"/>
    </row>
    <row r="77" spans="1:11" ht="13.5" customHeight="1" outlineLevel="1" x14ac:dyDescent="0.25">
      <c r="A77" s="107" t="s">
        <v>506</v>
      </c>
      <c r="B77" s="107" t="s">
        <v>507</v>
      </c>
      <c r="C77" s="107">
        <v>2021</v>
      </c>
      <c r="D77" t="s">
        <v>8</v>
      </c>
      <c r="E77">
        <f t="shared" si="12"/>
        <v>228137.739</v>
      </c>
      <c r="F77">
        <f>SUM(F78:F82)</f>
        <v>228137.739</v>
      </c>
      <c r="G77">
        <f>SUM(G78:G82)</f>
        <v>0</v>
      </c>
      <c r="H77">
        <f>SUM(H78:H82)</f>
        <v>0</v>
      </c>
      <c r="I77">
        <f>SUM(I78:I82)</f>
        <v>0</v>
      </c>
      <c r="J77" s="107" t="s">
        <v>508</v>
      </c>
      <c r="K77" s="107" t="s">
        <v>486</v>
      </c>
    </row>
    <row r="78" spans="1:11" ht="13.5" customHeight="1" outlineLevel="1" x14ac:dyDescent="0.25">
      <c r="A78" s="107"/>
      <c r="B78" s="107"/>
      <c r="C78" s="107"/>
      <c r="D78">
        <v>2021</v>
      </c>
      <c r="E78">
        <f t="shared" si="12"/>
        <v>29443.125</v>
      </c>
      <c r="F78">
        <f>29443125/1000</f>
        <v>29443.125</v>
      </c>
      <c r="G78">
        <v>0</v>
      </c>
      <c r="H78">
        <v>0</v>
      </c>
      <c r="I78">
        <v>0</v>
      </c>
      <c r="J78" s="107"/>
      <c r="K78" s="107"/>
    </row>
    <row r="79" spans="1:11" ht="13.5" customHeight="1" outlineLevel="1" x14ac:dyDescent="0.25">
      <c r="A79" s="107"/>
      <c r="B79" s="107"/>
      <c r="C79" s="107"/>
      <c r="D79">
        <v>2022</v>
      </c>
      <c r="E79">
        <f t="shared" si="12"/>
        <v>66231.538</v>
      </c>
      <c r="F79">
        <v>66231.538</v>
      </c>
      <c r="G79">
        <v>0</v>
      </c>
      <c r="H79">
        <v>0</v>
      </c>
      <c r="I79">
        <v>0</v>
      </c>
      <c r="J79" s="107"/>
      <c r="K79" s="107"/>
    </row>
    <row r="80" spans="1:11" ht="13.5" customHeight="1" outlineLevel="1" x14ac:dyDescent="0.25">
      <c r="A80" s="107"/>
      <c r="B80" s="107"/>
      <c r="C80" s="107"/>
      <c r="D80">
        <v>2023</v>
      </c>
      <c r="E80">
        <f t="shared" si="12"/>
        <v>66231.538</v>
      </c>
      <c r="F80">
        <v>66231.538</v>
      </c>
      <c r="G80">
        <v>0</v>
      </c>
      <c r="H80">
        <v>0</v>
      </c>
      <c r="I80">
        <v>0</v>
      </c>
      <c r="J80" s="107"/>
      <c r="K80" s="107"/>
    </row>
    <row r="81" spans="1:11" ht="13.5" customHeight="1" outlineLevel="1" x14ac:dyDescent="0.25">
      <c r="A81" s="107"/>
      <c r="B81" s="107"/>
      <c r="C81" s="107"/>
      <c r="D81">
        <v>2024</v>
      </c>
      <c r="E81">
        <f t="shared" si="12"/>
        <v>66231.538</v>
      </c>
      <c r="F81">
        <v>66231.538</v>
      </c>
      <c r="G81">
        <v>0</v>
      </c>
      <c r="H81">
        <v>0</v>
      </c>
      <c r="I81">
        <v>0</v>
      </c>
      <c r="J81" s="107"/>
      <c r="K81" s="107"/>
    </row>
    <row r="82" spans="1:11" ht="13.5" customHeight="1" outlineLevel="1" x14ac:dyDescent="0.25">
      <c r="A82" s="107"/>
      <c r="B82" s="107"/>
      <c r="C82" s="107"/>
      <c r="D82">
        <v>2025</v>
      </c>
      <c r="E82">
        <f t="shared" si="12"/>
        <v>0</v>
      </c>
      <c r="F82">
        <v>0</v>
      </c>
      <c r="G82">
        <v>0</v>
      </c>
      <c r="H82">
        <v>0</v>
      </c>
      <c r="I82">
        <v>0</v>
      </c>
      <c r="J82" s="107"/>
      <c r="K82" s="107"/>
    </row>
    <row r="83" spans="1:11" ht="13.5" customHeight="1" outlineLevel="1" x14ac:dyDescent="0.25">
      <c r="A83" s="107" t="s">
        <v>821</v>
      </c>
      <c r="B83" s="107" t="s">
        <v>822</v>
      </c>
      <c r="C83" s="107">
        <v>2022</v>
      </c>
      <c r="D83" t="s">
        <v>8</v>
      </c>
      <c r="E83">
        <f t="shared" si="12"/>
        <v>60000</v>
      </c>
      <c r="F83">
        <f>SUM(F84:F88)</f>
        <v>60000</v>
      </c>
      <c r="G83">
        <f>SUM(G84:G88)</f>
        <v>0</v>
      </c>
      <c r="H83">
        <f>SUM(H84:H88)</f>
        <v>0</v>
      </c>
      <c r="I83">
        <f>SUM(I84:I88)</f>
        <v>0</v>
      </c>
      <c r="J83" s="107" t="s">
        <v>823</v>
      </c>
      <c r="K83" s="107" t="s">
        <v>484</v>
      </c>
    </row>
    <row r="84" spans="1:11" ht="13.5" customHeight="1" outlineLevel="1" x14ac:dyDescent="0.25">
      <c r="A84" s="107"/>
      <c r="B84" s="107"/>
      <c r="C84" s="107"/>
      <c r="D84">
        <v>2021</v>
      </c>
      <c r="E84">
        <f t="shared" si="12"/>
        <v>0</v>
      </c>
      <c r="F84">
        <v>0</v>
      </c>
      <c r="G84">
        <v>0</v>
      </c>
      <c r="H84">
        <v>0</v>
      </c>
      <c r="I84">
        <v>0</v>
      </c>
      <c r="J84" s="107"/>
      <c r="K84" s="107"/>
    </row>
    <row r="85" spans="1:11" ht="13.5" customHeight="1" outlineLevel="1" x14ac:dyDescent="0.25">
      <c r="A85" s="107"/>
      <c r="B85" s="107"/>
      <c r="C85" s="107"/>
      <c r="D85">
        <v>2022</v>
      </c>
      <c r="E85">
        <f t="shared" si="12"/>
        <v>20000</v>
      </c>
      <c r="F85">
        <v>20000</v>
      </c>
      <c r="G85">
        <v>0</v>
      </c>
      <c r="H85">
        <v>0</v>
      </c>
      <c r="I85">
        <v>0</v>
      </c>
      <c r="J85" s="107"/>
      <c r="K85" s="107"/>
    </row>
    <row r="86" spans="1:11" ht="13.5" customHeight="1" outlineLevel="1" x14ac:dyDescent="0.25">
      <c r="A86" s="107"/>
      <c r="B86" s="107"/>
      <c r="C86" s="107"/>
      <c r="D86">
        <v>2023</v>
      </c>
      <c r="E86">
        <f t="shared" si="12"/>
        <v>20000</v>
      </c>
      <c r="F86">
        <v>20000</v>
      </c>
      <c r="G86">
        <v>0</v>
      </c>
      <c r="H86">
        <v>0</v>
      </c>
      <c r="I86">
        <v>0</v>
      </c>
      <c r="J86" s="107"/>
      <c r="K86" s="107"/>
    </row>
    <row r="87" spans="1:11" ht="13.5" customHeight="1" outlineLevel="1" x14ac:dyDescent="0.25">
      <c r="A87" s="107"/>
      <c r="B87" s="107"/>
      <c r="C87" s="107"/>
      <c r="D87">
        <v>2024</v>
      </c>
      <c r="E87">
        <f t="shared" si="12"/>
        <v>20000</v>
      </c>
      <c r="F87">
        <v>20000</v>
      </c>
      <c r="G87">
        <v>0</v>
      </c>
      <c r="H87">
        <v>0</v>
      </c>
      <c r="I87">
        <v>0</v>
      </c>
      <c r="J87" s="107"/>
      <c r="K87" s="107"/>
    </row>
    <row r="88" spans="1:11" ht="13.5" customHeight="1" outlineLevel="1" x14ac:dyDescent="0.25">
      <c r="A88" s="107"/>
      <c r="B88" s="107"/>
      <c r="C88" s="107"/>
      <c r="D88">
        <v>2025</v>
      </c>
      <c r="E88">
        <f t="shared" si="12"/>
        <v>0</v>
      </c>
      <c r="F88">
        <v>0</v>
      </c>
      <c r="G88">
        <v>0</v>
      </c>
      <c r="H88">
        <v>0</v>
      </c>
      <c r="I88">
        <v>0</v>
      </c>
      <c r="J88" s="107"/>
      <c r="K88" s="107"/>
    </row>
    <row r="89" spans="1:11" ht="13.5" customHeight="1" outlineLevel="1" x14ac:dyDescent="0.25">
      <c r="A89" s="107" t="s">
        <v>824</v>
      </c>
      <c r="B89" s="107" t="s">
        <v>825</v>
      </c>
      <c r="C89" s="107" t="s">
        <v>14</v>
      </c>
      <c r="D89" t="s">
        <v>8</v>
      </c>
      <c r="E89">
        <f t="shared" si="12"/>
        <v>30180</v>
      </c>
      <c r="F89">
        <f>SUM(F90:F94)</f>
        <v>30180</v>
      </c>
      <c r="G89">
        <f>SUM(G90:G94)</f>
        <v>0</v>
      </c>
      <c r="H89">
        <f>SUM(H90:H94)</f>
        <v>0</v>
      </c>
      <c r="I89">
        <f>SUM(I90:I94)</f>
        <v>0</v>
      </c>
      <c r="J89" s="107" t="s">
        <v>825</v>
      </c>
      <c r="K89" s="107" t="s">
        <v>484</v>
      </c>
    </row>
    <row r="90" spans="1:11" ht="13.5" customHeight="1" outlineLevel="1" x14ac:dyDescent="0.25">
      <c r="A90" s="107"/>
      <c r="B90" s="107"/>
      <c r="C90" s="107"/>
      <c r="D90">
        <v>2021</v>
      </c>
      <c r="E90">
        <f t="shared" si="12"/>
        <v>0</v>
      </c>
      <c r="F90">
        <v>0</v>
      </c>
      <c r="G90">
        <v>0</v>
      </c>
      <c r="H90">
        <v>0</v>
      </c>
      <c r="I90">
        <v>0</v>
      </c>
      <c r="J90" s="107"/>
      <c r="K90" s="107"/>
    </row>
    <row r="91" spans="1:11" ht="13.5" customHeight="1" outlineLevel="1" x14ac:dyDescent="0.25">
      <c r="A91" s="107"/>
      <c r="B91" s="107"/>
      <c r="C91" s="107"/>
      <c r="D91">
        <v>2022</v>
      </c>
      <c r="E91">
        <f t="shared" si="12"/>
        <v>10060</v>
      </c>
      <c r="F91">
        <v>10060</v>
      </c>
      <c r="G91">
        <v>0</v>
      </c>
      <c r="H91">
        <v>0</v>
      </c>
      <c r="I91">
        <v>0</v>
      </c>
      <c r="J91" s="107"/>
      <c r="K91" s="107"/>
    </row>
    <row r="92" spans="1:11" ht="13.5" customHeight="1" outlineLevel="1" x14ac:dyDescent="0.25">
      <c r="A92" s="107"/>
      <c r="B92" s="107"/>
      <c r="C92" s="107"/>
      <c r="D92">
        <v>2023</v>
      </c>
      <c r="E92">
        <f t="shared" si="12"/>
        <v>10060</v>
      </c>
      <c r="F92">
        <v>10060</v>
      </c>
      <c r="G92">
        <v>0</v>
      </c>
      <c r="H92">
        <v>0</v>
      </c>
      <c r="I92">
        <v>0</v>
      </c>
      <c r="J92" s="107"/>
      <c r="K92" s="107"/>
    </row>
    <row r="93" spans="1:11" ht="13.5" customHeight="1" outlineLevel="1" x14ac:dyDescent="0.25">
      <c r="A93" s="107"/>
      <c r="B93" s="107"/>
      <c r="C93" s="107"/>
      <c r="D93">
        <v>2024</v>
      </c>
      <c r="E93">
        <f t="shared" si="12"/>
        <v>10060</v>
      </c>
      <c r="F93">
        <v>10060</v>
      </c>
      <c r="G93">
        <v>0</v>
      </c>
      <c r="H93">
        <v>0</v>
      </c>
      <c r="I93">
        <v>0</v>
      </c>
      <c r="J93" s="107"/>
      <c r="K93" s="107"/>
    </row>
    <row r="94" spans="1:11" ht="13.5" customHeight="1" outlineLevel="1" x14ac:dyDescent="0.25">
      <c r="A94" s="107"/>
      <c r="B94" s="107"/>
      <c r="C94" s="107"/>
      <c r="D94">
        <v>2025</v>
      </c>
      <c r="E94">
        <f t="shared" si="12"/>
        <v>0</v>
      </c>
      <c r="F94">
        <v>0</v>
      </c>
      <c r="G94">
        <v>0</v>
      </c>
      <c r="H94">
        <v>0</v>
      </c>
      <c r="I94">
        <v>0</v>
      </c>
      <c r="J94" s="107"/>
      <c r="K94" s="107"/>
    </row>
    <row r="95" spans="1:11" ht="13.5" customHeight="1" outlineLevel="1" x14ac:dyDescent="0.25">
      <c r="A95" s="107" t="s">
        <v>826</v>
      </c>
      <c r="B95" s="107" t="s">
        <v>827</v>
      </c>
      <c r="C95" s="107" t="s">
        <v>828</v>
      </c>
      <c r="D95" t="s">
        <v>8</v>
      </c>
      <c r="E95">
        <f t="shared" si="12"/>
        <v>4320</v>
      </c>
      <c r="F95">
        <f>SUM(F96:F100)</f>
        <v>4320</v>
      </c>
      <c r="G95">
        <f>SUM(G96:G100)</f>
        <v>0</v>
      </c>
      <c r="H95">
        <f>SUM(H96:H100)</f>
        <v>0</v>
      </c>
      <c r="I95">
        <f>SUM(I96:I100)</f>
        <v>0</v>
      </c>
      <c r="J95" s="107" t="s">
        <v>829</v>
      </c>
      <c r="K95" s="107" t="s">
        <v>484</v>
      </c>
    </row>
    <row r="96" spans="1:11" ht="13.5" customHeight="1" outlineLevel="1" x14ac:dyDescent="0.25">
      <c r="A96" s="107"/>
      <c r="B96" s="107"/>
      <c r="C96" s="107"/>
      <c r="D96">
        <v>2021</v>
      </c>
      <c r="E96">
        <f t="shared" si="12"/>
        <v>0</v>
      </c>
      <c r="F96">
        <v>0</v>
      </c>
      <c r="G96">
        <v>0</v>
      </c>
      <c r="H96">
        <v>0</v>
      </c>
      <c r="I96">
        <v>0</v>
      </c>
      <c r="J96" s="107"/>
      <c r="K96" s="107"/>
    </row>
    <row r="97" spans="1:11" ht="13.5" customHeight="1" outlineLevel="1" x14ac:dyDescent="0.25">
      <c r="A97" s="107"/>
      <c r="B97" s="107"/>
      <c r="C97" s="107"/>
      <c r="D97">
        <v>2022</v>
      </c>
      <c r="E97">
        <f t="shared" si="12"/>
        <v>1440</v>
      </c>
      <c r="F97">
        <v>1440</v>
      </c>
      <c r="G97">
        <v>0</v>
      </c>
      <c r="H97">
        <v>0</v>
      </c>
      <c r="I97">
        <v>0</v>
      </c>
      <c r="J97" s="107"/>
      <c r="K97" s="107"/>
    </row>
    <row r="98" spans="1:11" ht="13.5" customHeight="1" outlineLevel="1" x14ac:dyDescent="0.25">
      <c r="A98" s="107"/>
      <c r="B98" s="107"/>
      <c r="C98" s="107"/>
      <c r="D98">
        <v>2023</v>
      </c>
      <c r="E98">
        <f t="shared" si="12"/>
        <v>1440</v>
      </c>
      <c r="F98">
        <v>1440</v>
      </c>
      <c r="G98">
        <v>0</v>
      </c>
      <c r="H98">
        <v>0</v>
      </c>
      <c r="I98">
        <v>0</v>
      </c>
      <c r="J98" s="107"/>
      <c r="K98" s="107"/>
    </row>
    <row r="99" spans="1:11" ht="13.5" customHeight="1" outlineLevel="1" x14ac:dyDescent="0.25">
      <c r="A99" s="107"/>
      <c r="B99" s="107"/>
      <c r="C99" s="107"/>
      <c r="D99">
        <v>2024</v>
      </c>
      <c r="E99">
        <f t="shared" si="12"/>
        <v>1440</v>
      </c>
      <c r="F99">
        <v>1440</v>
      </c>
      <c r="G99">
        <v>0</v>
      </c>
      <c r="H99">
        <v>0</v>
      </c>
      <c r="I99">
        <v>0</v>
      </c>
      <c r="J99" s="107"/>
      <c r="K99" s="107"/>
    </row>
    <row r="100" spans="1:11" ht="13.5" customHeight="1" outlineLevel="1" x14ac:dyDescent="0.25">
      <c r="A100" s="107"/>
      <c r="B100" s="107"/>
      <c r="C100" s="107"/>
      <c r="D100">
        <v>2025</v>
      </c>
      <c r="E100">
        <v>0</v>
      </c>
      <c r="F100">
        <v>0</v>
      </c>
      <c r="G100">
        <v>0</v>
      </c>
      <c r="H100">
        <v>0</v>
      </c>
      <c r="I100">
        <v>0</v>
      </c>
      <c r="J100" s="107"/>
      <c r="K100" s="107"/>
    </row>
    <row r="101" spans="1:11" ht="13.5" customHeight="1" outlineLevel="1" x14ac:dyDescent="0.25">
      <c r="A101" s="107" t="s">
        <v>830</v>
      </c>
      <c r="B101" s="107" t="s">
        <v>831</v>
      </c>
      <c r="C101" s="107" t="s">
        <v>14</v>
      </c>
      <c r="D101" t="s">
        <v>8</v>
      </c>
      <c r="E101">
        <f t="shared" si="12"/>
        <v>26000</v>
      </c>
      <c r="F101">
        <f>SUM(F102:F106)</f>
        <v>26000</v>
      </c>
      <c r="G101">
        <f>SUM(G102:G106)</f>
        <v>0</v>
      </c>
      <c r="H101">
        <f>SUM(H102:H106)</f>
        <v>0</v>
      </c>
      <c r="I101">
        <f>SUM(I102:I106)</f>
        <v>0</v>
      </c>
      <c r="J101" s="107" t="s">
        <v>831</v>
      </c>
      <c r="K101" s="107" t="s">
        <v>515</v>
      </c>
    </row>
    <row r="102" spans="1:11" ht="13.5" customHeight="1" outlineLevel="1" x14ac:dyDescent="0.25">
      <c r="A102" s="107"/>
      <c r="B102" s="107"/>
      <c r="C102" s="107"/>
      <c r="D102">
        <v>2021</v>
      </c>
      <c r="E102">
        <f t="shared" si="12"/>
        <v>0</v>
      </c>
      <c r="J102" s="107"/>
      <c r="K102" s="107"/>
    </row>
    <row r="103" spans="1:11" ht="13.5" customHeight="1" outlineLevel="1" x14ac:dyDescent="0.25">
      <c r="A103" s="107"/>
      <c r="B103" s="107"/>
      <c r="C103" s="107"/>
      <c r="D103">
        <v>2022</v>
      </c>
      <c r="E103">
        <f t="shared" si="12"/>
        <v>26000</v>
      </c>
      <c r="F103">
        <v>26000</v>
      </c>
      <c r="J103" s="107"/>
      <c r="K103" s="107"/>
    </row>
    <row r="104" spans="1:11" ht="13.5" customHeight="1" outlineLevel="1" x14ac:dyDescent="0.25">
      <c r="A104" s="107"/>
      <c r="B104" s="107"/>
      <c r="C104" s="107"/>
      <c r="D104">
        <v>2023</v>
      </c>
      <c r="E104">
        <f t="shared" si="12"/>
        <v>0</v>
      </c>
      <c r="F104">
        <v>0</v>
      </c>
      <c r="G104">
        <v>0</v>
      </c>
      <c r="H104">
        <v>0</v>
      </c>
      <c r="I104">
        <v>0</v>
      </c>
      <c r="J104" s="107"/>
      <c r="K104" s="107"/>
    </row>
    <row r="105" spans="1:11" ht="13.5" customHeight="1" outlineLevel="1" x14ac:dyDescent="0.25">
      <c r="A105" s="107"/>
      <c r="B105" s="107"/>
      <c r="C105" s="107"/>
      <c r="D105">
        <v>2024</v>
      </c>
      <c r="E105">
        <f t="shared" si="12"/>
        <v>0</v>
      </c>
      <c r="F105">
        <v>0</v>
      </c>
      <c r="G105">
        <v>0</v>
      </c>
      <c r="H105">
        <v>0</v>
      </c>
      <c r="I105">
        <v>0</v>
      </c>
      <c r="J105" s="107"/>
      <c r="K105" s="107"/>
    </row>
    <row r="106" spans="1:11" ht="13.5" customHeight="1" outlineLevel="1" x14ac:dyDescent="0.25">
      <c r="A106" s="107"/>
      <c r="B106" s="107"/>
      <c r="C106" s="107"/>
      <c r="D106">
        <v>2025</v>
      </c>
      <c r="E106">
        <f t="shared" ref="E106:E112" si="15">SUM(F106:I106)</f>
        <v>0</v>
      </c>
      <c r="F106">
        <v>0</v>
      </c>
      <c r="G106">
        <v>0</v>
      </c>
      <c r="H106">
        <v>0</v>
      </c>
      <c r="I106">
        <v>0</v>
      </c>
      <c r="J106" s="107"/>
      <c r="K106" s="107"/>
    </row>
    <row r="107" spans="1:11" ht="31.5" customHeight="1" outlineLevel="1" x14ac:dyDescent="0.25">
      <c r="A107" s="107" t="s">
        <v>832</v>
      </c>
      <c r="B107" s="107" t="s">
        <v>833</v>
      </c>
      <c r="C107" s="107" t="s">
        <v>14</v>
      </c>
      <c r="D107" t="s">
        <v>8</v>
      </c>
      <c r="E107">
        <f t="shared" si="15"/>
        <v>27000</v>
      </c>
      <c r="F107">
        <f>SUM(F108:F112)</f>
        <v>27000</v>
      </c>
      <c r="G107">
        <f>SUM(G108:G112)</f>
        <v>0</v>
      </c>
      <c r="H107">
        <f>SUM(H108:H112)</f>
        <v>0</v>
      </c>
      <c r="I107">
        <f>SUM(I108:I112)</f>
        <v>0</v>
      </c>
      <c r="J107" s="107" t="s">
        <v>834</v>
      </c>
      <c r="K107" s="107" t="s">
        <v>515</v>
      </c>
    </row>
    <row r="108" spans="1:11" ht="31.5" customHeight="1" outlineLevel="1" x14ac:dyDescent="0.25">
      <c r="A108" s="107"/>
      <c r="B108" s="107"/>
      <c r="C108" s="107"/>
      <c r="D108">
        <v>2021</v>
      </c>
      <c r="E108">
        <f t="shared" si="15"/>
        <v>0</v>
      </c>
      <c r="F108">
        <v>0</v>
      </c>
      <c r="G108">
        <v>0</v>
      </c>
      <c r="H108">
        <v>0</v>
      </c>
      <c r="I108">
        <v>0</v>
      </c>
      <c r="J108" s="107"/>
      <c r="K108" s="107"/>
    </row>
    <row r="109" spans="1:11" ht="31.5" customHeight="1" outlineLevel="1" x14ac:dyDescent="0.25">
      <c r="A109" s="107"/>
      <c r="B109" s="107"/>
      <c r="C109" s="107"/>
      <c r="D109">
        <v>2022</v>
      </c>
      <c r="E109">
        <f t="shared" si="15"/>
        <v>9000</v>
      </c>
      <c r="F109">
        <v>9000</v>
      </c>
      <c r="G109">
        <v>0</v>
      </c>
      <c r="H109">
        <v>0</v>
      </c>
      <c r="I109">
        <v>0</v>
      </c>
      <c r="J109" s="107"/>
      <c r="K109" s="107"/>
    </row>
    <row r="110" spans="1:11" ht="31.5" customHeight="1" outlineLevel="1" x14ac:dyDescent="0.25">
      <c r="A110" s="107"/>
      <c r="B110" s="107"/>
      <c r="C110" s="107"/>
      <c r="D110">
        <v>2023</v>
      </c>
      <c r="E110">
        <f t="shared" si="15"/>
        <v>9000</v>
      </c>
      <c r="F110">
        <v>9000</v>
      </c>
      <c r="G110">
        <v>0</v>
      </c>
      <c r="H110">
        <v>0</v>
      </c>
      <c r="I110">
        <v>0</v>
      </c>
      <c r="J110" s="107"/>
      <c r="K110" s="107"/>
    </row>
    <row r="111" spans="1:11" ht="31.5" customHeight="1" outlineLevel="1" x14ac:dyDescent="0.25">
      <c r="A111" s="107"/>
      <c r="B111" s="107"/>
      <c r="C111" s="107"/>
      <c r="D111">
        <v>2024</v>
      </c>
      <c r="E111">
        <f t="shared" si="15"/>
        <v>9000</v>
      </c>
      <c r="F111">
        <v>9000</v>
      </c>
      <c r="G111">
        <v>0</v>
      </c>
      <c r="H111">
        <v>0</v>
      </c>
      <c r="I111">
        <v>0</v>
      </c>
      <c r="J111" s="107"/>
      <c r="K111" s="107"/>
    </row>
    <row r="112" spans="1:11" ht="31.5" customHeight="1" outlineLevel="1" x14ac:dyDescent="0.25">
      <c r="A112" s="107"/>
      <c r="B112" s="107"/>
      <c r="C112" s="107"/>
      <c r="D112">
        <v>2025</v>
      </c>
      <c r="E112">
        <f t="shared" si="15"/>
        <v>0</v>
      </c>
      <c r="F112">
        <v>0</v>
      </c>
      <c r="G112">
        <v>0</v>
      </c>
      <c r="H112">
        <v>0</v>
      </c>
      <c r="I112">
        <v>0</v>
      </c>
      <c r="J112" s="107"/>
      <c r="K112" s="107"/>
    </row>
    <row r="113" spans="1:14" ht="15" customHeight="1" outlineLevel="1" x14ac:dyDescent="0.25">
      <c r="A113" s="107" t="s">
        <v>39</v>
      </c>
      <c r="B113" s="107" t="s">
        <v>40</v>
      </c>
      <c r="C113" s="107" t="s">
        <v>41</v>
      </c>
      <c r="D113" t="s">
        <v>8</v>
      </c>
      <c r="E113">
        <f t="shared" ref="E113:E176" si="16">SUM(F113:I113)</f>
        <v>52766.126789999995</v>
      </c>
      <c r="F113">
        <f>SUM(F114:F118)</f>
        <v>28926.02779</v>
      </c>
      <c r="G113">
        <f>SUM(G114:G118)</f>
        <v>23840.098999999995</v>
      </c>
      <c r="H113">
        <f>SUM(H114:H118)</f>
        <v>0</v>
      </c>
      <c r="I113">
        <f>SUM(I114:I118)</f>
        <v>0</v>
      </c>
      <c r="J113" s="107" t="s">
        <v>509</v>
      </c>
      <c r="K113" s="107" t="s">
        <v>510</v>
      </c>
    </row>
    <row r="114" spans="1:14" outlineLevel="1" x14ac:dyDescent="0.25">
      <c r="A114" s="107"/>
      <c r="B114" s="107"/>
      <c r="C114" s="107"/>
      <c r="D114">
        <v>2021</v>
      </c>
      <c r="E114">
        <f t="shared" si="16"/>
        <v>27116.562749999997</v>
      </c>
      <c r="F114">
        <f t="shared" ref="F114:I118" si="17">F126+F138+F120+F132</f>
        <v>6916.3637500000004</v>
      </c>
      <c r="G114">
        <f t="shared" si="17"/>
        <v>20200.198999999997</v>
      </c>
      <c r="H114">
        <f t="shared" si="17"/>
        <v>0</v>
      </c>
      <c r="I114">
        <f t="shared" si="17"/>
        <v>0</v>
      </c>
      <c r="J114" s="107"/>
      <c r="K114" s="107"/>
    </row>
    <row r="115" spans="1:14" outlineLevel="1" x14ac:dyDescent="0.25">
      <c r="A115" s="107"/>
      <c r="B115" s="107"/>
      <c r="C115" s="107"/>
      <c r="D115">
        <v>2022</v>
      </c>
      <c r="E115">
        <f t="shared" si="16"/>
        <v>9396.6831899999997</v>
      </c>
      <c r="F115">
        <f t="shared" si="17"/>
        <v>7575.3831900000005</v>
      </c>
      <c r="G115">
        <f t="shared" si="17"/>
        <v>1821.3</v>
      </c>
      <c r="H115">
        <f t="shared" si="17"/>
        <v>0</v>
      </c>
      <c r="I115">
        <f t="shared" si="17"/>
        <v>0</v>
      </c>
      <c r="J115" s="107"/>
      <c r="K115" s="107"/>
    </row>
    <row r="116" spans="1:14" outlineLevel="1" x14ac:dyDescent="0.25">
      <c r="A116" s="107"/>
      <c r="B116" s="107"/>
      <c r="C116" s="107"/>
      <c r="D116">
        <v>2023</v>
      </c>
      <c r="E116">
        <f t="shared" si="16"/>
        <v>9093.7808499999992</v>
      </c>
      <c r="F116">
        <f t="shared" si="17"/>
        <v>7275.1808499999997</v>
      </c>
      <c r="G116">
        <f t="shared" si="17"/>
        <v>1818.6</v>
      </c>
      <c r="H116">
        <f t="shared" si="17"/>
        <v>0</v>
      </c>
      <c r="I116">
        <f t="shared" si="17"/>
        <v>0</v>
      </c>
      <c r="J116" s="107"/>
      <c r="K116" s="107"/>
    </row>
    <row r="117" spans="1:14" outlineLevel="1" x14ac:dyDescent="0.25">
      <c r="A117" s="107"/>
      <c r="B117" s="107"/>
      <c r="C117" s="107"/>
      <c r="D117">
        <v>2024</v>
      </c>
      <c r="E117">
        <f t="shared" si="16"/>
        <v>7159.1</v>
      </c>
      <c r="F117">
        <f t="shared" si="17"/>
        <v>7159.1</v>
      </c>
      <c r="G117">
        <f t="shared" si="17"/>
        <v>0</v>
      </c>
      <c r="H117">
        <f t="shared" si="17"/>
        <v>0</v>
      </c>
      <c r="I117">
        <f t="shared" si="17"/>
        <v>0</v>
      </c>
      <c r="J117" s="107"/>
      <c r="K117" s="107"/>
    </row>
    <row r="118" spans="1:14" outlineLevel="1" x14ac:dyDescent="0.25">
      <c r="A118" s="107"/>
      <c r="B118" s="107"/>
      <c r="C118" s="107"/>
      <c r="D118">
        <v>2025</v>
      </c>
      <c r="E118">
        <f t="shared" si="16"/>
        <v>0</v>
      </c>
      <c r="F118">
        <f t="shared" si="17"/>
        <v>0</v>
      </c>
      <c r="G118">
        <f t="shared" si="17"/>
        <v>0</v>
      </c>
      <c r="H118">
        <f t="shared" si="17"/>
        <v>0</v>
      </c>
      <c r="I118">
        <f t="shared" si="17"/>
        <v>0</v>
      </c>
      <c r="J118" s="107"/>
      <c r="K118" s="107"/>
    </row>
    <row r="119" spans="1:14" outlineLevel="1" x14ac:dyDescent="0.25">
      <c r="A119" s="107" t="s">
        <v>44</v>
      </c>
      <c r="B119" s="107" t="s">
        <v>45</v>
      </c>
      <c r="C119" s="107" t="s">
        <v>41</v>
      </c>
      <c r="D119" t="s">
        <v>8</v>
      </c>
      <c r="E119">
        <f t="shared" si="16"/>
        <v>5212.3297899999998</v>
      </c>
      <c r="F119">
        <f>SUM(F120:F124)</f>
        <v>312.73978999999997</v>
      </c>
      <c r="G119">
        <f>SUM(G120:G124)</f>
        <v>4899.59</v>
      </c>
      <c r="H119">
        <f>SUM(H120:H124)</f>
        <v>0</v>
      </c>
      <c r="I119">
        <f>SUM(I120:I124)</f>
        <v>0</v>
      </c>
      <c r="J119" s="107" t="s">
        <v>511</v>
      </c>
      <c r="K119" s="107" t="s">
        <v>512</v>
      </c>
    </row>
    <row r="120" spans="1:14" outlineLevel="1" x14ac:dyDescent="0.25">
      <c r="A120" s="107"/>
      <c r="B120" s="107"/>
      <c r="C120" s="107"/>
      <c r="D120">
        <v>2021</v>
      </c>
      <c r="E120">
        <f t="shared" si="16"/>
        <v>1340.09575</v>
      </c>
      <c r="F120">
        <v>80.405749999999998</v>
      </c>
      <c r="G120">
        <v>1259.69</v>
      </c>
      <c r="H120">
        <v>0</v>
      </c>
      <c r="I120">
        <v>0</v>
      </c>
      <c r="J120" s="107"/>
      <c r="K120" s="107"/>
    </row>
    <row r="121" spans="1:14" outlineLevel="1" x14ac:dyDescent="0.25">
      <c r="A121" s="107"/>
      <c r="B121" s="107"/>
      <c r="C121" s="107"/>
      <c r="D121">
        <v>2022</v>
      </c>
      <c r="E121">
        <f t="shared" si="16"/>
        <v>1937.5531899999999</v>
      </c>
      <c r="F121">
        <v>116.25319</v>
      </c>
      <c r="G121">
        <v>1821.3</v>
      </c>
      <c r="H121">
        <v>0</v>
      </c>
      <c r="I121">
        <v>0</v>
      </c>
      <c r="J121" s="107"/>
      <c r="K121" s="107"/>
    </row>
    <row r="122" spans="1:14" outlineLevel="1" x14ac:dyDescent="0.25">
      <c r="A122" s="107"/>
      <c r="B122" s="107"/>
      <c r="C122" s="107"/>
      <c r="D122">
        <v>2023</v>
      </c>
      <c r="E122">
        <f t="shared" si="16"/>
        <v>1934.68085</v>
      </c>
      <c r="F122">
        <v>116.08085</v>
      </c>
      <c r="G122">
        <v>1818.6</v>
      </c>
      <c r="H122">
        <v>0</v>
      </c>
      <c r="I122">
        <v>0</v>
      </c>
      <c r="J122" s="107"/>
      <c r="K122" s="107"/>
    </row>
    <row r="123" spans="1:14" outlineLevel="1" x14ac:dyDescent="0.25">
      <c r="A123" s="107"/>
      <c r="B123" s="107"/>
      <c r="C123" s="107"/>
      <c r="D123">
        <v>2024</v>
      </c>
      <c r="E123">
        <f t="shared" si="16"/>
        <v>0</v>
      </c>
      <c r="F123">
        <v>0</v>
      </c>
      <c r="G123">
        <v>0</v>
      </c>
      <c r="H123">
        <v>0</v>
      </c>
      <c r="I123">
        <v>0</v>
      </c>
      <c r="J123" s="107"/>
      <c r="K123" s="107"/>
    </row>
    <row r="124" spans="1:14" outlineLevel="1" x14ac:dyDescent="0.25">
      <c r="A124" s="107"/>
      <c r="B124" s="107"/>
      <c r="C124" s="107"/>
      <c r="D124">
        <v>2025</v>
      </c>
      <c r="E124">
        <f t="shared" si="16"/>
        <v>0</v>
      </c>
      <c r="F124">
        <v>0</v>
      </c>
      <c r="G124">
        <v>0</v>
      </c>
      <c r="H124">
        <v>0</v>
      </c>
      <c r="I124">
        <v>0</v>
      </c>
      <c r="J124" s="107"/>
      <c r="K124" s="107"/>
    </row>
    <row r="125" spans="1:14" ht="15" customHeight="1" outlineLevel="1" x14ac:dyDescent="0.25">
      <c r="A125" s="107" t="s">
        <v>48</v>
      </c>
      <c r="B125" s="107" t="s">
        <v>513</v>
      </c>
      <c r="C125" s="107" t="s">
        <v>41</v>
      </c>
      <c r="D125" t="s">
        <v>8</v>
      </c>
      <c r="E125">
        <f t="shared" si="16"/>
        <v>11408.85</v>
      </c>
      <c r="F125">
        <f>SUM(F126:F130)</f>
        <v>11408.85</v>
      </c>
      <c r="G125">
        <f>SUM(G126:G130)</f>
        <v>0</v>
      </c>
      <c r="H125">
        <f>SUM(H126:H130)</f>
        <v>0</v>
      </c>
      <c r="I125">
        <f>SUM(I126:I130)</f>
        <v>0</v>
      </c>
      <c r="J125" s="107" t="s">
        <v>50</v>
      </c>
      <c r="K125" s="107" t="s">
        <v>484</v>
      </c>
      <c r="L125" s="107"/>
      <c r="M125" s="107"/>
      <c r="N125" s="107"/>
    </row>
    <row r="126" spans="1:14" outlineLevel="1" x14ac:dyDescent="0.25">
      <c r="A126" s="107"/>
      <c r="B126" s="107"/>
      <c r="C126" s="107"/>
      <c r="D126">
        <v>2021</v>
      </c>
      <c r="E126">
        <f t="shared" si="16"/>
        <v>1631.52</v>
      </c>
      <c r="F126">
        <v>1631.52</v>
      </c>
      <c r="G126">
        <v>0</v>
      </c>
      <c r="H126">
        <v>0</v>
      </c>
      <c r="I126">
        <v>0</v>
      </c>
      <c r="J126" s="107"/>
      <c r="K126" s="107"/>
      <c r="L126" s="107"/>
      <c r="M126" s="107"/>
      <c r="N126" s="107"/>
    </row>
    <row r="127" spans="1:14" outlineLevel="1" x14ac:dyDescent="0.25">
      <c r="A127" s="107"/>
      <c r="B127" s="107"/>
      <c r="C127" s="107"/>
      <c r="D127">
        <v>2022</v>
      </c>
      <c r="E127">
        <f t="shared" si="16"/>
        <v>3459.13</v>
      </c>
      <c r="F127">
        <v>3459.13</v>
      </c>
      <c r="G127">
        <v>0</v>
      </c>
      <c r="H127">
        <v>0</v>
      </c>
      <c r="I127">
        <v>0</v>
      </c>
      <c r="J127" s="107"/>
      <c r="K127" s="107"/>
      <c r="L127" s="107"/>
      <c r="M127" s="107"/>
      <c r="N127" s="107"/>
    </row>
    <row r="128" spans="1:14" outlineLevel="1" x14ac:dyDescent="0.25">
      <c r="A128" s="107"/>
      <c r="B128" s="107"/>
      <c r="C128" s="107"/>
      <c r="D128">
        <v>2023</v>
      </c>
      <c r="E128">
        <f t="shared" si="16"/>
        <v>3159.1</v>
      </c>
      <c r="F128">
        <v>3159.1</v>
      </c>
      <c r="G128">
        <v>0</v>
      </c>
      <c r="H128">
        <v>0</v>
      </c>
      <c r="I128">
        <v>0</v>
      </c>
      <c r="J128" s="107"/>
      <c r="K128" s="107"/>
      <c r="L128" s="107"/>
      <c r="M128" s="107"/>
      <c r="N128" s="107"/>
    </row>
    <row r="129" spans="1:14" outlineLevel="1" x14ac:dyDescent="0.25">
      <c r="A129" s="107"/>
      <c r="B129" s="107"/>
      <c r="C129" s="107"/>
      <c r="D129">
        <v>2024</v>
      </c>
      <c r="E129">
        <f t="shared" si="16"/>
        <v>3159.1</v>
      </c>
      <c r="F129">
        <v>3159.1</v>
      </c>
      <c r="G129">
        <v>0</v>
      </c>
      <c r="H129">
        <v>0</v>
      </c>
      <c r="I129">
        <v>0</v>
      </c>
      <c r="J129" s="107"/>
      <c r="K129" s="107"/>
      <c r="L129" s="107"/>
      <c r="M129" s="107"/>
      <c r="N129" s="107"/>
    </row>
    <row r="130" spans="1:14" outlineLevel="1" x14ac:dyDescent="0.25">
      <c r="A130" s="107"/>
      <c r="B130" s="107"/>
      <c r="C130" s="107"/>
      <c r="D130">
        <v>2025</v>
      </c>
      <c r="E130">
        <f t="shared" si="16"/>
        <v>0</v>
      </c>
      <c r="F130">
        <v>0</v>
      </c>
      <c r="G130">
        <v>0</v>
      </c>
      <c r="H130">
        <v>0</v>
      </c>
      <c r="I130">
        <v>0</v>
      </c>
      <c r="J130" s="107"/>
      <c r="K130" s="107"/>
      <c r="L130" s="107"/>
      <c r="M130" s="107"/>
      <c r="N130" s="107"/>
    </row>
    <row r="131" spans="1:14" ht="18" customHeight="1" outlineLevel="1" x14ac:dyDescent="0.25">
      <c r="A131" s="107" t="s">
        <v>51</v>
      </c>
      <c r="B131" s="107" t="s">
        <v>52</v>
      </c>
      <c r="C131" s="107" t="s">
        <v>41</v>
      </c>
      <c r="D131" t="s">
        <v>8</v>
      </c>
      <c r="E131">
        <f t="shared" si="16"/>
        <v>15995.47</v>
      </c>
      <c r="F131">
        <f>SUM(F132:F136)</f>
        <v>15995.47</v>
      </c>
      <c r="G131">
        <f>SUM(G132:G136)</f>
        <v>0</v>
      </c>
      <c r="H131">
        <f>SUM(H132:H136)</f>
        <v>0</v>
      </c>
      <c r="I131">
        <f>SUM(I132:I136)</f>
        <v>0</v>
      </c>
      <c r="J131" s="107" t="s">
        <v>514</v>
      </c>
      <c r="K131" s="107" t="s">
        <v>515</v>
      </c>
    </row>
    <row r="132" spans="1:14" ht="18" customHeight="1" outlineLevel="1" x14ac:dyDescent="0.25">
      <c r="A132" s="107"/>
      <c r="B132" s="107"/>
      <c r="C132" s="107"/>
      <c r="D132">
        <v>2021</v>
      </c>
      <c r="E132">
        <f t="shared" si="16"/>
        <v>3995.47</v>
      </c>
      <c r="F132">
        <v>3995.47</v>
      </c>
      <c r="G132">
        <v>0</v>
      </c>
      <c r="H132">
        <v>0</v>
      </c>
      <c r="I132">
        <v>0</v>
      </c>
      <c r="J132" s="107"/>
      <c r="K132" s="107"/>
    </row>
    <row r="133" spans="1:14" ht="18" customHeight="1" outlineLevel="1" x14ac:dyDescent="0.25">
      <c r="A133" s="107"/>
      <c r="B133" s="107"/>
      <c r="C133" s="107"/>
      <c r="D133">
        <v>2022</v>
      </c>
      <c r="E133">
        <f t="shared" si="16"/>
        <v>4000</v>
      </c>
      <c r="F133">
        <v>4000</v>
      </c>
      <c r="G133">
        <v>0</v>
      </c>
      <c r="H133">
        <v>0</v>
      </c>
      <c r="I133">
        <v>0</v>
      </c>
      <c r="J133" s="107"/>
      <c r="K133" s="107"/>
    </row>
    <row r="134" spans="1:14" ht="18" customHeight="1" outlineLevel="1" x14ac:dyDescent="0.25">
      <c r="A134" s="107"/>
      <c r="B134" s="107"/>
      <c r="C134" s="107"/>
      <c r="D134">
        <v>2023</v>
      </c>
      <c r="E134">
        <f t="shared" si="16"/>
        <v>4000</v>
      </c>
      <c r="F134">
        <v>4000</v>
      </c>
      <c r="G134">
        <v>0</v>
      </c>
      <c r="H134">
        <v>0</v>
      </c>
      <c r="I134">
        <v>0</v>
      </c>
      <c r="J134" s="107"/>
      <c r="K134" s="107"/>
    </row>
    <row r="135" spans="1:14" ht="18" customHeight="1" outlineLevel="1" x14ac:dyDescent="0.25">
      <c r="A135" s="107"/>
      <c r="B135" s="107"/>
      <c r="C135" s="107"/>
      <c r="D135">
        <v>2024</v>
      </c>
      <c r="E135">
        <f t="shared" si="16"/>
        <v>4000</v>
      </c>
      <c r="F135">
        <v>4000</v>
      </c>
      <c r="G135">
        <v>0</v>
      </c>
      <c r="H135">
        <v>0</v>
      </c>
      <c r="I135">
        <v>0</v>
      </c>
      <c r="J135" s="107"/>
      <c r="K135" s="107"/>
    </row>
    <row r="136" spans="1:14" ht="18" customHeight="1" outlineLevel="1" x14ac:dyDescent="0.25">
      <c r="A136" s="107"/>
      <c r="B136" s="107"/>
      <c r="C136" s="107"/>
      <c r="D136">
        <v>2025</v>
      </c>
      <c r="E136">
        <f t="shared" si="16"/>
        <v>0</v>
      </c>
      <c r="F136">
        <v>0</v>
      </c>
      <c r="G136">
        <v>0</v>
      </c>
      <c r="H136">
        <v>0</v>
      </c>
      <c r="I136">
        <v>0</v>
      </c>
      <c r="J136" s="107"/>
      <c r="K136" s="107"/>
    </row>
    <row r="137" spans="1:14" ht="13.5" customHeight="1" outlineLevel="1" x14ac:dyDescent="0.25">
      <c r="A137" s="107" t="s">
        <v>516</v>
      </c>
      <c r="B137" s="107" t="s">
        <v>45</v>
      </c>
      <c r="C137" s="107" t="s">
        <v>41</v>
      </c>
      <c r="D137" t="s">
        <v>8</v>
      </c>
      <c r="E137">
        <f t="shared" si="16"/>
        <v>20149.476999999999</v>
      </c>
      <c r="F137">
        <f>SUM(F138:F142)</f>
        <v>1208.9680000000001</v>
      </c>
      <c r="G137">
        <f>SUM(G138:G142)</f>
        <v>18940.508999999998</v>
      </c>
      <c r="H137">
        <f>SUM(H138:H142)</f>
        <v>0</v>
      </c>
      <c r="I137">
        <f>SUM(I138:I142)</f>
        <v>0</v>
      </c>
      <c r="J137" s="107" t="s">
        <v>517</v>
      </c>
      <c r="K137" s="107" t="s">
        <v>515</v>
      </c>
    </row>
    <row r="138" spans="1:14" ht="13.5" customHeight="1" outlineLevel="1" x14ac:dyDescent="0.25">
      <c r="A138" s="107"/>
      <c r="B138" s="107"/>
      <c r="C138" s="107"/>
      <c r="D138">
        <v>2021</v>
      </c>
      <c r="E138">
        <f t="shared" si="16"/>
        <v>20149.476999999999</v>
      </c>
      <c r="F138">
        <v>1208.9680000000001</v>
      </c>
      <c r="G138">
        <v>18940.508999999998</v>
      </c>
      <c r="H138">
        <v>0</v>
      </c>
      <c r="I138">
        <v>0</v>
      </c>
      <c r="J138" s="107"/>
      <c r="K138" s="107"/>
    </row>
    <row r="139" spans="1:14" ht="13.5" customHeight="1" outlineLevel="1" x14ac:dyDescent="0.25">
      <c r="A139" s="107"/>
      <c r="B139" s="107"/>
      <c r="C139" s="107"/>
      <c r="D139">
        <v>2022</v>
      </c>
      <c r="E139">
        <f t="shared" si="16"/>
        <v>0</v>
      </c>
      <c r="F139">
        <v>0</v>
      </c>
      <c r="G139">
        <v>0</v>
      </c>
      <c r="H139">
        <v>0</v>
      </c>
      <c r="I139">
        <v>0</v>
      </c>
      <c r="J139" s="107"/>
      <c r="K139" s="107"/>
    </row>
    <row r="140" spans="1:14" ht="13.5" customHeight="1" outlineLevel="1" x14ac:dyDescent="0.25">
      <c r="A140" s="107"/>
      <c r="B140" s="107"/>
      <c r="C140" s="107"/>
      <c r="D140">
        <v>2023</v>
      </c>
      <c r="E140">
        <f t="shared" si="16"/>
        <v>0</v>
      </c>
      <c r="F140">
        <v>0</v>
      </c>
      <c r="G140">
        <v>0</v>
      </c>
      <c r="H140">
        <v>0</v>
      </c>
      <c r="I140">
        <v>0</v>
      </c>
      <c r="J140" s="107"/>
      <c r="K140" s="107"/>
    </row>
    <row r="141" spans="1:14" ht="13.5" customHeight="1" outlineLevel="1" x14ac:dyDescent="0.25">
      <c r="A141" s="107"/>
      <c r="B141" s="107"/>
      <c r="C141" s="107"/>
      <c r="D141">
        <v>2024</v>
      </c>
      <c r="E141">
        <f t="shared" si="16"/>
        <v>0</v>
      </c>
      <c r="F141">
        <v>0</v>
      </c>
      <c r="G141">
        <v>0</v>
      </c>
      <c r="H141">
        <v>0</v>
      </c>
      <c r="I141">
        <v>0</v>
      </c>
      <c r="J141" s="107"/>
      <c r="K141" s="107"/>
    </row>
    <row r="142" spans="1:14" ht="13.5" customHeight="1" outlineLevel="1" x14ac:dyDescent="0.25">
      <c r="A142" s="107"/>
      <c r="B142" s="107"/>
      <c r="C142" s="107"/>
      <c r="D142">
        <v>2025</v>
      </c>
      <c r="E142">
        <f t="shared" si="16"/>
        <v>0</v>
      </c>
      <c r="F142">
        <v>0</v>
      </c>
      <c r="G142">
        <v>0</v>
      </c>
      <c r="H142">
        <v>0</v>
      </c>
      <c r="I142">
        <v>0</v>
      </c>
      <c r="J142" s="107"/>
      <c r="K142" s="107"/>
    </row>
    <row r="143" spans="1:14" ht="15" customHeight="1" x14ac:dyDescent="0.25">
      <c r="A143" s="107" t="s">
        <v>54</v>
      </c>
      <c r="B143" s="107" t="s">
        <v>55</v>
      </c>
      <c r="C143" s="107" t="s">
        <v>14</v>
      </c>
      <c r="D143" t="s">
        <v>8</v>
      </c>
      <c r="E143">
        <f t="shared" si="16"/>
        <v>4337780.5302099995</v>
      </c>
      <c r="F143">
        <f>SUM(F144:F148)</f>
        <v>4193711.79</v>
      </c>
      <c r="G143">
        <f>SUM(G144:G148)</f>
        <v>78311.8</v>
      </c>
      <c r="H143">
        <f>SUM(H144:H148)</f>
        <v>65756.940210000001</v>
      </c>
      <c r="I143">
        <f>SUM(I144:I148)</f>
        <v>0</v>
      </c>
      <c r="J143" s="107"/>
      <c r="K143" s="107" t="s">
        <v>510</v>
      </c>
      <c r="L143" s="107"/>
      <c r="M143" s="107"/>
      <c r="N143" s="107"/>
    </row>
    <row r="144" spans="1:14" x14ac:dyDescent="0.25">
      <c r="A144" s="107"/>
      <c r="B144" s="107"/>
      <c r="C144" s="107"/>
      <c r="D144">
        <v>2021</v>
      </c>
      <c r="E144">
        <f t="shared" si="16"/>
        <v>891879.98959000001</v>
      </c>
      <c r="F144">
        <f t="shared" ref="F144:I148" si="18">F150+F246+F264</f>
        <v>854371.18938</v>
      </c>
      <c r="G144">
        <f t="shared" si="18"/>
        <v>24191.1</v>
      </c>
      <c r="H144">
        <f t="shared" si="18"/>
        <v>13317.700210000001</v>
      </c>
      <c r="I144">
        <f t="shared" si="18"/>
        <v>0</v>
      </c>
      <c r="J144" s="107"/>
      <c r="K144" s="107"/>
      <c r="L144" s="107"/>
      <c r="M144" s="107"/>
      <c r="N144" s="107"/>
    </row>
    <row r="145" spans="1:14" x14ac:dyDescent="0.25">
      <c r="A145" s="107"/>
      <c r="B145" s="107"/>
      <c r="C145" s="107"/>
      <c r="D145">
        <v>2022</v>
      </c>
      <c r="E145">
        <f t="shared" si="16"/>
        <v>989738.83282000013</v>
      </c>
      <c r="F145">
        <f t="shared" si="18"/>
        <v>953407.85282000003</v>
      </c>
      <c r="G145">
        <f t="shared" si="18"/>
        <v>16553.800000000003</v>
      </c>
      <c r="H145">
        <f t="shared" si="18"/>
        <v>19777.18</v>
      </c>
      <c r="I145">
        <f t="shared" si="18"/>
        <v>0</v>
      </c>
      <c r="J145" s="107"/>
      <c r="K145" s="107"/>
      <c r="L145" s="107"/>
      <c r="M145" s="107"/>
      <c r="N145" s="107"/>
    </row>
    <row r="146" spans="1:14" x14ac:dyDescent="0.25">
      <c r="A146" s="107"/>
      <c r="B146" s="107"/>
      <c r="C146" s="107"/>
      <c r="D146">
        <v>2023</v>
      </c>
      <c r="E146">
        <f t="shared" si="16"/>
        <v>850847.95707</v>
      </c>
      <c r="F146">
        <f t="shared" si="18"/>
        <v>817166.42706999998</v>
      </c>
      <c r="G146">
        <f t="shared" si="18"/>
        <v>17350.5</v>
      </c>
      <c r="H146">
        <f t="shared" si="18"/>
        <v>16331.03</v>
      </c>
      <c r="I146">
        <f t="shared" si="18"/>
        <v>0</v>
      </c>
      <c r="J146" s="107"/>
      <c r="K146" s="107"/>
      <c r="L146" s="107"/>
      <c r="M146" s="107"/>
      <c r="N146" s="107"/>
    </row>
    <row r="147" spans="1:14" x14ac:dyDescent="0.25">
      <c r="A147" s="107"/>
      <c r="B147" s="107"/>
      <c r="C147" s="107"/>
      <c r="D147">
        <v>2024</v>
      </c>
      <c r="E147">
        <f t="shared" si="16"/>
        <v>868784.29772999999</v>
      </c>
      <c r="F147">
        <f t="shared" si="18"/>
        <v>832236.86772999994</v>
      </c>
      <c r="G147">
        <f t="shared" si="18"/>
        <v>20216.400000000001</v>
      </c>
      <c r="H147">
        <f t="shared" si="18"/>
        <v>16331.03</v>
      </c>
      <c r="I147">
        <f t="shared" si="18"/>
        <v>0</v>
      </c>
      <c r="J147" s="107"/>
      <c r="K147" s="107"/>
      <c r="L147" s="107"/>
      <c r="M147" s="107"/>
      <c r="N147" s="107"/>
    </row>
    <row r="148" spans="1:14" x14ac:dyDescent="0.25">
      <c r="A148" s="107"/>
      <c r="B148" s="107"/>
      <c r="C148" s="107"/>
      <c r="D148">
        <v>2025</v>
      </c>
      <c r="E148">
        <f t="shared" si="16"/>
        <v>736529.45299999998</v>
      </c>
      <c r="F148">
        <f t="shared" si="18"/>
        <v>736529.45299999998</v>
      </c>
      <c r="G148">
        <f t="shared" si="18"/>
        <v>0</v>
      </c>
      <c r="H148">
        <f t="shared" si="18"/>
        <v>0</v>
      </c>
      <c r="I148">
        <f t="shared" si="18"/>
        <v>0</v>
      </c>
      <c r="J148" s="107"/>
      <c r="K148" s="107"/>
      <c r="L148" s="107"/>
      <c r="M148" s="107"/>
      <c r="N148" s="107"/>
    </row>
    <row r="149" spans="1:14" ht="13.5" customHeight="1" outlineLevel="1" x14ac:dyDescent="0.25">
      <c r="A149" s="107" t="s">
        <v>56</v>
      </c>
      <c r="B149" s="107" t="s">
        <v>518</v>
      </c>
      <c r="C149" s="107" t="s">
        <v>14</v>
      </c>
      <c r="D149" t="s">
        <v>8</v>
      </c>
      <c r="E149">
        <f t="shared" si="16"/>
        <v>4009781.5746999998</v>
      </c>
      <c r="F149">
        <f>SUM(F150:F154)</f>
        <v>4009781.5746999998</v>
      </c>
      <c r="G149">
        <f>SUM(G150:G154)</f>
        <v>0</v>
      </c>
      <c r="H149">
        <f>SUM(H150:H154)</f>
        <v>0</v>
      </c>
      <c r="I149">
        <f>SUM(I150:I154)</f>
        <v>0</v>
      </c>
      <c r="J149" s="107" t="s">
        <v>519</v>
      </c>
      <c r="K149" s="107" t="s">
        <v>486</v>
      </c>
      <c r="L149" s="107"/>
      <c r="M149" s="107"/>
      <c r="N149" s="107"/>
    </row>
    <row r="150" spans="1:14" ht="13.5" customHeight="1" outlineLevel="1" x14ac:dyDescent="0.25">
      <c r="A150" s="107"/>
      <c r="B150" s="107"/>
      <c r="C150" s="107"/>
      <c r="D150">
        <v>2021</v>
      </c>
      <c r="E150">
        <f t="shared" si="16"/>
        <v>809865.57669999998</v>
      </c>
      <c r="F150">
        <f>F156+F162+F168+F174+F180+F186++F192+F198+F204+F210+F222+F228</f>
        <v>809865.57669999998</v>
      </c>
      <c r="G150">
        <f t="shared" ref="F150:I154" si="19">G156+G162+G168+G174+G180+G186++G192+G198+G204</f>
        <v>0</v>
      </c>
      <c r="H150">
        <f t="shared" si="19"/>
        <v>0</v>
      </c>
      <c r="I150">
        <f t="shared" si="19"/>
        <v>0</v>
      </c>
      <c r="J150" s="107"/>
      <c r="K150" s="107"/>
      <c r="L150" s="107"/>
      <c r="M150" s="107"/>
      <c r="N150" s="107"/>
    </row>
    <row r="151" spans="1:14" ht="13.5" customHeight="1" outlineLevel="1" x14ac:dyDescent="0.25">
      <c r="A151" s="107"/>
      <c r="B151" s="107"/>
      <c r="C151" s="107"/>
      <c r="D151">
        <v>2022</v>
      </c>
      <c r="E151">
        <f t="shared" si="16"/>
        <v>902852.90100000007</v>
      </c>
      <c r="F151">
        <f t="shared" ref="F151:F153" si="20">F157+F163+F169+F175+F181+F193+F205+F187+F199+F217+F211+F235+F241</f>
        <v>902852.90100000007</v>
      </c>
      <c r="G151">
        <f t="shared" si="19"/>
        <v>0</v>
      </c>
      <c r="H151">
        <f t="shared" si="19"/>
        <v>0</v>
      </c>
      <c r="I151">
        <f t="shared" si="19"/>
        <v>0</v>
      </c>
      <c r="J151" s="107"/>
      <c r="K151" s="107"/>
      <c r="L151" s="107"/>
      <c r="M151" s="107"/>
      <c r="N151" s="107"/>
    </row>
    <row r="152" spans="1:14" ht="13.5" customHeight="1" outlineLevel="1" x14ac:dyDescent="0.25">
      <c r="A152" s="107"/>
      <c r="B152" s="107"/>
      <c r="C152" s="107"/>
      <c r="D152">
        <v>2023</v>
      </c>
      <c r="E152">
        <f t="shared" si="16"/>
        <v>772960.62199999997</v>
      </c>
      <c r="F152">
        <f t="shared" si="20"/>
        <v>772960.62199999997</v>
      </c>
      <c r="G152">
        <f t="shared" si="19"/>
        <v>0</v>
      </c>
      <c r="H152">
        <f t="shared" si="19"/>
        <v>0</v>
      </c>
      <c r="I152">
        <f t="shared" si="19"/>
        <v>0</v>
      </c>
      <c r="J152" s="107"/>
      <c r="K152" s="107"/>
      <c r="L152" s="107"/>
      <c r="M152" s="107"/>
      <c r="N152" s="107"/>
    </row>
    <row r="153" spans="1:14" ht="13.5" customHeight="1" outlineLevel="1" x14ac:dyDescent="0.25">
      <c r="A153" s="107"/>
      <c r="B153" s="107"/>
      <c r="C153" s="107"/>
      <c r="D153">
        <v>2024</v>
      </c>
      <c r="E153">
        <f t="shared" si="16"/>
        <v>787573.022</v>
      </c>
      <c r="F153">
        <f t="shared" si="20"/>
        <v>787573.022</v>
      </c>
      <c r="G153">
        <f t="shared" si="19"/>
        <v>0</v>
      </c>
      <c r="H153">
        <f t="shared" si="19"/>
        <v>0</v>
      </c>
      <c r="I153">
        <f t="shared" si="19"/>
        <v>0</v>
      </c>
      <c r="J153" s="107"/>
      <c r="K153" s="107"/>
      <c r="L153" s="107"/>
      <c r="M153" s="107"/>
      <c r="N153" s="107"/>
    </row>
    <row r="154" spans="1:14" ht="13.5" customHeight="1" outlineLevel="1" x14ac:dyDescent="0.25">
      <c r="A154" s="107"/>
      <c r="B154" s="107"/>
      <c r="C154" s="107"/>
      <c r="D154">
        <v>2025</v>
      </c>
      <c r="E154">
        <f t="shared" si="16"/>
        <v>736529.45299999998</v>
      </c>
      <c r="F154">
        <f t="shared" si="19"/>
        <v>736529.45299999998</v>
      </c>
      <c r="G154">
        <f t="shared" si="19"/>
        <v>0</v>
      </c>
      <c r="H154">
        <f t="shared" si="19"/>
        <v>0</v>
      </c>
      <c r="I154">
        <f>I160+I166+I172+I178+I184+I190++I196+I202+I208</f>
        <v>0</v>
      </c>
      <c r="J154" s="107"/>
      <c r="K154" s="107"/>
      <c r="L154" s="107"/>
      <c r="M154" s="107"/>
      <c r="N154" s="107"/>
    </row>
    <row r="155" spans="1:14" ht="13.5" customHeight="1" outlineLevel="1" x14ac:dyDescent="0.25">
      <c r="A155" s="107" t="s">
        <v>60</v>
      </c>
      <c r="B155" s="107" t="s">
        <v>835</v>
      </c>
      <c r="C155" s="107" t="s">
        <v>14</v>
      </c>
      <c r="D155" t="s">
        <v>8</v>
      </c>
      <c r="E155">
        <f t="shared" si="16"/>
        <v>12335.5857</v>
      </c>
      <c r="F155">
        <f>SUM(F156:F160)</f>
        <v>12335.5857</v>
      </c>
      <c r="G155">
        <f>SUM(G156:G160)</f>
        <v>0</v>
      </c>
      <c r="H155">
        <f>SUM(H156:H160)</f>
        <v>0</v>
      </c>
      <c r="I155">
        <f>SUM(I156:I160)</f>
        <v>0</v>
      </c>
      <c r="J155" s="107" t="s">
        <v>62</v>
      </c>
      <c r="K155" s="107" t="s">
        <v>484</v>
      </c>
      <c r="L155" s="107"/>
      <c r="M155" s="107"/>
      <c r="N155" s="107"/>
    </row>
    <row r="156" spans="1:14" ht="13.5" customHeight="1" outlineLevel="1" x14ac:dyDescent="0.25">
      <c r="A156" s="107"/>
      <c r="B156" s="107"/>
      <c r="C156" s="107"/>
      <c r="D156">
        <v>2021</v>
      </c>
      <c r="E156">
        <f t="shared" si="16"/>
        <v>2106.6577000000002</v>
      </c>
      <c r="F156">
        <f>2106.6577</f>
        <v>2106.6577000000002</v>
      </c>
      <c r="G156">
        <v>0</v>
      </c>
      <c r="H156">
        <v>0</v>
      </c>
      <c r="I156">
        <v>0</v>
      </c>
      <c r="J156" s="107"/>
      <c r="K156" s="107"/>
      <c r="L156" s="107"/>
      <c r="M156" s="107"/>
      <c r="N156" s="107"/>
    </row>
    <row r="157" spans="1:14" ht="13.5" customHeight="1" outlineLevel="1" x14ac:dyDescent="0.25">
      <c r="A157" s="107"/>
      <c r="B157" s="107"/>
      <c r="C157" s="107"/>
      <c r="D157">
        <v>2022</v>
      </c>
      <c r="E157">
        <f t="shared" si="16"/>
        <v>5708.9570000000003</v>
      </c>
      <c r="F157">
        <v>5708.9570000000003</v>
      </c>
      <c r="G157">
        <v>0</v>
      </c>
      <c r="H157">
        <v>0</v>
      </c>
      <c r="I157">
        <v>0</v>
      </c>
      <c r="J157" s="107"/>
      <c r="K157" s="107"/>
      <c r="L157" s="107"/>
      <c r="M157" s="107"/>
      <c r="N157" s="107"/>
    </row>
    <row r="158" spans="1:14" ht="13.5" customHeight="1" outlineLevel="1" x14ac:dyDescent="0.25">
      <c r="A158" s="107"/>
      <c r="B158" s="107"/>
      <c r="C158" s="107"/>
      <c r="D158">
        <v>2023</v>
      </c>
      <c r="E158">
        <f t="shared" si="16"/>
        <v>1206.6569999999999</v>
      </c>
      <c r="F158">
        <v>1206.6569999999999</v>
      </c>
      <c r="G158">
        <v>0</v>
      </c>
      <c r="H158">
        <v>0</v>
      </c>
      <c r="I158">
        <v>0</v>
      </c>
      <c r="J158" s="107"/>
      <c r="K158" s="107"/>
      <c r="L158" s="107"/>
      <c r="M158" s="107"/>
      <c r="N158" s="107"/>
    </row>
    <row r="159" spans="1:14" ht="13.5" customHeight="1" outlineLevel="1" x14ac:dyDescent="0.25">
      <c r="A159" s="107"/>
      <c r="B159" s="107"/>
      <c r="C159" s="107"/>
      <c r="D159">
        <v>2024</v>
      </c>
      <c r="E159">
        <f t="shared" si="16"/>
        <v>1206.6569999999999</v>
      </c>
      <c r="F159">
        <v>1206.6569999999999</v>
      </c>
      <c r="G159">
        <v>0</v>
      </c>
      <c r="H159">
        <v>0</v>
      </c>
      <c r="I159">
        <v>0</v>
      </c>
      <c r="J159" s="107"/>
      <c r="K159" s="107"/>
      <c r="L159" s="107"/>
      <c r="M159" s="107"/>
      <c r="N159" s="107"/>
    </row>
    <row r="160" spans="1:14" ht="13.5" customHeight="1" outlineLevel="1" x14ac:dyDescent="0.25">
      <c r="A160" s="107"/>
      <c r="B160" s="107"/>
      <c r="C160" s="107"/>
      <c r="D160">
        <v>2025</v>
      </c>
      <c r="E160">
        <f t="shared" si="16"/>
        <v>2106.6570000000002</v>
      </c>
      <c r="F160">
        <v>2106.6570000000002</v>
      </c>
      <c r="G160">
        <f>+G166+G172+G178+G202</f>
        <v>0</v>
      </c>
      <c r="H160">
        <v>0</v>
      </c>
      <c r="I160">
        <v>0</v>
      </c>
      <c r="J160" s="107"/>
      <c r="K160" s="107"/>
      <c r="L160" s="107"/>
      <c r="M160" s="107"/>
      <c r="N160" s="107"/>
    </row>
    <row r="161" spans="1:11" ht="13.5" customHeight="1" outlineLevel="1" x14ac:dyDescent="0.25">
      <c r="A161" s="107" t="s">
        <v>63</v>
      </c>
      <c r="B161" s="107" t="s">
        <v>520</v>
      </c>
      <c r="C161" s="107" t="s">
        <v>14</v>
      </c>
      <c r="D161" t="s">
        <v>8</v>
      </c>
      <c r="E161">
        <f t="shared" si="16"/>
        <v>4792</v>
      </c>
      <c r="F161">
        <f>SUM(F162:F166)</f>
        <v>4792</v>
      </c>
      <c r="G161">
        <f>SUM(G162:G166)</f>
        <v>0</v>
      </c>
      <c r="H161">
        <f>SUM(H162:H166)</f>
        <v>0</v>
      </c>
      <c r="I161">
        <f>SUM(I162:I166)</f>
        <v>0</v>
      </c>
      <c r="J161" s="107" t="s">
        <v>521</v>
      </c>
      <c r="K161" s="107" t="s">
        <v>484</v>
      </c>
    </row>
    <row r="162" spans="1:11" ht="13.5" customHeight="1" outlineLevel="1" x14ac:dyDescent="0.25">
      <c r="A162" s="107"/>
      <c r="B162" s="107"/>
      <c r="C162" s="107"/>
      <c r="D162">
        <v>2021</v>
      </c>
      <c r="E162">
        <f t="shared" si="16"/>
        <v>456</v>
      </c>
      <c r="F162">
        <v>456</v>
      </c>
      <c r="G162">
        <v>0</v>
      </c>
      <c r="H162">
        <v>0</v>
      </c>
      <c r="I162">
        <v>0</v>
      </c>
      <c r="J162" s="107"/>
      <c r="K162" s="107"/>
    </row>
    <row r="163" spans="1:11" ht="13.5" customHeight="1" outlineLevel="1" x14ac:dyDescent="0.25">
      <c r="A163" s="107"/>
      <c r="B163" s="107"/>
      <c r="C163" s="107"/>
      <c r="D163">
        <v>2022</v>
      </c>
      <c r="E163">
        <f t="shared" si="16"/>
        <v>1084</v>
      </c>
      <c r="F163">
        <v>1084</v>
      </c>
      <c r="G163">
        <v>0</v>
      </c>
      <c r="H163">
        <v>0</v>
      </c>
      <c r="I163">
        <v>0</v>
      </c>
      <c r="J163" s="107"/>
      <c r="K163" s="107"/>
    </row>
    <row r="164" spans="1:11" ht="13.5" customHeight="1" outlineLevel="1" x14ac:dyDescent="0.25">
      <c r="A164" s="107"/>
      <c r="B164" s="107"/>
      <c r="C164" s="107"/>
      <c r="D164">
        <v>2023</v>
      </c>
      <c r="E164">
        <f t="shared" si="16"/>
        <v>1084</v>
      </c>
      <c r="F164">
        <v>1084</v>
      </c>
      <c r="G164">
        <v>0</v>
      </c>
      <c r="H164">
        <v>0</v>
      </c>
      <c r="I164">
        <v>0</v>
      </c>
      <c r="J164" s="107"/>
      <c r="K164" s="107"/>
    </row>
    <row r="165" spans="1:11" ht="13.5" customHeight="1" outlineLevel="1" x14ac:dyDescent="0.25">
      <c r="A165" s="107"/>
      <c r="B165" s="107"/>
      <c r="C165" s="107"/>
      <c r="D165">
        <v>2024</v>
      </c>
      <c r="E165">
        <f t="shared" si="16"/>
        <v>1084</v>
      </c>
      <c r="F165">
        <v>1084</v>
      </c>
      <c r="G165">
        <v>0</v>
      </c>
      <c r="H165">
        <v>0</v>
      </c>
      <c r="I165">
        <v>0</v>
      </c>
      <c r="J165" s="107"/>
      <c r="K165" s="107"/>
    </row>
    <row r="166" spans="1:11" ht="13.5" customHeight="1" outlineLevel="1" x14ac:dyDescent="0.25">
      <c r="A166" s="107"/>
      <c r="B166" s="107"/>
      <c r="C166" s="107"/>
      <c r="D166">
        <v>2025</v>
      </c>
      <c r="E166">
        <f t="shared" si="16"/>
        <v>1084</v>
      </c>
      <c r="F166">
        <v>1084</v>
      </c>
      <c r="G166">
        <v>0</v>
      </c>
      <c r="H166">
        <v>0</v>
      </c>
      <c r="I166">
        <v>0</v>
      </c>
      <c r="J166" s="107"/>
      <c r="K166" s="107"/>
    </row>
    <row r="167" spans="1:11" ht="15.75" customHeight="1" outlineLevel="1" x14ac:dyDescent="0.25">
      <c r="A167" s="107" t="s">
        <v>66</v>
      </c>
      <c r="B167" s="107" t="s">
        <v>67</v>
      </c>
      <c r="C167" s="107" t="s">
        <v>14</v>
      </c>
      <c r="D167" t="s">
        <v>8</v>
      </c>
      <c r="E167">
        <f t="shared" si="16"/>
        <v>156.04999999999998</v>
      </c>
      <c r="F167">
        <f>SUM(F168:F172)</f>
        <v>156.04999999999998</v>
      </c>
      <c r="G167">
        <f>SUM(G168:G172)</f>
        <v>0</v>
      </c>
      <c r="H167">
        <f>SUM(H168:H172)</f>
        <v>0</v>
      </c>
      <c r="I167">
        <f>SUM(I168:I172)</f>
        <v>0</v>
      </c>
      <c r="J167" s="107" t="s">
        <v>522</v>
      </c>
      <c r="K167" s="107" t="s">
        <v>836</v>
      </c>
    </row>
    <row r="168" spans="1:11" ht="15.75" customHeight="1" outlineLevel="1" x14ac:dyDescent="0.25">
      <c r="A168" s="107"/>
      <c r="B168" s="107"/>
      <c r="C168" s="107"/>
      <c r="D168">
        <v>2021</v>
      </c>
      <c r="E168">
        <f t="shared" si="16"/>
        <v>27.77</v>
      </c>
      <c r="F168">
        <f>27770/1000</f>
        <v>27.77</v>
      </c>
      <c r="G168">
        <v>0</v>
      </c>
      <c r="H168">
        <v>0</v>
      </c>
      <c r="I168">
        <v>0</v>
      </c>
      <c r="J168" s="107"/>
      <c r="K168" s="107"/>
    </row>
    <row r="169" spans="1:11" ht="15.75" customHeight="1" outlineLevel="1" x14ac:dyDescent="0.25">
      <c r="A169" s="107"/>
      <c r="B169" s="107"/>
      <c r="C169" s="107"/>
      <c r="D169">
        <v>2022</v>
      </c>
      <c r="E169">
        <f t="shared" si="16"/>
        <v>32.07</v>
      </c>
      <c r="F169">
        <v>32.07</v>
      </c>
      <c r="G169">
        <v>0</v>
      </c>
      <c r="H169">
        <v>0</v>
      </c>
      <c r="I169">
        <v>0</v>
      </c>
      <c r="J169" s="107"/>
      <c r="K169" s="107"/>
    </row>
    <row r="170" spans="1:11" ht="15.75" customHeight="1" outlineLevel="1" x14ac:dyDescent="0.25">
      <c r="A170" s="107"/>
      <c r="B170" s="107"/>
      <c r="C170" s="107"/>
      <c r="D170">
        <v>2023</v>
      </c>
      <c r="E170">
        <f t="shared" si="16"/>
        <v>32.07</v>
      </c>
      <c r="F170">
        <v>32.07</v>
      </c>
      <c r="G170">
        <v>0</v>
      </c>
      <c r="H170">
        <v>0</v>
      </c>
      <c r="I170">
        <v>0</v>
      </c>
      <c r="J170" s="107"/>
      <c r="K170" s="107"/>
    </row>
    <row r="171" spans="1:11" ht="15.75" customHeight="1" outlineLevel="1" x14ac:dyDescent="0.25">
      <c r="A171" s="107"/>
      <c r="B171" s="107"/>
      <c r="C171" s="107"/>
      <c r="D171">
        <v>2024</v>
      </c>
      <c r="E171">
        <f t="shared" si="16"/>
        <v>32.07</v>
      </c>
      <c r="F171">
        <v>32.07</v>
      </c>
      <c r="G171">
        <v>0</v>
      </c>
      <c r="H171">
        <v>0</v>
      </c>
      <c r="I171">
        <v>0</v>
      </c>
      <c r="J171" s="107"/>
      <c r="K171" s="107"/>
    </row>
    <row r="172" spans="1:11" ht="15.75" customHeight="1" outlineLevel="1" x14ac:dyDescent="0.25">
      <c r="A172" s="107"/>
      <c r="B172" s="107"/>
      <c r="C172" s="107"/>
      <c r="D172">
        <v>2025</v>
      </c>
      <c r="E172">
        <f t="shared" si="16"/>
        <v>32.07</v>
      </c>
      <c r="F172">
        <v>32.07</v>
      </c>
      <c r="G172">
        <v>0</v>
      </c>
      <c r="H172">
        <v>0</v>
      </c>
      <c r="I172">
        <v>0</v>
      </c>
      <c r="J172" s="107"/>
      <c r="K172" s="107"/>
    </row>
    <row r="173" spans="1:11" ht="13.5" customHeight="1" outlineLevel="1" x14ac:dyDescent="0.25">
      <c r="A173" s="107" t="s">
        <v>70</v>
      </c>
      <c r="B173" s="107" t="s">
        <v>71</v>
      </c>
      <c r="C173" s="107" t="s">
        <v>14</v>
      </c>
      <c r="D173" t="s">
        <v>8</v>
      </c>
      <c r="E173">
        <f t="shared" si="16"/>
        <v>3853755.0260000001</v>
      </c>
      <c r="F173">
        <f>SUM(F174:F178)</f>
        <v>3853755.0260000001</v>
      </c>
      <c r="G173">
        <f>SUM(G174:G178)</f>
        <v>0</v>
      </c>
      <c r="H173">
        <f>SUM(H174:H178)</f>
        <v>0</v>
      </c>
      <c r="I173">
        <f>SUM(I174:I178)</f>
        <v>0</v>
      </c>
      <c r="J173" s="107" t="s">
        <v>72</v>
      </c>
      <c r="K173" s="107" t="s">
        <v>836</v>
      </c>
    </row>
    <row r="174" spans="1:11" ht="13.5" customHeight="1" outlineLevel="1" x14ac:dyDescent="0.25">
      <c r="A174" s="107"/>
      <c r="B174" s="107"/>
      <c r="C174" s="107"/>
      <c r="D174">
        <v>2021</v>
      </c>
      <c r="E174">
        <f t="shared" si="16"/>
        <v>766375.9</v>
      </c>
      <c r="F174">
        <v>766375.9</v>
      </c>
      <c r="G174">
        <v>0</v>
      </c>
      <c r="H174">
        <v>0</v>
      </c>
      <c r="I174">
        <v>0</v>
      </c>
      <c r="J174" s="107"/>
      <c r="K174" s="107"/>
    </row>
    <row r="175" spans="1:11" ht="13.5" customHeight="1" outlineLevel="1" x14ac:dyDescent="0.25">
      <c r="A175" s="107"/>
      <c r="B175" s="107"/>
      <c r="C175" s="107"/>
      <c r="D175">
        <v>2022</v>
      </c>
      <c r="E175">
        <f t="shared" si="16"/>
        <v>837955.3</v>
      </c>
      <c r="F175">
        <v>837955.3</v>
      </c>
      <c r="G175">
        <v>0</v>
      </c>
      <c r="H175">
        <v>0</v>
      </c>
      <c r="I175">
        <v>0</v>
      </c>
      <c r="J175" s="107"/>
      <c r="K175" s="107"/>
    </row>
    <row r="176" spans="1:11" ht="13.5" customHeight="1" outlineLevel="1" x14ac:dyDescent="0.25">
      <c r="A176" s="107"/>
      <c r="B176" s="107"/>
      <c r="C176" s="107"/>
      <c r="D176">
        <v>2023</v>
      </c>
      <c r="E176">
        <f t="shared" si="16"/>
        <v>752533</v>
      </c>
      <c r="F176">
        <v>752533</v>
      </c>
      <c r="G176">
        <v>0</v>
      </c>
      <c r="H176">
        <v>0</v>
      </c>
      <c r="I176">
        <v>0</v>
      </c>
      <c r="J176" s="107"/>
      <c r="K176" s="107"/>
    </row>
    <row r="177" spans="1:11" ht="13.5" customHeight="1" outlineLevel="1" x14ac:dyDescent="0.25">
      <c r="A177" s="107"/>
      <c r="B177" s="107"/>
      <c r="C177" s="107"/>
      <c r="D177">
        <v>2024</v>
      </c>
      <c r="E177">
        <f t="shared" ref="E177:E240" si="21">SUM(F177:I177)</f>
        <v>767145.4</v>
      </c>
      <c r="F177">
        <v>767145.4</v>
      </c>
      <c r="G177">
        <v>0</v>
      </c>
      <c r="H177">
        <v>0</v>
      </c>
      <c r="I177">
        <v>0</v>
      </c>
      <c r="J177" s="107"/>
      <c r="K177" s="107"/>
    </row>
    <row r="178" spans="1:11" ht="13.5" customHeight="1" outlineLevel="1" x14ac:dyDescent="0.25">
      <c r="A178" s="107"/>
      <c r="B178" s="107"/>
      <c r="C178" s="107"/>
      <c r="D178">
        <v>2025</v>
      </c>
      <c r="E178">
        <f t="shared" si="21"/>
        <v>729745.42599999998</v>
      </c>
      <c r="F178">
        <v>729745.42599999998</v>
      </c>
      <c r="G178">
        <v>0</v>
      </c>
      <c r="H178">
        <v>0</v>
      </c>
      <c r="I178">
        <v>0</v>
      </c>
      <c r="J178" s="107"/>
      <c r="K178" s="107"/>
    </row>
    <row r="179" spans="1:11" ht="13.5" customHeight="1" outlineLevel="1" x14ac:dyDescent="0.25">
      <c r="A179" s="107" t="s">
        <v>74</v>
      </c>
      <c r="B179" s="107" t="s">
        <v>75</v>
      </c>
      <c r="C179" s="107" t="s">
        <v>14</v>
      </c>
      <c r="D179" t="s">
        <v>8</v>
      </c>
      <c r="E179">
        <f t="shared" si="21"/>
        <v>18056.482</v>
      </c>
      <c r="F179">
        <f>SUM(F180:F184)</f>
        <v>18056.482</v>
      </c>
      <c r="G179">
        <f>SUM(G180:G184)</f>
        <v>0</v>
      </c>
      <c r="H179">
        <f>SUM(H180:H184)</f>
        <v>0</v>
      </c>
      <c r="I179">
        <f>SUM(I180:I184)</f>
        <v>0</v>
      </c>
      <c r="J179" s="107" t="s">
        <v>523</v>
      </c>
      <c r="K179" s="107" t="s">
        <v>836</v>
      </c>
    </row>
    <row r="180" spans="1:11" ht="13.5" customHeight="1" outlineLevel="1" x14ac:dyDescent="0.25">
      <c r="A180" s="107"/>
      <c r="B180" s="107"/>
      <c r="C180" s="107"/>
      <c r="D180">
        <v>2021</v>
      </c>
      <c r="E180">
        <f t="shared" si="21"/>
        <v>3811.2820000000002</v>
      </c>
      <c r="F180">
        <v>3811.2820000000002</v>
      </c>
      <c r="G180">
        <v>0</v>
      </c>
      <c r="H180">
        <v>0</v>
      </c>
      <c r="I180">
        <v>0</v>
      </c>
      <c r="J180" s="107"/>
      <c r="K180" s="107"/>
    </row>
    <row r="181" spans="1:11" ht="13.5" customHeight="1" outlineLevel="1" x14ac:dyDescent="0.25">
      <c r="A181" s="107"/>
      <c r="B181" s="107"/>
      <c r="C181" s="107"/>
      <c r="D181">
        <v>2022</v>
      </c>
      <c r="E181">
        <f t="shared" si="21"/>
        <v>3561.3</v>
      </c>
      <c r="F181">
        <v>3561.3</v>
      </c>
      <c r="G181">
        <v>0</v>
      </c>
      <c r="H181">
        <v>0</v>
      </c>
      <c r="I181">
        <v>0</v>
      </c>
      <c r="J181" s="107"/>
      <c r="K181" s="107"/>
    </row>
    <row r="182" spans="1:11" ht="13.5" customHeight="1" outlineLevel="1" x14ac:dyDescent="0.25">
      <c r="A182" s="107"/>
      <c r="B182" s="107"/>
      <c r="C182" s="107"/>
      <c r="D182">
        <v>2023</v>
      </c>
      <c r="E182">
        <f t="shared" si="21"/>
        <v>3561.3</v>
      </c>
      <c r="F182">
        <v>3561.3</v>
      </c>
      <c r="G182">
        <v>0</v>
      </c>
      <c r="H182">
        <v>0</v>
      </c>
      <c r="I182">
        <v>0</v>
      </c>
      <c r="J182" s="107"/>
      <c r="K182" s="107"/>
    </row>
    <row r="183" spans="1:11" ht="13.5" customHeight="1" outlineLevel="1" x14ac:dyDescent="0.25">
      <c r="A183" s="107"/>
      <c r="B183" s="107"/>
      <c r="C183" s="107"/>
      <c r="D183">
        <v>2024</v>
      </c>
      <c r="E183">
        <f t="shared" si="21"/>
        <v>3561.3</v>
      </c>
      <c r="F183">
        <v>3561.3</v>
      </c>
      <c r="G183">
        <v>0</v>
      </c>
      <c r="H183">
        <v>0</v>
      </c>
      <c r="I183">
        <v>0</v>
      </c>
      <c r="J183" s="107"/>
      <c r="K183" s="107"/>
    </row>
    <row r="184" spans="1:11" ht="19.5" customHeight="1" outlineLevel="1" x14ac:dyDescent="0.25">
      <c r="A184" s="107"/>
      <c r="B184" s="107"/>
      <c r="C184" s="107"/>
      <c r="D184">
        <v>2025</v>
      </c>
      <c r="E184">
        <f t="shared" si="21"/>
        <v>3561.3</v>
      </c>
      <c r="F184">
        <v>3561.3</v>
      </c>
      <c r="G184">
        <v>0</v>
      </c>
      <c r="H184">
        <v>0</v>
      </c>
      <c r="I184">
        <v>0</v>
      </c>
      <c r="J184" s="107"/>
      <c r="K184" s="107"/>
    </row>
    <row r="185" spans="1:11" ht="14.25" customHeight="1" outlineLevel="1" x14ac:dyDescent="0.25">
      <c r="A185" s="107" t="s">
        <v>524</v>
      </c>
      <c r="B185" s="107" t="s">
        <v>525</v>
      </c>
      <c r="C185" s="107" t="s">
        <v>14</v>
      </c>
      <c r="D185" t="s">
        <v>8</v>
      </c>
      <c r="E185">
        <f t="shared" si="21"/>
        <v>26988.080000000002</v>
      </c>
      <c r="F185">
        <f>SUM(F186:F190)</f>
        <v>26988.080000000002</v>
      </c>
      <c r="G185">
        <f>SUM(G186:G190)</f>
        <v>0</v>
      </c>
      <c r="H185">
        <f>SUM(H186:H190)</f>
        <v>0</v>
      </c>
      <c r="I185">
        <f>SUM(I186:I190)</f>
        <v>0</v>
      </c>
      <c r="J185" s="107" t="s">
        <v>526</v>
      </c>
      <c r="K185" s="107" t="s">
        <v>837</v>
      </c>
    </row>
    <row r="186" spans="1:11" ht="13.5" customHeight="1" outlineLevel="1" x14ac:dyDescent="0.25">
      <c r="A186" s="107"/>
      <c r="B186" s="107"/>
      <c r="C186" s="107"/>
      <c r="D186">
        <v>2021</v>
      </c>
      <c r="E186">
        <f t="shared" si="21"/>
        <v>26988.080000000002</v>
      </c>
      <c r="F186">
        <v>26988.080000000002</v>
      </c>
      <c r="G186">
        <v>0</v>
      </c>
      <c r="H186">
        <v>0</v>
      </c>
      <c r="I186">
        <v>0</v>
      </c>
      <c r="J186" s="107"/>
      <c r="K186" s="107"/>
    </row>
    <row r="187" spans="1:11" ht="13.5" customHeight="1" outlineLevel="1" x14ac:dyDescent="0.25">
      <c r="A187" s="107"/>
      <c r="B187" s="107"/>
      <c r="C187" s="107"/>
      <c r="D187">
        <v>2022</v>
      </c>
      <c r="E187">
        <f t="shared" si="21"/>
        <v>0</v>
      </c>
      <c r="F187">
        <v>0</v>
      </c>
      <c r="G187">
        <v>0</v>
      </c>
      <c r="H187">
        <v>0</v>
      </c>
      <c r="I187">
        <v>0</v>
      </c>
      <c r="J187" s="107"/>
      <c r="K187" s="107"/>
    </row>
    <row r="188" spans="1:11" ht="13.5" customHeight="1" outlineLevel="1" x14ac:dyDescent="0.25">
      <c r="A188" s="107"/>
      <c r="B188" s="107"/>
      <c r="C188" s="107"/>
      <c r="D188">
        <v>2023</v>
      </c>
      <c r="E188">
        <f t="shared" si="21"/>
        <v>0</v>
      </c>
      <c r="F188">
        <v>0</v>
      </c>
      <c r="G188">
        <v>0</v>
      </c>
      <c r="H188">
        <v>0</v>
      </c>
      <c r="I188">
        <v>0</v>
      </c>
      <c r="J188" s="107"/>
      <c r="K188" s="107"/>
    </row>
    <row r="189" spans="1:11" ht="13.5" customHeight="1" outlineLevel="1" x14ac:dyDescent="0.25">
      <c r="A189" s="107"/>
      <c r="B189" s="107"/>
      <c r="C189" s="107"/>
      <c r="D189">
        <v>2024</v>
      </c>
      <c r="E189">
        <f t="shared" si="21"/>
        <v>0</v>
      </c>
      <c r="F189">
        <v>0</v>
      </c>
      <c r="G189">
        <v>0</v>
      </c>
      <c r="H189">
        <v>0</v>
      </c>
      <c r="I189">
        <v>0</v>
      </c>
      <c r="J189" s="107"/>
      <c r="K189" s="107"/>
    </row>
    <row r="190" spans="1:11" ht="19.5" customHeight="1" outlineLevel="1" x14ac:dyDescent="0.25">
      <c r="A190" s="107"/>
      <c r="B190" s="107"/>
      <c r="C190" s="107"/>
      <c r="D190">
        <v>2025</v>
      </c>
      <c r="E190">
        <f t="shared" si="21"/>
        <v>0</v>
      </c>
      <c r="F190">
        <v>0</v>
      </c>
      <c r="G190">
        <v>0</v>
      </c>
      <c r="H190">
        <v>0</v>
      </c>
      <c r="I190">
        <v>0</v>
      </c>
      <c r="J190" s="107"/>
      <c r="K190" s="107"/>
    </row>
    <row r="191" spans="1:11" ht="14.25" customHeight="1" outlineLevel="1" x14ac:dyDescent="0.25">
      <c r="A191" s="107" t="s">
        <v>528</v>
      </c>
      <c r="B191" s="107" t="s">
        <v>529</v>
      </c>
      <c r="C191" s="107" t="s">
        <v>14</v>
      </c>
      <c r="D191" t="s">
        <v>8</v>
      </c>
      <c r="E191">
        <f t="shared" si="21"/>
        <v>0</v>
      </c>
      <c r="F191">
        <f>SUM(F192:F196)</f>
        <v>0</v>
      </c>
      <c r="G191">
        <f>SUM(G192:G196)</f>
        <v>0</v>
      </c>
      <c r="H191">
        <f>SUM(H192:H196)</f>
        <v>0</v>
      </c>
      <c r="I191">
        <f>SUM(I192:I196)</f>
        <v>0</v>
      </c>
      <c r="J191" s="107" t="s">
        <v>530</v>
      </c>
      <c r="K191" s="107" t="s">
        <v>531</v>
      </c>
    </row>
    <row r="192" spans="1:11" ht="13.5" customHeight="1" outlineLevel="1" x14ac:dyDescent="0.25">
      <c r="A192" s="107"/>
      <c r="B192" s="107"/>
      <c r="C192" s="107"/>
      <c r="D192">
        <v>2021</v>
      </c>
      <c r="E192">
        <f t="shared" si="21"/>
        <v>0</v>
      </c>
      <c r="F192">
        <v>0</v>
      </c>
      <c r="G192">
        <v>0</v>
      </c>
      <c r="H192">
        <v>0</v>
      </c>
      <c r="I192">
        <v>0</v>
      </c>
      <c r="J192" s="107"/>
      <c r="K192" s="107"/>
    </row>
    <row r="193" spans="1:11" ht="13.5" customHeight="1" outlineLevel="1" x14ac:dyDescent="0.25">
      <c r="A193" s="107"/>
      <c r="B193" s="107"/>
      <c r="C193" s="107"/>
      <c r="D193">
        <v>2022</v>
      </c>
      <c r="E193">
        <f t="shared" si="21"/>
        <v>0</v>
      </c>
      <c r="F193">
        <v>0</v>
      </c>
      <c r="G193">
        <v>0</v>
      </c>
      <c r="H193">
        <v>0</v>
      </c>
      <c r="I193">
        <v>0</v>
      </c>
      <c r="J193" s="107"/>
      <c r="K193" s="107"/>
    </row>
    <row r="194" spans="1:11" ht="13.5" customHeight="1" outlineLevel="1" x14ac:dyDescent="0.25">
      <c r="A194" s="107"/>
      <c r="B194" s="107"/>
      <c r="C194" s="107"/>
      <c r="D194">
        <v>2023</v>
      </c>
      <c r="E194">
        <f t="shared" si="21"/>
        <v>0</v>
      </c>
      <c r="F194">
        <v>0</v>
      </c>
      <c r="G194">
        <v>0</v>
      </c>
      <c r="H194">
        <v>0</v>
      </c>
      <c r="I194">
        <v>0</v>
      </c>
      <c r="J194" s="107"/>
      <c r="K194" s="107"/>
    </row>
    <row r="195" spans="1:11" ht="13.5" customHeight="1" outlineLevel="1" x14ac:dyDescent="0.25">
      <c r="A195" s="107"/>
      <c r="B195" s="107"/>
      <c r="C195" s="107"/>
      <c r="D195">
        <v>2024</v>
      </c>
      <c r="E195">
        <f t="shared" si="21"/>
        <v>0</v>
      </c>
      <c r="F195">
        <v>0</v>
      </c>
      <c r="G195">
        <v>0</v>
      </c>
      <c r="H195">
        <v>0</v>
      </c>
      <c r="I195">
        <v>0</v>
      </c>
      <c r="J195" s="107"/>
      <c r="K195" s="107"/>
    </row>
    <row r="196" spans="1:11" ht="19.5" customHeight="1" outlineLevel="1" x14ac:dyDescent="0.25">
      <c r="A196" s="107"/>
      <c r="B196" s="107"/>
      <c r="C196" s="107"/>
      <c r="D196">
        <v>2025</v>
      </c>
      <c r="E196">
        <f t="shared" si="21"/>
        <v>0</v>
      </c>
      <c r="F196">
        <v>0</v>
      </c>
      <c r="G196">
        <v>0</v>
      </c>
      <c r="H196">
        <v>0</v>
      </c>
      <c r="I196">
        <v>0</v>
      </c>
      <c r="J196" s="107"/>
      <c r="K196" s="107"/>
    </row>
    <row r="197" spans="1:11" ht="14.25" customHeight="1" outlineLevel="1" x14ac:dyDescent="0.25">
      <c r="A197" s="107" t="s">
        <v>532</v>
      </c>
      <c r="B197" s="107" t="s">
        <v>533</v>
      </c>
      <c r="C197" s="107" t="s">
        <v>14</v>
      </c>
      <c r="D197" t="s">
        <v>8</v>
      </c>
      <c r="E197">
        <f t="shared" si="21"/>
        <v>150.887</v>
      </c>
      <c r="F197">
        <f>SUM(F198:F202)</f>
        <v>150.887</v>
      </c>
      <c r="G197">
        <f>SUM(G198:G202)</f>
        <v>0</v>
      </c>
      <c r="H197">
        <f>SUM(H198:H202)</f>
        <v>0</v>
      </c>
      <c r="I197">
        <f>SUM(I198:I202)</f>
        <v>0</v>
      </c>
      <c r="J197" s="107" t="s">
        <v>534</v>
      </c>
      <c r="K197" s="107" t="s">
        <v>92</v>
      </c>
    </row>
    <row r="198" spans="1:11" ht="13.5" customHeight="1" outlineLevel="1" x14ac:dyDescent="0.25">
      <c r="A198" s="107"/>
      <c r="B198" s="107"/>
      <c r="C198" s="107"/>
      <c r="D198">
        <v>2021</v>
      </c>
      <c r="E198">
        <f t="shared" si="21"/>
        <v>150.887</v>
      </c>
      <c r="F198">
        <v>150.887</v>
      </c>
      <c r="G198">
        <v>0</v>
      </c>
      <c r="H198">
        <v>0</v>
      </c>
      <c r="I198">
        <v>0</v>
      </c>
      <c r="J198" s="107"/>
      <c r="K198" s="107"/>
    </row>
    <row r="199" spans="1:11" ht="13.5" customHeight="1" outlineLevel="1" x14ac:dyDescent="0.25">
      <c r="A199" s="107"/>
      <c r="B199" s="107"/>
      <c r="C199" s="107"/>
      <c r="D199">
        <v>2022</v>
      </c>
      <c r="E199">
        <f t="shared" si="21"/>
        <v>0</v>
      </c>
      <c r="F199">
        <v>0</v>
      </c>
      <c r="G199">
        <v>0</v>
      </c>
      <c r="H199">
        <v>0</v>
      </c>
      <c r="I199">
        <v>0</v>
      </c>
      <c r="J199" s="107"/>
      <c r="K199" s="107"/>
    </row>
    <row r="200" spans="1:11" ht="13.5" customHeight="1" outlineLevel="1" x14ac:dyDescent="0.25">
      <c r="A200" s="107"/>
      <c r="B200" s="107"/>
      <c r="C200" s="107"/>
      <c r="D200">
        <v>2023</v>
      </c>
      <c r="E200">
        <f t="shared" si="21"/>
        <v>0</v>
      </c>
      <c r="F200">
        <v>0</v>
      </c>
      <c r="G200">
        <v>0</v>
      </c>
      <c r="H200">
        <v>0</v>
      </c>
      <c r="I200">
        <v>0</v>
      </c>
      <c r="J200" s="107"/>
      <c r="K200" s="107"/>
    </row>
    <row r="201" spans="1:11" ht="13.5" customHeight="1" outlineLevel="1" x14ac:dyDescent="0.25">
      <c r="A201" s="107"/>
      <c r="B201" s="107"/>
      <c r="C201" s="107"/>
      <c r="D201">
        <v>2024</v>
      </c>
      <c r="E201">
        <f t="shared" si="21"/>
        <v>0</v>
      </c>
      <c r="F201">
        <v>0</v>
      </c>
      <c r="G201">
        <v>0</v>
      </c>
      <c r="H201">
        <v>0</v>
      </c>
      <c r="I201">
        <v>0</v>
      </c>
      <c r="J201" s="107"/>
      <c r="K201" s="107"/>
    </row>
    <row r="202" spans="1:11" ht="19.5" customHeight="1" outlineLevel="1" x14ac:dyDescent="0.25">
      <c r="A202" s="107"/>
      <c r="B202" s="107"/>
      <c r="C202" s="107"/>
      <c r="D202">
        <v>2025</v>
      </c>
      <c r="E202">
        <f t="shared" si="21"/>
        <v>0</v>
      </c>
      <c r="F202">
        <v>0</v>
      </c>
      <c r="G202">
        <v>0</v>
      </c>
      <c r="H202">
        <v>0</v>
      </c>
      <c r="I202">
        <v>0</v>
      </c>
      <c r="J202" s="107"/>
      <c r="K202" s="107"/>
    </row>
    <row r="203" spans="1:11" ht="16.5" customHeight="1" outlineLevel="1" x14ac:dyDescent="0.25">
      <c r="A203" s="107" t="s">
        <v>535</v>
      </c>
      <c r="B203" s="107" t="s">
        <v>536</v>
      </c>
      <c r="C203" s="107" t="s">
        <v>14</v>
      </c>
      <c r="D203" t="s">
        <v>8</v>
      </c>
      <c r="E203">
        <f t="shared" si="21"/>
        <v>595</v>
      </c>
      <c r="F203">
        <f>SUM(F204:F208)</f>
        <v>595</v>
      </c>
      <c r="G203">
        <f>SUM(G204:G208)</f>
        <v>0</v>
      </c>
      <c r="H203">
        <f>SUM(H204:H208)</f>
        <v>0</v>
      </c>
      <c r="I203">
        <f>SUM(I204:I208)</f>
        <v>0</v>
      </c>
      <c r="J203" s="107" t="s">
        <v>838</v>
      </c>
      <c r="K203" s="107" t="s">
        <v>531</v>
      </c>
    </row>
    <row r="204" spans="1:11" ht="16.5" customHeight="1" outlineLevel="1" x14ac:dyDescent="0.25">
      <c r="A204" s="107"/>
      <c r="B204" s="107"/>
      <c r="C204" s="107"/>
      <c r="D204">
        <v>2021</v>
      </c>
      <c r="E204">
        <f t="shared" si="21"/>
        <v>595</v>
      </c>
      <c r="F204">
        <v>595</v>
      </c>
      <c r="G204">
        <v>0</v>
      </c>
      <c r="H204">
        <v>0</v>
      </c>
      <c r="I204">
        <v>0</v>
      </c>
      <c r="J204" s="107"/>
      <c r="K204" s="107"/>
    </row>
    <row r="205" spans="1:11" ht="16.5" customHeight="1" outlineLevel="1" x14ac:dyDescent="0.25">
      <c r="A205" s="107"/>
      <c r="B205" s="107"/>
      <c r="C205" s="107"/>
      <c r="D205">
        <v>2022</v>
      </c>
      <c r="E205">
        <f t="shared" si="21"/>
        <v>0</v>
      </c>
      <c r="F205">
        <v>0</v>
      </c>
      <c r="G205">
        <v>0</v>
      </c>
      <c r="H205">
        <v>0</v>
      </c>
      <c r="I205">
        <v>0</v>
      </c>
      <c r="J205" s="107"/>
      <c r="K205" s="107"/>
    </row>
    <row r="206" spans="1:11" ht="16.5" customHeight="1" outlineLevel="1" x14ac:dyDescent="0.25">
      <c r="A206" s="107"/>
      <c r="B206" s="107"/>
      <c r="C206" s="107"/>
      <c r="D206">
        <v>2023</v>
      </c>
      <c r="E206">
        <f t="shared" si="21"/>
        <v>0</v>
      </c>
      <c r="F206">
        <v>0</v>
      </c>
      <c r="G206">
        <v>0</v>
      </c>
      <c r="H206">
        <v>0</v>
      </c>
      <c r="I206">
        <v>0</v>
      </c>
      <c r="J206" s="107"/>
      <c r="K206" s="107"/>
    </row>
    <row r="207" spans="1:11" ht="16.5" customHeight="1" outlineLevel="1" x14ac:dyDescent="0.25">
      <c r="A207" s="107"/>
      <c r="B207" s="107"/>
      <c r="C207" s="107"/>
      <c r="D207">
        <v>2024</v>
      </c>
      <c r="E207">
        <f t="shared" si="21"/>
        <v>0</v>
      </c>
      <c r="F207">
        <v>0</v>
      </c>
      <c r="G207">
        <v>0</v>
      </c>
      <c r="H207">
        <v>0</v>
      </c>
      <c r="I207">
        <v>0</v>
      </c>
      <c r="J207" s="107"/>
      <c r="K207" s="107"/>
    </row>
    <row r="208" spans="1:11" ht="16.5" customHeight="1" outlineLevel="1" x14ac:dyDescent="0.25">
      <c r="A208" s="107"/>
      <c r="B208" s="107"/>
      <c r="C208" s="107"/>
      <c r="D208">
        <v>2025</v>
      </c>
      <c r="E208">
        <f t="shared" si="21"/>
        <v>0</v>
      </c>
      <c r="F208">
        <v>0</v>
      </c>
      <c r="G208">
        <v>0</v>
      </c>
      <c r="H208">
        <v>0</v>
      </c>
      <c r="I208">
        <v>0</v>
      </c>
      <c r="J208" s="107"/>
      <c r="K208" s="107"/>
    </row>
    <row r="209" spans="1:11" ht="16.5" customHeight="1" outlineLevel="1" x14ac:dyDescent="0.25">
      <c r="A209" s="107" t="s">
        <v>609</v>
      </c>
      <c r="B209" s="107" t="s">
        <v>610</v>
      </c>
      <c r="C209" s="107" t="s">
        <v>14</v>
      </c>
      <c r="D209" t="s">
        <v>8</v>
      </c>
      <c r="E209">
        <f t="shared" si="21"/>
        <v>8626</v>
      </c>
      <c r="F209">
        <f>SUM(F210:F214)</f>
        <v>8626</v>
      </c>
      <c r="G209">
        <f>SUM(G210:G214)</f>
        <v>0</v>
      </c>
      <c r="H209">
        <f>SUM(H210:H214)</f>
        <v>0</v>
      </c>
      <c r="I209">
        <f>SUM(I210:I214)</f>
        <v>0</v>
      </c>
      <c r="J209" s="107" t="s">
        <v>611</v>
      </c>
      <c r="K209" s="107" t="s">
        <v>563</v>
      </c>
    </row>
    <row r="210" spans="1:11" ht="16.5" customHeight="1" outlineLevel="1" x14ac:dyDescent="0.25">
      <c r="A210" s="107"/>
      <c r="B210" s="107"/>
      <c r="C210" s="107"/>
      <c r="D210">
        <v>2021</v>
      </c>
      <c r="E210">
        <f t="shared" si="21"/>
        <v>8626</v>
      </c>
      <c r="F210">
        <v>8626</v>
      </c>
      <c r="G210">
        <v>0</v>
      </c>
      <c r="H210">
        <v>0</v>
      </c>
      <c r="I210">
        <v>0</v>
      </c>
      <c r="J210" s="107"/>
      <c r="K210" s="107"/>
    </row>
    <row r="211" spans="1:11" ht="16.5" customHeight="1" outlineLevel="1" x14ac:dyDescent="0.25">
      <c r="A211" s="107"/>
      <c r="B211" s="107"/>
      <c r="C211" s="107"/>
      <c r="D211">
        <v>2022</v>
      </c>
      <c r="E211">
        <f t="shared" si="21"/>
        <v>0</v>
      </c>
      <c r="F211">
        <v>0</v>
      </c>
      <c r="G211">
        <v>0</v>
      </c>
      <c r="H211">
        <v>0</v>
      </c>
      <c r="I211">
        <v>0</v>
      </c>
      <c r="J211" s="107"/>
      <c r="K211" s="107"/>
    </row>
    <row r="212" spans="1:11" ht="16.5" customHeight="1" outlineLevel="1" x14ac:dyDescent="0.25">
      <c r="A212" s="107"/>
      <c r="B212" s="107"/>
      <c r="C212" s="107"/>
      <c r="D212">
        <v>2023</v>
      </c>
      <c r="E212">
        <f t="shared" si="21"/>
        <v>0</v>
      </c>
      <c r="F212">
        <v>0</v>
      </c>
      <c r="G212">
        <v>0</v>
      </c>
      <c r="H212">
        <v>0</v>
      </c>
      <c r="I212">
        <v>0</v>
      </c>
      <c r="J212" s="107"/>
      <c r="K212" s="107"/>
    </row>
    <row r="213" spans="1:11" ht="16.5" customHeight="1" outlineLevel="1" x14ac:dyDescent="0.25">
      <c r="A213" s="107"/>
      <c r="B213" s="107"/>
      <c r="C213" s="107"/>
      <c r="D213">
        <v>2024</v>
      </c>
      <c r="E213">
        <f t="shared" si="21"/>
        <v>0</v>
      </c>
      <c r="F213">
        <v>0</v>
      </c>
      <c r="G213">
        <v>0</v>
      </c>
      <c r="H213">
        <v>0</v>
      </c>
      <c r="I213">
        <v>0</v>
      </c>
      <c r="J213" s="107"/>
      <c r="K213" s="107"/>
    </row>
    <row r="214" spans="1:11" ht="16.5" customHeight="1" outlineLevel="1" x14ac:dyDescent="0.25">
      <c r="A214" s="107"/>
      <c r="B214" s="107"/>
      <c r="C214" s="107"/>
      <c r="D214">
        <v>2025</v>
      </c>
      <c r="E214">
        <f t="shared" si="21"/>
        <v>0</v>
      </c>
      <c r="F214">
        <v>0</v>
      </c>
      <c r="G214">
        <v>0</v>
      </c>
      <c r="H214">
        <v>0</v>
      </c>
      <c r="I214">
        <v>0</v>
      </c>
      <c r="J214" s="107"/>
      <c r="K214" s="107"/>
    </row>
    <row r="215" spans="1:11" ht="16.5" customHeight="1" outlineLevel="1" x14ac:dyDescent="0.25">
      <c r="A215" s="107" t="s">
        <v>839</v>
      </c>
      <c r="B215" s="107" t="s">
        <v>840</v>
      </c>
      <c r="C215" s="107" t="s">
        <v>14</v>
      </c>
      <c r="D215" t="s">
        <v>8</v>
      </c>
      <c r="E215">
        <f t="shared" si="21"/>
        <v>22000</v>
      </c>
      <c r="F215">
        <f>SUM(F216:F220)</f>
        <v>22000</v>
      </c>
      <c r="G215">
        <f>SUM(G216:G220)</f>
        <v>0</v>
      </c>
      <c r="H215">
        <f>SUM(H216:H220)</f>
        <v>0</v>
      </c>
      <c r="I215">
        <f>SUM(I216:I220)</f>
        <v>0</v>
      </c>
      <c r="J215" s="107" t="s">
        <v>841</v>
      </c>
      <c r="K215" s="107" t="s">
        <v>842</v>
      </c>
    </row>
    <row r="216" spans="1:11" ht="16.5" customHeight="1" outlineLevel="1" x14ac:dyDescent="0.25">
      <c r="A216" s="107"/>
      <c r="B216" s="107"/>
      <c r="C216" s="107"/>
      <c r="D216">
        <v>2021</v>
      </c>
      <c r="E216">
        <f t="shared" si="21"/>
        <v>0</v>
      </c>
      <c r="F216">
        <v>0</v>
      </c>
      <c r="G216">
        <v>0</v>
      </c>
      <c r="H216">
        <v>0</v>
      </c>
      <c r="I216">
        <v>0</v>
      </c>
      <c r="J216" s="107"/>
      <c r="K216" s="107"/>
    </row>
    <row r="217" spans="1:11" ht="16.5" customHeight="1" outlineLevel="1" x14ac:dyDescent="0.25">
      <c r="A217" s="107"/>
      <c r="B217" s="107"/>
      <c r="C217" s="107"/>
      <c r="D217">
        <v>2022</v>
      </c>
      <c r="E217">
        <f t="shared" si="21"/>
        <v>22000</v>
      </c>
      <c r="F217">
        <v>22000</v>
      </c>
      <c r="G217">
        <v>0</v>
      </c>
      <c r="H217">
        <v>0</v>
      </c>
      <c r="I217">
        <v>0</v>
      </c>
      <c r="J217" s="107"/>
      <c r="K217" s="107"/>
    </row>
    <row r="218" spans="1:11" ht="16.5" customHeight="1" outlineLevel="1" x14ac:dyDescent="0.25">
      <c r="A218" s="107"/>
      <c r="B218" s="107"/>
      <c r="C218" s="107"/>
      <c r="D218">
        <v>2023</v>
      </c>
      <c r="E218">
        <f t="shared" si="21"/>
        <v>0</v>
      </c>
      <c r="F218">
        <v>0</v>
      </c>
      <c r="G218">
        <v>0</v>
      </c>
      <c r="H218">
        <v>0</v>
      </c>
      <c r="I218">
        <v>0</v>
      </c>
      <c r="J218" s="107"/>
      <c r="K218" s="107"/>
    </row>
    <row r="219" spans="1:11" ht="16.5" customHeight="1" outlineLevel="1" x14ac:dyDescent="0.25">
      <c r="A219" s="107"/>
      <c r="B219" s="107"/>
      <c r="C219" s="107"/>
      <c r="D219">
        <v>2024</v>
      </c>
      <c r="E219">
        <f t="shared" si="21"/>
        <v>0</v>
      </c>
      <c r="F219">
        <v>0</v>
      </c>
      <c r="G219">
        <v>0</v>
      </c>
      <c r="H219">
        <v>0</v>
      </c>
      <c r="I219">
        <v>0</v>
      </c>
      <c r="J219" s="107"/>
      <c r="K219" s="107"/>
    </row>
    <row r="220" spans="1:11" ht="16.5" customHeight="1" outlineLevel="1" x14ac:dyDescent="0.25">
      <c r="A220" s="107"/>
      <c r="B220" s="107"/>
      <c r="C220" s="107"/>
      <c r="D220">
        <v>2025</v>
      </c>
      <c r="E220">
        <f t="shared" si="21"/>
        <v>0</v>
      </c>
      <c r="F220">
        <v>0</v>
      </c>
      <c r="G220">
        <v>0</v>
      </c>
      <c r="H220">
        <v>0</v>
      </c>
      <c r="I220">
        <v>0</v>
      </c>
      <c r="J220" s="107"/>
      <c r="K220" s="107"/>
    </row>
    <row r="221" spans="1:11" ht="16.5" customHeight="1" outlineLevel="1" x14ac:dyDescent="0.25">
      <c r="A221" s="107" t="s">
        <v>843</v>
      </c>
      <c r="B221" s="107" t="s">
        <v>844</v>
      </c>
      <c r="C221" s="107" t="s">
        <v>14</v>
      </c>
      <c r="D221" t="s">
        <v>8</v>
      </c>
      <c r="E221">
        <f t="shared" si="21"/>
        <v>534</v>
      </c>
      <c r="F221">
        <f>SUM(F222:F226)</f>
        <v>534</v>
      </c>
      <c r="G221">
        <f>SUM(G222:G226)</f>
        <v>0</v>
      </c>
      <c r="H221">
        <f>SUM(H222:H226)</f>
        <v>0</v>
      </c>
      <c r="I221">
        <f>SUM(I222:I226)</f>
        <v>0</v>
      </c>
      <c r="J221" s="107" t="s">
        <v>845</v>
      </c>
      <c r="K221" s="107" t="s">
        <v>531</v>
      </c>
    </row>
    <row r="222" spans="1:11" ht="16.5" customHeight="1" outlineLevel="1" x14ac:dyDescent="0.25">
      <c r="A222" s="107"/>
      <c r="B222" s="107"/>
      <c r="C222" s="107"/>
      <c r="D222">
        <v>2021</v>
      </c>
      <c r="E222">
        <f t="shared" si="21"/>
        <v>534</v>
      </c>
      <c r="F222">
        <v>534</v>
      </c>
      <c r="G222">
        <v>0</v>
      </c>
      <c r="H222">
        <v>0</v>
      </c>
      <c r="I222">
        <v>0</v>
      </c>
      <c r="J222" s="107"/>
      <c r="K222" s="107"/>
    </row>
    <row r="223" spans="1:11" ht="16.5" customHeight="1" outlineLevel="1" x14ac:dyDescent="0.25">
      <c r="A223" s="107"/>
      <c r="B223" s="107"/>
      <c r="C223" s="107"/>
      <c r="D223">
        <v>2022</v>
      </c>
      <c r="E223">
        <f t="shared" si="21"/>
        <v>0</v>
      </c>
      <c r="F223">
        <v>0</v>
      </c>
      <c r="G223">
        <v>0</v>
      </c>
      <c r="H223">
        <v>0</v>
      </c>
      <c r="I223">
        <v>0</v>
      </c>
      <c r="J223" s="107"/>
      <c r="K223" s="107"/>
    </row>
    <row r="224" spans="1:11" ht="16.5" customHeight="1" outlineLevel="1" x14ac:dyDescent="0.25">
      <c r="A224" s="107"/>
      <c r="B224" s="107"/>
      <c r="C224" s="107"/>
      <c r="D224">
        <v>2023</v>
      </c>
      <c r="E224">
        <f t="shared" si="21"/>
        <v>0</v>
      </c>
      <c r="F224">
        <v>0</v>
      </c>
      <c r="G224">
        <v>0</v>
      </c>
      <c r="H224">
        <v>0</v>
      </c>
      <c r="I224">
        <v>0</v>
      </c>
      <c r="J224" s="107"/>
      <c r="K224" s="107"/>
    </row>
    <row r="225" spans="1:11" ht="16.5" customHeight="1" outlineLevel="1" x14ac:dyDescent="0.25">
      <c r="A225" s="107"/>
      <c r="B225" s="107"/>
      <c r="C225" s="107"/>
      <c r="D225">
        <v>2024</v>
      </c>
      <c r="E225">
        <f t="shared" si="21"/>
        <v>0</v>
      </c>
      <c r="F225">
        <v>0</v>
      </c>
      <c r="G225">
        <v>0</v>
      </c>
      <c r="H225">
        <v>0</v>
      </c>
      <c r="I225">
        <v>0</v>
      </c>
      <c r="J225" s="107"/>
      <c r="K225" s="107"/>
    </row>
    <row r="226" spans="1:11" ht="16.5" customHeight="1" outlineLevel="1" x14ac:dyDescent="0.25">
      <c r="A226" s="107"/>
      <c r="B226" s="107"/>
      <c r="C226" s="107"/>
      <c r="D226">
        <v>2025</v>
      </c>
      <c r="E226">
        <f t="shared" si="21"/>
        <v>0</v>
      </c>
      <c r="F226">
        <v>0</v>
      </c>
      <c r="G226">
        <v>0</v>
      </c>
      <c r="H226">
        <v>0</v>
      </c>
      <c r="I226">
        <v>0</v>
      </c>
      <c r="J226" s="107"/>
      <c r="K226" s="107"/>
    </row>
    <row r="227" spans="1:11" ht="16.5" customHeight="1" outlineLevel="1" x14ac:dyDescent="0.25">
      <c r="A227" s="107" t="s">
        <v>846</v>
      </c>
      <c r="B227" s="107" t="s">
        <v>847</v>
      </c>
      <c r="C227" s="107" t="s">
        <v>14</v>
      </c>
      <c r="D227" t="s">
        <v>8</v>
      </c>
      <c r="E227">
        <f t="shared" si="21"/>
        <v>194</v>
      </c>
      <c r="F227">
        <f>SUM(F228:F232)</f>
        <v>194</v>
      </c>
      <c r="G227">
        <f>SUM(G228:G232)</f>
        <v>0</v>
      </c>
      <c r="H227">
        <f>SUM(H228:H232)</f>
        <v>0</v>
      </c>
      <c r="I227">
        <f>SUM(I228:I232)</f>
        <v>0</v>
      </c>
      <c r="J227" s="107" t="s">
        <v>848</v>
      </c>
      <c r="K227" s="107" t="s">
        <v>484</v>
      </c>
    </row>
    <row r="228" spans="1:11" ht="16.5" customHeight="1" outlineLevel="1" x14ac:dyDescent="0.25">
      <c r="A228" s="107"/>
      <c r="B228" s="107"/>
      <c r="C228" s="107"/>
      <c r="D228">
        <v>2021</v>
      </c>
      <c r="E228">
        <f t="shared" si="21"/>
        <v>194</v>
      </c>
      <c r="F228">
        <v>194</v>
      </c>
      <c r="G228">
        <v>0</v>
      </c>
      <c r="H228">
        <v>0</v>
      </c>
      <c r="I228">
        <v>0</v>
      </c>
      <c r="J228" s="107"/>
      <c r="K228" s="107"/>
    </row>
    <row r="229" spans="1:11" ht="16.5" customHeight="1" outlineLevel="1" x14ac:dyDescent="0.25">
      <c r="A229" s="107"/>
      <c r="B229" s="107"/>
      <c r="C229" s="107"/>
      <c r="D229">
        <v>2022</v>
      </c>
      <c r="E229">
        <f t="shared" si="21"/>
        <v>0</v>
      </c>
      <c r="F229">
        <v>0</v>
      </c>
      <c r="G229">
        <v>0</v>
      </c>
      <c r="H229">
        <v>0</v>
      </c>
      <c r="I229">
        <v>0</v>
      </c>
      <c r="J229" s="107"/>
      <c r="K229" s="107"/>
    </row>
    <row r="230" spans="1:11" ht="16.5" customHeight="1" outlineLevel="1" x14ac:dyDescent="0.25">
      <c r="A230" s="107"/>
      <c r="B230" s="107"/>
      <c r="C230" s="107"/>
      <c r="D230">
        <v>2023</v>
      </c>
      <c r="E230">
        <f t="shared" si="21"/>
        <v>0</v>
      </c>
      <c r="F230">
        <v>0</v>
      </c>
      <c r="G230">
        <v>0</v>
      </c>
      <c r="H230">
        <v>0</v>
      </c>
      <c r="I230">
        <v>0</v>
      </c>
      <c r="J230" s="107"/>
      <c r="K230" s="107"/>
    </row>
    <row r="231" spans="1:11" ht="16.5" customHeight="1" outlineLevel="1" x14ac:dyDescent="0.25">
      <c r="A231" s="107"/>
      <c r="B231" s="107"/>
      <c r="C231" s="107"/>
      <c r="D231">
        <v>2024</v>
      </c>
      <c r="E231">
        <f t="shared" si="21"/>
        <v>0</v>
      </c>
      <c r="F231">
        <v>0</v>
      </c>
      <c r="G231">
        <v>0</v>
      </c>
      <c r="H231">
        <v>0</v>
      </c>
      <c r="I231">
        <v>0</v>
      </c>
      <c r="J231" s="107"/>
      <c r="K231" s="107"/>
    </row>
    <row r="232" spans="1:11" ht="16.5" customHeight="1" outlineLevel="1" x14ac:dyDescent="0.25">
      <c r="A232" s="107"/>
      <c r="B232" s="107"/>
      <c r="C232" s="107"/>
      <c r="D232">
        <v>2025</v>
      </c>
      <c r="E232">
        <f t="shared" si="21"/>
        <v>0</v>
      </c>
      <c r="F232">
        <v>0</v>
      </c>
      <c r="G232">
        <v>0</v>
      </c>
      <c r="H232">
        <v>0</v>
      </c>
      <c r="I232">
        <v>0</v>
      </c>
      <c r="J232" s="107"/>
      <c r="K232" s="107"/>
    </row>
    <row r="233" spans="1:11" ht="16.5" customHeight="1" outlineLevel="1" x14ac:dyDescent="0.25">
      <c r="A233" s="107" t="s">
        <v>849</v>
      </c>
      <c r="B233" s="107" t="s">
        <v>850</v>
      </c>
      <c r="C233" s="107" t="s">
        <v>14</v>
      </c>
      <c r="D233" t="s">
        <v>8</v>
      </c>
      <c r="E233">
        <f t="shared" si="21"/>
        <v>2700</v>
      </c>
      <c r="F233">
        <f>SUM(F234:F238)</f>
        <v>2700</v>
      </c>
      <c r="G233">
        <f>SUM(G234:G238)</f>
        <v>0</v>
      </c>
      <c r="H233">
        <f>SUM(H234:H238)</f>
        <v>0</v>
      </c>
      <c r="I233">
        <f>SUM(I234:I238)</f>
        <v>0</v>
      </c>
      <c r="J233" s="107" t="s">
        <v>851</v>
      </c>
      <c r="K233" s="107" t="s">
        <v>484</v>
      </c>
    </row>
    <row r="234" spans="1:11" ht="16.5" customHeight="1" outlineLevel="1" x14ac:dyDescent="0.25">
      <c r="A234" s="107"/>
      <c r="B234" s="107"/>
      <c r="C234" s="107"/>
      <c r="D234">
        <v>2021</v>
      </c>
      <c r="E234">
        <f t="shared" si="21"/>
        <v>0</v>
      </c>
      <c r="F234">
        <v>0</v>
      </c>
      <c r="G234">
        <v>0</v>
      </c>
      <c r="H234">
        <v>0</v>
      </c>
      <c r="I234">
        <v>0</v>
      </c>
      <c r="J234" s="107"/>
      <c r="K234" s="107"/>
    </row>
    <row r="235" spans="1:11" ht="16.5" customHeight="1" outlineLevel="1" x14ac:dyDescent="0.25">
      <c r="A235" s="107"/>
      <c r="B235" s="107"/>
      <c r="C235" s="107"/>
      <c r="D235">
        <v>2022</v>
      </c>
      <c r="E235">
        <f t="shared" si="21"/>
        <v>900</v>
      </c>
      <c r="F235">
        <v>900</v>
      </c>
      <c r="G235">
        <v>0</v>
      </c>
      <c r="H235">
        <v>0</v>
      </c>
      <c r="I235">
        <v>0</v>
      </c>
      <c r="J235" s="107"/>
      <c r="K235" s="107"/>
    </row>
    <row r="236" spans="1:11" ht="16.5" customHeight="1" outlineLevel="1" x14ac:dyDescent="0.25">
      <c r="A236" s="107"/>
      <c r="B236" s="107"/>
      <c r="C236" s="107"/>
      <c r="D236">
        <v>2023</v>
      </c>
      <c r="E236">
        <f t="shared" si="21"/>
        <v>900</v>
      </c>
      <c r="F236">
        <v>900</v>
      </c>
      <c r="G236">
        <v>0</v>
      </c>
      <c r="H236">
        <v>0</v>
      </c>
      <c r="I236">
        <v>0</v>
      </c>
      <c r="J236" s="107"/>
      <c r="K236" s="107"/>
    </row>
    <row r="237" spans="1:11" ht="16.5" customHeight="1" outlineLevel="1" x14ac:dyDescent="0.25">
      <c r="A237" s="107"/>
      <c r="B237" s="107"/>
      <c r="C237" s="107"/>
      <c r="D237">
        <v>2024</v>
      </c>
      <c r="E237">
        <f t="shared" si="21"/>
        <v>900</v>
      </c>
      <c r="F237">
        <v>900</v>
      </c>
      <c r="G237">
        <v>0</v>
      </c>
      <c r="H237">
        <v>0</v>
      </c>
      <c r="I237">
        <v>0</v>
      </c>
      <c r="J237" s="107"/>
      <c r="K237" s="107"/>
    </row>
    <row r="238" spans="1:11" ht="16.5" customHeight="1" outlineLevel="1" x14ac:dyDescent="0.25">
      <c r="A238" s="107"/>
      <c r="B238" s="107"/>
      <c r="C238" s="107"/>
      <c r="D238">
        <v>2025</v>
      </c>
      <c r="E238">
        <f t="shared" si="21"/>
        <v>0</v>
      </c>
      <c r="F238">
        <v>0</v>
      </c>
      <c r="G238">
        <v>0</v>
      </c>
      <c r="H238">
        <v>0</v>
      </c>
      <c r="I238">
        <v>0</v>
      </c>
      <c r="J238" s="107"/>
      <c r="K238" s="107"/>
    </row>
    <row r="239" spans="1:11" ht="16.5" customHeight="1" outlineLevel="1" x14ac:dyDescent="0.25">
      <c r="A239" s="107" t="s">
        <v>852</v>
      </c>
      <c r="B239" s="107" t="s">
        <v>853</v>
      </c>
      <c r="C239" s="107" t="s">
        <v>14</v>
      </c>
      <c r="D239" t="s">
        <v>8</v>
      </c>
      <c r="E239">
        <f t="shared" si="21"/>
        <v>58898.464</v>
      </c>
      <c r="F239">
        <f>SUM(F240:F244)</f>
        <v>58898.464</v>
      </c>
      <c r="G239">
        <f>SUM(G240:G244)</f>
        <v>0</v>
      </c>
      <c r="H239">
        <f>SUM(H240:H244)</f>
        <v>0</v>
      </c>
      <c r="I239">
        <f>SUM(I240:I244)</f>
        <v>0</v>
      </c>
      <c r="J239" s="107" t="s">
        <v>854</v>
      </c>
      <c r="K239" s="107" t="s">
        <v>484</v>
      </c>
    </row>
    <row r="240" spans="1:11" ht="16.5" customHeight="1" outlineLevel="1" x14ac:dyDescent="0.25">
      <c r="A240" s="107"/>
      <c r="B240" s="107"/>
      <c r="C240" s="107"/>
      <c r="D240">
        <v>2021</v>
      </c>
      <c r="E240">
        <f t="shared" si="21"/>
        <v>0</v>
      </c>
      <c r="F240">
        <v>0</v>
      </c>
      <c r="G240">
        <v>0</v>
      </c>
      <c r="H240">
        <v>0</v>
      </c>
      <c r="I240">
        <v>0</v>
      </c>
      <c r="J240" s="107"/>
      <c r="K240" s="107"/>
    </row>
    <row r="241" spans="1:11" ht="16.5" customHeight="1" outlineLevel="1" x14ac:dyDescent="0.25">
      <c r="A241" s="107"/>
      <c r="B241" s="107"/>
      <c r="C241" s="107"/>
      <c r="D241">
        <v>2022</v>
      </c>
      <c r="E241">
        <f t="shared" ref="E241:E250" si="22">SUM(F241:I241)</f>
        <v>31611.274000000001</v>
      </c>
      <c r="F241">
        <v>31611.274000000001</v>
      </c>
      <c r="G241">
        <v>0</v>
      </c>
      <c r="H241">
        <v>0</v>
      </c>
      <c r="I241">
        <v>0</v>
      </c>
      <c r="J241" s="107"/>
      <c r="K241" s="107"/>
    </row>
    <row r="242" spans="1:11" ht="16.5" customHeight="1" outlineLevel="1" x14ac:dyDescent="0.25">
      <c r="A242" s="107"/>
      <c r="B242" s="107"/>
      <c r="C242" s="107"/>
      <c r="D242">
        <v>2023</v>
      </c>
      <c r="E242">
        <f t="shared" si="22"/>
        <v>13643.594999999999</v>
      </c>
      <c r="F242">
        <v>13643.594999999999</v>
      </c>
      <c r="G242">
        <v>0</v>
      </c>
      <c r="H242">
        <v>0</v>
      </c>
      <c r="I242">
        <v>0</v>
      </c>
      <c r="J242" s="107"/>
      <c r="K242" s="107"/>
    </row>
    <row r="243" spans="1:11" ht="16.5" customHeight="1" outlineLevel="1" x14ac:dyDescent="0.25">
      <c r="A243" s="107"/>
      <c r="B243" s="107"/>
      <c r="C243" s="107"/>
      <c r="D243">
        <v>2024</v>
      </c>
      <c r="E243">
        <f t="shared" si="22"/>
        <v>13643.594999999999</v>
      </c>
      <c r="F243">
        <v>13643.594999999999</v>
      </c>
      <c r="G243">
        <v>0</v>
      </c>
      <c r="H243">
        <v>0</v>
      </c>
      <c r="I243">
        <v>0</v>
      </c>
      <c r="J243" s="107"/>
      <c r="K243" s="107"/>
    </row>
    <row r="244" spans="1:11" ht="16.5" customHeight="1" outlineLevel="1" x14ac:dyDescent="0.25">
      <c r="A244" s="107"/>
      <c r="B244" s="107"/>
      <c r="C244" s="107"/>
      <c r="D244">
        <v>2025</v>
      </c>
      <c r="E244">
        <f t="shared" si="22"/>
        <v>0</v>
      </c>
      <c r="F244">
        <v>0</v>
      </c>
      <c r="G244">
        <v>0</v>
      </c>
      <c r="H244">
        <v>0</v>
      </c>
      <c r="I244">
        <v>0</v>
      </c>
      <c r="J244" s="107"/>
      <c r="K244" s="107"/>
    </row>
    <row r="245" spans="1:11" ht="34.5" customHeight="1" outlineLevel="1" x14ac:dyDescent="0.25">
      <c r="A245" s="107" t="s">
        <v>78</v>
      </c>
      <c r="B245" s="107" t="s">
        <v>538</v>
      </c>
      <c r="C245" s="107" t="s">
        <v>14</v>
      </c>
      <c r="D245" t="s">
        <v>8</v>
      </c>
      <c r="E245">
        <f t="shared" si="22"/>
        <v>237756.94021</v>
      </c>
      <c r="F245">
        <f>SUM(F246:F250)</f>
        <v>172000</v>
      </c>
      <c r="G245">
        <f>SUM(G246:G250)</f>
        <v>0</v>
      </c>
      <c r="H245">
        <f>SUM(H246:H250)</f>
        <v>65756.940210000001</v>
      </c>
      <c r="I245">
        <f>SUM(I246:I250)</f>
        <v>0</v>
      </c>
      <c r="J245" s="107" t="s">
        <v>539</v>
      </c>
      <c r="K245" s="107" t="s">
        <v>515</v>
      </c>
    </row>
    <row r="246" spans="1:11" ht="34.5" customHeight="1" outlineLevel="1" x14ac:dyDescent="0.25">
      <c r="A246" s="107"/>
      <c r="B246" s="107"/>
      <c r="C246" s="107"/>
      <c r="D246">
        <v>2021</v>
      </c>
      <c r="E246">
        <f t="shared" si="22"/>
        <v>54717.700210000003</v>
      </c>
      <c r="F246">
        <f t="shared" ref="F246:F248" si="23">F258+F252</f>
        <v>41400</v>
      </c>
      <c r="G246">
        <f t="shared" ref="F246:I250" si="24">G258+G252</f>
        <v>0</v>
      </c>
      <c r="H246">
        <f t="shared" si="24"/>
        <v>13317.700210000001</v>
      </c>
      <c r="I246">
        <f t="shared" si="24"/>
        <v>0</v>
      </c>
      <c r="J246" s="107"/>
      <c r="K246" s="107"/>
    </row>
    <row r="247" spans="1:11" ht="34.5" customHeight="1" outlineLevel="1" x14ac:dyDescent="0.25">
      <c r="A247" s="107"/>
      <c r="B247" s="107"/>
      <c r="C247" s="107"/>
      <c r="D247">
        <v>2022</v>
      </c>
      <c r="E247">
        <f t="shared" si="22"/>
        <v>67577.179999999993</v>
      </c>
      <c r="F247">
        <f t="shared" si="23"/>
        <v>47800</v>
      </c>
      <c r="G247">
        <f t="shared" si="24"/>
        <v>0</v>
      </c>
      <c r="H247">
        <f t="shared" si="24"/>
        <v>19777.18</v>
      </c>
      <c r="I247">
        <f t="shared" si="24"/>
        <v>0</v>
      </c>
      <c r="J247" s="107"/>
      <c r="K247" s="107"/>
    </row>
    <row r="248" spans="1:11" ht="34.5" customHeight="1" outlineLevel="1" x14ac:dyDescent="0.25">
      <c r="A248" s="107"/>
      <c r="B248" s="107"/>
      <c r="C248" s="107"/>
      <c r="D248">
        <v>2023</v>
      </c>
      <c r="E248">
        <f t="shared" si="22"/>
        <v>57731.03</v>
      </c>
      <c r="F248">
        <f t="shared" si="23"/>
        <v>41400</v>
      </c>
      <c r="G248">
        <f t="shared" si="24"/>
        <v>0</v>
      </c>
      <c r="H248">
        <f t="shared" si="24"/>
        <v>16331.03</v>
      </c>
      <c r="I248">
        <f t="shared" si="24"/>
        <v>0</v>
      </c>
      <c r="J248" s="107"/>
      <c r="K248" s="107"/>
    </row>
    <row r="249" spans="1:11" ht="34.5" customHeight="1" outlineLevel="1" x14ac:dyDescent="0.25">
      <c r="A249" s="107"/>
      <c r="B249" s="107"/>
      <c r="C249" s="107"/>
      <c r="D249">
        <v>2024</v>
      </c>
      <c r="E249">
        <f t="shared" si="22"/>
        <v>57731.03</v>
      </c>
      <c r="F249">
        <f t="shared" si="24"/>
        <v>41400</v>
      </c>
      <c r="G249">
        <f t="shared" si="24"/>
        <v>0</v>
      </c>
      <c r="H249">
        <f t="shared" si="24"/>
        <v>16331.03</v>
      </c>
      <c r="I249">
        <f t="shared" si="24"/>
        <v>0</v>
      </c>
      <c r="J249" s="107"/>
      <c r="K249" s="107"/>
    </row>
    <row r="250" spans="1:11" ht="34.5" customHeight="1" outlineLevel="1" x14ac:dyDescent="0.25">
      <c r="A250" s="107"/>
      <c r="B250" s="107"/>
      <c r="C250" s="107"/>
      <c r="D250">
        <v>2025</v>
      </c>
      <c r="E250">
        <f t="shared" si="22"/>
        <v>0</v>
      </c>
      <c r="F250">
        <f t="shared" si="24"/>
        <v>0</v>
      </c>
      <c r="G250">
        <f t="shared" si="24"/>
        <v>0</v>
      </c>
      <c r="H250">
        <f t="shared" si="24"/>
        <v>0</v>
      </c>
      <c r="I250">
        <f t="shared" si="24"/>
        <v>0</v>
      </c>
      <c r="J250" s="107"/>
      <c r="K250" s="107"/>
    </row>
    <row r="251" spans="1:11" ht="18.75" customHeight="1" outlineLevel="1" x14ac:dyDescent="0.25">
      <c r="A251" s="107" t="s">
        <v>81</v>
      </c>
      <c r="B251" s="107" t="s">
        <v>82</v>
      </c>
      <c r="C251" s="107">
        <v>2021</v>
      </c>
      <c r="D251" t="s">
        <v>8</v>
      </c>
      <c r="E251">
        <f>SUM(E252:E256)</f>
        <v>19647.06884</v>
      </c>
      <c r="F251">
        <f>SUM(F252:F256)</f>
        <v>12800</v>
      </c>
      <c r="G251">
        <f>SUM(G252:G256)</f>
        <v>0</v>
      </c>
      <c r="H251">
        <f>SUM(H252:H256)</f>
        <v>6847.0688399999999</v>
      </c>
      <c r="I251">
        <f>SUM(I252:I256)</f>
        <v>0</v>
      </c>
      <c r="J251" s="107" t="s">
        <v>83</v>
      </c>
      <c r="K251" s="107" t="s">
        <v>515</v>
      </c>
    </row>
    <row r="252" spans="1:11" ht="18.75" customHeight="1" outlineLevel="1" x14ac:dyDescent="0.25">
      <c r="A252" s="107"/>
      <c r="B252" s="107"/>
      <c r="C252" s="107"/>
      <c r="D252">
        <v>2021</v>
      </c>
      <c r="E252">
        <f t="shared" ref="E252:E256" si="25">SUM(F252:I252)</f>
        <v>9800.9188400000003</v>
      </c>
      <c r="F252">
        <v>6400</v>
      </c>
      <c r="G252">
        <v>0</v>
      </c>
      <c r="H252">
        <v>3400.9188399999998</v>
      </c>
      <c r="I252">
        <v>0</v>
      </c>
      <c r="J252" s="107"/>
      <c r="K252" s="107"/>
    </row>
    <row r="253" spans="1:11" ht="18.75" customHeight="1" outlineLevel="1" x14ac:dyDescent="0.25">
      <c r="A253" s="107"/>
      <c r="B253" s="107"/>
      <c r="C253" s="107"/>
      <c r="D253">
        <v>2022</v>
      </c>
      <c r="E253">
        <f t="shared" si="25"/>
        <v>9846.15</v>
      </c>
      <c r="F253">
        <v>6400</v>
      </c>
      <c r="G253">
        <v>0</v>
      </c>
      <c r="H253">
        <v>3446.15</v>
      </c>
      <c r="I253">
        <v>0</v>
      </c>
      <c r="J253" s="107"/>
      <c r="K253" s="107"/>
    </row>
    <row r="254" spans="1:11" ht="18.75" customHeight="1" outlineLevel="1" x14ac:dyDescent="0.25">
      <c r="A254" s="107"/>
      <c r="B254" s="107"/>
      <c r="C254" s="107"/>
      <c r="D254">
        <v>2023</v>
      </c>
      <c r="E254">
        <f t="shared" si="25"/>
        <v>0</v>
      </c>
      <c r="F254">
        <v>0</v>
      </c>
      <c r="G254">
        <v>0</v>
      </c>
      <c r="H254">
        <v>0</v>
      </c>
      <c r="I254">
        <v>0</v>
      </c>
      <c r="J254" s="107"/>
      <c r="K254" s="107"/>
    </row>
    <row r="255" spans="1:11" ht="18.75" customHeight="1" outlineLevel="1" x14ac:dyDescent="0.25">
      <c r="A255" s="107"/>
      <c r="B255" s="107"/>
      <c r="C255" s="107"/>
      <c r="D255">
        <v>2024</v>
      </c>
      <c r="E255">
        <f t="shared" si="25"/>
        <v>0</v>
      </c>
      <c r="F255">
        <v>0</v>
      </c>
      <c r="G255">
        <v>0</v>
      </c>
      <c r="H255">
        <v>0</v>
      </c>
      <c r="I255">
        <v>0</v>
      </c>
      <c r="J255" s="107"/>
      <c r="K255" s="107"/>
    </row>
    <row r="256" spans="1:11" ht="18.75" customHeight="1" outlineLevel="1" x14ac:dyDescent="0.25">
      <c r="A256" s="107"/>
      <c r="B256" s="107"/>
      <c r="C256" s="107"/>
      <c r="D256">
        <v>2025</v>
      </c>
      <c r="E256">
        <f t="shared" si="25"/>
        <v>0</v>
      </c>
      <c r="F256">
        <v>0</v>
      </c>
      <c r="G256">
        <v>0</v>
      </c>
      <c r="H256">
        <v>0</v>
      </c>
      <c r="I256">
        <v>0</v>
      </c>
      <c r="J256" s="107"/>
      <c r="K256" s="107"/>
    </row>
    <row r="257" spans="1:11" ht="17.100000000000001" customHeight="1" outlineLevel="1" x14ac:dyDescent="0.25">
      <c r="A257" s="107" t="s">
        <v>540</v>
      </c>
      <c r="B257" s="107" t="s">
        <v>541</v>
      </c>
      <c r="C257" s="107">
        <v>2021</v>
      </c>
      <c r="D257" t="s">
        <v>8</v>
      </c>
      <c r="E257">
        <f>SUM(E258:E262)</f>
        <v>218109.87136999998</v>
      </c>
      <c r="F257">
        <f>SUM(F258:F262)</f>
        <v>159200</v>
      </c>
      <c r="G257">
        <f>SUM(G258:G262)</f>
        <v>0</v>
      </c>
      <c r="H257">
        <f>SUM(H258:H262)</f>
        <v>58909.871370000001</v>
      </c>
      <c r="I257">
        <f>SUM(I258:I262)</f>
        <v>0</v>
      </c>
      <c r="J257" s="107" t="s">
        <v>542</v>
      </c>
      <c r="K257" s="107" t="s">
        <v>515</v>
      </c>
    </row>
    <row r="258" spans="1:11" ht="17.100000000000001" customHeight="1" outlineLevel="1" x14ac:dyDescent="0.25">
      <c r="A258" s="107"/>
      <c r="B258" s="107"/>
      <c r="C258" s="107"/>
      <c r="D258">
        <v>2021</v>
      </c>
      <c r="E258">
        <f t="shared" ref="E258:E292" si="26">SUM(F258:I258)</f>
        <v>44916.781369999997</v>
      </c>
      <c r="F258">
        <v>35000</v>
      </c>
      <c r="G258">
        <v>0</v>
      </c>
      <c r="H258">
        <v>9916.7813700000006</v>
      </c>
      <c r="I258">
        <v>0</v>
      </c>
      <c r="J258" s="107"/>
      <c r="K258" s="107"/>
    </row>
    <row r="259" spans="1:11" ht="17.100000000000001" customHeight="1" outlineLevel="1" x14ac:dyDescent="0.25">
      <c r="A259" s="107"/>
      <c r="B259" s="107"/>
      <c r="C259" s="107"/>
      <c r="D259">
        <v>2022</v>
      </c>
      <c r="E259">
        <f t="shared" si="26"/>
        <v>57731.03</v>
      </c>
      <c r="F259">
        <v>41400</v>
      </c>
      <c r="G259">
        <v>0</v>
      </c>
      <c r="H259">
        <v>16331.03</v>
      </c>
      <c r="I259">
        <v>0</v>
      </c>
      <c r="J259" s="107"/>
      <c r="K259" s="107"/>
    </row>
    <row r="260" spans="1:11" ht="17.100000000000001" customHeight="1" outlineLevel="1" x14ac:dyDescent="0.25">
      <c r="A260" s="107"/>
      <c r="B260" s="107"/>
      <c r="C260" s="107"/>
      <c r="D260">
        <v>2023</v>
      </c>
      <c r="E260">
        <f t="shared" si="26"/>
        <v>57731.03</v>
      </c>
      <c r="F260">
        <v>41400</v>
      </c>
      <c r="G260">
        <v>0</v>
      </c>
      <c r="H260">
        <v>16331.03</v>
      </c>
      <c r="I260">
        <v>0</v>
      </c>
      <c r="J260" s="107"/>
      <c r="K260" s="107"/>
    </row>
    <row r="261" spans="1:11" ht="17.100000000000001" customHeight="1" outlineLevel="1" x14ac:dyDescent="0.25">
      <c r="A261" s="107"/>
      <c r="B261" s="107"/>
      <c r="C261" s="107"/>
      <c r="D261">
        <v>2024</v>
      </c>
      <c r="E261">
        <f t="shared" si="26"/>
        <v>57731.03</v>
      </c>
      <c r="F261">
        <v>41400</v>
      </c>
      <c r="G261">
        <v>0</v>
      </c>
      <c r="H261">
        <v>16331.03</v>
      </c>
      <c r="I261">
        <v>0</v>
      </c>
      <c r="J261" s="107"/>
      <c r="K261" s="107"/>
    </row>
    <row r="262" spans="1:11" ht="17.100000000000001" customHeight="1" outlineLevel="1" x14ac:dyDescent="0.25">
      <c r="A262" s="107"/>
      <c r="B262" s="107"/>
      <c r="C262" s="107"/>
      <c r="D262">
        <v>2025</v>
      </c>
      <c r="E262">
        <f t="shared" si="26"/>
        <v>0</v>
      </c>
      <c r="F262">
        <v>0</v>
      </c>
      <c r="G262">
        <v>0</v>
      </c>
      <c r="H262">
        <v>0</v>
      </c>
      <c r="I262">
        <v>0</v>
      </c>
      <c r="J262" s="107"/>
      <c r="K262" s="107"/>
    </row>
    <row r="263" spans="1:11" ht="20.100000000000001" customHeight="1" outlineLevel="1" x14ac:dyDescent="0.25">
      <c r="A263" s="107" t="s">
        <v>84</v>
      </c>
      <c r="B263" s="107" t="s">
        <v>40</v>
      </c>
      <c r="C263" s="107" t="s">
        <v>41</v>
      </c>
      <c r="D263" t="s">
        <v>8</v>
      </c>
      <c r="E263">
        <f t="shared" si="26"/>
        <v>90242.015299999999</v>
      </c>
      <c r="F263">
        <f>SUM(F264:F268)</f>
        <v>11930.2153</v>
      </c>
      <c r="G263">
        <f>SUM(G264:G268)</f>
        <v>78311.8</v>
      </c>
      <c r="H263">
        <f>SUM(H264:H268)</f>
        <v>0</v>
      </c>
      <c r="I263">
        <f>SUM(I264:I268)</f>
        <v>0</v>
      </c>
      <c r="J263" s="107" t="s">
        <v>85</v>
      </c>
      <c r="K263" s="107" t="s">
        <v>486</v>
      </c>
    </row>
    <row r="264" spans="1:11" ht="20.100000000000001" customHeight="1" outlineLevel="1" x14ac:dyDescent="0.25">
      <c r="A264" s="107"/>
      <c r="B264" s="107"/>
      <c r="C264" s="107"/>
      <c r="D264">
        <v>2021</v>
      </c>
      <c r="E264">
        <f t="shared" si="26"/>
        <v>27296.712679999997</v>
      </c>
      <c r="F264">
        <f t="shared" ref="F264:I268" si="27">F270+F276</f>
        <v>3105.6126800000002</v>
      </c>
      <c r="G264">
        <f t="shared" si="27"/>
        <v>24191.1</v>
      </c>
      <c r="H264">
        <f t="shared" si="27"/>
        <v>0</v>
      </c>
      <c r="I264">
        <f t="shared" si="27"/>
        <v>0</v>
      </c>
      <c r="J264" s="107"/>
      <c r="K264" s="107"/>
    </row>
    <row r="265" spans="1:11" ht="20.100000000000001" customHeight="1" outlineLevel="1" x14ac:dyDescent="0.25">
      <c r="A265" s="107"/>
      <c r="B265" s="107"/>
      <c r="C265" s="107"/>
      <c r="D265">
        <v>2022</v>
      </c>
      <c r="E265">
        <f t="shared" si="26"/>
        <v>19308.751820000005</v>
      </c>
      <c r="F265">
        <f t="shared" si="27"/>
        <v>2754.9518200000002</v>
      </c>
      <c r="G265">
        <f t="shared" si="27"/>
        <v>16553.800000000003</v>
      </c>
      <c r="H265">
        <f t="shared" si="27"/>
        <v>0</v>
      </c>
      <c r="I265">
        <f t="shared" si="27"/>
        <v>0</v>
      </c>
      <c r="J265" s="107"/>
      <c r="K265" s="107"/>
    </row>
    <row r="266" spans="1:11" ht="20.100000000000001" customHeight="1" outlineLevel="1" x14ac:dyDescent="0.25">
      <c r="A266" s="107"/>
      <c r="B266" s="107"/>
      <c r="C266" s="107"/>
      <c r="D266">
        <v>2023</v>
      </c>
      <c r="E266">
        <f t="shared" si="26"/>
        <v>20156.305069999999</v>
      </c>
      <c r="F266">
        <f t="shared" si="27"/>
        <v>2805.8050699999999</v>
      </c>
      <c r="G266">
        <f t="shared" si="27"/>
        <v>17350.5</v>
      </c>
      <c r="H266">
        <f t="shared" si="27"/>
        <v>0</v>
      </c>
      <c r="I266">
        <f t="shared" si="27"/>
        <v>0</v>
      </c>
      <c r="J266" s="107"/>
      <c r="K266" s="107"/>
    </row>
    <row r="267" spans="1:11" ht="20.100000000000001" customHeight="1" outlineLevel="1" x14ac:dyDescent="0.25">
      <c r="A267" s="107"/>
      <c r="B267" s="107"/>
      <c r="C267" s="107"/>
      <c r="D267">
        <v>2024</v>
      </c>
      <c r="E267">
        <f t="shared" si="26"/>
        <v>23480.245730000002</v>
      </c>
      <c r="F267">
        <f t="shared" si="27"/>
        <v>3263.84573</v>
      </c>
      <c r="G267">
        <f t="shared" si="27"/>
        <v>20216.400000000001</v>
      </c>
      <c r="H267">
        <f t="shared" si="27"/>
        <v>0</v>
      </c>
      <c r="I267">
        <f t="shared" si="27"/>
        <v>0</v>
      </c>
      <c r="J267" s="107"/>
      <c r="K267" s="107"/>
    </row>
    <row r="268" spans="1:11" ht="20.100000000000001" customHeight="1" outlineLevel="1" x14ac:dyDescent="0.25">
      <c r="A268" s="107"/>
      <c r="B268" s="107"/>
      <c r="C268" s="107"/>
      <c r="D268">
        <v>2025</v>
      </c>
      <c r="E268">
        <f t="shared" si="26"/>
        <v>0</v>
      </c>
      <c r="F268">
        <f t="shared" si="27"/>
        <v>0</v>
      </c>
      <c r="G268">
        <f t="shared" si="27"/>
        <v>0</v>
      </c>
      <c r="H268">
        <f t="shared" si="27"/>
        <v>0</v>
      </c>
      <c r="I268">
        <f t="shared" si="27"/>
        <v>0</v>
      </c>
      <c r="J268" s="107"/>
      <c r="K268" s="107"/>
    </row>
    <row r="269" spans="1:11" ht="15.75" customHeight="1" outlineLevel="1" x14ac:dyDescent="0.25">
      <c r="A269" s="107" t="s">
        <v>86</v>
      </c>
      <c r="B269" s="107" t="s">
        <v>87</v>
      </c>
      <c r="C269" s="107" t="s">
        <v>41</v>
      </c>
      <c r="D269" t="s">
        <v>8</v>
      </c>
      <c r="E269">
        <f t="shared" si="26"/>
        <v>61912.578670000003</v>
      </c>
      <c r="F269">
        <f>SUM(F270:F274)</f>
        <v>3714.6786700000002</v>
      </c>
      <c r="G269">
        <f>SUM(G270:G274)</f>
        <v>58197.9</v>
      </c>
      <c r="H269">
        <f>SUM(H270:H274)</f>
        <v>0</v>
      </c>
      <c r="I269">
        <f>SUM(I270:I274)</f>
        <v>0</v>
      </c>
      <c r="J269" s="107" t="s">
        <v>543</v>
      </c>
      <c r="K269" s="107" t="s">
        <v>515</v>
      </c>
    </row>
    <row r="270" spans="1:11" outlineLevel="1" x14ac:dyDescent="0.25">
      <c r="A270" s="107"/>
      <c r="B270" s="107"/>
      <c r="C270" s="107"/>
      <c r="D270">
        <v>2021</v>
      </c>
      <c r="E270">
        <f t="shared" si="26"/>
        <v>20914.599999999999</v>
      </c>
      <c r="F270">
        <v>1254.8</v>
      </c>
      <c r="G270">
        <v>19659.8</v>
      </c>
      <c r="H270">
        <v>0</v>
      </c>
      <c r="I270">
        <v>0</v>
      </c>
      <c r="J270" s="107"/>
      <c r="K270" s="107"/>
    </row>
    <row r="271" spans="1:11" outlineLevel="1" x14ac:dyDescent="0.25">
      <c r="A271" s="107"/>
      <c r="B271" s="107"/>
      <c r="C271" s="107"/>
      <c r="D271">
        <v>2022</v>
      </c>
      <c r="E271">
        <f t="shared" si="26"/>
        <v>12367.7659</v>
      </c>
      <c r="F271">
        <v>742.06590000000006</v>
      </c>
      <c r="G271">
        <v>11625.7</v>
      </c>
      <c r="H271">
        <v>0</v>
      </c>
      <c r="I271">
        <v>0</v>
      </c>
      <c r="J271" s="107"/>
      <c r="K271" s="107"/>
    </row>
    <row r="272" spans="1:11" outlineLevel="1" x14ac:dyDescent="0.25">
      <c r="A272" s="107"/>
      <c r="B272" s="107"/>
      <c r="C272" s="107"/>
      <c r="D272">
        <v>2023</v>
      </c>
      <c r="E272">
        <f t="shared" si="26"/>
        <v>13215.319149999999</v>
      </c>
      <c r="F272">
        <v>792.91914999999995</v>
      </c>
      <c r="G272">
        <v>12422.4</v>
      </c>
      <c r="H272">
        <v>0</v>
      </c>
      <c r="I272">
        <v>0</v>
      </c>
      <c r="J272" s="107"/>
      <c r="K272" s="107"/>
    </row>
    <row r="273" spans="1:11" outlineLevel="1" x14ac:dyDescent="0.25">
      <c r="A273" s="107"/>
      <c r="B273" s="107"/>
      <c r="C273" s="107"/>
      <c r="D273">
        <v>2024</v>
      </c>
      <c r="E273">
        <f t="shared" si="26"/>
        <v>15414.893620000001</v>
      </c>
      <c r="F273">
        <v>924.89362000000006</v>
      </c>
      <c r="G273">
        <v>14490</v>
      </c>
      <c r="H273">
        <v>0</v>
      </c>
      <c r="I273">
        <v>0</v>
      </c>
      <c r="J273" s="107"/>
      <c r="K273" s="107"/>
    </row>
    <row r="274" spans="1:11" outlineLevel="1" x14ac:dyDescent="0.25">
      <c r="A274" s="107"/>
      <c r="B274" s="107"/>
      <c r="C274" s="107"/>
      <c r="D274">
        <v>2025</v>
      </c>
      <c r="E274">
        <f t="shared" si="26"/>
        <v>0</v>
      </c>
      <c r="F274">
        <v>0</v>
      </c>
      <c r="G274">
        <v>0</v>
      </c>
      <c r="H274">
        <v>0</v>
      </c>
      <c r="I274">
        <v>0</v>
      </c>
      <c r="J274" s="107"/>
      <c r="K274" s="107"/>
    </row>
    <row r="275" spans="1:11" ht="19.5" customHeight="1" outlineLevel="1" x14ac:dyDescent="0.25">
      <c r="A275" s="107" t="s">
        <v>855</v>
      </c>
      <c r="B275" s="107" t="s">
        <v>90</v>
      </c>
      <c r="C275" s="107" t="s">
        <v>14</v>
      </c>
      <c r="D275" t="s">
        <v>8</v>
      </c>
      <c r="E275">
        <f t="shared" si="26"/>
        <v>28329.43663</v>
      </c>
      <c r="F275">
        <f>SUM(F276:F280)</f>
        <v>8215.5366299999987</v>
      </c>
      <c r="G275">
        <f>SUM(G276:G280)</f>
        <v>20113.900000000001</v>
      </c>
      <c r="H275">
        <f>SUM(H276:H280)</f>
        <v>0</v>
      </c>
      <c r="I275">
        <f>SUM(I276:I280)</f>
        <v>0</v>
      </c>
      <c r="J275" s="107" t="s">
        <v>544</v>
      </c>
      <c r="K275" s="107" t="s">
        <v>486</v>
      </c>
    </row>
    <row r="276" spans="1:11" ht="15" customHeight="1" outlineLevel="1" x14ac:dyDescent="0.25">
      <c r="A276" s="107"/>
      <c r="B276" s="107"/>
      <c r="C276" s="107"/>
      <c r="D276">
        <v>2021</v>
      </c>
      <c r="E276">
        <f t="shared" si="26"/>
        <v>6382.1126800000002</v>
      </c>
      <c r="F276">
        <v>1850.81268</v>
      </c>
      <c r="G276">
        <v>4531.3</v>
      </c>
      <c r="H276">
        <v>0</v>
      </c>
      <c r="I276">
        <v>0</v>
      </c>
      <c r="J276" s="107"/>
      <c r="K276" s="107"/>
    </row>
    <row r="277" spans="1:11" ht="16.5" customHeight="1" outlineLevel="1" x14ac:dyDescent="0.25">
      <c r="A277" s="107"/>
      <c r="B277" s="107"/>
      <c r="C277" s="107"/>
      <c r="D277">
        <v>2022</v>
      </c>
      <c r="E277">
        <f t="shared" si="26"/>
        <v>6940.9859200000001</v>
      </c>
      <c r="F277">
        <v>2012.8859199999999</v>
      </c>
      <c r="G277">
        <v>4928.1000000000004</v>
      </c>
      <c r="H277">
        <v>0</v>
      </c>
      <c r="I277">
        <v>0</v>
      </c>
      <c r="J277" s="107"/>
      <c r="K277" s="107"/>
    </row>
    <row r="278" spans="1:11" ht="14.25" customHeight="1" outlineLevel="1" x14ac:dyDescent="0.25">
      <c r="A278" s="107"/>
      <c r="B278" s="107"/>
      <c r="C278" s="107"/>
      <c r="D278">
        <v>2023</v>
      </c>
      <c r="E278">
        <f t="shared" si="26"/>
        <v>6940.9859200000001</v>
      </c>
      <c r="F278">
        <v>2012.8859199999999</v>
      </c>
      <c r="G278">
        <v>4928.1000000000004</v>
      </c>
      <c r="H278">
        <v>0</v>
      </c>
      <c r="I278">
        <v>0</v>
      </c>
      <c r="J278" s="107"/>
      <c r="K278" s="107"/>
    </row>
    <row r="279" spans="1:11" ht="12.75" customHeight="1" outlineLevel="1" x14ac:dyDescent="0.25">
      <c r="A279" s="107"/>
      <c r="B279" s="107"/>
      <c r="C279" s="107"/>
      <c r="D279">
        <v>2024</v>
      </c>
      <c r="E279">
        <f t="shared" si="26"/>
        <v>8065.3521099999998</v>
      </c>
      <c r="F279">
        <v>2338.9521100000002</v>
      </c>
      <c r="G279">
        <v>5726.4</v>
      </c>
      <c r="H279">
        <v>0</v>
      </c>
      <c r="I279">
        <v>0</v>
      </c>
      <c r="J279" s="107"/>
      <c r="K279" s="107"/>
    </row>
    <row r="280" spans="1:11" ht="14.25" customHeight="1" outlineLevel="1" x14ac:dyDescent="0.25">
      <c r="A280" s="107"/>
      <c r="B280" s="107"/>
      <c r="C280" s="107"/>
      <c r="D280">
        <v>2025</v>
      </c>
      <c r="E280">
        <f t="shared" si="26"/>
        <v>0</v>
      </c>
      <c r="F280">
        <v>0</v>
      </c>
      <c r="G280">
        <v>0</v>
      </c>
      <c r="H280">
        <v>0</v>
      </c>
      <c r="I280">
        <v>0</v>
      </c>
      <c r="J280" s="107"/>
      <c r="K280" s="107"/>
    </row>
    <row r="281" spans="1:11" ht="15.95" customHeight="1" x14ac:dyDescent="0.25">
      <c r="A281" s="107" t="s">
        <v>93</v>
      </c>
      <c r="B281" s="107" t="s">
        <v>94</v>
      </c>
      <c r="C281" s="107" t="s">
        <v>14</v>
      </c>
      <c r="D281" t="s">
        <v>8</v>
      </c>
      <c r="E281">
        <f t="shared" si="26"/>
        <v>5218485.7811193271</v>
      </c>
      <c r="F281">
        <f>SUM(F282:F286)</f>
        <v>3831012.1821699999</v>
      </c>
      <c r="G281">
        <f>SUM(G282:G286)</f>
        <v>502390.99900000001</v>
      </c>
      <c r="H281">
        <f>SUM(H282:H286)</f>
        <v>885082.59994932706</v>
      </c>
      <c r="I281">
        <f>SUM(I282:I286)</f>
        <v>0</v>
      </c>
      <c r="J281" s="107"/>
      <c r="K281" s="107" t="s">
        <v>856</v>
      </c>
    </row>
    <row r="282" spans="1:11" ht="15.95" customHeight="1" x14ac:dyDescent="0.25">
      <c r="A282" s="107"/>
      <c r="B282" s="107"/>
      <c r="C282" s="107"/>
      <c r="D282">
        <v>2021</v>
      </c>
      <c r="E282">
        <f t="shared" si="26"/>
        <v>542284.02945165033</v>
      </c>
      <c r="F282">
        <f t="shared" ref="F282:I286" si="28">F288+F402+F570</f>
        <v>254674.71701999998</v>
      </c>
      <c r="G282">
        <f t="shared" si="28"/>
        <v>257488.69899999999</v>
      </c>
      <c r="H282">
        <f t="shared" si="28"/>
        <v>30120.613431650385</v>
      </c>
      <c r="I282">
        <f t="shared" si="28"/>
        <v>0</v>
      </c>
      <c r="J282" s="107"/>
      <c r="K282" s="107"/>
    </row>
    <row r="283" spans="1:11" ht="15.95" customHeight="1" x14ac:dyDescent="0.25">
      <c r="A283" s="107"/>
      <c r="B283" s="107"/>
      <c r="C283" s="107"/>
      <c r="D283">
        <v>2022</v>
      </c>
      <c r="E283">
        <f t="shared" si="26"/>
        <v>2029602.1757776767</v>
      </c>
      <c r="F283">
        <f t="shared" si="28"/>
        <v>1691619.727</v>
      </c>
      <c r="G283">
        <f t="shared" si="28"/>
        <v>117511.3</v>
      </c>
      <c r="H283">
        <f>H289+H403+H571</f>
        <v>220471.14877767675</v>
      </c>
      <c r="I283">
        <f t="shared" si="28"/>
        <v>0</v>
      </c>
      <c r="J283" s="107"/>
      <c r="K283" s="107"/>
    </row>
    <row r="284" spans="1:11" ht="15.95" customHeight="1" x14ac:dyDescent="0.25">
      <c r="A284" s="107"/>
      <c r="B284" s="107"/>
      <c r="C284" s="107"/>
      <c r="D284">
        <v>2023</v>
      </c>
      <c r="E284">
        <f t="shared" si="26"/>
        <v>2628349.57589</v>
      </c>
      <c r="F284">
        <f t="shared" si="28"/>
        <v>1866467.7381500001</v>
      </c>
      <c r="G284">
        <f t="shared" si="28"/>
        <v>127391</v>
      </c>
      <c r="H284">
        <f t="shared" si="28"/>
        <v>634490.83773999999</v>
      </c>
      <c r="I284">
        <f t="shared" si="28"/>
        <v>0</v>
      </c>
      <c r="J284" s="107"/>
      <c r="K284" s="107"/>
    </row>
    <row r="285" spans="1:11" ht="15.95" customHeight="1" x14ac:dyDescent="0.25">
      <c r="A285" s="107"/>
      <c r="B285" s="107"/>
      <c r="C285" s="107"/>
      <c r="D285">
        <v>2024</v>
      </c>
      <c r="E285">
        <f t="shared" si="26"/>
        <v>12250</v>
      </c>
      <c r="F285">
        <f t="shared" si="28"/>
        <v>12250</v>
      </c>
      <c r="G285">
        <f t="shared" si="28"/>
        <v>0</v>
      </c>
      <c r="H285">
        <f t="shared" si="28"/>
        <v>0</v>
      </c>
      <c r="I285">
        <f t="shared" si="28"/>
        <v>0</v>
      </c>
      <c r="J285" s="107"/>
      <c r="K285" s="107"/>
    </row>
    <row r="286" spans="1:11" ht="15.95" customHeight="1" x14ac:dyDescent="0.25">
      <c r="A286" s="107"/>
      <c r="B286" s="107"/>
      <c r="C286" s="107"/>
      <c r="D286">
        <v>2025</v>
      </c>
      <c r="E286">
        <f t="shared" si="26"/>
        <v>6000</v>
      </c>
      <c r="F286">
        <f t="shared" si="28"/>
        <v>6000</v>
      </c>
      <c r="G286">
        <f t="shared" si="28"/>
        <v>0</v>
      </c>
      <c r="H286">
        <f t="shared" si="28"/>
        <v>0</v>
      </c>
      <c r="I286">
        <f t="shared" si="28"/>
        <v>0</v>
      </c>
      <c r="J286" s="107"/>
      <c r="K286" s="107"/>
    </row>
    <row r="287" spans="1:11" ht="15" customHeight="1" outlineLevel="1" x14ac:dyDescent="0.25">
      <c r="A287" s="107" t="s">
        <v>96</v>
      </c>
      <c r="B287" s="107" t="s">
        <v>97</v>
      </c>
      <c r="C287" s="107">
        <v>2021</v>
      </c>
      <c r="D287" t="s">
        <v>8</v>
      </c>
      <c r="E287">
        <f t="shared" si="26"/>
        <v>3553359.5324534299</v>
      </c>
      <c r="F287">
        <f>SUM(F288:F292)</f>
        <v>2720507.1483</v>
      </c>
      <c r="G287">
        <f>SUM(G288:G292)</f>
        <v>0</v>
      </c>
      <c r="H287">
        <f>SUM(H288:H292)</f>
        <v>832852.38415342965</v>
      </c>
      <c r="I287">
        <f>SUM(I288:I292)</f>
        <v>0</v>
      </c>
      <c r="J287" s="107" t="s">
        <v>98</v>
      </c>
      <c r="K287" s="107" t="s">
        <v>546</v>
      </c>
    </row>
    <row r="288" spans="1:11" outlineLevel="1" x14ac:dyDescent="0.25">
      <c r="A288" s="107"/>
      <c r="B288" s="107"/>
      <c r="C288" s="107"/>
      <c r="D288">
        <v>2021</v>
      </c>
      <c r="E288">
        <f t="shared" si="26"/>
        <v>69576.494685752899</v>
      </c>
      <c r="F288">
        <f>F294+F300+F306+F312+F318+F324</f>
        <v>55989.257299999997</v>
      </c>
      <c r="G288">
        <f>G294+G300+G306+G312+G318+G324</f>
        <v>0</v>
      </c>
      <c r="H288">
        <f t="shared" ref="H288:I292" si="29">H294+H300+H306+H312+H318</f>
        <v>13587.237385752907</v>
      </c>
      <c r="I288">
        <f t="shared" si="29"/>
        <v>0</v>
      </c>
      <c r="J288" s="107"/>
      <c r="K288" s="107"/>
    </row>
    <row r="289" spans="1:12" outlineLevel="1" x14ac:dyDescent="0.25">
      <c r="A289" s="107"/>
      <c r="B289" s="107"/>
      <c r="C289" s="107"/>
      <c r="D289">
        <v>2022</v>
      </c>
      <c r="E289">
        <f t="shared" si="26"/>
        <v>1093206.3767676768</v>
      </c>
      <c r="F289">
        <f>F295+F301+F307+F313+F319+F325+F331+F337+F343+F349+F355+F361+F367+F373+F379+F385+F391+F397</f>
        <v>903525.47199999995</v>
      </c>
      <c r="G289">
        <f t="shared" ref="G289:G292" si="30">G295+G301+G307+G313+G319</f>
        <v>0</v>
      </c>
      <c r="H289">
        <f>H295+H301+H307+H313+H319+H343+H349+H355+H361+H367+H373+H379+H385+H391+H397+H325+H331+H337</f>
        <v>189680.90476767675</v>
      </c>
      <c r="I289">
        <f t="shared" si="29"/>
        <v>0</v>
      </c>
      <c r="J289" s="107"/>
      <c r="K289" s="107"/>
    </row>
    <row r="290" spans="1:12" outlineLevel="1" x14ac:dyDescent="0.25">
      <c r="A290" s="107"/>
      <c r="B290" s="107"/>
      <c r="C290" s="107"/>
      <c r="D290">
        <v>2023</v>
      </c>
      <c r="E290">
        <f t="shared" si="26"/>
        <v>2390576.6609999998</v>
      </c>
      <c r="F290">
        <f>F296+F302+F308+F314+F320+F326+F332+F338+F344+F350+F356+F362+F368+F374+F380+F386+F392</f>
        <v>1760992.419</v>
      </c>
      <c r="G290">
        <f t="shared" si="30"/>
        <v>0</v>
      </c>
      <c r="H290">
        <f t="shared" ref="H290:H292" si="31">H296+H302+H308+H314+H320+H326+H332+H338+H344+H350+H356+H362+H368+H374+H380+H386+H392+H398</f>
        <v>629584.24199999997</v>
      </c>
      <c r="I290">
        <f t="shared" si="29"/>
        <v>0</v>
      </c>
      <c r="J290" s="107"/>
      <c r="K290" s="107"/>
    </row>
    <row r="291" spans="1:12" outlineLevel="1" x14ac:dyDescent="0.25">
      <c r="A291" s="107"/>
      <c r="B291" s="107"/>
      <c r="C291" s="107"/>
      <c r="D291">
        <v>2024</v>
      </c>
      <c r="E291">
        <f t="shared" si="26"/>
        <v>0</v>
      </c>
      <c r="F291">
        <f>F297+F303+F309+F315+F321+F327+F333+F339+F345</f>
        <v>0</v>
      </c>
      <c r="G291">
        <f t="shared" si="30"/>
        <v>0</v>
      </c>
      <c r="H291">
        <f t="shared" si="31"/>
        <v>0</v>
      </c>
      <c r="I291">
        <f t="shared" si="29"/>
        <v>0</v>
      </c>
      <c r="J291" s="107"/>
      <c r="K291" s="107"/>
    </row>
    <row r="292" spans="1:12" outlineLevel="1" x14ac:dyDescent="0.25">
      <c r="A292" s="107"/>
      <c r="B292" s="107"/>
      <c r="C292" s="107"/>
      <c r="D292">
        <v>2025</v>
      </c>
      <c r="E292">
        <f t="shared" si="26"/>
        <v>0</v>
      </c>
      <c r="F292">
        <f>F298+F304+F310+F316+F322</f>
        <v>0</v>
      </c>
      <c r="G292">
        <f t="shared" si="30"/>
        <v>0</v>
      </c>
      <c r="H292">
        <f t="shared" si="31"/>
        <v>0</v>
      </c>
      <c r="I292">
        <f t="shared" si="29"/>
        <v>0</v>
      </c>
      <c r="J292" s="107"/>
      <c r="K292" s="107"/>
    </row>
    <row r="293" spans="1:12" ht="14.25" customHeight="1" outlineLevel="1" x14ac:dyDescent="0.25">
      <c r="A293" s="107" t="s">
        <v>100</v>
      </c>
      <c r="B293" s="107" t="s">
        <v>101</v>
      </c>
      <c r="C293" s="107">
        <v>2021</v>
      </c>
      <c r="D293" t="s">
        <v>8</v>
      </c>
      <c r="E293">
        <f>SUM(E294:E298)</f>
        <v>509174.94176570047</v>
      </c>
      <c r="F293">
        <f>SUM(F294:F298)</f>
        <v>427125.34999000002</v>
      </c>
      <c r="G293">
        <f>SUM(G294:G298)</f>
        <v>0</v>
      </c>
      <c r="H293">
        <f>SUM(H294:H298)</f>
        <v>82049.591775700479</v>
      </c>
      <c r="I293">
        <f>SUM(I294:I298)</f>
        <v>0</v>
      </c>
      <c r="J293" s="107" t="s">
        <v>857</v>
      </c>
      <c r="K293" s="107" t="s">
        <v>547</v>
      </c>
    </row>
    <row r="294" spans="1:12" ht="14.25" customHeight="1" outlineLevel="1" x14ac:dyDescent="0.25">
      <c r="A294" s="107"/>
      <c r="B294" s="107"/>
      <c r="C294" s="107"/>
      <c r="D294">
        <v>2021</v>
      </c>
      <c r="E294">
        <f t="shared" ref="E294:E298" si="32">SUM(F294:I294)</f>
        <v>6584.2777657004835</v>
      </c>
      <c r="F294">
        <v>5451.7819900000004</v>
      </c>
      <c r="G294">
        <v>0</v>
      </c>
      <c r="H294">
        <f>F294/82.8*17.2</f>
        <v>1132.4957757004834</v>
      </c>
      <c r="I294">
        <v>0</v>
      </c>
      <c r="J294" s="107"/>
      <c r="K294" s="107"/>
    </row>
    <row r="295" spans="1:12" ht="14.25" customHeight="1" outlineLevel="1" x14ac:dyDescent="0.25">
      <c r="A295" s="107"/>
      <c r="B295" s="107"/>
      <c r="C295" s="107"/>
      <c r="D295">
        <v>2022</v>
      </c>
      <c r="E295">
        <f t="shared" si="32"/>
        <v>194614.003</v>
      </c>
      <c r="F295">
        <v>163281.149</v>
      </c>
      <c r="G295">
        <v>0</v>
      </c>
      <c r="H295">
        <v>31332.853999999999</v>
      </c>
      <c r="I295">
        <v>0</v>
      </c>
      <c r="J295" s="107"/>
      <c r="K295" s="107"/>
      <c r="L295" t="s">
        <v>858</v>
      </c>
    </row>
    <row r="296" spans="1:12" ht="14.25" customHeight="1" outlineLevel="1" x14ac:dyDescent="0.25">
      <c r="A296" s="107"/>
      <c r="B296" s="107"/>
      <c r="C296" s="107"/>
      <c r="D296">
        <v>2023</v>
      </c>
      <c r="E296">
        <f t="shared" si="32"/>
        <v>307976.66099999996</v>
      </c>
      <c r="F296">
        <v>258392.41899999999</v>
      </c>
      <c r="G296">
        <v>0</v>
      </c>
      <c r="H296">
        <v>49584.241999999998</v>
      </c>
      <c r="I296">
        <v>0</v>
      </c>
      <c r="J296" s="107"/>
      <c r="K296" s="107"/>
    </row>
    <row r="297" spans="1:12" ht="14.25" customHeight="1" outlineLevel="1" x14ac:dyDescent="0.25">
      <c r="A297" s="107"/>
      <c r="B297" s="107"/>
      <c r="C297" s="107"/>
      <c r="D297">
        <v>2024</v>
      </c>
      <c r="E297">
        <f t="shared" si="32"/>
        <v>0</v>
      </c>
      <c r="F297">
        <v>0</v>
      </c>
      <c r="G297">
        <v>0</v>
      </c>
      <c r="H297">
        <v>0</v>
      </c>
      <c r="I297">
        <v>0</v>
      </c>
      <c r="J297" s="107"/>
      <c r="K297" s="107"/>
    </row>
    <row r="298" spans="1:12" ht="14.25" customHeight="1" outlineLevel="1" x14ac:dyDescent="0.25">
      <c r="A298" s="107"/>
      <c r="B298" s="107"/>
      <c r="C298" s="107"/>
      <c r="D298">
        <v>2025</v>
      </c>
      <c r="E298">
        <f t="shared" si="32"/>
        <v>0</v>
      </c>
      <c r="F298">
        <v>0</v>
      </c>
      <c r="G298">
        <v>0</v>
      </c>
      <c r="H298">
        <v>0</v>
      </c>
      <c r="I298">
        <v>0</v>
      </c>
      <c r="J298" s="107"/>
      <c r="K298" s="107"/>
    </row>
    <row r="299" spans="1:12" ht="12" customHeight="1" outlineLevel="1" x14ac:dyDescent="0.25">
      <c r="A299" s="107" t="s">
        <v>548</v>
      </c>
      <c r="B299" s="107" t="s">
        <v>442</v>
      </c>
      <c r="C299" s="107">
        <v>2021</v>
      </c>
      <c r="D299" t="s">
        <v>8</v>
      </c>
      <c r="E299">
        <f>SUM(E300:E304)</f>
        <v>42104.816920052421</v>
      </c>
      <c r="F299">
        <f>SUM(F300:F304)</f>
        <v>32125.975309999998</v>
      </c>
      <c r="G299">
        <f>SUM(G300:G304)</f>
        <v>0</v>
      </c>
      <c r="H299">
        <f>SUM(H300:H304)</f>
        <v>9978.8416100524246</v>
      </c>
      <c r="I299">
        <f>SUM(I300:I304)</f>
        <v>0</v>
      </c>
      <c r="J299" s="107" t="s">
        <v>549</v>
      </c>
      <c r="K299" s="107" t="s">
        <v>547</v>
      </c>
    </row>
    <row r="300" spans="1:12" ht="12" customHeight="1" outlineLevel="1" x14ac:dyDescent="0.25">
      <c r="A300" s="107"/>
      <c r="B300" s="107"/>
      <c r="C300" s="107"/>
      <c r="D300">
        <v>2021</v>
      </c>
      <c r="E300">
        <f t="shared" ref="E300:E363" si="33">SUM(F300:I300)</f>
        <v>42104.816920052421</v>
      </c>
      <c r="F300">
        <f>32125975.31/1000</f>
        <v>32125.975309999998</v>
      </c>
      <c r="G300">
        <v>0</v>
      </c>
      <c r="H300">
        <f>F300/76.3*23.7</f>
        <v>9978.8416100524246</v>
      </c>
      <c r="I300">
        <v>0</v>
      </c>
      <c r="J300" s="107"/>
      <c r="K300" s="107"/>
    </row>
    <row r="301" spans="1:12" ht="12" customHeight="1" outlineLevel="1" x14ac:dyDescent="0.25">
      <c r="A301" s="107"/>
      <c r="B301" s="107"/>
      <c r="C301" s="107"/>
      <c r="D301">
        <v>2022</v>
      </c>
      <c r="E301">
        <f t="shared" si="33"/>
        <v>0</v>
      </c>
      <c r="F301">
        <v>0</v>
      </c>
      <c r="G301">
        <v>0</v>
      </c>
      <c r="H301">
        <v>0</v>
      </c>
      <c r="I301">
        <v>0</v>
      </c>
      <c r="J301" s="107"/>
      <c r="K301" s="107"/>
      <c r="L301" t="s">
        <v>858</v>
      </c>
    </row>
    <row r="302" spans="1:12" ht="12" customHeight="1" outlineLevel="1" x14ac:dyDescent="0.25">
      <c r="A302" s="107"/>
      <c r="B302" s="107"/>
      <c r="C302" s="107"/>
      <c r="D302">
        <v>2023</v>
      </c>
      <c r="E302">
        <f t="shared" si="33"/>
        <v>0</v>
      </c>
      <c r="F302">
        <v>0</v>
      </c>
      <c r="G302">
        <v>0</v>
      </c>
      <c r="H302">
        <v>0</v>
      </c>
      <c r="I302">
        <v>0</v>
      </c>
      <c r="J302" s="107"/>
      <c r="K302" s="107"/>
    </row>
    <row r="303" spans="1:12" ht="12" customHeight="1" outlineLevel="1" x14ac:dyDescent="0.25">
      <c r="A303" s="107"/>
      <c r="B303" s="107"/>
      <c r="C303" s="107"/>
      <c r="D303">
        <v>2024</v>
      </c>
      <c r="E303">
        <f t="shared" si="33"/>
        <v>0</v>
      </c>
      <c r="F303">
        <v>0</v>
      </c>
      <c r="G303">
        <v>0</v>
      </c>
      <c r="H303">
        <v>0</v>
      </c>
      <c r="I303">
        <v>0</v>
      </c>
      <c r="J303" s="107"/>
      <c r="K303" s="107"/>
    </row>
    <row r="304" spans="1:12" ht="12" customHeight="1" outlineLevel="1" x14ac:dyDescent="0.25">
      <c r="A304" s="107"/>
      <c r="B304" s="107"/>
      <c r="C304" s="107"/>
      <c r="D304">
        <v>2025</v>
      </c>
      <c r="E304">
        <f t="shared" si="33"/>
        <v>0</v>
      </c>
      <c r="F304">
        <v>0</v>
      </c>
      <c r="G304">
        <v>0</v>
      </c>
      <c r="H304">
        <v>0</v>
      </c>
      <c r="I304">
        <v>0</v>
      </c>
      <c r="J304" s="107"/>
      <c r="K304" s="107"/>
    </row>
    <row r="305" spans="1:12" ht="15" customHeight="1" outlineLevel="1" x14ac:dyDescent="0.25">
      <c r="A305" s="107" t="s">
        <v>550</v>
      </c>
      <c r="B305" s="107" t="s">
        <v>551</v>
      </c>
      <c r="C305" s="107">
        <v>2021</v>
      </c>
      <c r="D305" t="s">
        <v>8</v>
      </c>
      <c r="E305">
        <f t="shared" si="33"/>
        <v>1505.5</v>
      </c>
      <c r="F305">
        <f>SUM(F306:F310)</f>
        <v>1505.5</v>
      </c>
      <c r="G305">
        <f>SUM(G306:G310)</f>
        <v>0</v>
      </c>
      <c r="H305">
        <f>SUM(H306:H310)</f>
        <v>0</v>
      </c>
      <c r="I305">
        <f>SUM(I306:I310)</f>
        <v>0</v>
      </c>
      <c r="J305" s="107" t="s">
        <v>552</v>
      </c>
      <c r="K305" s="107" t="s">
        <v>553</v>
      </c>
    </row>
    <row r="306" spans="1:12" ht="15" customHeight="1" outlineLevel="1" x14ac:dyDescent="0.25">
      <c r="A306" s="107"/>
      <c r="B306" s="107"/>
      <c r="C306" s="107"/>
      <c r="D306">
        <v>2021</v>
      </c>
      <c r="E306">
        <f t="shared" si="33"/>
        <v>1505.5</v>
      </c>
      <c r="F306">
        <v>1505.5</v>
      </c>
      <c r="G306">
        <v>0</v>
      </c>
      <c r="H306">
        <v>0</v>
      </c>
      <c r="I306">
        <v>0</v>
      </c>
      <c r="J306" s="107"/>
      <c r="K306" s="107"/>
    </row>
    <row r="307" spans="1:12" outlineLevel="1" x14ac:dyDescent="0.25">
      <c r="A307" s="107"/>
      <c r="B307" s="107"/>
      <c r="C307" s="107"/>
      <c r="D307">
        <v>2022</v>
      </c>
      <c r="E307">
        <f t="shared" si="33"/>
        <v>0</v>
      </c>
      <c r="F307">
        <v>0</v>
      </c>
      <c r="G307">
        <v>0</v>
      </c>
      <c r="H307">
        <v>0</v>
      </c>
      <c r="I307">
        <v>0</v>
      </c>
      <c r="J307" s="107"/>
      <c r="K307" s="107"/>
    </row>
    <row r="308" spans="1:12" outlineLevel="1" x14ac:dyDescent="0.25">
      <c r="A308" s="107"/>
      <c r="B308" s="107"/>
      <c r="C308" s="107"/>
      <c r="D308">
        <v>2023</v>
      </c>
      <c r="E308">
        <f t="shared" si="33"/>
        <v>0</v>
      </c>
      <c r="F308">
        <v>0</v>
      </c>
      <c r="G308">
        <v>0</v>
      </c>
      <c r="H308">
        <v>0</v>
      </c>
      <c r="I308">
        <v>0</v>
      </c>
      <c r="J308" s="107"/>
      <c r="K308" s="107"/>
    </row>
    <row r="309" spans="1:12" outlineLevel="1" x14ac:dyDescent="0.25">
      <c r="A309" s="107"/>
      <c r="B309" s="107"/>
      <c r="C309" s="107"/>
      <c r="D309">
        <v>2024</v>
      </c>
      <c r="E309">
        <f t="shared" si="33"/>
        <v>0</v>
      </c>
      <c r="F309">
        <v>0</v>
      </c>
      <c r="G309">
        <v>0</v>
      </c>
      <c r="H309">
        <v>0</v>
      </c>
      <c r="I309">
        <v>0</v>
      </c>
      <c r="J309" s="107"/>
      <c r="K309" s="107"/>
    </row>
    <row r="310" spans="1:12" outlineLevel="1" x14ac:dyDescent="0.25">
      <c r="A310" s="107"/>
      <c r="B310" s="107"/>
      <c r="C310" s="107"/>
      <c r="D310">
        <v>2025</v>
      </c>
      <c r="E310">
        <f t="shared" si="33"/>
        <v>0</v>
      </c>
      <c r="F310">
        <v>0</v>
      </c>
      <c r="G310">
        <v>0</v>
      </c>
      <c r="H310">
        <v>0</v>
      </c>
      <c r="I310">
        <v>0</v>
      </c>
      <c r="J310" s="107"/>
      <c r="K310" s="107"/>
    </row>
    <row r="311" spans="1:12" ht="0.75" customHeight="1" outlineLevel="1" x14ac:dyDescent="0.25">
      <c r="A311" s="107" t="s">
        <v>554</v>
      </c>
      <c r="B311" s="107" t="s">
        <v>555</v>
      </c>
      <c r="C311" s="107">
        <v>2021</v>
      </c>
      <c r="D311" t="s">
        <v>8</v>
      </c>
      <c r="E311">
        <f t="shared" si="33"/>
        <v>0</v>
      </c>
      <c r="F311">
        <f>SUM(F312:F316)</f>
        <v>0</v>
      </c>
      <c r="G311">
        <f>SUM(G312:G316)</f>
        <v>0</v>
      </c>
      <c r="H311">
        <f>SUM(H312:H316)</f>
        <v>0</v>
      </c>
      <c r="I311">
        <f>SUM(I312:I316)</f>
        <v>0</v>
      </c>
      <c r="J311" s="107" t="s">
        <v>556</v>
      </c>
      <c r="K311" s="107" t="s">
        <v>515</v>
      </c>
    </row>
    <row r="312" spans="1:12" ht="17.25" hidden="1" customHeight="1" outlineLevel="1" x14ac:dyDescent="0.25">
      <c r="A312" s="107"/>
      <c r="B312" s="107"/>
      <c r="C312" s="107"/>
      <c r="D312">
        <v>2021</v>
      </c>
      <c r="E312">
        <f t="shared" si="33"/>
        <v>0</v>
      </c>
      <c r="F312">
        <v>0</v>
      </c>
      <c r="G312">
        <v>0</v>
      </c>
      <c r="H312">
        <v>0</v>
      </c>
      <c r="I312">
        <v>0</v>
      </c>
      <c r="J312" s="107"/>
      <c r="K312" s="107"/>
    </row>
    <row r="313" spans="1:12" ht="17.25" hidden="1" customHeight="1" outlineLevel="1" x14ac:dyDescent="0.25">
      <c r="A313" s="107"/>
      <c r="B313" s="107"/>
      <c r="C313" s="107"/>
      <c r="D313">
        <v>2022</v>
      </c>
      <c r="E313">
        <f t="shared" si="33"/>
        <v>0</v>
      </c>
      <c r="F313">
        <v>0</v>
      </c>
      <c r="G313">
        <v>0</v>
      </c>
      <c r="H313">
        <v>0</v>
      </c>
      <c r="I313">
        <v>0</v>
      </c>
      <c r="J313" s="107"/>
      <c r="K313" s="107"/>
    </row>
    <row r="314" spans="1:12" ht="17.25" hidden="1" customHeight="1" outlineLevel="1" x14ac:dyDescent="0.25">
      <c r="A314" s="107"/>
      <c r="B314" s="107"/>
      <c r="C314" s="107"/>
      <c r="D314">
        <v>2023</v>
      </c>
      <c r="E314">
        <f t="shared" si="33"/>
        <v>0</v>
      </c>
      <c r="F314">
        <v>0</v>
      </c>
      <c r="G314">
        <v>0</v>
      </c>
      <c r="H314">
        <v>0</v>
      </c>
      <c r="I314">
        <v>0</v>
      </c>
      <c r="J314" s="107"/>
      <c r="K314" s="107"/>
    </row>
    <row r="315" spans="1:12" ht="17.25" hidden="1" customHeight="1" outlineLevel="1" x14ac:dyDescent="0.25">
      <c r="A315" s="107"/>
      <c r="B315" s="107"/>
      <c r="C315" s="107"/>
      <c r="D315">
        <v>2024</v>
      </c>
      <c r="E315">
        <f t="shared" si="33"/>
        <v>0</v>
      </c>
      <c r="F315">
        <v>0</v>
      </c>
      <c r="G315">
        <v>0</v>
      </c>
      <c r="H315">
        <v>0</v>
      </c>
      <c r="I315">
        <v>0</v>
      </c>
      <c r="J315" s="107"/>
      <c r="K315" s="107"/>
    </row>
    <row r="316" spans="1:12" ht="17.25" hidden="1" customHeight="1" outlineLevel="1" x14ac:dyDescent="0.25">
      <c r="A316" s="107"/>
      <c r="B316" s="107"/>
      <c r="C316" s="107"/>
      <c r="D316">
        <v>2025</v>
      </c>
      <c r="E316">
        <f t="shared" si="33"/>
        <v>0</v>
      </c>
      <c r="F316">
        <v>0</v>
      </c>
      <c r="G316">
        <v>0</v>
      </c>
      <c r="H316">
        <v>0</v>
      </c>
      <c r="I316">
        <v>0</v>
      </c>
      <c r="J316" s="107"/>
      <c r="K316" s="107"/>
    </row>
    <row r="317" spans="1:12" ht="15" customHeight="1" outlineLevel="1" x14ac:dyDescent="0.25">
      <c r="A317" s="107" t="s">
        <v>557</v>
      </c>
      <c r="B317" s="107" t="s">
        <v>558</v>
      </c>
      <c r="C317" s="107">
        <v>2021</v>
      </c>
      <c r="D317" t="s">
        <v>8</v>
      </c>
      <c r="E317">
        <f t="shared" si="33"/>
        <v>119225.80933333332</v>
      </c>
      <c r="F317">
        <f>SUM(F318:F322)</f>
        <v>89555.156999999992</v>
      </c>
      <c r="G317">
        <f>SUM(G318:G322)</f>
        <v>0</v>
      </c>
      <c r="H317">
        <f>SUM(H318:H322)</f>
        <v>29670.652333333335</v>
      </c>
      <c r="I317">
        <f>SUM(I318:I322)</f>
        <v>0</v>
      </c>
      <c r="J317" s="107" t="s">
        <v>859</v>
      </c>
      <c r="K317" s="107" t="s">
        <v>547</v>
      </c>
      <c r="L317" t="s">
        <v>860</v>
      </c>
    </row>
    <row r="318" spans="1:12" ht="15" customHeight="1" outlineLevel="1" x14ac:dyDescent="0.25">
      <c r="A318" s="107"/>
      <c r="B318" s="107"/>
      <c r="C318" s="107"/>
      <c r="D318">
        <v>2021</v>
      </c>
      <c r="E318">
        <f t="shared" si="33"/>
        <v>10446.799999999999</v>
      </c>
      <c r="F318">
        <v>7970.9</v>
      </c>
      <c r="G318">
        <v>0</v>
      </c>
      <c r="H318">
        <v>2475.9</v>
      </c>
      <c r="I318">
        <v>0</v>
      </c>
      <c r="J318" s="107"/>
      <c r="K318" s="107"/>
    </row>
    <row r="319" spans="1:12" ht="15" customHeight="1" outlineLevel="1" x14ac:dyDescent="0.25">
      <c r="A319" s="107"/>
      <c r="B319" s="107"/>
      <c r="C319" s="107"/>
      <c r="D319">
        <v>2022</v>
      </c>
      <c r="E319">
        <f t="shared" si="33"/>
        <v>108779.00933333334</v>
      </c>
      <c r="F319">
        <v>81584.256999999998</v>
      </c>
      <c r="G319">
        <v>0</v>
      </c>
      <c r="H319">
        <f>F319/75*25</f>
        <v>27194.752333333334</v>
      </c>
      <c r="I319">
        <v>0</v>
      </c>
      <c r="J319" s="107"/>
      <c r="K319" s="107"/>
    </row>
    <row r="320" spans="1:12" ht="15" customHeight="1" outlineLevel="1" x14ac:dyDescent="0.25">
      <c r="A320" s="107"/>
      <c r="B320" s="107"/>
      <c r="C320" s="107"/>
      <c r="D320">
        <v>2023</v>
      </c>
      <c r="E320">
        <f t="shared" si="33"/>
        <v>0</v>
      </c>
      <c r="F320">
        <v>0</v>
      </c>
      <c r="G320">
        <v>0</v>
      </c>
      <c r="H320">
        <v>0</v>
      </c>
      <c r="I320">
        <v>0</v>
      </c>
      <c r="J320" s="107"/>
      <c r="K320" s="107"/>
    </row>
    <row r="321" spans="1:14" ht="15" customHeight="1" outlineLevel="1" x14ac:dyDescent="0.25">
      <c r="A321" s="107"/>
      <c r="B321" s="107"/>
      <c r="C321" s="107"/>
      <c r="D321">
        <v>2024</v>
      </c>
      <c r="E321">
        <f t="shared" si="33"/>
        <v>0</v>
      </c>
      <c r="F321">
        <v>0</v>
      </c>
      <c r="G321">
        <v>0</v>
      </c>
      <c r="H321">
        <v>0</v>
      </c>
      <c r="I321">
        <v>0</v>
      </c>
      <c r="J321" s="107"/>
      <c r="K321" s="107"/>
    </row>
    <row r="322" spans="1:14" ht="15" customHeight="1" outlineLevel="1" x14ac:dyDescent="0.25">
      <c r="A322" s="107"/>
      <c r="B322" s="107"/>
      <c r="C322" s="107"/>
      <c r="D322">
        <v>2025</v>
      </c>
      <c r="E322">
        <f t="shared" si="33"/>
        <v>0</v>
      </c>
      <c r="F322">
        <v>0</v>
      </c>
      <c r="G322">
        <v>0</v>
      </c>
      <c r="H322">
        <v>0</v>
      </c>
      <c r="I322">
        <v>0</v>
      </c>
      <c r="J322" s="107"/>
      <c r="K322" s="107"/>
    </row>
    <row r="323" spans="1:14" ht="15" customHeight="1" outlineLevel="1" x14ac:dyDescent="0.25">
      <c r="A323" s="107" t="s">
        <v>560</v>
      </c>
      <c r="B323" s="107" t="s">
        <v>561</v>
      </c>
      <c r="C323" s="107">
        <v>2021</v>
      </c>
      <c r="D323" t="s">
        <v>8</v>
      </c>
      <c r="E323">
        <f t="shared" si="33"/>
        <v>8935.1</v>
      </c>
      <c r="F323">
        <f>SUM(F324:F328)</f>
        <v>8935.1</v>
      </c>
      <c r="G323">
        <f>SUM(G324:G328)</f>
        <v>0</v>
      </c>
      <c r="H323">
        <f>SUM(H324:H328)</f>
        <v>0</v>
      </c>
      <c r="I323">
        <f>SUM(I324:I328)</f>
        <v>0</v>
      </c>
      <c r="J323" s="107" t="s">
        <v>562</v>
      </c>
      <c r="K323" s="107" t="s">
        <v>563</v>
      </c>
    </row>
    <row r="324" spans="1:14" ht="15" customHeight="1" outlineLevel="1" x14ac:dyDescent="0.25">
      <c r="A324" s="107"/>
      <c r="B324" s="107"/>
      <c r="C324" s="107"/>
      <c r="D324">
        <v>2021</v>
      </c>
      <c r="E324">
        <f t="shared" si="33"/>
        <v>8935.1</v>
      </c>
      <c r="F324">
        <v>8935.1</v>
      </c>
      <c r="G324">
        <v>0</v>
      </c>
      <c r="H324">
        <v>0</v>
      </c>
      <c r="I324">
        <v>0</v>
      </c>
      <c r="J324" s="107"/>
      <c r="K324" s="107"/>
    </row>
    <row r="325" spans="1:14" ht="15" customHeight="1" outlineLevel="1" x14ac:dyDescent="0.25">
      <c r="A325" s="107"/>
      <c r="B325" s="107"/>
      <c r="C325" s="107"/>
      <c r="D325">
        <v>2022</v>
      </c>
      <c r="E325">
        <f t="shared" si="33"/>
        <v>0</v>
      </c>
      <c r="F325">
        <v>0</v>
      </c>
      <c r="G325">
        <v>0</v>
      </c>
      <c r="H325">
        <v>0</v>
      </c>
      <c r="I325">
        <v>0</v>
      </c>
      <c r="J325" s="107"/>
      <c r="K325" s="107"/>
    </row>
    <row r="326" spans="1:14" ht="15" customHeight="1" outlineLevel="1" x14ac:dyDescent="0.25">
      <c r="A326" s="107"/>
      <c r="B326" s="107"/>
      <c r="C326" s="107"/>
      <c r="D326">
        <v>2023</v>
      </c>
      <c r="E326">
        <f t="shared" si="33"/>
        <v>0</v>
      </c>
      <c r="F326">
        <v>0</v>
      </c>
      <c r="G326">
        <v>0</v>
      </c>
      <c r="H326">
        <v>0</v>
      </c>
      <c r="I326">
        <v>0</v>
      </c>
      <c r="J326" s="107"/>
      <c r="K326" s="107"/>
    </row>
    <row r="327" spans="1:14" ht="15" customHeight="1" outlineLevel="1" x14ac:dyDescent="0.25">
      <c r="A327" s="107"/>
      <c r="B327" s="107"/>
      <c r="C327" s="107"/>
      <c r="D327">
        <v>2024</v>
      </c>
      <c r="E327">
        <f t="shared" si="33"/>
        <v>0</v>
      </c>
      <c r="F327">
        <v>0</v>
      </c>
      <c r="G327">
        <v>0</v>
      </c>
      <c r="H327">
        <v>0</v>
      </c>
      <c r="I327">
        <v>0</v>
      </c>
      <c r="J327" s="107"/>
      <c r="K327" s="107"/>
    </row>
    <row r="328" spans="1:14" ht="15" customHeight="1" outlineLevel="1" x14ac:dyDescent="0.25">
      <c r="A328" s="107"/>
      <c r="B328" s="107"/>
      <c r="C328" s="107"/>
      <c r="D328">
        <v>2025</v>
      </c>
      <c r="E328">
        <f t="shared" si="33"/>
        <v>0</v>
      </c>
      <c r="F328">
        <v>0</v>
      </c>
      <c r="G328">
        <v>0</v>
      </c>
      <c r="H328">
        <v>0</v>
      </c>
      <c r="I328">
        <v>0</v>
      </c>
      <c r="J328" s="107"/>
      <c r="K328" s="107"/>
    </row>
    <row r="329" spans="1:14" ht="15" customHeight="1" outlineLevel="1" x14ac:dyDescent="0.25">
      <c r="A329" s="107" t="s">
        <v>861</v>
      </c>
      <c r="B329" s="107" t="s">
        <v>862</v>
      </c>
      <c r="C329" s="107">
        <v>2022</v>
      </c>
      <c r="D329" t="s">
        <v>8</v>
      </c>
      <c r="E329">
        <f t="shared" si="33"/>
        <v>50000</v>
      </c>
      <c r="F329">
        <f>SUM(F330:F334)</f>
        <v>25000</v>
      </c>
      <c r="G329">
        <f>SUM(G330:G334)</f>
        <v>0</v>
      </c>
      <c r="H329">
        <f>SUM(H330:H334)</f>
        <v>25000</v>
      </c>
      <c r="I329">
        <f>SUM(I330:I334)</f>
        <v>0</v>
      </c>
      <c r="J329" s="107" t="s">
        <v>863</v>
      </c>
      <c r="K329" s="107" t="s">
        <v>547</v>
      </c>
      <c r="L329" s="107" t="s">
        <v>865</v>
      </c>
      <c r="M329" s="107" t="s">
        <v>866</v>
      </c>
    </row>
    <row r="330" spans="1:14" ht="15" customHeight="1" outlineLevel="1" x14ac:dyDescent="0.25">
      <c r="A330" s="107"/>
      <c r="B330" s="107"/>
      <c r="C330" s="107"/>
      <c r="D330">
        <v>2021</v>
      </c>
      <c r="E330">
        <f t="shared" si="33"/>
        <v>0</v>
      </c>
      <c r="F330">
        <v>0</v>
      </c>
      <c r="G330">
        <v>0</v>
      </c>
      <c r="H330">
        <v>0</v>
      </c>
      <c r="I330">
        <v>0</v>
      </c>
      <c r="J330" s="107"/>
      <c r="K330" s="107"/>
      <c r="L330" s="107"/>
      <c r="M330" s="107"/>
    </row>
    <row r="331" spans="1:14" ht="15" customHeight="1" outlineLevel="1" x14ac:dyDescent="0.25">
      <c r="A331" s="107"/>
      <c r="B331" s="107"/>
      <c r="C331" s="107"/>
      <c r="D331">
        <v>2022</v>
      </c>
      <c r="E331">
        <f t="shared" si="33"/>
        <v>50000</v>
      </c>
      <c r="F331">
        <v>25000</v>
      </c>
      <c r="G331">
        <v>0</v>
      </c>
      <c r="H331">
        <v>25000</v>
      </c>
      <c r="I331">
        <v>0</v>
      </c>
      <c r="J331" s="107"/>
      <c r="K331" s="107"/>
      <c r="L331" s="107"/>
      <c r="M331" s="107"/>
      <c r="N331" t="s">
        <v>867</v>
      </c>
    </row>
    <row r="332" spans="1:14" ht="15" customHeight="1" outlineLevel="1" x14ac:dyDescent="0.25">
      <c r="A332" s="107"/>
      <c r="B332" s="107"/>
      <c r="C332" s="107"/>
      <c r="D332">
        <v>2023</v>
      </c>
      <c r="E332">
        <f t="shared" si="33"/>
        <v>0</v>
      </c>
      <c r="F332">
        <v>0</v>
      </c>
      <c r="G332">
        <v>0</v>
      </c>
      <c r="H332">
        <v>0</v>
      </c>
      <c r="I332">
        <v>0</v>
      </c>
      <c r="J332" s="107"/>
      <c r="K332" s="107"/>
      <c r="L332" s="107"/>
      <c r="M332" s="107"/>
    </row>
    <row r="333" spans="1:14" ht="15" customHeight="1" outlineLevel="1" x14ac:dyDescent="0.25">
      <c r="A333" s="107"/>
      <c r="B333" s="107"/>
      <c r="C333" s="107"/>
      <c r="D333">
        <v>2024</v>
      </c>
      <c r="E333">
        <f t="shared" si="33"/>
        <v>0</v>
      </c>
      <c r="F333">
        <v>0</v>
      </c>
      <c r="G333">
        <v>0</v>
      </c>
      <c r="H333">
        <v>0</v>
      </c>
      <c r="I333">
        <v>0</v>
      </c>
      <c r="J333" s="107"/>
      <c r="K333" s="107"/>
      <c r="L333" s="107"/>
      <c r="M333" s="107"/>
    </row>
    <row r="334" spans="1:14" ht="15" customHeight="1" outlineLevel="1" x14ac:dyDescent="0.25">
      <c r="A334" s="107"/>
      <c r="B334" s="107"/>
      <c r="C334" s="107"/>
      <c r="D334">
        <v>2025</v>
      </c>
      <c r="E334">
        <f t="shared" si="33"/>
        <v>0</v>
      </c>
      <c r="F334">
        <v>0</v>
      </c>
      <c r="G334">
        <v>0</v>
      </c>
      <c r="H334">
        <v>0</v>
      </c>
      <c r="I334">
        <v>0</v>
      </c>
      <c r="J334" s="107"/>
      <c r="K334" s="107"/>
      <c r="L334" s="107"/>
      <c r="M334" s="107"/>
    </row>
    <row r="335" spans="1:14" ht="15" customHeight="1" outlineLevel="1" x14ac:dyDescent="0.25">
      <c r="A335" s="107" t="s">
        <v>868</v>
      </c>
      <c r="B335" s="107" t="s">
        <v>869</v>
      </c>
      <c r="C335" s="107">
        <v>2022</v>
      </c>
      <c r="D335" t="s">
        <v>8</v>
      </c>
      <c r="E335">
        <f t="shared" si="33"/>
        <v>680000</v>
      </c>
      <c r="F335">
        <f>SUM(F336:F340)</f>
        <v>340000</v>
      </c>
      <c r="G335">
        <f>SUM(G336:G340)</f>
        <v>0</v>
      </c>
      <c r="H335">
        <f>SUM(H336:H340)</f>
        <v>340000</v>
      </c>
      <c r="I335">
        <f>SUM(I336:I340)</f>
        <v>0</v>
      </c>
      <c r="J335" s="107" t="s">
        <v>870</v>
      </c>
      <c r="K335" s="107" t="s">
        <v>547</v>
      </c>
      <c r="L335" s="107" t="s">
        <v>871</v>
      </c>
      <c r="M335" s="107" t="s">
        <v>866</v>
      </c>
    </row>
    <row r="336" spans="1:14" ht="15" customHeight="1" outlineLevel="1" x14ac:dyDescent="0.25">
      <c r="A336" s="107"/>
      <c r="B336" s="107"/>
      <c r="C336" s="107"/>
      <c r="D336">
        <v>2021</v>
      </c>
      <c r="E336">
        <f t="shared" si="33"/>
        <v>0</v>
      </c>
      <c r="F336">
        <v>0</v>
      </c>
      <c r="G336">
        <v>0</v>
      </c>
      <c r="H336">
        <v>0</v>
      </c>
      <c r="I336">
        <v>0</v>
      </c>
      <c r="J336" s="107"/>
      <c r="K336" s="107"/>
      <c r="L336" s="107"/>
      <c r="M336" s="107"/>
    </row>
    <row r="337" spans="1:14" ht="15" customHeight="1" outlineLevel="1" x14ac:dyDescent="0.25">
      <c r="A337" s="107"/>
      <c r="B337" s="107"/>
      <c r="C337" s="107"/>
      <c r="D337">
        <v>2022</v>
      </c>
      <c r="E337">
        <f t="shared" si="33"/>
        <v>100000</v>
      </c>
      <c r="F337">
        <v>50000</v>
      </c>
      <c r="G337">
        <v>0</v>
      </c>
      <c r="H337">
        <v>50000</v>
      </c>
      <c r="I337">
        <v>0</v>
      </c>
      <c r="J337" s="107"/>
      <c r="K337" s="107"/>
      <c r="L337" s="107"/>
      <c r="M337" s="107"/>
      <c r="N337" t="s">
        <v>872</v>
      </c>
    </row>
    <row r="338" spans="1:14" ht="15" customHeight="1" outlineLevel="1" x14ac:dyDescent="0.25">
      <c r="A338" s="107"/>
      <c r="B338" s="107"/>
      <c r="C338" s="107"/>
      <c r="D338">
        <v>2023</v>
      </c>
      <c r="E338">
        <f t="shared" si="33"/>
        <v>580000</v>
      </c>
      <c r="F338">
        <v>290000</v>
      </c>
      <c r="G338">
        <v>0</v>
      </c>
      <c r="H338">
        <v>290000</v>
      </c>
      <c r="I338">
        <v>0</v>
      </c>
      <c r="J338" s="107"/>
      <c r="K338" s="107"/>
      <c r="L338" s="107"/>
      <c r="M338" s="107"/>
    </row>
    <row r="339" spans="1:14" ht="15" customHeight="1" outlineLevel="1" x14ac:dyDescent="0.25">
      <c r="A339" s="107"/>
      <c r="B339" s="107"/>
      <c r="C339" s="107"/>
      <c r="D339">
        <v>2024</v>
      </c>
      <c r="E339">
        <f t="shared" si="33"/>
        <v>0</v>
      </c>
      <c r="F339">
        <v>0</v>
      </c>
      <c r="G339">
        <v>0</v>
      </c>
      <c r="H339">
        <v>0</v>
      </c>
      <c r="I339">
        <v>0</v>
      </c>
      <c r="J339" s="107"/>
      <c r="K339" s="107"/>
      <c r="L339" s="107"/>
      <c r="M339" s="107"/>
    </row>
    <row r="340" spans="1:14" ht="15" customHeight="1" outlineLevel="1" x14ac:dyDescent="0.25">
      <c r="A340" s="107"/>
      <c r="B340" s="107"/>
      <c r="C340" s="107"/>
      <c r="D340">
        <v>2025</v>
      </c>
      <c r="E340">
        <f t="shared" si="33"/>
        <v>0</v>
      </c>
      <c r="F340">
        <v>0</v>
      </c>
      <c r="G340">
        <v>0</v>
      </c>
      <c r="H340">
        <v>0</v>
      </c>
      <c r="I340">
        <v>0</v>
      </c>
      <c r="J340" s="107"/>
      <c r="K340" s="107"/>
      <c r="L340" s="107"/>
      <c r="M340" s="107"/>
    </row>
    <row r="341" spans="1:14" ht="18.75" customHeight="1" outlineLevel="1" x14ac:dyDescent="0.25">
      <c r="A341" s="107" t="s">
        <v>873</v>
      </c>
      <c r="B341" s="107" t="s">
        <v>874</v>
      </c>
      <c r="C341" s="107">
        <v>2022</v>
      </c>
      <c r="D341" t="s">
        <v>8</v>
      </c>
      <c r="E341">
        <f t="shared" si="33"/>
        <v>6000</v>
      </c>
      <c r="F341">
        <f>SUM(F342:F346)</f>
        <v>6000</v>
      </c>
      <c r="G341">
        <f>SUM(G342:G346)</f>
        <v>0</v>
      </c>
      <c r="H341">
        <f>SUM(H342:H346)</f>
        <v>0</v>
      </c>
      <c r="I341">
        <f>SUM(I342:I346)</f>
        <v>0</v>
      </c>
      <c r="J341" s="107" t="s">
        <v>875</v>
      </c>
      <c r="K341" s="107" t="s">
        <v>955</v>
      </c>
      <c r="L341" s="107" t="s">
        <v>871</v>
      </c>
      <c r="M341" s="107" t="s">
        <v>877</v>
      </c>
    </row>
    <row r="342" spans="1:14" ht="18.75" customHeight="1" outlineLevel="1" x14ac:dyDescent="0.25">
      <c r="A342" s="107"/>
      <c r="B342" s="107"/>
      <c r="C342" s="107"/>
      <c r="D342">
        <v>2021</v>
      </c>
      <c r="E342">
        <f t="shared" si="33"/>
        <v>0</v>
      </c>
      <c r="F342">
        <v>0</v>
      </c>
      <c r="G342">
        <v>0</v>
      </c>
      <c r="H342">
        <v>0</v>
      </c>
      <c r="I342">
        <v>0</v>
      </c>
      <c r="J342" s="107"/>
      <c r="K342" s="107"/>
      <c r="L342" s="107"/>
      <c r="M342" s="107"/>
    </row>
    <row r="343" spans="1:14" ht="18.75" customHeight="1" outlineLevel="1" x14ac:dyDescent="0.25">
      <c r="A343" s="107"/>
      <c r="B343" s="107"/>
      <c r="C343" s="107"/>
      <c r="D343">
        <v>2022</v>
      </c>
      <c r="E343">
        <f t="shared" si="33"/>
        <v>6000</v>
      </c>
      <c r="F343">
        <v>6000</v>
      </c>
      <c r="G343">
        <v>0</v>
      </c>
      <c r="H343">
        <v>0</v>
      </c>
      <c r="I343">
        <v>0</v>
      </c>
      <c r="J343" s="107"/>
      <c r="K343" s="107"/>
      <c r="L343" s="107"/>
      <c r="M343" s="107"/>
      <c r="N343" t="s">
        <v>878</v>
      </c>
    </row>
    <row r="344" spans="1:14" ht="18.75" customHeight="1" outlineLevel="1" x14ac:dyDescent="0.25">
      <c r="A344" s="107"/>
      <c r="B344" s="107"/>
      <c r="C344" s="107"/>
      <c r="D344">
        <v>2023</v>
      </c>
      <c r="E344">
        <f t="shared" si="33"/>
        <v>0</v>
      </c>
      <c r="F344">
        <v>0</v>
      </c>
      <c r="G344">
        <v>0</v>
      </c>
      <c r="H344">
        <v>0</v>
      </c>
      <c r="I344">
        <v>0</v>
      </c>
      <c r="J344" s="107"/>
      <c r="K344" s="107"/>
      <c r="L344" s="107"/>
      <c r="M344" s="107"/>
    </row>
    <row r="345" spans="1:14" ht="18.75" customHeight="1" outlineLevel="1" x14ac:dyDescent="0.25">
      <c r="A345" s="107"/>
      <c r="B345" s="107"/>
      <c r="C345" s="107"/>
      <c r="D345">
        <v>2024</v>
      </c>
      <c r="E345">
        <f t="shared" si="33"/>
        <v>0</v>
      </c>
      <c r="F345">
        <v>0</v>
      </c>
      <c r="G345">
        <v>0</v>
      </c>
      <c r="H345">
        <v>0</v>
      </c>
      <c r="I345">
        <v>0</v>
      </c>
      <c r="J345" s="107"/>
      <c r="K345" s="107"/>
      <c r="L345" s="107"/>
      <c r="M345" s="107"/>
    </row>
    <row r="346" spans="1:14" ht="18.75" customHeight="1" outlineLevel="1" x14ac:dyDescent="0.25">
      <c r="A346" s="107"/>
      <c r="B346" s="107"/>
      <c r="C346" s="107"/>
      <c r="D346">
        <v>2025</v>
      </c>
      <c r="E346">
        <f t="shared" si="33"/>
        <v>0</v>
      </c>
      <c r="F346">
        <v>0</v>
      </c>
      <c r="G346">
        <v>0</v>
      </c>
      <c r="H346">
        <v>0</v>
      </c>
      <c r="I346">
        <v>0</v>
      </c>
      <c r="J346" s="107"/>
      <c r="K346" s="107"/>
      <c r="L346" s="107"/>
      <c r="M346" s="107"/>
    </row>
    <row r="347" spans="1:14" ht="15" customHeight="1" outlineLevel="1" x14ac:dyDescent="0.25">
      <c r="A347" s="107" t="s">
        <v>879</v>
      </c>
      <c r="B347" s="107" t="s">
        <v>880</v>
      </c>
      <c r="C347" s="107">
        <v>2022</v>
      </c>
      <c r="D347" t="s">
        <v>8</v>
      </c>
      <c r="E347">
        <f t="shared" si="33"/>
        <v>5000</v>
      </c>
      <c r="F347">
        <f>SUM(F348:F352)</f>
        <v>4750</v>
      </c>
      <c r="G347">
        <f>SUM(G348:G352)</f>
        <v>0</v>
      </c>
      <c r="H347">
        <f>SUM(H348:H352)</f>
        <v>250</v>
      </c>
      <c r="I347">
        <f>SUM(I348:I352)</f>
        <v>0</v>
      </c>
      <c r="J347" s="107" t="s">
        <v>881</v>
      </c>
      <c r="K347" s="107" t="s">
        <v>547</v>
      </c>
    </row>
    <row r="348" spans="1:14" ht="15" customHeight="1" outlineLevel="1" x14ac:dyDescent="0.25">
      <c r="A348" s="107"/>
      <c r="B348" s="107"/>
      <c r="C348" s="107"/>
      <c r="D348">
        <v>2021</v>
      </c>
      <c r="E348">
        <f t="shared" si="33"/>
        <v>0</v>
      </c>
      <c r="F348">
        <v>0</v>
      </c>
      <c r="G348">
        <v>0</v>
      </c>
      <c r="H348">
        <v>0</v>
      </c>
      <c r="I348">
        <v>0</v>
      </c>
      <c r="J348" s="107"/>
      <c r="K348" s="107"/>
    </row>
    <row r="349" spans="1:14" ht="15" customHeight="1" outlineLevel="1" x14ac:dyDescent="0.25">
      <c r="A349" s="107"/>
      <c r="B349" s="107"/>
      <c r="C349" s="107"/>
      <c r="D349">
        <v>2022</v>
      </c>
      <c r="E349">
        <f t="shared" si="33"/>
        <v>5000</v>
      </c>
      <c r="F349">
        <f>4750000/1000</f>
        <v>4750</v>
      </c>
      <c r="G349">
        <v>0</v>
      </c>
      <c r="H349">
        <f>F349*5%/95%</f>
        <v>250</v>
      </c>
      <c r="I349">
        <v>0</v>
      </c>
      <c r="J349" s="107"/>
      <c r="K349" s="107"/>
    </row>
    <row r="350" spans="1:14" ht="15" customHeight="1" outlineLevel="1" x14ac:dyDescent="0.25">
      <c r="A350" s="107"/>
      <c r="B350" s="107"/>
      <c r="C350" s="107"/>
      <c r="D350">
        <v>2023</v>
      </c>
      <c r="E350">
        <f t="shared" si="33"/>
        <v>0</v>
      </c>
      <c r="F350">
        <v>0</v>
      </c>
      <c r="G350">
        <v>0</v>
      </c>
      <c r="H350">
        <v>0</v>
      </c>
      <c r="I350">
        <v>0</v>
      </c>
      <c r="J350" s="107"/>
      <c r="K350" s="107"/>
    </row>
    <row r="351" spans="1:14" ht="15" customHeight="1" outlineLevel="1" x14ac:dyDescent="0.25">
      <c r="A351" s="107"/>
      <c r="B351" s="107"/>
      <c r="C351" s="107"/>
      <c r="D351">
        <v>2024</v>
      </c>
      <c r="E351">
        <f t="shared" si="33"/>
        <v>0</v>
      </c>
      <c r="F351">
        <v>0</v>
      </c>
      <c r="G351">
        <v>0</v>
      </c>
      <c r="H351">
        <v>0</v>
      </c>
      <c r="I351">
        <v>0</v>
      </c>
      <c r="J351" s="107"/>
      <c r="K351" s="107"/>
    </row>
    <row r="352" spans="1:14" ht="15" customHeight="1" outlineLevel="1" x14ac:dyDescent="0.25">
      <c r="A352" s="107"/>
      <c r="B352" s="107"/>
      <c r="C352" s="107"/>
      <c r="D352">
        <v>2025</v>
      </c>
      <c r="E352">
        <f t="shared" si="33"/>
        <v>0</v>
      </c>
      <c r="F352">
        <v>0</v>
      </c>
      <c r="G352">
        <v>0</v>
      </c>
      <c r="H352">
        <v>0</v>
      </c>
      <c r="I352">
        <v>0</v>
      </c>
      <c r="J352" s="107"/>
      <c r="K352" s="107"/>
    </row>
    <row r="353" spans="1:11" ht="15" customHeight="1" outlineLevel="1" x14ac:dyDescent="0.25">
      <c r="A353" s="107" t="s">
        <v>882</v>
      </c>
      <c r="B353" s="107" t="s">
        <v>883</v>
      </c>
      <c r="C353" s="107">
        <v>2022</v>
      </c>
      <c r="D353" t="s">
        <v>8</v>
      </c>
      <c r="E353">
        <f t="shared" si="33"/>
        <v>6717.1717171717173</v>
      </c>
      <c r="F353">
        <f>SUM(F354:F358)</f>
        <v>6650</v>
      </c>
      <c r="G353">
        <f t="shared" ref="G353:I389" si="34">SUM(G354:G358)</f>
        <v>0</v>
      </c>
      <c r="H353">
        <f>SUM(H354:H358)</f>
        <v>67.171717171717177</v>
      </c>
      <c r="I353">
        <f t="shared" ref="I353:I383" si="35">SUM(I354:I358)</f>
        <v>0</v>
      </c>
      <c r="J353" s="107" t="s">
        <v>884</v>
      </c>
      <c r="K353" s="107" t="s">
        <v>547</v>
      </c>
    </row>
    <row r="354" spans="1:11" ht="15" customHeight="1" outlineLevel="1" x14ac:dyDescent="0.25">
      <c r="A354" s="107"/>
      <c r="B354" s="107"/>
      <c r="C354" s="107"/>
      <c r="D354">
        <v>2021</v>
      </c>
      <c r="E354">
        <f t="shared" si="33"/>
        <v>0</v>
      </c>
      <c r="F354">
        <v>0</v>
      </c>
      <c r="G354">
        <f t="shared" si="34"/>
        <v>0</v>
      </c>
      <c r="H354">
        <v>0</v>
      </c>
      <c r="I354">
        <f t="shared" si="35"/>
        <v>0</v>
      </c>
      <c r="J354" s="107"/>
      <c r="K354" s="107"/>
    </row>
    <row r="355" spans="1:11" ht="15" customHeight="1" outlineLevel="1" x14ac:dyDescent="0.25">
      <c r="A355" s="107"/>
      <c r="B355" s="107"/>
      <c r="C355" s="107"/>
      <c r="D355">
        <v>2022</v>
      </c>
      <c r="E355">
        <f t="shared" si="33"/>
        <v>6717.1717171717173</v>
      </c>
      <c r="F355">
        <f>6650000/1000</f>
        <v>6650</v>
      </c>
      <c r="G355">
        <f t="shared" si="34"/>
        <v>0</v>
      </c>
      <c r="H355">
        <f>(6650000*1%/99%)/1000</f>
        <v>67.171717171717177</v>
      </c>
      <c r="I355">
        <f t="shared" si="35"/>
        <v>0</v>
      </c>
      <c r="J355" s="107"/>
      <c r="K355" s="107"/>
    </row>
    <row r="356" spans="1:11" ht="15" customHeight="1" outlineLevel="1" x14ac:dyDescent="0.25">
      <c r="A356" s="107"/>
      <c r="B356" s="107"/>
      <c r="C356" s="107"/>
      <c r="D356">
        <v>2023</v>
      </c>
      <c r="E356">
        <f t="shared" si="33"/>
        <v>0</v>
      </c>
      <c r="F356">
        <v>0</v>
      </c>
      <c r="G356">
        <f t="shared" si="34"/>
        <v>0</v>
      </c>
      <c r="H356">
        <v>0</v>
      </c>
      <c r="I356">
        <f t="shared" si="35"/>
        <v>0</v>
      </c>
      <c r="J356" s="107"/>
      <c r="K356" s="107"/>
    </row>
    <row r="357" spans="1:11" ht="15" customHeight="1" outlineLevel="1" x14ac:dyDescent="0.25">
      <c r="A357" s="107"/>
      <c r="B357" s="107"/>
      <c r="C357" s="107"/>
      <c r="D357">
        <v>2024</v>
      </c>
      <c r="E357">
        <f t="shared" si="33"/>
        <v>0</v>
      </c>
      <c r="F357">
        <v>0</v>
      </c>
      <c r="G357">
        <f t="shared" si="34"/>
        <v>0</v>
      </c>
      <c r="H357">
        <v>0</v>
      </c>
      <c r="I357">
        <f t="shared" si="35"/>
        <v>0</v>
      </c>
      <c r="J357" s="107"/>
      <c r="K357" s="107"/>
    </row>
    <row r="358" spans="1:11" ht="15" customHeight="1" outlineLevel="1" x14ac:dyDescent="0.25">
      <c r="A358" s="107"/>
      <c r="B358" s="107"/>
      <c r="C358" s="107"/>
      <c r="D358">
        <v>2025</v>
      </c>
      <c r="E358">
        <f t="shared" si="33"/>
        <v>0</v>
      </c>
      <c r="F358">
        <v>0</v>
      </c>
      <c r="G358">
        <f t="shared" si="34"/>
        <v>0</v>
      </c>
      <c r="H358">
        <v>0</v>
      </c>
      <c r="I358">
        <f t="shared" si="35"/>
        <v>0</v>
      </c>
      <c r="J358" s="107"/>
      <c r="K358" s="107"/>
    </row>
    <row r="359" spans="1:11" ht="15" customHeight="1" outlineLevel="1" x14ac:dyDescent="0.25">
      <c r="A359" s="107" t="s">
        <v>885</v>
      </c>
      <c r="B359" s="107" t="s">
        <v>886</v>
      </c>
      <c r="C359" s="107">
        <v>2022</v>
      </c>
      <c r="D359" t="s">
        <v>8</v>
      </c>
      <c r="E359">
        <f t="shared" si="33"/>
        <v>6815.7889999999998</v>
      </c>
      <c r="F359">
        <f>SUM(F360:F364)</f>
        <v>6475</v>
      </c>
      <c r="G359">
        <f t="shared" si="34"/>
        <v>0</v>
      </c>
      <c r="H359">
        <f>SUM(H360:H364)</f>
        <v>340.78899999999999</v>
      </c>
      <c r="I359">
        <f t="shared" si="35"/>
        <v>0</v>
      </c>
      <c r="J359" s="107" t="s">
        <v>887</v>
      </c>
      <c r="K359" s="107" t="s">
        <v>547</v>
      </c>
    </row>
    <row r="360" spans="1:11" ht="15" customHeight="1" outlineLevel="1" x14ac:dyDescent="0.25">
      <c r="A360" s="107"/>
      <c r="B360" s="107"/>
      <c r="C360" s="107"/>
      <c r="D360">
        <v>2021</v>
      </c>
      <c r="E360">
        <f t="shared" si="33"/>
        <v>0</v>
      </c>
      <c r="F360">
        <v>0</v>
      </c>
      <c r="G360">
        <v>0</v>
      </c>
      <c r="H360">
        <v>0</v>
      </c>
      <c r="I360">
        <f t="shared" si="35"/>
        <v>0</v>
      </c>
      <c r="J360" s="107"/>
      <c r="K360" s="107"/>
    </row>
    <row r="361" spans="1:11" ht="15" customHeight="1" outlineLevel="1" x14ac:dyDescent="0.25">
      <c r="A361" s="107"/>
      <c r="B361" s="107"/>
      <c r="C361" s="107"/>
      <c r="D361">
        <v>2022</v>
      </c>
      <c r="E361">
        <f t="shared" si="33"/>
        <v>6815.7889999999998</v>
      </c>
      <c r="F361">
        <v>6475</v>
      </c>
      <c r="G361">
        <v>0</v>
      </c>
      <c r="H361">
        <v>340.78899999999999</v>
      </c>
      <c r="I361">
        <f t="shared" si="35"/>
        <v>0</v>
      </c>
      <c r="J361" s="107"/>
      <c r="K361" s="107"/>
    </row>
    <row r="362" spans="1:11" ht="15" customHeight="1" outlineLevel="1" x14ac:dyDescent="0.25">
      <c r="A362" s="107"/>
      <c r="B362" s="107"/>
      <c r="C362" s="107"/>
      <c r="D362">
        <v>2023</v>
      </c>
      <c r="E362">
        <f t="shared" si="33"/>
        <v>0</v>
      </c>
      <c r="F362">
        <v>0</v>
      </c>
      <c r="G362">
        <v>0</v>
      </c>
      <c r="H362">
        <v>0</v>
      </c>
      <c r="I362">
        <f t="shared" si="35"/>
        <v>0</v>
      </c>
      <c r="J362" s="107"/>
      <c r="K362" s="107"/>
    </row>
    <row r="363" spans="1:11" ht="15" customHeight="1" outlineLevel="1" x14ac:dyDescent="0.25">
      <c r="A363" s="107"/>
      <c r="B363" s="107"/>
      <c r="C363" s="107"/>
      <c r="D363">
        <v>2024</v>
      </c>
      <c r="E363">
        <f t="shared" si="33"/>
        <v>0</v>
      </c>
      <c r="F363">
        <v>0</v>
      </c>
      <c r="G363">
        <v>0</v>
      </c>
      <c r="H363">
        <v>0</v>
      </c>
      <c r="I363">
        <f t="shared" si="35"/>
        <v>0</v>
      </c>
      <c r="J363" s="107"/>
      <c r="K363" s="107"/>
    </row>
    <row r="364" spans="1:11" ht="15" customHeight="1" outlineLevel="1" x14ac:dyDescent="0.25">
      <c r="A364" s="107"/>
      <c r="B364" s="107"/>
      <c r="C364" s="107"/>
      <c r="D364">
        <v>2025</v>
      </c>
      <c r="E364">
        <f t="shared" ref="E364:E426" si="36">SUM(F364:I364)</f>
        <v>0</v>
      </c>
      <c r="F364">
        <v>0</v>
      </c>
      <c r="G364">
        <v>0</v>
      </c>
      <c r="H364">
        <v>0</v>
      </c>
      <c r="I364">
        <f t="shared" si="35"/>
        <v>0</v>
      </c>
      <c r="J364" s="107"/>
      <c r="K364" s="107"/>
    </row>
    <row r="365" spans="1:11" ht="15" customHeight="1" outlineLevel="1" x14ac:dyDescent="0.25">
      <c r="A365" s="107" t="s">
        <v>888</v>
      </c>
      <c r="B365" s="107" t="s">
        <v>889</v>
      </c>
      <c r="C365" s="107">
        <v>2022</v>
      </c>
      <c r="D365" t="s">
        <v>8</v>
      </c>
      <c r="E365">
        <f t="shared" si="36"/>
        <v>6717.1717171717173</v>
      </c>
      <c r="F365">
        <f>SUM(F366:F370)</f>
        <v>6650</v>
      </c>
      <c r="G365">
        <v>0</v>
      </c>
      <c r="H365">
        <f>SUM(H366:H370)</f>
        <v>67.171717171717177</v>
      </c>
      <c r="I365">
        <f t="shared" si="35"/>
        <v>0</v>
      </c>
      <c r="J365" s="107" t="s">
        <v>890</v>
      </c>
      <c r="K365" s="107" t="s">
        <v>547</v>
      </c>
    </row>
    <row r="366" spans="1:11" ht="15" customHeight="1" outlineLevel="1" x14ac:dyDescent="0.25">
      <c r="A366" s="107"/>
      <c r="B366" s="107"/>
      <c r="C366" s="107"/>
      <c r="D366">
        <v>2021</v>
      </c>
      <c r="E366">
        <f t="shared" si="36"/>
        <v>0</v>
      </c>
      <c r="F366">
        <v>0</v>
      </c>
      <c r="G366">
        <v>0</v>
      </c>
      <c r="H366">
        <v>0</v>
      </c>
      <c r="I366">
        <f t="shared" si="35"/>
        <v>0</v>
      </c>
      <c r="J366" s="107"/>
      <c r="K366" s="107"/>
    </row>
    <row r="367" spans="1:11" ht="15" customHeight="1" outlineLevel="1" x14ac:dyDescent="0.25">
      <c r="A367" s="107"/>
      <c r="B367" s="107"/>
      <c r="C367" s="107"/>
      <c r="D367">
        <v>2022</v>
      </c>
      <c r="E367">
        <f t="shared" si="36"/>
        <v>6717.1717171717173</v>
      </c>
      <c r="F367">
        <v>6650</v>
      </c>
      <c r="G367">
        <v>0</v>
      </c>
      <c r="H367">
        <f>F367/99*1</f>
        <v>67.171717171717177</v>
      </c>
      <c r="I367">
        <f t="shared" si="35"/>
        <v>0</v>
      </c>
      <c r="J367" s="107"/>
      <c r="K367" s="107"/>
    </row>
    <row r="368" spans="1:11" ht="15" customHeight="1" outlineLevel="1" x14ac:dyDescent="0.25">
      <c r="A368" s="107"/>
      <c r="B368" s="107"/>
      <c r="C368" s="107"/>
      <c r="D368">
        <v>2023</v>
      </c>
      <c r="E368">
        <f t="shared" si="36"/>
        <v>0</v>
      </c>
      <c r="F368">
        <v>0</v>
      </c>
      <c r="G368">
        <v>0</v>
      </c>
      <c r="H368">
        <v>0</v>
      </c>
      <c r="I368">
        <f t="shared" si="35"/>
        <v>0</v>
      </c>
      <c r="J368" s="107"/>
      <c r="K368" s="107"/>
    </row>
    <row r="369" spans="1:14" ht="15" customHeight="1" outlineLevel="1" x14ac:dyDescent="0.25">
      <c r="A369" s="107"/>
      <c r="B369" s="107"/>
      <c r="C369" s="107"/>
      <c r="D369">
        <v>2024</v>
      </c>
      <c r="E369">
        <f t="shared" si="36"/>
        <v>0</v>
      </c>
      <c r="F369">
        <v>0</v>
      </c>
      <c r="G369">
        <v>0</v>
      </c>
      <c r="H369">
        <v>0</v>
      </c>
      <c r="I369">
        <f t="shared" si="35"/>
        <v>0</v>
      </c>
      <c r="J369" s="107"/>
      <c r="K369" s="107"/>
    </row>
    <row r="370" spans="1:14" ht="15" customHeight="1" outlineLevel="1" x14ac:dyDescent="0.25">
      <c r="A370" s="107"/>
      <c r="B370" s="107"/>
      <c r="C370" s="107"/>
      <c r="D370">
        <v>2025</v>
      </c>
      <c r="E370">
        <f t="shared" si="36"/>
        <v>0</v>
      </c>
      <c r="F370">
        <v>0</v>
      </c>
      <c r="G370">
        <v>0</v>
      </c>
      <c r="H370">
        <v>0</v>
      </c>
      <c r="I370">
        <f t="shared" si="35"/>
        <v>0</v>
      </c>
      <c r="J370" s="107"/>
      <c r="K370" s="107"/>
    </row>
    <row r="371" spans="1:14" ht="15" customHeight="1" outlineLevel="1" x14ac:dyDescent="0.25">
      <c r="A371" s="107" t="s">
        <v>891</v>
      </c>
      <c r="B371" s="107" t="s">
        <v>892</v>
      </c>
      <c r="C371" s="107">
        <v>2022</v>
      </c>
      <c r="D371" t="s">
        <v>8</v>
      </c>
      <c r="E371">
        <f t="shared" si="36"/>
        <v>680000</v>
      </c>
      <c r="F371">
        <f>SUM(F372:F376)</f>
        <v>340000</v>
      </c>
      <c r="G371">
        <v>0</v>
      </c>
      <c r="H371">
        <f>SUM(H372:H376)</f>
        <v>340000</v>
      </c>
      <c r="I371">
        <f t="shared" si="35"/>
        <v>0</v>
      </c>
      <c r="J371" s="107" t="s">
        <v>893</v>
      </c>
      <c r="K371" s="107" t="s">
        <v>547</v>
      </c>
      <c r="L371" s="107" t="s">
        <v>871</v>
      </c>
      <c r="M371" s="107" t="s">
        <v>866</v>
      </c>
    </row>
    <row r="372" spans="1:14" ht="15" customHeight="1" outlineLevel="1" x14ac:dyDescent="0.25">
      <c r="A372" s="107"/>
      <c r="B372" s="107"/>
      <c r="C372" s="107"/>
      <c r="D372">
        <v>2021</v>
      </c>
      <c r="E372">
        <f t="shared" si="36"/>
        <v>0</v>
      </c>
      <c r="F372">
        <v>0</v>
      </c>
      <c r="G372">
        <v>0</v>
      </c>
      <c r="H372">
        <v>0</v>
      </c>
      <c r="I372">
        <v>0</v>
      </c>
      <c r="J372" s="107"/>
      <c r="K372" s="107"/>
      <c r="L372" s="107"/>
      <c r="M372" s="107"/>
    </row>
    <row r="373" spans="1:14" ht="15" customHeight="1" outlineLevel="1" x14ac:dyDescent="0.25">
      <c r="A373" s="107"/>
      <c r="B373" s="107"/>
      <c r="C373" s="107"/>
      <c r="D373">
        <v>2022</v>
      </c>
      <c r="E373">
        <f t="shared" si="36"/>
        <v>100000</v>
      </c>
      <c r="F373">
        <v>50000</v>
      </c>
      <c r="G373">
        <v>0</v>
      </c>
      <c r="H373">
        <v>50000</v>
      </c>
      <c r="I373">
        <v>0</v>
      </c>
      <c r="J373" s="107"/>
      <c r="K373" s="107"/>
      <c r="L373" s="107"/>
      <c r="M373" s="107"/>
      <c r="N373" t="s">
        <v>872</v>
      </c>
    </row>
    <row r="374" spans="1:14" ht="15" customHeight="1" outlineLevel="1" x14ac:dyDescent="0.25">
      <c r="A374" s="107"/>
      <c r="B374" s="107"/>
      <c r="C374" s="107"/>
      <c r="D374">
        <v>2023</v>
      </c>
      <c r="E374">
        <f t="shared" si="36"/>
        <v>580000</v>
      </c>
      <c r="F374">
        <v>290000</v>
      </c>
      <c r="G374">
        <v>0</v>
      </c>
      <c r="H374">
        <v>290000</v>
      </c>
      <c r="I374">
        <v>0</v>
      </c>
      <c r="J374" s="107"/>
      <c r="K374" s="107"/>
      <c r="L374" s="107"/>
      <c r="M374" s="107"/>
    </row>
    <row r="375" spans="1:14" ht="15" customHeight="1" outlineLevel="1" x14ac:dyDescent="0.25">
      <c r="A375" s="107"/>
      <c r="B375" s="107"/>
      <c r="C375" s="107"/>
      <c r="D375">
        <v>2024</v>
      </c>
      <c r="E375">
        <f t="shared" si="36"/>
        <v>0</v>
      </c>
      <c r="F375">
        <v>0</v>
      </c>
      <c r="G375">
        <v>0</v>
      </c>
      <c r="H375">
        <v>0</v>
      </c>
      <c r="I375">
        <v>0</v>
      </c>
      <c r="J375" s="107"/>
      <c r="K375" s="107"/>
      <c r="L375" s="107"/>
      <c r="M375" s="107"/>
    </row>
    <row r="376" spans="1:14" ht="15" customHeight="1" outlineLevel="1" x14ac:dyDescent="0.25">
      <c r="A376" s="107"/>
      <c r="B376" s="107"/>
      <c r="C376" s="107"/>
      <c r="D376">
        <v>2025</v>
      </c>
      <c r="E376">
        <f t="shared" si="36"/>
        <v>0</v>
      </c>
      <c r="F376">
        <v>0</v>
      </c>
      <c r="G376">
        <v>0</v>
      </c>
      <c r="H376">
        <v>0</v>
      </c>
      <c r="I376">
        <v>0</v>
      </c>
      <c r="J376" s="107"/>
      <c r="K376" s="107"/>
      <c r="L376" s="107"/>
      <c r="M376" s="107"/>
    </row>
    <row r="377" spans="1:14" ht="15" customHeight="1" outlineLevel="1" x14ac:dyDescent="0.25">
      <c r="A377" s="107" t="s">
        <v>894</v>
      </c>
      <c r="B377" s="107" t="s">
        <v>793</v>
      </c>
      <c r="C377" s="107">
        <v>2022</v>
      </c>
      <c r="D377" t="s">
        <v>8</v>
      </c>
      <c r="E377">
        <f t="shared" si="36"/>
        <v>103157.9</v>
      </c>
      <c r="F377">
        <f>SUM(F378:F382)</f>
        <v>98000</v>
      </c>
      <c r="G377">
        <f t="shared" si="34"/>
        <v>0</v>
      </c>
      <c r="H377">
        <f>SUM(H378:H382)</f>
        <v>5157.8999999999996</v>
      </c>
      <c r="I377">
        <f t="shared" si="35"/>
        <v>0</v>
      </c>
      <c r="J377" s="107" t="s">
        <v>895</v>
      </c>
      <c r="K377" s="107" t="s">
        <v>547</v>
      </c>
      <c r="M377" s="107" t="s">
        <v>896</v>
      </c>
    </row>
    <row r="378" spans="1:14" ht="15" customHeight="1" outlineLevel="1" x14ac:dyDescent="0.25">
      <c r="A378" s="107"/>
      <c r="B378" s="107"/>
      <c r="C378" s="107"/>
      <c r="D378">
        <v>2021</v>
      </c>
      <c r="E378">
        <f t="shared" si="36"/>
        <v>0</v>
      </c>
      <c r="F378">
        <v>0</v>
      </c>
      <c r="G378">
        <v>0</v>
      </c>
      <c r="H378">
        <v>0</v>
      </c>
      <c r="I378">
        <v>0</v>
      </c>
      <c r="J378" s="107"/>
      <c r="K378" s="107"/>
      <c r="M378" s="107"/>
    </row>
    <row r="379" spans="1:14" ht="15" customHeight="1" outlineLevel="1" x14ac:dyDescent="0.25">
      <c r="A379" s="107"/>
      <c r="B379" s="107"/>
      <c r="C379" s="107"/>
      <c r="D379">
        <v>2022</v>
      </c>
      <c r="E379">
        <f t="shared" si="36"/>
        <v>103157.9</v>
      </c>
      <c r="F379">
        <v>98000</v>
      </c>
      <c r="G379">
        <v>0</v>
      </c>
      <c r="H379">
        <v>5157.8999999999996</v>
      </c>
      <c r="I379">
        <v>0</v>
      </c>
      <c r="J379" s="107"/>
      <c r="K379" s="107"/>
      <c r="M379" s="107"/>
      <c r="N379" t="s">
        <v>897</v>
      </c>
    </row>
    <row r="380" spans="1:14" ht="15" customHeight="1" outlineLevel="1" x14ac:dyDescent="0.25">
      <c r="A380" s="107"/>
      <c r="B380" s="107"/>
      <c r="C380" s="107"/>
      <c r="D380">
        <v>2023</v>
      </c>
      <c r="E380">
        <f t="shared" si="36"/>
        <v>0</v>
      </c>
      <c r="F380">
        <v>0</v>
      </c>
      <c r="G380">
        <v>0</v>
      </c>
      <c r="H380">
        <v>0</v>
      </c>
      <c r="I380">
        <v>0</v>
      </c>
      <c r="J380" s="107"/>
      <c r="K380" s="107"/>
      <c r="M380" s="107"/>
    </row>
    <row r="381" spans="1:14" ht="15" customHeight="1" outlineLevel="1" x14ac:dyDescent="0.25">
      <c r="A381" s="107"/>
      <c r="B381" s="107"/>
      <c r="C381" s="107"/>
      <c r="D381">
        <v>2024</v>
      </c>
      <c r="E381">
        <f t="shared" si="36"/>
        <v>0</v>
      </c>
      <c r="F381">
        <v>0</v>
      </c>
      <c r="G381">
        <v>0</v>
      </c>
      <c r="H381">
        <v>0</v>
      </c>
      <c r="I381">
        <v>0</v>
      </c>
      <c r="J381" s="107"/>
      <c r="K381" s="107"/>
      <c r="M381" s="107"/>
    </row>
    <row r="382" spans="1:14" ht="15" customHeight="1" outlineLevel="1" x14ac:dyDescent="0.25">
      <c r="A382" s="107"/>
      <c r="B382" s="107"/>
      <c r="C382" s="107"/>
      <c r="D382">
        <v>2025</v>
      </c>
      <c r="E382">
        <f t="shared" si="36"/>
        <v>0</v>
      </c>
      <c r="F382">
        <v>0</v>
      </c>
      <c r="G382">
        <v>0</v>
      </c>
      <c r="H382">
        <v>0</v>
      </c>
      <c r="I382">
        <v>0</v>
      </c>
      <c r="J382" s="107"/>
      <c r="K382" s="107"/>
      <c r="M382" s="107"/>
    </row>
    <row r="383" spans="1:14" ht="15" customHeight="1" outlineLevel="1" x14ac:dyDescent="0.25">
      <c r="A383" s="107" t="s">
        <v>898</v>
      </c>
      <c r="B383" s="107" t="s">
        <v>899</v>
      </c>
      <c r="C383" s="107">
        <v>2022</v>
      </c>
      <c r="D383" t="s">
        <v>8</v>
      </c>
      <c r="E383">
        <f t="shared" si="36"/>
        <v>776600</v>
      </c>
      <c r="F383">
        <f>SUM(F384:F388)</f>
        <v>776600</v>
      </c>
      <c r="G383">
        <f t="shared" si="34"/>
        <v>0</v>
      </c>
      <c r="H383">
        <f>SUM(H384:H388)</f>
        <v>0</v>
      </c>
      <c r="I383">
        <f t="shared" si="35"/>
        <v>0</v>
      </c>
      <c r="J383" s="107" t="s">
        <v>900</v>
      </c>
      <c r="K383" s="107" t="s">
        <v>955</v>
      </c>
      <c r="L383" s="107" t="s">
        <v>902</v>
      </c>
      <c r="M383" s="107" t="s">
        <v>903</v>
      </c>
    </row>
    <row r="384" spans="1:14" ht="15" customHeight="1" outlineLevel="1" x14ac:dyDescent="0.25">
      <c r="A384" s="107"/>
      <c r="B384" s="107"/>
      <c r="C384" s="107"/>
      <c r="D384">
        <v>2021</v>
      </c>
      <c r="E384">
        <f t="shared" si="36"/>
        <v>0</v>
      </c>
      <c r="F384">
        <v>0</v>
      </c>
      <c r="G384">
        <f t="shared" si="34"/>
        <v>0</v>
      </c>
      <c r="H384">
        <f t="shared" si="34"/>
        <v>0</v>
      </c>
      <c r="I384">
        <f t="shared" si="34"/>
        <v>0</v>
      </c>
      <c r="J384" s="107"/>
      <c r="K384" s="107"/>
      <c r="L384" s="107"/>
      <c r="M384" s="107"/>
    </row>
    <row r="385" spans="1:14" ht="15" customHeight="1" outlineLevel="1" x14ac:dyDescent="0.25">
      <c r="A385" s="107"/>
      <c r="B385" s="107"/>
      <c r="C385" s="107"/>
      <c r="D385">
        <v>2022</v>
      </c>
      <c r="E385">
        <f t="shared" si="36"/>
        <v>200000</v>
      </c>
      <c r="F385">
        <v>200000</v>
      </c>
      <c r="G385">
        <f t="shared" si="34"/>
        <v>0</v>
      </c>
      <c r="H385">
        <f t="shared" si="34"/>
        <v>0</v>
      </c>
      <c r="I385">
        <f t="shared" si="34"/>
        <v>0</v>
      </c>
      <c r="J385" s="107"/>
      <c r="K385" s="107"/>
      <c r="L385" s="107"/>
      <c r="M385" s="107"/>
      <c r="N385" t="s">
        <v>878</v>
      </c>
    </row>
    <row r="386" spans="1:14" ht="15" customHeight="1" outlineLevel="1" x14ac:dyDescent="0.25">
      <c r="A386" s="107"/>
      <c r="B386" s="107"/>
      <c r="C386" s="107"/>
      <c r="D386">
        <v>2023</v>
      </c>
      <c r="E386">
        <f t="shared" si="36"/>
        <v>576600</v>
      </c>
      <c r="F386">
        <v>576600</v>
      </c>
      <c r="G386">
        <f t="shared" si="34"/>
        <v>0</v>
      </c>
      <c r="H386">
        <f t="shared" si="34"/>
        <v>0</v>
      </c>
      <c r="I386">
        <f t="shared" si="34"/>
        <v>0</v>
      </c>
      <c r="J386" s="107"/>
      <c r="K386" s="107"/>
      <c r="L386" s="107"/>
      <c r="M386" s="107"/>
    </row>
    <row r="387" spans="1:14" ht="15" customHeight="1" outlineLevel="1" x14ac:dyDescent="0.25">
      <c r="A387" s="107"/>
      <c r="B387" s="107"/>
      <c r="C387" s="107"/>
      <c r="D387">
        <v>2024</v>
      </c>
      <c r="E387">
        <f t="shared" si="36"/>
        <v>0</v>
      </c>
      <c r="F387">
        <v>0</v>
      </c>
      <c r="G387">
        <f t="shared" si="34"/>
        <v>0</v>
      </c>
      <c r="H387">
        <f t="shared" si="34"/>
        <v>0</v>
      </c>
      <c r="I387">
        <f t="shared" si="34"/>
        <v>0</v>
      </c>
      <c r="J387" s="107"/>
      <c r="K387" s="107"/>
      <c r="L387" s="107"/>
      <c r="M387" s="107"/>
    </row>
    <row r="388" spans="1:14" ht="15" customHeight="1" outlineLevel="1" x14ac:dyDescent="0.25">
      <c r="A388" s="107"/>
      <c r="B388" s="107"/>
      <c r="C388" s="107"/>
      <c r="D388">
        <v>2025</v>
      </c>
      <c r="E388">
        <f t="shared" si="36"/>
        <v>0</v>
      </c>
      <c r="F388">
        <v>0</v>
      </c>
      <c r="G388">
        <f t="shared" si="34"/>
        <v>0</v>
      </c>
      <c r="H388">
        <f t="shared" si="34"/>
        <v>0</v>
      </c>
      <c r="I388">
        <f t="shared" si="34"/>
        <v>0</v>
      </c>
      <c r="J388" s="107"/>
      <c r="K388" s="107"/>
      <c r="L388" s="107"/>
      <c r="M388" s="107"/>
    </row>
    <row r="389" spans="1:14" ht="15" customHeight="1" outlineLevel="1" x14ac:dyDescent="0.25">
      <c r="A389" s="107" t="s">
        <v>904</v>
      </c>
      <c r="B389" s="107" t="s">
        <v>905</v>
      </c>
      <c r="C389" s="107">
        <v>2022</v>
      </c>
      <c r="D389" t="s">
        <v>8</v>
      </c>
      <c r="E389">
        <f t="shared" si="36"/>
        <v>546000</v>
      </c>
      <c r="F389">
        <f>SUM(F390:F394)</f>
        <v>546000</v>
      </c>
      <c r="G389">
        <f t="shared" si="34"/>
        <v>0</v>
      </c>
      <c r="H389">
        <f t="shared" si="34"/>
        <v>0</v>
      </c>
      <c r="I389">
        <f t="shared" si="34"/>
        <v>0</v>
      </c>
      <c r="J389" s="107" t="s">
        <v>906</v>
      </c>
      <c r="K389" s="107" t="s">
        <v>907</v>
      </c>
      <c r="L389" s="107"/>
      <c r="M389" s="107" t="s">
        <v>908</v>
      </c>
    </row>
    <row r="390" spans="1:14" ht="15" customHeight="1" outlineLevel="1" x14ac:dyDescent="0.25">
      <c r="A390" s="107"/>
      <c r="B390" s="107"/>
      <c r="C390" s="107"/>
      <c r="D390">
        <v>2021</v>
      </c>
      <c r="E390">
        <f t="shared" si="36"/>
        <v>0</v>
      </c>
      <c r="F390">
        <v>0</v>
      </c>
      <c r="G390">
        <f t="shared" ref="G390:G392" si="37">SUM(G391:G401)</f>
        <v>0</v>
      </c>
      <c r="H390">
        <v>0</v>
      </c>
      <c r="I390">
        <v>0</v>
      </c>
      <c r="J390" s="107"/>
      <c r="K390" s="107"/>
      <c r="L390" s="107"/>
      <c r="M390" s="107"/>
    </row>
    <row r="391" spans="1:14" ht="15" customHeight="1" outlineLevel="1" x14ac:dyDescent="0.25">
      <c r="A391" s="107"/>
      <c r="B391" s="107"/>
      <c r="C391" s="107"/>
      <c r="D391">
        <v>2022</v>
      </c>
      <c r="E391">
        <f t="shared" si="36"/>
        <v>200000</v>
      </c>
      <c r="F391">
        <v>200000</v>
      </c>
      <c r="G391">
        <f t="shared" si="37"/>
        <v>0</v>
      </c>
      <c r="H391">
        <v>0</v>
      </c>
      <c r="I391">
        <v>0</v>
      </c>
      <c r="J391" s="107"/>
      <c r="K391" s="107"/>
      <c r="L391" s="107"/>
      <c r="M391" s="107"/>
    </row>
    <row r="392" spans="1:14" ht="15" customHeight="1" outlineLevel="1" x14ac:dyDescent="0.25">
      <c r="A392" s="107"/>
      <c r="B392" s="107"/>
      <c r="C392" s="107"/>
      <c r="D392">
        <v>2023</v>
      </c>
      <c r="E392">
        <f t="shared" si="36"/>
        <v>346000</v>
      </c>
      <c r="F392">
        <v>346000</v>
      </c>
      <c r="G392">
        <f t="shared" si="37"/>
        <v>0</v>
      </c>
      <c r="H392">
        <v>0</v>
      </c>
      <c r="I392">
        <v>0</v>
      </c>
      <c r="J392" s="107"/>
      <c r="K392" s="107"/>
      <c r="L392" s="107"/>
      <c r="M392" s="107"/>
    </row>
    <row r="393" spans="1:14" ht="15" customHeight="1" outlineLevel="1" x14ac:dyDescent="0.25">
      <c r="A393" s="107"/>
      <c r="B393" s="107"/>
      <c r="C393" s="107"/>
      <c r="D393">
        <v>2024</v>
      </c>
      <c r="E393">
        <f t="shared" si="36"/>
        <v>0</v>
      </c>
      <c r="F393">
        <v>0</v>
      </c>
      <c r="G393">
        <v>0</v>
      </c>
      <c r="H393">
        <v>0</v>
      </c>
      <c r="I393">
        <v>0</v>
      </c>
      <c r="J393" s="107"/>
      <c r="K393" s="107"/>
      <c r="L393" s="107"/>
      <c r="M393" s="107"/>
    </row>
    <row r="394" spans="1:14" ht="15" customHeight="1" outlineLevel="1" x14ac:dyDescent="0.25">
      <c r="A394" s="107"/>
      <c r="B394" s="107"/>
      <c r="C394" s="107"/>
      <c r="D394">
        <v>2025</v>
      </c>
      <c r="E394">
        <f t="shared" si="36"/>
        <v>0</v>
      </c>
      <c r="F394">
        <v>0</v>
      </c>
      <c r="G394">
        <v>0</v>
      </c>
      <c r="H394">
        <v>0</v>
      </c>
      <c r="I394">
        <v>0</v>
      </c>
      <c r="J394" s="107"/>
      <c r="K394" s="107"/>
      <c r="L394" s="107"/>
      <c r="M394" s="107"/>
    </row>
    <row r="395" spans="1:14" ht="15" customHeight="1" outlineLevel="1" x14ac:dyDescent="0.25">
      <c r="A395" s="107" t="s">
        <v>909</v>
      </c>
      <c r="B395" s="107" t="s">
        <v>910</v>
      </c>
      <c r="C395" s="107">
        <v>2022</v>
      </c>
      <c r="D395" t="s">
        <v>8</v>
      </c>
      <c r="E395">
        <f t="shared" si="36"/>
        <v>5405.3319999999994</v>
      </c>
      <c r="F395">
        <f>SUM(F396:F400)</f>
        <v>5135.0659999999998</v>
      </c>
      <c r="G395">
        <f t="shared" ref="G395:G401" si="38">SUM(G396:G400)</f>
        <v>0</v>
      </c>
      <c r="H395">
        <f>SUM(H396:H400)</f>
        <v>270.26600000000002</v>
      </c>
      <c r="I395">
        <f t="shared" ref="I395:I401" si="39">SUM(I396:I400)</f>
        <v>0</v>
      </c>
      <c r="J395" s="107" t="s">
        <v>911</v>
      </c>
      <c r="K395" s="107" t="s">
        <v>547</v>
      </c>
    </row>
    <row r="396" spans="1:14" ht="15" customHeight="1" outlineLevel="1" x14ac:dyDescent="0.25">
      <c r="A396" s="107"/>
      <c r="B396" s="107"/>
      <c r="C396" s="107"/>
      <c r="D396">
        <v>2021</v>
      </c>
      <c r="E396">
        <f t="shared" si="36"/>
        <v>0</v>
      </c>
      <c r="F396">
        <v>0</v>
      </c>
      <c r="G396">
        <f t="shared" si="38"/>
        <v>0</v>
      </c>
      <c r="I396">
        <f t="shared" si="39"/>
        <v>0</v>
      </c>
      <c r="J396" s="107"/>
      <c r="K396" s="107"/>
    </row>
    <row r="397" spans="1:14" ht="15" customHeight="1" outlineLevel="1" x14ac:dyDescent="0.25">
      <c r="A397" s="107"/>
      <c r="B397" s="107"/>
      <c r="C397" s="107"/>
      <c r="D397">
        <v>2022</v>
      </c>
      <c r="E397">
        <f t="shared" si="36"/>
        <v>5405.3319999999994</v>
      </c>
      <c r="F397">
        <v>5135.0659999999998</v>
      </c>
      <c r="G397">
        <f t="shared" si="38"/>
        <v>0</v>
      </c>
      <c r="H397">
        <v>270.26600000000002</v>
      </c>
      <c r="I397">
        <f t="shared" si="39"/>
        <v>0</v>
      </c>
      <c r="J397" s="107"/>
      <c r="K397" s="107"/>
    </row>
    <row r="398" spans="1:14" ht="15" customHeight="1" outlineLevel="1" x14ac:dyDescent="0.25">
      <c r="A398" s="107"/>
      <c r="B398" s="107"/>
      <c r="C398" s="107"/>
      <c r="D398">
        <v>2023</v>
      </c>
      <c r="E398">
        <f t="shared" si="36"/>
        <v>0</v>
      </c>
      <c r="F398">
        <v>0</v>
      </c>
      <c r="G398">
        <f t="shared" si="38"/>
        <v>0</v>
      </c>
      <c r="I398">
        <f t="shared" si="39"/>
        <v>0</v>
      </c>
      <c r="J398" s="107"/>
      <c r="K398" s="107"/>
    </row>
    <row r="399" spans="1:14" ht="15" customHeight="1" outlineLevel="1" x14ac:dyDescent="0.25">
      <c r="A399" s="107"/>
      <c r="B399" s="107"/>
      <c r="C399" s="107"/>
      <c r="D399">
        <v>2024</v>
      </c>
      <c r="E399">
        <f t="shared" si="36"/>
        <v>0</v>
      </c>
      <c r="F399">
        <v>0</v>
      </c>
      <c r="G399">
        <f t="shared" si="38"/>
        <v>0</v>
      </c>
      <c r="I399">
        <f t="shared" si="39"/>
        <v>0</v>
      </c>
      <c r="J399" s="107"/>
      <c r="K399" s="107"/>
    </row>
    <row r="400" spans="1:14" ht="15" customHeight="1" outlineLevel="1" x14ac:dyDescent="0.25">
      <c r="A400" s="107"/>
      <c r="B400" s="107"/>
      <c r="C400" s="107"/>
      <c r="D400">
        <v>2025</v>
      </c>
      <c r="E400">
        <f t="shared" si="36"/>
        <v>0</v>
      </c>
      <c r="F400">
        <v>0</v>
      </c>
      <c r="G400">
        <f t="shared" si="38"/>
        <v>0</v>
      </c>
      <c r="I400">
        <f t="shared" si="39"/>
        <v>0</v>
      </c>
      <c r="J400" s="107"/>
      <c r="K400" s="107"/>
    </row>
    <row r="401" spans="1:15" ht="15" customHeight="1" outlineLevel="1" x14ac:dyDescent="0.25">
      <c r="A401" s="107" t="s">
        <v>104</v>
      </c>
      <c r="B401" s="107" t="s">
        <v>105</v>
      </c>
      <c r="C401" s="107" t="s">
        <v>14</v>
      </c>
      <c r="D401" t="s">
        <v>8</v>
      </c>
      <c r="E401">
        <f t="shared" si="36"/>
        <v>612365.89876589738</v>
      </c>
      <c r="F401">
        <f>SUM(F402:F406)</f>
        <v>582563.52371999994</v>
      </c>
      <c r="G401">
        <f t="shared" si="38"/>
        <v>0</v>
      </c>
      <c r="H401">
        <f>SUM(H402:H406)</f>
        <v>29802.375045897479</v>
      </c>
      <c r="I401">
        <f t="shared" si="39"/>
        <v>0</v>
      </c>
      <c r="J401" s="107" t="s">
        <v>106</v>
      </c>
      <c r="K401" s="107" t="s">
        <v>564</v>
      </c>
      <c r="L401" s="107"/>
      <c r="M401" s="107"/>
      <c r="N401" s="107"/>
      <c r="O401" s="107"/>
    </row>
    <row r="402" spans="1:15" outlineLevel="1" x14ac:dyDescent="0.25">
      <c r="A402" s="107"/>
      <c r="B402" s="107"/>
      <c r="C402" s="107"/>
      <c r="D402">
        <v>2021</v>
      </c>
      <c r="E402">
        <f t="shared" si="36"/>
        <v>195224.35576589749</v>
      </c>
      <c r="F402">
        <f>SUM(F408+F414+F420+F426+F432+F438+F444+F450+F456+F462+F468+F474+F480+F486+F492)</f>
        <v>179524.59972</v>
      </c>
      <c r="G402">
        <f t="shared" ref="F402:I406" si="40">SUM(G408+G414+G420+G426+G432+G438+G444+G450+G456+G462+G468+G474+G480)</f>
        <v>0</v>
      </c>
      <c r="H402">
        <f>SUM(H408+H414+H420+H426+H432+H438+H444+H450+H456+H462+H468+H474+H480+H486+H492)</f>
        <v>15699.756045897479</v>
      </c>
      <c r="I402">
        <f t="shared" si="40"/>
        <v>0</v>
      </c>
      <c r="J402" s="107"/>
      <c r="K402" s="107"/>
      <c r="L402" s="107"/>
      <c r="M402" s="107"/>
      <c r="N402" s="107"/>
      <c r="O402" s="107"/>
    </row>
    <row r="403" spans="1:15" outlineLevel="1" x14ac:dyDescent="0.25">
      <c r="A403" s="107"/>
      <c r="B403" s="107"/>
      <c r="C403" s="107"/>
      <c r="D403">
        <v>2022</v>
      </c>
      <c r="E403">
        <f t="shared" si="36"/>
        <v>309141.54300000001</v>
      </c>
      <c r="F403">
        <f>SUM(F409+F415+F421+F427+F433+F439+F445+F451+F457+F463+F469+F475+F481+F499+F505+F511+F517+F487+F523+F529+F535+F541+F547+F553+F559+F565)</f>
        <v>299538.924</v>
      </c>
      <c r="G403">
        <f t="shared" si="40"/>
        <v>0</v>
      </c>
      <c r="H403">
        <f t="shared" ref="H403:H406" si="41">SUM(H409+H415+H421+H427+H433+H439+H445+H451+H457+H463+H469+H475+H481+H499+H505+H511+H517+H487+H523+H529+H535+H541+H547+H553+H559+H565+H493)</f>
        <v>9602.6190000000006</v>
      </c>
      <c r="I403">
        <f t="shared" si="40"/>
        <v>0</v>
      </c>
      <c r="J403" s="107"/>
      <c r="K403" s="107"/>
      <c r="L403" s="107"/>
      <c r="M403" s="107"/>
      <c r="N403" s="107"/>
      <c r="O403" s="107"/>
    </row>
    <row r="404" spans="1:15" outlineLevel="1" x14ac:dyDescent="0.25">
      <c r="A404" s="107"/>
      <c r="B404" s="107"/>
      <c r="C404" s="107"/>
      <c r="D404">
        <v>2023</v>
      </c>
      <c r="E404">
        <f t="shared" si="36"/>
        <v>96000</v>
      </c>
      <c r="F404">
        <f>SUM(F410+F416+F422+F428+F434+F440+F446+F452+F458+F464+F470+F476+F482+F488+F500+F506+F512+F518+F524+F530+F536+F542+F548+F554+F560+F566)</f>
        <v>91500</v>
      </c>
      <c r="G404">
        <f t="shared" si="40"/>
        <v>0</v>
      </c>
      <c r="H404">
        <f t="shared" si="41"/>
        <v>4500</v>
      </c>
      <c r="I404">
        <f t="shared" si="40"/>
        <v>0</v>
      </c>
      <c r="J404" s="107"/>
      <c r="K404" s="107"/>
    </row>
    <row r="405" spans="1:15" outlineLevel="1" x14ac:dyDescent="0.25">
      <c r="A405" s="107"/>
      <c r="B405" s="107"/>
      <c r="C405" s="107"/>
      <c r="D405">
        <v>2024</v>
      </c>
      <c r="E405">
        <f t="shared" si="36"/>
        <v>6000</v>
      </c>
      <c r="F405">
        <f t="shared" si="40"/>
        <v>6000</v>
      </c>
      <c r="G405">
        <f t="shared" si="40"/>
        <v>0</v>
      </c>
      <c r="H405">
        <f t="shared" si="41"/>
        <v>0</v>
      </c>
      <c r="I405">
        <f t="shared" si="40"/>
        <v>0</v>
      </c>
      <c r="J405" s="107"/>
      <c r="K405" s="107"/>
    </row>
    <row r="406" spans="1:15" outlineLevel="1" x14ac:dyDescent="0.25">
      <c r="A406" s="107"/>
      <c r="B406" s="107"/>
      <c r="C406" s="107"/>
      <c r="D406">
        <v>2025</v>
      </c>
      <c r="E406">
        <f t="shared" si="36"/>
        <v>6000</v>
      </c>
      <c r="F406">
        <f t="shared" si="40"/>
        <v>6000</v>
      </c>
      <c r="G406">
        <f t="shared" si="40"/>
        <v>0</v>
      </c>
      <c r="H406">
        <f t="shared" si="41"/>
        <v>0</v>
      </c>
      <c r="I406">
        <f t="shared" si="40"/>
        <v>0</v>
      </c>
      <c r="J406" s="107"/>
      <c r="K406" s="107"/>
    </row>
    <row r="407" spans="1:15" ht="17.100000000000001" customHeight="1" outlineLevel="1" x14ac:dyDescent="0.25">
      <c r="A407" s="107" t="s">
        <v>108</v>
      </c>
      <c r="B407" s="107" t="s">
        <v>109</v>
      </c>
      <c r="C407" s="107">
        <v>2021</v>
      </c>
      <c r="D407" t="s">
        <v>8</v>
      </c>
      <c r="E407">
        <f t="shared" si="36"/>
        <v>27027.03</v>
      </c>
      <c r="F407">
        <f>SUM(F408:F412)</f>
        <v>25000</v>
      </c>
      <c r="G407">
        <f>SUM(G408:G412)</f>
        <v>0</v>
      </c>
      <c r="H407">
        <f>SUM(H408:H412)</f>
        <v>2027.03</v>
      </c>
      <c r="I407">
        <f>SUM(I408:I412)</f>
        <v>0</v>
      </c>
      <c r="J407" s="107" t="s">
        <v>565</v>
      </c>
      <c r="K407" s="107" t="s">
        <v>566</v>
      </c>
    </row>
    <row r="408" spans="1:15" ht="17.100000000000001" customHeight="1" outlineLevel="1" x14ac:dyDescent="0.25">
      <c r="A408" s="107"/>
      <c r="B408" s="107"/>
      <c r="C408" s="107"/>
      <c r="D408">
        <v>2021</v>
      </c>
      <c r="E408">
        <f t="shared" si="36"/>
        <v>27027.03</v>
      </c>
      <c r="F408">
        <v>25000</v>
      </c>
      <c r="G408">
        <v>0</v>
      </c>
      <c r="H408">
        <v>2027.03</v>
      </c>
      <c r="I408">
        <v>0</v>
      </c>
      <c r="J408" s="107"/>
      <c r="K408" s="107"/>
    </row>
    <row r="409" spans="1:15" ht="17.100000000000001" customHeight="1" outlineLevel="1" x14ac:dyDescent="0.25">
      <c r="A409" s="107"/>
      <c r="B409" s="107"/>
      <c r="C409" s="107"/>
      <c r="D409">
        <v>2022</v>
      </c>
      <c r="E409">
        <f t="shared" si="36"/>
        <v>0</v>
      </c>
      <c r="F409">
        <v>0</v>
      </c>
      <c r="G409">
        <v>0</v>
      </c>
      <c r="H409">
        <f>+H427</f>
        <v>0</v>
      </c>
      <c r="I409">
        <v>0</v>
      </c>
      <c r="J409" s="107"/>
      <c r="K409" s="107"/>
    </row>
    <row r="410" spans="1:15" ht="17.100000000000001" customHeight="1" outlineLevel="1" x14ac:dyDescent="0.25">
      <c r="A410" s="107"/>
      <c r="B410" s="107"/>
      <c r="C410" s="107"/>
      <c r="D410">
        <v>2023</v>
      </c>
      <c r="E410">
        <f t="shared" si="36"/>
        <v>0</v>
      </c>
      <c r="F410">
        <v>0</v>
      </c>
      <c r="G410">
        <v>0</v>
      </c>
      <c r="H410">
        <v>0</v>
      </c>
      <c r="I410">
        <v>0</v>
      </c>
      <c r="J410" s="107"/>
      <c r="K410" s="107"/>
    </row>
    <row r="411" spans="1:15" outlineLevel="1" x14ac:dyDescent="0.25">
      <c r="A411" s="107"/>
      <c r="B411" s="107"/>
      <c r="C411" s="107"/>
      <c r="D411">
        <v>2024</v>
      </c>
      <c r="E411">
        <f t="shared" si="36"/>
        <v>0</v>
      </c>
      <c r="F411">
        <v>0</v>
      </c>
      <c r="G411">
        <v>0</v>
      </c>
      <c r="H411">
        <v>0</v>
      </c>
      <c r="I411">
        <v>0</v>
      </c>
      <c r="J411" s="107"/>
      <c r="K411" s="107"/>
    </row>
    <row r="412" spans="1:15" outlineLevel="1" x14ac:dyDescent="0.25">
      <c r="A412" s="107"/>
      <c r="B412" s="107"/>
      <c r="C412" s="107"/>
      <c r="D412">
        <v>2025</v>
      </c>
      <c r="E412">
        <f t="shared" si="36"/>
        <v>0</v>
      </c>
      <c r="F412">
        <v>0</v>
      </c>
      <c r="G412">
        <v>0</v>
      </c>
      <c r="H412">
        <v>0</v>
      </c>
      <c r="I412">
        <v>0</v>
      </c>
      <c r="J412" s="107"/>
      <c r="K412" s="107"/>
    </row>
    <row r="413" spans="1:15" ht="17.100000000000001" customHeight="1" outlineLevel="1" x14ac:dyDescent="0.25">
      <c r="A413" s="107" t="s">
        <v>112</v>
      </c>
      <c r="B413" s="107" t="s">
        <v>113</v>
      </c>
      <c r="C413" s="107" t="s">
        <v>14</v>
      </c>
      <c r="D413" t="s">
        <v>8</v>
      </c>
      <c r="E413">
        <f t="shared" si="36"/>
        <v>30000</v>
      </c>
      <c r="F413">
        <f>SUM(F414:F418)</f>
        <v>30000</v>
      </c>
      <c r="G413">
        <f>SUM(G414:G418)</f>
        <v>0</v>
      </c>
      <c r="H413">
        <f>SUM(H414:H418)</f>
        <v>0</v>
      </c>
      <c r="I413">
        <f>SUM(I414:I418)</f>
        <v>0</v>
      </c>
      <c r="J413" s="107" t="s">
        <v>567</v>
      </c>
      <c r="K413" s="107" t="s">
        <v>563</v>
      </c>
    </row>
    <row r="414" spans="1:15" ht="17.100000000000001" customHeight="1" outlineLevel="1" x14ac:dyDescent="0.25">
      <c r="A414" s="107"/>
      <c r="B414" s="107"/>
      <c r="C414" s="107"/>
      <c r="D414">
        <v>2021</v>
      </c>
      <c r="E414">
        <f t="shared" si="36"/>
        <v>6000</v>
      </c>
      <c r="F414">
        <v>6000</v>
      </c>
      <c r="G414">
        <v>0</v>
      </c>
      <c r="H414">
        <v>0</v>
      </c>
      <c r="I414">
        <v>0</v>
      </c>
      <c r="J414" s="107"/>
      <c r="K414" s="107"/>
    </row>
    <row r="415" spans="1:15" ht="17.100000000000001" customHeight="1" outlineLevel="1" x14ac:dyDescent="0.25">
      <c r="A415" s="107"/>
      <c r="B415" s="107"/>
      <c r="C415" s="107"/>
      <c r="D415">
        <v>2022</v>
      </c>
      <c r="E415">
        <f t="shared" si="36"/>
        <v>6000</v>
      </c>
      <c r="F415">
        <v>6000</v>
      </c>
      <c r="G415">
        <v>0</v>
      </c>
      <c r="H415">
        <v>0</v>
      </c>
      <c r="I415">
        <v>0</v>
      </c>
      <c r="J415" s="107"/>
      <c r="K415" s="107"/>
    </row>
    <row r="416" spans="1:15" ht="17.100000000000001" customHeight="1" outlineLevel="1" x14ac:dyDescent="0.25">
      <c r="A416" s="107"/>
      <c r="B416" s="107"/>
      <c r="C416" s="107"/>
      <c r="D416">
        <v>2023</v>
      </c>
      <c r="E416">
        <f t="shared" si="36"/>
        <v>6000</v>
      </c>
      <c r="F416">
        <v>6000</v>
      </c>
      <c r="G416">
        <v>0</v>
      </c>
      <c r="H416">
        <v>0</v>
      </c>
      <c r="I416">
        <v>0</v>
      </c>
      <c r="J416" s="107"/>
      <c r="K416" s="107"/>
    </row>
    <row r="417" spans="1:11" outlineLevel="1" x14ac:dyDescent="0.25">
      <c r="A417" s="107"/>
      <c r="B417" s="107"/>
      <c r="C417" s="107"/>
      <c r="D417">
        <v>2024</v>
      </c>
      <c r="E417">
        <f t="shared" si="36"/>
        <v>6000</v>
      </c>
      <c r="F417">
        <v>6000</v>
      </c>
      <c r="G417">
        <v>0</v>
      </c>
      <c r="H417">
        <v>0</v>
      </c>
      <c r="I417">
        <v>0</v>
      </c>
      <c r="J417" s="107"/>
      <c r="K417" s="107"/>
    </row>
    <row r="418" spans="1:11" outlineLevel="1" x14ac:dyDescent="0.25">
      <c r="A418" s="107"/>
      <c r="B418" s="107"/>
      <c r="C418" s="107"/>
      <c r="D418">
        <v>2025</v>
      </c>
      <c r="E418">
        <f t="shared" si="36"/>
        <v>6000</v>
      </c>
      <c r="F418">
        <v>6000</v>
      </c>
      <c r="G418">
        <v>0</v>
      </c>
      <c r="H418">
        <v>0</v>
      </c>
      <c r="I418">
        <v>0</v>
      </c>
      <c r="J418" s="107"/>
      <c r="K418" s="107"/>
    </row>
    <row r="419" spans="1:11" ht="17.100000000000001" customHeight="1" outlineLevel="1" x14ac:dyDescent="0.25">
      <c r="A419" s="107" t="s">
        <v>568</v>
      </c>
      <c r="B419" s="107" t="s">
        <v>569</v>
      </c>
      <c r="C419" s="107">
        <v>2021</v>
      </c>
      <c r="D419" t="s">
        <v>8</v>
      </c>
      <c r="E419">
        <f t="shared" si="36"/>
        <v>36107.476999999999</v>
      </c>
      <c r="F419">
        <f>SUM(F420:F424)</f>
        <v>36107.476999999999</v>
      </c>
      <c r="G419">
        <f>SUM(G420:G424)</f>
        <v>0</v>
      </c>
      <c r="H419">
        <f>SUM(H420:H424)</f>
        <v>0</v>
      </c>
      <c r="I419">
        <f>SUM(I420:I424)</f>
        <v>0</v>
      </c>
      <c r="J419" s="107" t="s">
        <v>570</v>
      </c>
      <c r="K419" s="107" t="s">
        <v>486</v>
      </c>
    </row>
    <row r="420" spans="1:11" ht="17.100000000000001" customHeight="1" outlineLevel="1" x14ac:dyDescent="0.25">
      <c r="A420" s="107"/>
      <c r="B420" s="107"/>
      <c r="C420" s="107"/>
      <c r="D420">
        <v>2021</v>
      </c>
      <c r="E420">
        <f t="shared" si="36"/>
        <v>3963.1770000000001</v>
      </c>
      <c r="F420">
        <f>3963177/1000</f>
        <v>3963.1770000000001</v>
      </c>
      <c r="G420">
        <v>0</v>
      </c>
      <c r="H420">
        <v>0</v>
      </c>
      <c r="I420">
        <v>0</v>
      </c>
      <c r="J420" s="107"/>
      <c r="K420" s="107"/>
    </row>
    <row r="421" spans="1:11" ht="17.100000000000001" customHeight="1" outlineLevel="1" x14ac:dyDescent="0.25">
      <c r="A421" s="107"/>
      <c r="B421" s="107"/>
      <c r="C421" s="107"/>
      <c r="D421">
        <v>2022</v>
      </c>
      <c r="E421">
        <f t="shared" si="36"/>
        <v>32144.3</v>
      </c>
      <c r="F421">
        <v>32144.3</v>
      </c>
      <c r="G421">
        <v>0</v>
      </c>
      <c r="H421">
        <v>0</v>
      </c>
      <c r="I421">
        <v>0</v>
      </c>
      <c r="J421" s="107"/>
      <c r="K421" s="107"/>
    </row>
    <row r="422" spans="1:11" ht="17.100000000000001" customHeight="1" outlineLevel="1" x14ac:dyDescent="0.25">
      <c r="A422" s="107"/>
      <c r="B422" s="107"/>
      <c r="C422" s="107"/>
      <c r="D422">
        <v>2023</v>
      </c>
      <c r="E422">
        <f t="shared" si="36"/>
        <v>0</v>
      </c>
      <c r="F422">
        <v>0</v>
      </c>
      <c r="G422">
        <v>0</v>
      </c>
      <c r="H422">
        <v>0</v>
      </c>
      <c r="I422">
        <v>0</v>
      </c>
      <c r="J422" s="107"/>
      <c r="K422" s="107"/>
    </row>
    <row r="423" spans="1:11" outlineLevel="1" x14ac:dyDescent="0.25">
      <c r="A423" s="107"/>
      <c r="B423" s="107"/>
      <c r="C423" s="107"/>
      <c r="D423">
        <v>2024</v>
      </c>
      <c r="E423">
        <f t="shared" si="36"/>
        <v>0</v>
      </c>
      <c r="F423">
        <v>0</v>
      </c>
      <c r="G423">
        <v>0</v>
      </c>
      <c r="H423">
        <v>0</v>
      </c>
      <c r="I423">
        <v>0</v>
      </c>
      <c r="J423" s="107"/>
      <c r="K423" s="107"/>
    </row>
    <row r="424" spans="1:11" outlineLevel="1" x14ac:dyDescent="0.25">
      <c r="A424" s="107"/>
      <c r="B424" s="107"/>
      <c r="C424" s="107"/>
      <c r="D424">
        <v>2025</v>
      </c>
      <c r="E424">
        <f t="shared" si="36"/>
        <v>0</v>
      </c>
      <c r="F424">
        <v>0</v>
      </c>
      <c r="G424">
        <v>0</v>
      </c>
      <c r="H424">
        <v>0</v>
      </c>
      <c r="I424">
        <v>0</v>
      </c>
      <c r="J424" s="107"/>
      <c r="K424" s="107"/>
    </row>
    <row r="425" spans="1:11" ht="17.100000000000001" customHeight="1" outlineLevel="1" x14ac:dyDescent="0.25">
      <c r="A425" s="107" t="s">
        <v>571</v>
      </c>
      <c r="B425" s="107" t="s">
        <v>572</v>
      </c>
      <c r="C425" s="107">
        <v>2021</v>
      </c>
      <c r="D425" t="s">
        <v>8</v>
      </c>
      <c r="E425">
        <f t="shared" si="36"/>
        <v>22778.260870000002</v>
      </c>
      <c r="F425">
        <f>SUM(F426:F430)</f>
        <v>18860.400000000001</v>
      </c>
      <c r="G425">
        <f>SUM(G426:G430)</f>
        <v>0</v>
      </c>
      <c r="H425">
        <f>SUM(H426:H430)</f>
        <v>3917.86087</v>
      </c>
      <c r="I425">
        <f>SUM(I426:I430)</f>
        <v>0</v>
      </c>
      <c r="J425" s="107" t="s">
        <v>573</v>
      </c>
      <c r="K425" s="107" t="s">
        <v>566</v>
      </c>
    </row>
    <row r="426" spans="1:11" ht="17.100000000000001" customHeight="1" outlineLevel="1" x14ac:dyDescent="0.25">
      <c r="A426" s="107"/>
      <c r="B426" s="107"/>
      <c r="C426" s="107"/>
      <c r="D426">
        <v>2021</v>
      </c>
      <c r="E426">
        <f t="shared" si="36"/>
        <v>22778.260870000002</v>
      </c>
      <c r="F426">
        <v>18860.400000000001</v>
      </c>
      <c r="G426">
        <v>0</v>
      </c>
      <c r="H426">
        <v>3917.86087</v>
      </c>
      <c r="I426">
        <v>0</v>
      </c>
      <c r="J426" s="107"/>
      <c r="K426" s="107"/>
    </row>
    <row r="427" spans="1:11" ht="17.100000000000001" customHeight="1" outlineLevel="1" x14ac:dyDescent="0.25">
      <c r="A427" s="107"/>
      <c r="B427" s="107"/>
      <c r="C427" s="107"/>
      <c r="D427">
        <v>2022</v>
      </c>
      <c r="E427">
        <v>0</v>
      </c>
      <c r="F427">
        <v>0</v>
      </c>
      <c r="G427">
        <v>0</v>
      </c>
      <c r="H427">
        <v>0</v>
      </c>
      <c r="I427">
        <v>0</v>
      </c>
      <c r="J427" s="107"/>
      <c r="K427" s="107"/>
    </row>
    <row r="428" spans="1:11" ht="17.100000000000001" customHeight="1" outlineLevel="1" x14ac:dyDescent="0.25">
      <c r="A428" s="107"/>
      <c r="B428" s="107"/>
      <c r="C428" s="107"/>
      <c r="D428">
        <v>2023</v>
      </c>
      <c r="E428">
        <v>0</v>
      </c>
      <c r="F428">
        <v>0</v>
      </c>
      <c r="G428">
        <v>0</v>
      </c>
      <c r="H428">
        <v>0</v>
      </c>
      <c r="I428">
        <v>0</v>
      </c>
      <c r="J428" s="107"/>
      <c r="K428" s="107"/>
    </row>
    <row r="429" spans="1:11" outlineLevel="1" x14ac:dyDescent="0.25">
      <c r="A429" s="107"/>
      <c r="B429" s="107"/>
      <c r="C429" s="107"/>
      <c r="D429">
        <v>2024</v>
      </c>
      <c r="E429">
        <v>0</v>
      </c>
      <c r="F429">
        <v>0</v>
      </c>
      <c r="G429">
        <v>0</v>
      </c>
      <c r="H429">
        <v>0</v>
      </c>
      <c r="I429">
        <v>0</v>
      </c>
      <c r="J429" s="107"/>
      <c r="K429" s="107"/>
    </row>
    <row r="430" spans="1:11" outlineLevel="1" x14ac:dyDescent="0.25">
      <c r="A430" s="107"/>
      <c r="B430" s="107"/>
      <c r="C430" s="107"/>
      <c r="D430">
        <v>2025</v>
      </c>
      <c r="E430">
        <v>0</v>
      </c>
      <c r="F430">
        <v>0</v>
      </c>
      <c r="G430">
        <v>0</v>
      </c>
      <c r="H430">
        <v>0</v>
      </c>
      <c r="I430">
        <v>0</v>
      </c>
      <c r="J430" s="107"/>
      <c r="K430" s="107"/>
    </row>
    <row r="431" spans="1:11" ht="17.100000000000001" customHeight="1" outlineLevel="1" x14ac:dyDescent="0.25">
      <c r="A431" s="107" t="s">
        <v>574</v>
      </c>
      <c r="B431" s="107" t="s">
        <v>575</v>
      </c>
      <c r="C431" s="107">
        <v>2021</v>
      </c>
      <c r="D431" t="s">
        <v>8</v>
      </c>
      <c r="E431">
        <f t="shared" ref="E431:E491" si="42">SUM(F431:I431)</f>
        <v>13210.697336842104</v>
      </c>
      <c r="F431">
        <f>SUM(F432:F436)</f>
        <v>12550.162469999999</v>
      </c>
      <c r="G431">
        <f>SUM(G432:G436)</f>
        <v>0</v>
      </c>
      <c r="H431">
        <f>SUM(H432:H436)</f>
        <v>660.5348668421052</v>
      </c>
      <c r="I431">
        <f>SUM(I432:I436)</f>
        <v>0</v>
      </c>
      <c r="J431" s="107" t="s">
        <v>576</v>
      </c>
      <c r="K431" s="107" t="s">
        <v>547</v>
      </c>
    </row>
    <row r="432" spans="1:11" ht="17.100000000000001" customHeight="1" outlineLevel="1" x14ac:dyDescent="0.25">
      <c r="A432" s="107"/>
      <c r="B432" s="107"/>
      <c r="C432" s="107"/>
      <c r="D432">
        <v>2021</v>
      </c>
      <c r="E432">
        <f t="shared" si="42"/>
        <v>13210.697336842104</v>
      </c>
      <c r="F432">
        <v>12550.162469999999</v>
      </c>
      <c r="G432">
        <v>0</v>
      </c>
      <c r="H432">
        <f>F432/95*5</f>
        <v>660.5348668421052</v>
      </c>
      <c r="I432">
        <v>0</v>
      </c>
      <c r="J432" s="107"/>
      <c r="K432" s="107"/>
    </row>
    <row r="433" spans="1:11" ht="17.100000000000001" customHeight="1" outlineLevel="1" x14ac:dyDescent="0.25">
      <c r="A433" s="107"/>
      <c r="B433" s="107"/>
      <c r="C433" s="107"/>
      <c r="D433">
        <v>2022</v>
      </c>
      <c r="E433">
        <v>0</v>
      </c>
      <c r="F433">
        <v>0</v>
      </c>
      <c r="G433">
        <v>0</v>
      </c>
      <c r="H433">
        <v>0</v>
      </c>
      <c r="I433">
        <v>0</v>
      </c>
      <c r="J433" s="107"/>
      <c r="K433" s="107"/>
    </row>
    <row r="434" spans="1:11" ht="17.100000000000001" customHeight="1" outlineLevel="1" x14ac:dyDescent="0.25">
      <c r="A434" s="107"/>
      <c r="B434" s="107"/>
      <c r="C434" s="107"/>
      <c r="D434">
        <v>2023</v>
      </c>
      <c r="E434">
        <v>0</v>
      </c>
      <c r="F434">
        <v>0</v>
      </c>
      <c r="G434">
        <v>0</v>
      </c>
      <c r="H434">
        <v>0</v>
      </c>
      <c r="I434">
        <v>0</v>
      </c>
      <c r="J434" s="107"/>
      <c r="K434" s="107"/>
    </row>
    <row r="435" spans="1:11" outlineLevel="1" x14ac:dyDescent="0.25">
      <c r="A435" s="107"/>
      <c r="B435" s="107"/>
      <c r="C435" s="107"/>
      <c r="D435">
        <v>2024</v>
      </c>
      <c r="E435">
        <v>0</v>
      </c>
      <c r="F435">
        <v>0</v>
      </c>
      <c r="G435">
        <v>0</v>
      </c>
      <c r="H435">
        <v>0</v>
      </c>
      <c r="I435">
        <v>0</v>
      </c>
      <c r="J435" s="107"/>
      <c r="K435" s="107"/>
    </row>
    <row r="436" spans="1:11" outlineLevel="1" x14ac:dyDescent="0.25">
      <c r="A436" s="107"/>
      <c r="B436" s="107"/>
      <c r="C436" s="107"/>
      <c r="D436">
        <v>2025</v>
      </c>
      <c r="E436">
        <v>0</v>
      </c>
      <c r="F436">
        <v>0</v>
      </c>
      <c r="G436">
        <v>0</v>
      </c>
      <c r="H436">
        <v>0</v>
      </c>
      <c r="I436">
        <v>0</v>
      </c>
      <c r="J436" s="107"/>
      <c r="K436" s="107"/>
    </row>
    <row r="437" spans="1:11" ht="17.100000000000001" customHeight="1" outlineLevel="1" x14ac:dyDescent="0.25">
      <c r="A437" s="107" t="s">
        <v>577</v>
      </c>
      <c r="B437" s="107" t="s">
        <v>578</v>
      </c>
      <c r="C437" s="107">
        <v>2021</v>
      </c>
      <c r="D437" t="s">
        <v>8</v>
      </c>
      <c r="E437">
        <f t="shared" si="42"/>
        <v>7451.59</v>
      </c>
      <c r="F437">
        <f>SUM(F438:F442)</f>
        <v>7079.0105000000003</v>
      </c>
      <c r="G437">
        <f>SUM(G438:G442)</f>
        <v>0</v>
      </c>
      <c r="H437">
        <f>SUM(H438:H442)</f>
        <v>372.5795</v>
      </c>
      <c r="I437">
        <f>SUM(I438:I442)</f>
        <v>0</v>
      </c>
      <c r="J437" s="107" t="s">
        <v>579</v>
      </c>
      <c r="K437" s="107" t="s">
        <v>547</v>
      </c>
    </row>
    <row r="438" spans="1:11" ht="17.100000000000001" customHeight="1" outlineLevel="1" x14ac:dyDescent="0.25">
      <c r="A438" s="107"/>
      <c r="B438" s="107"/>
      <c r="C438" s="107"/>
      <c r="D438">
        <v>2021</v>
      </c>
      <c r="E438">
        <f t="shared" si="42"/>
        <v>7451.59</v>
      </c>
      <c r="F438">
        <v>7079.0105000000003</v>
      </c>
      <c r="G438">
        <v>0</v>
      </c>
      <c r="H438">
        <f>F438/95*5</f>
        <v>372.5795</v>
      </c>
      <c r="I438">
        <v>0</v>
      </c>
      <c r="J438" s="107"/>
      <c r="K438" s="107"/>
    </row>
    <row r="439" spans="1:11" ht="17.100000000000001" customHeight="1" outlineLevel="1" x14ac:dyDescent="0.25">
      <c r="A439" s="107"/>
      <c r="B439" s="107"/>
      <c r="C439" s="107"/>
      <c r="D439">
        <v>2022</v>
      </c>
      <c r="E439">
        <v>0</v>
      </c>
      <c r="F439">
        <v>0</v>
      </c>
      <c r="G439">
        <v>0</v>
      </c>
      <c r="H439">
        <v>0</v>
      </c>
      <c r="I439">
        <v>0</v>
      </c>
      <c r="J439" s="107"/>
      <c r="K439" s="107"/>
    </row>
    <row r="440" spans="1:11" ht="17.100000000000001" customHeight="1" outlineLevel="1" x14ac:dyDescent="0.25">
      <c r="A440" s="107"/>
      <c r="B440" s="107"/>
      <c r="C440" s="107"/>
      <c r="D440">
        <v>2023</v>
      </c>
      <c r="E440">
        <v>0</v>
      </c>
      <c r="F440">
        <v>0</v>
      </c>
      <c r="G440">
        <v>0</v>
      </c>
      <c r="H440">
        <v>0</v>
      </c>
      <c r="I440">
        <v>0</v>
      </c>
      <c r="J440" s="107"/>
      <c r="K440" s="107"/>
    </row>
    <row r="441" spans="1:11" outlineLevel="1" x14ac:dyDescent="0.25">
      <c r="A441" s="107"/>
      <c r="B441" s="107"/>
      <c r="C441" s="107"/>
      <c r="D441">
        <v>2024</v>
      </c>
      <c r="E441">
        <v>0</v>
      </c>
      <c r="F441">
        <v>0</v>
      </c>
      <c r="G441">
        <v>0</v>
      </c>
      <c r="H441">
        <v>0</v>
      </c>
      <c r="I441">
        <v>0</v>
      </c>
      <c r="J441" s="107"/>
      <c r="K441" s="107"/>
    </row>
    <row r="442" spans="1:11" outlineLevel="1" x14ac:dyDescent="0.25">
      <c r="A442" s="107"/>
      <c r="B442" s="107"/>
      <c r="C442" s="107"/>
      <c r="D442">
        <v>2025</v>
      </c>
      <c r="E442">
        <v>0</v>
      </c>
      <c r="F442">
        <v>0</v>
      </c>
      <c r="G442">
        <v>0</v>
      </c>
      <c r="H442">
        <v>0</v>
      </c>
      <c r="I442">
        <v>0</v>
      </c>
      <c r="J442" s="107"/>
      <c r="K442" s="107"/>
    </row>
    <row r="443" spans="1:11" ht="17.100000000000001" customHeight="1" outlineLevel="1" x14ac:dyDescent="0.25">
      <c r="A443" s="107" t="s">
        <v>580</v>
      </c>
      <c r="B443" s="107" t="s">
        <v>416</v>
      </c>
      <c r="C443" s="107">
        <v>2021</v>
      </c>
      <c r="D443" t="s">
        <v>8</v>
      </c>
      <c r="E443">
        <f t="shared" si="42"/>
        <v>50013.516600000003</v>
      </c>
      <c r="F443">
        <f>SUM(F444:F448)</f>
        <v>47512.840770000003</v>
      </c>
      <c r="G443">
        <f>SUM(G444:G448)</f>
        <v>0</v>
      </c>
      <c r="H443">
        <f>SUM(H444:H448)</f>
        <v>2500.6758300000001</v>
      </c>
      <c r="I443">
        <f>SUM(I444:I448)</f>
        <v>0</v>
      </c>
      <c r="J443" s="107" t="s">
        <v>581</v>
      </c>
      <c r="K443" s="107" t="s">
        <v>547</v>
      </c>
    </row>
    <row r="444" spans="1:11" ht="17.100000000000001" customHeight="1" outlineLevel="1" x14ac:dyDescent="0.25">
      <c r="A444" s="107"/>
      <c r="B444" s="107"/>
      <c r="C444" s="107"/>
      <c r="D444">
        <v>2021</v>
      </c>
      <c r="E444">
        <f t="shared" si="42"/>
        <v>50013.516600000003</v>
      </c>
      <c r="F444">
        <v>47512.840770000003</v>
      </c>
      <c r="G444">
        <v>0</v>
      </c>
      <c r="H444">
        <f>F444/95*5</f>
        <v>2500.6758300000001</v>
      </c>
      <c r="I444">
        <v>0</v>
      </c>
      <c r="J444" s="107"/>
      <c r="K444" s="107"/>
    </row>
    <row r="445" spans="1:11" ht="17.100000000000001" customHeight="1" outlineLevel="1" x14ac:dyDescent="0.25">
      <c r="A445" s="107"/>
      <c r="B445" s="107"/>
      <c r="C445" s="107"/>
      <c r="D445">
        <v>2022</v>
      </c>
      <c r="E445">
        <v>0</v>
      </c>
      <c r="F445">
        <v>0</v>
      </c>
      <c r="G445">
        <v>0</v>
      </c>
      <c r="H445">
        <v>0</v>
      </c>
      <c r="I445">
        <v>0</v>
      </c>
      <c r="J445" s="107"/>
      <c r="K445" s="107"/>
    </row>
    <row r="446" spans="1:11" ht="17.100000000000001" customHeight="1" outlineLevel="1" x14ac:dyDescent="0.25">
      <c r="A446" s="107"/>
      <c r="B446" s="107"/>
      <c r="C446" s="107"/>
      <c r="D446">
        <v>2023</v>
      </c>
      <c r="E446">
        <v>0</v>
      </c>
      <c r="F446">
        <v>0</v>
      </c>
      <c r="G446">
        <v>0</v>
      </c>
      <c r="H446">
        <v>0</v>
      </c>
      <c r="I446">
        <v>0</v>
      </c>
      <c r="J446" s="107"/>
      <c r="K446" s="107"/>
    </row>
    <row r="447" spans="1:11" outlineLevel="1" x14ac:dyDescent="0.25">
      <c r="A447" s="107"/>
      <c r="B447" s="107"/>
      <c r="C447" s="107"/>
      <c r="D447">
        <v>2024</v>
      </c>
      <c r="E447">
        <v>0</v>
      </c>
      <c r="F447">
        <v>0</v>
      </c>
      <c r="G447">
        <v>0</v>
      </c>
      <c r="H447">
        <v>0</v>
      </c>
      <c r="I447">
        <v>0</v>
      </c>
      <c r="J447" s="107"/>
      <c r="K447" s="107"/>
    </row>
    <row r="448" spans="1:11" outlineLevel="1" x14ac:dyDescent="0.25">
      <c r="A448" s="107"/>
      <c r="B448" s="107"/>
      <c r="C448" s="107"/>
      <c r="D448">
        <v>2025</v>
      </c>
      <c r="E448">
        <v>0</v>
      </c>
      <c r="F448">
        <v>0</v>
      </c>
      <c r="G448">
        <v>0</v>
      </c>
      <c r="H448">
        <v>0</v>
      </c>
      <c r="I448">
        <v>0</v>
      </c>
      <c r="J448" s="107"/>
      <c r="K448" s="107"/>
    </row>
    <row r="449" spans="1:11" ht="17.100000000000001" customHeight="1" outlineLevel="1" x14ac:dyDescent="0.25">
      <c r="A449" s="107" t="s">
        <v>582</v>
      </c>
      <c r="B449" s="107" t="s">
        <v>419</v>
      </c>
      <c r="C449" s="107">
        <v>2021</v>
      </c>
      <c r="D449" t="s">
        <v>8</v>
      </c>
      <c r="E449">
        <f t="shared" si="42"/>
        <v>9928.3460643185299</v>
      </c>
      <c r="F449">
        <f>SUM(F450:F454)</f>
        <v>6483.2099799999996</v>
      </c>
      <c r="G449">
        <f>SUM(G450:G454)</f>
        <v>0</v>
      </c>
      <c r="H449">
        <f>SUM(H450:H454)</f>
        <v>3445.1360843185298</v>
      </c>
      <c r="I449">
        <f>SUM(I450:I454)</f>
        <v>0</v>
      </c>
      <c r="J449" s="107" t="s">
        <v>583</v>
      </c>
      <c r="K449" s="107" t="s">
        <v>547</v>
      </c>
    </row>
    <row r="450" spans="1:11" ht="17.100000000000001" customHeight="1" outlineLevel="1" x14ac:dyDescent="0.25">
      <c r="A450" s="107"/>
      <c r="B450" s="107"/>
      <c r="C450" s="107"/>
      <c r="D450">
        <v>2021</v>
      </c>
      <c r="E450">
        <f t="shared" si="42"/>
        <v>9928.3460643185299</v>
      </c>
      <c r="F450">
        <v>6483.2099799999996</v>
      </c>
      <c r="G450">
        <v>0</v>
      </c>
      <c r="H450">
        <f>F450/65.3*34.7</f>
        <v>3445.1360843185298</v>
      </c>
      <c r="I450">
        <v>0</v>
      </c>
      <c r="J450" s="107"/>
      <c r="K450" s="107"/>
    </row>
    <row r="451" spans="1:11" ht="17.100000000000001" customHeight="1" outlineLevel="1" x14ac:dyDescent="0.25">
      <c r="A451" s="107"/>
      <c r="B451" s="107"/>
      <c r="C451" s="107"/>
      <c r="D451">
        <v>2022</v>
      </c>
      <c r="E451">
        <v>0</v>
      </c>
      <c r="F451">
        <v>0</v>
      </c>
      <c r="G451">
        <v>0</v>
      </c>
      <c r="H451">
        <v>0</v>
      </c>
      <c r="I451">
        <v>0</v>
      </c>
      <c r="J451" s="107"/>
      <c r="K451" s="107"/>
    </row>
    <row r="452" spans="1:11" ht="17.100000000000001" customHeight="1" outlineLevel="1" x14ac:dyDescent="0.25">
      <c r="A452" s="107"/>
      <c r="B452" s="107"/>
      <c r="C452" s="107"/>
      <c r="D452">
        <v>2023</v>
      </c>
      <c r="E452">
        <v>0</v>
      </c>
      <c r="F452">
        <v>0</v>
      </c>
      <c r="G452">
        <v>0</v>
      </c>
      <c r="H452">
        <v>0</v>
      </c>
      <c r="I452">
        <v>0</v>
      </c>
      <c r="J452" s="107"/>
      <c r="K452" s="107"/>
    </row>
    <row r="453" spans="1:11" outlineLevel="1" x14ac:dyDescent="0.25">
      <c r="A453" s="107"/>
      <c r="B453" s="107"/>
      <c r="C453" s="107"/>
      <c r="D453">
        <v>2024</v>
      </c>
      <c r="E453">
        <v>0</v>
      </c>
      <c r="F453">
        <v>0</v>
      </c>
      <c r="G453">
        <v>0</v>
      </c>
      <c r="H453">
        <v>0</v>
      </c>
      <c r="I453">
        <v>0</v>
      </c>
      <c r="J453" s="107"/>
      <c r="K453" s="107"/>
    </row>
    <row r="454" spans="1:11" ht="28.5" customHeight="1" outlineLevel="1" x14ac:dyDescent="0.25">
      <c r="A454" s="107"/>
      <c r="B454" s="107"/>
      <c r="C454" s="107"/>
      <c r="D454">
        <v>2025</v>
      </c>
      <c r="E454">
        <v>0</v>
      </c>
      <c r="F454">
        <v>0</v>
      </c>
      <c r="G454">
        <v>0</v>
      </c>
      <c r="H454">
        <v>0</v>
      </c>
      <c r="I454">
        <v>0</v>
      </c>
      <c r="J454" s="107"/>
      <c r="K454" s="107"/>
    </row>
    <row r="455" spans="1:11" ht="16.5" hidden="1" customHeight="1" outlineLevel="1" x14ac:dyDescent="0.25">
      <c r="A455" s="107" t="s">
        <v>584</v>
      </c>
      <c r="B455" s="107" t="s">
        <v>424</v>
      </c>
      <c r="C455" s="107">
        <v>2021</v>
      </c>
      <c r="D455" t="s">
        <v>8</v>
      </c>
      <c r="E455">
        <f t="shared" si="42"/>
        <v>0</v>
      </c>
      <c r="F455">
        <f>SUM(F456:F460)</f>
        <v>0</v>
      </c>
      <c r="G455">
        <f>SUM(G456:G460)</f>
        <v>0</v>
      </c>
      <c r="H455">
        <f>SUM(H456:H460)</f>
        <v>0</v>
      </c>
      <c r="I455">
        <f>SUM(I456:I460)</f>
        <v>0</v>
      </c>
      <c r="J455" s="107" t="s">
        <v>585</v>
      </c>
      <c r="K455" s="107" t="s">
        <v>103</v>
      </c>
    </row>
    <row r="456" spans="1:11" ht="0.75" hidden="1" customHeight="1" outlineLevel="1" x14ac:dyDescent="0.25">
      <c r="A456" s="107"/>
      <c r="B456" s="107"/>
      <c r="C456" s="107"/>
      <c r="D456">
        <v>2021</v>
      </c>
      <c r="E456">
        <f t="shared" si="42"/>
        <v>0</v>
      </c>
      <c r="F456">
        <v>0</v>
      </c>
      <c r="G456">
        <v>0</v>
      </c>
      <c r="H456">
        <f>F456/95*5</f>
        <v>0</v>
      </c>
      <c r="I456">
        <v>0</v>
      </c>
      <c r="J456" s="107"/>
      <c r="K456" s="107"/>
    </row>
    <row r="457" spans="1:11" ht="9" hidden="1" customHeight="1" outlineLevel="1" x14ac:dyDescent="0.25">
      <c r="A457" s="107"/>
      <c r="B457" s="107"/>
      <c r="C457" s="107"/>
      <c r="D457">
        <v>2022</v>
      </c>
      <c r="E457">
        <v>0</v>
      </c>
      <c r="F457">
        <v>0</v>
      </c>
      <c r="G457">
        <v>0</v>
      </c>
      <c r="H457">
        <v>0</v>
      </c>
      <c r="I457">
        <v>0</v>
      </c>
      <c r="J457" s="107"/>
      <c r="K457" s="107"/>
    </row>
    <row r="458" spans="1:11" ht="9" hidden="1" customHeight="1" outlineLevel="1" x14ac:dyDescent="0.25">
      <c r="A458" s="107"/>
      <c r="B458" s="107"/>
      <c r="C458" s="107"/>
      <c r="D458">
        <v>2023</v>
      </c>
      <c r="E458">
        <v>0</v>
      </c>
      <c r="F458">
        <v>0</v>
      </c>
      <c r="G458">
        <v>0</v>
      </c>
      <c r="H458">
        <v>0</v>
      </c>
      <c r="I458">
        <v>0</v>
      </c>
      <c r="J458" s="107"/>
      <c r="K458" s="107"/>
    </row>
    <row r="459" spans="1:11" ht="15" hidden="1" customHeight="1" outlineLevel="1" x14ac:dyDescent="0.25">
      <c r="A459" s="107"/>
      <c r="B459" s="107"/>
      <c r="C459" s="107"/>
      <c r="D459">
        <v>2024</v>
      </c>
      <c r="E459">
        <v>0</v>
      </c>
      <c r="F459">
        <v>0</v>
      </c>
      <c r="G459">
        <v>0</v>
      </c>
      <c r="H459">
        <v>0</v>
      </c>
      <c r="I459">
        <v>0</v>
      </c>
      <c r="J459" s="107"/>
      <c r="K459" s="107"/>
    </row>
    <row r="460" spans="1:11" ht="16.5" hidden="1" customHeight="1" outlineLevel="1" x14ac:dyDescent="0.25">
      <c r="A460" s="107"/>
      <c r="B460" s="107"/>
      <c r="C460" s="107"/>
      <c r="D460">
        <v>2025</v>
      </c>
      <c r="E460">
        <v>0</v>
      </c>
      <c r="F460">
        <v>0</v>
      </c>
      <c r="G460">
        <v>0</v>
      </c>
      <c r="H460">
        <v>0</v>
      </c>
      <c r="I460">
        <v>0</v>
      </c>
      <c r="J460" s="107"/>
      <c r="K460" s="107"/>
    </row>
    <row r="461" spans="1:11" ht="15" customHeight="1" outlineLevel="1" x14ac:dyDescent="0.25">
      <c r="A461" s="107" t="s">
        <v>586</v>
      </c>
      <c r="B461" s="107" t="s">
        <v>587</v>
      </c>
      <c r="C461" s="107">
        <v>2021</v>
      </c>
      <c r="D461" t="s">
        <v>8</v>
      </c>
      <c r="E461">
        <f t="shared" si="42"/>
        <v>28829.676842105262</v>
      </c>
      <c r="F461">
        <f>SUM(F462:F466)</f>
        <v>27388.192999999999</v>
      </c>
      <c r="G461">
        <f>SUM(G462:G466)</f>
        <v>0</v>
      </c>
      <c r="H461">
        <f>SUM(H462:H466)</f>
        <v>1441.483842105263</v>
      </c>
      <c r="I461">
        <f>SUM(I462:I466)</f>
        <v>0</v>
      </c>
      <c r="J461" s="107" t="s">
        <v>588</v>
      </c>
      <c r="K461" s="107" t="s">
        <v>547</v>
      </c>
    </row>
    <row r="462" spans="1:11" ht="15" customHeight="1" outlineLevel="1" x14ac:dyDescent="0.25">
      <c r="A462" s="107"/>
      <c r="B462" s="107"/>
      <c r="C462" s="107"/>
      <c r="D462">
        <v>2021</v>
      </c>
      <c r="E462">
        <f t="shared" si="42"/>
        <v>28829.676842105262</v>
      </c>
      <c r="F462">
        <v>27388.192999999999</v>
      </c>
      <c r="G462">
        <v>0</v>
      </c>
      <c r="H462">
        <f>F462/95*5</f>
        <v>1441.483842105263</v>
      </c>
      <c r="I462">
        <v>0</v>
      </c>
      <c r="J462" s="107"/>
      <c r="K462" s="107"/>
    </row>
    <row r="463" spans="1:11" ht="15" customHeight="1" outlineLevel="1" x14ac:dyDescent="0.25">
      <c r="A463" s="107"/>
      <c r="B463" s="107"/>
      <c r="C463" s="107"/>
      <c r="D463">
        <v>2022</v>
      </c>
      <c r="E463">
        <v>0</v>
      </c>
      <c r="F463">
        <v>0</v>
      </c>
      <c r="G463">
        <v>0</v>
      </c>
      <c r="H463">
        <v>0</v>
      </c>
      <c r="I463">
        <v>0</v>
      </c>
      <c r="J463" s="107"/>
      <c r="K463" s="107"/>
    </row>
    <row r="464" spans="1:11" ht="15" customHeight="1" outlineLevel="1" x14ac:dyDescent="0.25">
      <c r="A464" s="107"/>
      <c r="B464" s="107"/>
      <c r="C464" s="107"/>
      <c r="D464">
        <v>2023</v>
      </c>
      <c r="E464">
        <v>0</v>
      </c>
      <c r="F464">
        <v>0</v>
      </c>
      <c r="G464">
        <v>0</v>
      </c>
      <c r="H464">
        <v>0</v>
      </c>
      <c r="I464">
        <v>0</v>
      </c>
      <c r="J464" s="107"/>
      <c r="K464" s="107"/>
    </row>
    <row r="465" spans="1:11" ht="15" customHeight="1" outlineLevel="1" x14ac:dyDescent="0.25">
      <c r="A465" s="107"/>
      <c r="B465" s="107"/>
      <c r="C465" s="107"/>
      <c r="D465">
        <v>2024</v>
      </c>
      <c r="E465">
        <v>0</v>
      </c>
      <c r="F465">
        <v>0</v>
      </c>
      <c r="G465">
        <v>0</v>
      </c>
      <c r="H465">
        <v>0</v>
      </c>
      <c r="I465">
        <v>0</v>
      </c>
      <c r="J465" s="107"/>
      <c r="K465" s="107"/>
    </row>
    <row r="466" spans="1:11" ht="15" customHeight="1" outlineLevel="1" x14ac:dyDescent="0.25">
      <c r="A466" s="107"/>
      <c r="B466" s="107"/>
      <c r="C466" s="107"/>
      <c r="D466">
        <v>2025</v>
      </c>
      <c r="E466">
        <v>0</v>
      </c>
      <c r="F466">
        <v>0</v>
      </c>
      <c r="G466">
        <v>0</v>
      </c>
      <c r="H466">
        <v>0</v>
      </c>
      <c r="I466">
        <v>0</v>
      </c>
      <c r="J466" s="107"/>
      <c r="K466" s="107"/>
    </row>
    <row r="467" spans="1:11" ht="15" customHeight="1" outlineLevel="1" x14ac:dyDescent="0.25">
      <c r="A467" s="107" t="s">
        <v>589</v>
      </c>
      <c r="B467" s="107" t="s">
        <v>590</v>
      </c>
      <c r="C467" s="107">
        <v>2021</v>
      </c>
      <c r="D467" t="s">
        <v>8</v>
      </c>
      <c r="E467">
        <f t="shared" si="42"/>
        <v>2270.6600000000003</v>
      </c>
      <c r="F467">
        <f>SUM(F468:F472)</f>
        <v>2100.36</v>
      </c>
      <c r="G467">
        <f>SUM(G468:G472)</f>
        <v>0</v>
      </c>
      <c r="H467">
        <f>SUM(H468:H472)</f>
        <v>170.3</v>
      </c>
      <c r="I467">
        <f>SUM(I468:I472)</f>
        <v>0</v>
      </c>
      <c r="J467" s="107" t="s">
        <v>591</v>
      </c>
      <c r="K467" s="107" t="s">
        <v>547</v>
      </c>
    </row>
    <row r="468" spans="1:11" ht="15" customHeight="1" outlineLevel="1" x14ac:dyDescent="0.25">
      <c r="A468" s="107"/>
      <c r="B468" s="107"/>
      <c r="C468" s="107"/>
      <c r="D468">
        <v>2021</v>
      </c>
      <c r="E468">
        <f t="shared" si="42"/>
        <v>2270.6600000000003</v>
      </c>
      <c r="F468">
        <v>2100.36</v>
      </c>
      <c r="G468">
        <v>0</v>
      </c>
      <c r="H468">
        <v>170.3</v>
      </c>
      <c r="I468">
        <v>0</v>
      </c>
      <c r="J468" s="107"/>
      <c r="K468" s="107"/>
    </row>
    <row r="469" spans="1:11" ht="15" customHeight="1" outlineLevel="1" x14ac:dyDescent="0.25">
      <c r="A469" s="107"/>
      <c r="B469" s="107"/>
      <c r="C469" s="107"/>
      <c r="D469">
        <v>2022</v>
      </c>
      <c r="E469">
        <f t="shared" si="42"/>
        <v>0</v>
      </c>
      <c r="F469">
        <v>0</v>
      </c>
      <c r="G469">
        <v>0</v>
      </c>
      <c r="H469">
        <v>0</v>
      </c>
      <c r="I469">
        <v>0</v>
      </c>
      <c r="J469" s="107"/>
      <c r="K469" s="107"/>
    </row>
    <row r="470" spans="1:11" ht="15" customHeight="1" outlineLevel="1" x14ac:dyDescent="0.25">
      <c r="A470" s="107"/>
      <c r="B470" s="107"/>
      <c r="C470" s="107"/>
      <c r="D470">
        <v>2023</v>
      </c>
      <c r="E470">
        <f t="shared" si="42"/>
        <v>0</v>
      </c>
      <c r="F470">
        <v>0</v>
      </c>
      <c r="G470">
        <v>0</v>
      </c>
      <c r="H470">
        <v>0</v>
      </c>
      <c r="I470">
        <v>0</v>
      </c>
      <c r="J470" s="107"/>
      <c r="K470" s="107"/>
    </row>
    <row r="471" spans="1:11" ht="15" customHeight="1" outlineLevel="1" x14ac:dyDescent="0.25">
      <c r="A471" s="107"/>
      <c r="B471" s="107"/>
      <c r="C471" s="107"/>
      <c r="D471">
        <v>2024</v>
      </c>
      <c r="E471">
        <f t="shared" si="42"/>
        <v>0</v>
      </c>
      <c r="F471">
        <v>0</v>
      </c>
      <c r="G471">
        <v>0</v>
      </c>
      <c r="H471">
        <v>0</v>
      </c>
      <c r="I471">
        <v>0</v>
      </c>
      <c r="J471" s="107"/>
      <c r="K471" s="107"/>
    </row>
    <row r="472" spans="1:11" ht="13.5" customHeight="1" outlineLevel="1" x14ac:dyDescent="0.25">
      <c r="A472" s="107"/>
      <c r="B472" s="107"/>
      <c r="C472" s="107"/>
      <c r="D472">
        <v>2025</v>
      </c>
      <c r="E472">
        <f t="shared" si="42"/>
        <v>0</v>
      </c>
      <c r="F472">
        <v>0</v>
      </c>
      <c r="G472">
        <v>0</v>
      </c>
      <c r="H472">
        <v>0</v>
      </c>
      <c r="I472">
        <v>0</v>
      </c>
      <c r="J472" s="107"/>
      <c r="K472" s="107"/>
    </row>
    <row r="473" spans="1:11" ht="15" hidden="1" customHeight="1" outlineLevel="1" x14ac:dyDescent="0.25">
      <c r="A473" s="107" t="s">
        <v>592</v>
      </c>
      <c r="B473" s="107" t="s">
        <v>593</v>
      </c>
      <c r="C473" s="107">
        <v>2021</v>
      </c>
      <c r="D473" t="s">
        <v>8</v>
      </c>
      <c r="J473" s="107" t="s">
        <v>594</v>
      </c>
      <c r="K473" s="107" t="s">
        <v>103</v>
      </c>
    </row>
    <row r="474" spans="1:11" ht="14.25" hidden="1" customHeight="1" outlineLevel="1" x14ac:dyDescent="0.25">
      <c r="A474" s="107"/>
      <c r="B474" s="107"/>
      <c r="C474" s="107"/>
      <c r="D474">
        <v>2021</v>
      </c>
      <c r="J474" s="107"/>
      <c r="K474" s="107"/>
    </row>
    <row r="475" spans="1:11" ht="12.75" hidden="1" customHeight="1" outlineLevel="1" x14ac:dyDescent="0.25">
      <c r="A475" s="107"/>
      <c r="B475" s="107"/>
      <c r="C475" s="107"/>
      <c r="D475">
        <v>2022</v>
      </c>
      <c r="J475" s="107"/>
      <c r="K475" s="107"/>
    </row>
    <row r="476" spans="1:11" ht="12.75" hidden="1" customHeight="1" outlineLevel="1" x14ac:dyDescent="0.25">
      <c r="A476" s="107"/>
      <c r="B476" s="107"/>
      <c r="C476" s="107"/>
      <c r="D476">
        <v>2023</v>
      </c>
      <c r="J476" s="107"/>
      <c r="K476" s="107"/>
    </row>
    <row r="477" spans="1:11" ht="12.75" hidden="1" customHeight="1" outlineLevel="1" x14ac:dyDescent="0.25">
      <c r="A477" s="107"/>
      <c r="B477" s="107"/>
      <c r="C477" s="107"/>
      <c r="D477">
        <v>2024</v>
      </c>
      <c r="J477" s="107"/>
      <c r="K477" s="107"/>
    </row>
    <row r="478" spans="1:11" ht="20.25" hidden="1" customHeight="1" outlineLevel="1" x14ac:dyDescent="0.25">
      <c r="A478" s="107"/>
      <c r="B478" s="107"/>
      <c r="C478" s="107"/>
      <c r="D478">
        <v>2025</v>
      </c>
      <c r="J478" s="107"/>
      <c r="K478" s="107"/>
    </row>
    <row r="479" spans="1:11" ht="12.75" customHeight="1" outlineLevel="1" x14ac:dyDescent="0.25">
      <c r="A479" s="107" t="s">
        <v>592</v>
      </c>
      <c r="B479" s="107" t="s">
        <v>595</v>
      </c>
      <c r="C479" s="107">
        <v>2021</v>
      </c>
      <c r="D479" t="s">
        <v>8</v>
      </c>
      <c r="E479">
        <f t="shared" si="42"/>
        <v>468.3</v>
      </c>
      <c r="F479">
        <f>SUM(F480:F484)</f>
        <v>468.3</v>
      </c>
      <c r="G479">
        <f>SUM(G480:G484)</f>
        <v>0</v>
      </c>
      <c r="H479">
        <f>SUM(H480:H484)</f>
        <v>0</v>
      </c>
      <c r="I479">
        <f>SUM(I480:I484)</f>
        <v>0</v>
      </c>
      <c r="J479" s="107" t="s">
        <v>596</v>
      </c>
      <c r="K479" s="107" t="s">
        <v>597</v>
      </c>
    </row>
    <row r="480" spans="1:11" ht="12.75" customHeight="1" outlineLevel="1" x14ac:dyDescent="0.25">
      <c r="A480" s="107"/>
      <c r="B480" s="107"/>
      <c r="C480" s="107"/>
      <c r="D480">
        <v>2021</v>
      </c>
      <c r="E480">
        <f t="shared" si="42"/>
        <v>468.3</v>
      </c>
      <c r="F480">
        <v>468.3</v>
      </c>
      <c r="G480">
        <v>0</v>
      </c>
      <c r="H480">
        <v>0</v>
      </c>
      <c r="I480">
        <v>0</v>
      </c>
      <c r="J480" s="107"/>
      <c r="K480" s="107"/>
    </row>
    <row r="481" spans="1:11" ht="12.75" customHeight="1" outlineLevel="1" x14ac:dyDescent="0.25">
      <c r="A481" s="107"/>
      <c r="B481" s="107"/>
      <c r="C481" s="107"/>
      <c r="D481">
        <v>2022</v>
      </c>
      <c r="E481">
        <f t="shared" si="42"/>
        <v>0</v>
      </c>
      <c r="F481">
        <v>0</v>
      </c>
      <c r="G481">
        <v>0</v>
      </c>
      <c r="H481">
        <v>0</v>
      </c>
      <c r="I481">
        <v>0</v>
      </c>
      <c r="J481" s="107"/>
      <c r="K481" s="107"/>
    </row>
    <row r="482" spans="1:11" ht="12.75" customHeight="1" outlineLevel="1" x14ac:dyDescent="0.25">
      <c r="A482" s="107"/>
      <c r="B482" s="107"/>
      <c r="C482" s="107"/>
      <c r="D482">
        <v>2023</v>
      </c>
      <c r="E482">
        <f t="shared" si="42"/>
        <v>0</v>
      </c>
      <c r="F482">
        <v>0</v>
      </c>
      <c r="G482">
        <v>0</v>
      </c>
      <c r="H482">
        <v>0</v>
      </c>
      <c r="I482">
        <v>0</v>
      </c>
      <c r="J482" s="107"/>
      <c r="K482" s="107"/>
    </row>
    <row r="483" spans="1:11" ht="12.75" customHeight="1" outlineLevel="1" x14ac:dyDescent="0.25">
      <c r="A483" s="107"/>
      <c r="B483" s="107"/>
      <c r="C483" s="107"/>
      <c r="D483">
        <v>2024</v>
      </c>
      <c r="E483">
        <f t="shared" si="42"/>
        <v>0</v>
      </c>
      <c r="F483">
        <v>0</v>
      </c>
      <c r="G483">
        <v>0</v>
      </c>
      <c r="H483">
        <v>0</v>
      </c>
      <c r="I483">
        <v>0</v>
      </c>
      <c r="J483" s="107"/>
      <c r="K483" s="107"/>
    </row>
    <row r="484" spans="1:11" ht="12.75" customHeight="1" outlineLevel="1" x14ac:dyDescent="0.25">
      <c r="A484" s="107"/>
      <c r="B484" s="107"/>
      <c r="C484" s="107"/>
      <c r="D484">
        <v>2025</v>
      </c>
      <c r="E484">
        <f t="shared" si="42"/>
        <v>0</v>
      </c>
      <c r="F484">
        <v>0</v>
      </c>
      <c r="G484">
        <v>0</v>
      </c>
      <c r="H484">
        <v>0</v>
      </c>
      <c r="I484">
        <v>0</v>
      </c>
      <c r="J484" s="107"/>
      <c r="K484" s="107"/>
    </row>
    <row r="485" spans="1:11" ht="12.75" customHeight="1" outlineLevel="1" x14ac:dyDescent="0.25">
      <c r="A485" s="107" t="s">
        <v>598</v>
      </c>
      <c r="B485" s="107" t="s">
        <v>599</v>
      </c>
      <c r="C485" s="107">
        <v>2021</v>
      </c>
      <c r="D485" t="s">
        <v>8</v>
      </c>
      <c r="E485">
        <f t="shared" si="42"/>
        <v>8226.4694736842102</v>
      </c>
      <c r="F485">
        <f>SUM(F486:F490)</f>
        <v>7815.1459999999997</v>
      </c>
      <c r="G485">
        <f>SUM(G486:G490)</f>
        <v>0</v>
      </c>
      <c r="H485">
        <f>SUM(H486:H490)</f>
        <v>411.32347368421051</v>
      </c>
      <c r="I485">
        <f>SUM(I486:I490)</f>
        <v>0</v>
      </c>
      <c r="J485" s="107" t="s">
        <v>600</v>
      </c>
      <c r="K485" s="107" t="s">
        <v>547</v>
      </c>
    </row>
    <row r="486" spans="1:11" ht="12.75" customHeight="1" outlineLevel="1" x14ac:dyDescent="0.25">
      <c r="A486" s="107"/>
      <c r="B486" s="107"/>
      <c r="C486" s="107"/>
      <c r="D486">
        <v>2021</v>
      </c>
      <c r="E486">
        <f t="shared" si="42"/>
        <v>8226.4694736842102</v>
      </c>
      <c r="F486">
        <v>7815.1459999999997</v>
      </c>
      <c r="G486">
        <v>0</v>
      </c>
      <c r="H486">
        <f>F486/95*5</f>
        <v>411.32347368421051</v>
      </c>
      <c r="I486">
        <v>0</v>
      </c>
      <c r="J486" s="107"/>
      <c r="K486" s="107"/>
    </row>
    <row r="487" spans="1:11" ht="12.75" customHeight="1" outlineLevel="1" x14ac:dyDescent="0.25">
      <c r="A487" s="107"/>
      <c r="B487" s="107"/>
      <c r="C487" s="107"/>
      <c r="D487">
        <v>2022</v>
      </c>
      <c r="E487">
        <f t="shared" si="42"/>
        <v>0</v>
      </c>
      <c r="F487">
        <v>0</v>
      </c>
      <c r="G487">
        <v>0</v>
      </c>
      <c r="H487">
        <v>0</v>
      </c>
      <c r="I487">
        <v>0</v>
      </c>
      <c r="J487" s="107"/>
      <c r="K487" s="107"/>
    </row>
    <row r="488" spans="1:11" ht="12.75" customHeight="1" outlineLevel="1" x14ac:dyDescent="0.25">
      <c r="A488" s="107"/>
      <c r="B488" s="107"/>
      <c r="C488" s="107"/>
      <c r="D488">
        <v>2023</v>
      </c>
      <c r="E488">
        <f t="shared" si="42"/>
        <v>0</v>
      </c>
      <c r="F488">
        <v>0</v>
      </c>
      <c r="G488">
        <v>0</v>
      </c>
      <c r="H488">
        <v>0</v>
      </c>
      <c r="I488">
        <v>0</v>
      </c>
      <c r="J488" s="107"/>
      <c r="K488" s="107"/>
    </row>
    <row r="489" spans="1:11" ht="12.75" customHeight="1" outlineLevel="1" x14ac:dyDescent="0.25">
      <c r="A489" s="107"/>
      <c r="B489" s="107"/>
      <c r="C489" s="107"/>
      <c r="D489">
        <v>2024</v>
      </c>
      <c r="E489">
        <f t="shared" si="42"/>
        <v>0</v>
      </c>
      <c r="F489">
        <v>0</v>
      </c>
      <c r="G489">
        <v>0</v>
      </c>
      <c r="H489">
        <v>0</v>
      </c>
      <c r="I489">
        <v>0</v>
      </c>
      <c r="J489" s="107"/>
      <c r="K489" s="107"/>
    </row>
    <row r="490" spans="1:11" ht="12.75" customHeight="1" outlineLevel="1" x14ac:dyDescent="0.25">
      <c r="A490" s="107"/>
      <c r="B490" s="107"/>
      <c r="C490" s="107"/>
      <c r="D490">
        <v>2025</v>
      </c>
      <c r="E490">
        <f t="shared" si="42"/>
        <v>0</v>
      </c>
      <c r="F490">
        <v>0</v>
      </c>
      <c r="G490">
        <v>0</v>
      </c>
      <c r="H490">
        <v>0</v>
      </c>
      <c r="I490">
        <v>0</v>
      </c>
      <c r="J490" s="107"/>
      <c r="K490" s="107"/>
    </row>
    <row r="491" spans="1:11" ht="18" customHeight="1" outlineLevel="1" x14ac:dyDescent="0.25">
      <c r="A491" s="107" t="s">
        <v>612</v>
      </c>
      <c r="B491" s="107" t="s">
        <v>613</v>
      </c>
      <c r="C491" s="107">
        <v>2021</v>
      </c>
      <c r="D491" t="s">
        <v>8</v>
      </c>
      <c r="E491">
        <f t="shared" si="42"/>
        <v>15056.631578947368</v>
      </c>
      <c r="F491">
        <f>SUM(F492:F496)</f>
        <v>14303.8</v>
      </c>
      <c r="G491">
        <f>SUM(G492:G496)</f>
        <v>0</v>
      </c>
      <c r="H491">
        <f>SUM(H492:H496)</f>
        <v>752.83157894736837</v>
      </c>
      <c r="I491">
        <f>SUM(I492:I496)</f>
        <v>0</v>
      </c>
      <c r="J491" s="107" t="s">
        <v>614</v>
      </c>
      <c r="K491" s="107" t="s">
        <v>547</v>
      </c>
    </row>
    <row r="492" spans="1:11" ht="18" customHeight="1" outlineLevel="1" x14ac:dyDescent="0.25">
      <c r="A492" s="107"/>
      <c r="B492" s="107"/>
      <c r="C492" s="107"/>
      <c r="D492">
        <v>2021</v>
      </c>
      <c r="E492">
        <f t="shared" ref="E492:E555" si="43">SUM(F492:I492)</f>
        <v>15056.631578947368</v>
      </c>
      <c r="F492">
        <v>14303.8</v>
      </c>
      <c r="G492">
        <v>0</v>
      </c>
      <c r="H492">
        <f>F492/95*5</f>
        <v>752.83157894736837</v>
      </c>
      <c r="I492">
        <f>SUM(I493:I569)</f>
        <v>0</v>
      </c>
      <c r="J492" s="107"/>
      <c r="K492" s="107"/>
    </row>
    <row r="493" spans="1:11" ht="18" customHeight="1" outlineLevel="1" x14ac:dyDescent="0.25">
      <c r="A493" s="107"/>
      <c r="B493" s="107"/>
      <c r="C493" s="107"/>
      <c r="D493">
        <v>2022</v>
      </c>
      <c r="E493">
        <f t="shared" si="43"/>
        <v>0</v>
      </c>
      <c r="F493">
        <v>0</v>
      </c>
      <c r="G493">
        <v>0</v>
      </c>
      <c r="H493">
        <v>0</v>
      </c>
      <c r="I493">
        <v>0</v>
      </c>
      <c r="J493" s="107"/>
      <c r="K493" s="107"/>
    </row>
    <row r="494" spans="1:11" ht="18" customHeight="1" outlineLevel="1" x14ac:dyDescent="0.25">
      <c r="A494" s="107"/>
      <c r="B494" s="107"/>
      <c r="C494" s="107"/>
      <c r="D494">
        <v>2023</v>
      </c>
      <c r="E494">
        <f t="shared" si="43"/>
        <v>0</v>
      </c>
      <c r="F494">
        <v>0</v>
      </c>
      <c r="G494">
        <v>0</v>
      </c>
      <c r="H494">
        <v>0</v>
      </c>
      <c r="I494">
        <v>0</v>
      </c>
      <c r="J494" s="107"/>
      <c r="K494" s="107"/>
    </row>
    <row r="495" spans="1:11" ht="18" customHeight="1" outlineLevel="1" x14ac:dyDescent="0.25">
      <c r="A495" s="107"/>
      <c r="B495" s="107"/>
      <c r="C495" s="107"/>
      <c r="D495">
        <v>2024</v>
      </c>
      <c r="E495">
        <f t="shared" si="43"/>
        <v>0</v>
      </c>
      <c r="F495">
        <v>0</v>
      </c>
      <c r="G495">
        <v>0</v>
      </c>
      <c r="H495">
        <v>0</v>
      </c>
      <c r="I495">
        <v>0</v>
      </c>
      <c r="J495" s="107"/>
      <c r="K495" s="107"/>
    </row>
    <row r="496" spans="1:11" ht="18" customHeight="1" outlineLevel="1" x14ac:dyDescent="0.25">
      <c r="A496" s="107"/>
      <c r="B496" s="107"/>
      <c r="C496" s="107"/>
      <c r="D496">
        <v>2025</v>
      </c>
      <c r="E496">
        <f t="shared" si="43"/>
        <v>0</v>
      </c>
      <c r="F496">
        <v>0</v>
      </c>
      <c r="G496">
        <v>0</v>
      </c>
      <c r="H496">
        <v>0</v>
      </c>
      <c r="I496">
        <v>0</v>
      </c>
      <c r="J496" s="107"/>
      <c r="K496" s="107"/>
    </row>
    <row r="497" spans="1:11" ht="18" customHeight="1" outlineLevel="1" x14ac:dyDescent="0.25">
      <c r="A497" s="107" t="s">
        <v>912</v>
      </c>
      <c r="B497" s="107" t="s">
        <v>913</v>
      </c>
      <c r="C497" s="107">
        <v>2022</v>
      </c>
      <c r="D497" t="s">
        <v>8</v>
      </c>
      <c r="E497">
        <f t="shared" si="43"/>
        <v>20000</v>
      </c>
      <c r="F497">
        <f>SUM(F498:F502)</f>
        <v>20000</v>
      </c>
      <c r="G497">
        <f>SUM(G498:G502)</f>
        <v>0</v>
      </c>
      <c r="H497">
        <f>SUM(H498:H502)</f>
        <v>0</v>
      </c>
      <c r="I497">
        <f>SUM(I498:I502)</f>
        <v>0</v>
      </c>
      <c r="J497" s="107" t="s">
        <v>914</v>
      </c>
      <c r="K497" s="107" t="s">
        <v>915</v>
      </c>
    </row>
    <row r="498" spans="1:11" ht="18" customHeight="1" outlineLevel="1" x14ac:dyDescent="0.25">
      <c r="A498" s="107"/>
      <c r="B498" s="107"/>
      <c r="C498" s="107"/>
      <c r="D498">
        <v>2021</v>
      </c>
      <c r="E498">
        <f t="shared" si="43"/>
        <v>0</v>
      </c>
      <c r="F498">
        <v>0</v>
      </c>
      <c r="G498">
        <v>0</v>
      </c>
      <c r="H498">
        <v>0</v>
      </c>
      <c r="I498">
        <v>0</v>
      </c>
      <c r="J498" s="107"/>
      <c r="K498" s="107"/>
    </row>
    <row r="499" spans="1:11" ht="18" customHeight="1" outlineLevel="1" x14ac:dyDescent="0.25">
      <c r="A499" s="107"/>
      <c r="B499" s="107"/>
      <c r="C499" s="107"/>
      <c r="D499">
        <v>2022</v>
      </c>
      <c r="E499">
        <f t="shared" si="43"/>
        <v>20000</v>
      </c>
      <c r="F499">
        <v>20000</v>
      </c>
      <c r="G499">
        <v>0</v>
      </c>
      <c r="H499">
        <v>0</v>
      </c>
      <c r="I499">
        <v>0</v>
      </c>
      <c r="J499" s="107"/>
      <c r="K499" s="107"/>
    </row>
    <row r="500" spans="1:11" ht="18" customHeight="1" outlineLevel="1" x14ac:dyDescent="0.25">
      <c r="A500" s="107"/>
      <c r="B500" s="107"/>
      <c r="C500" s="107"/>
      <c r="D500">
        <v>2023</v>
      </c>
      <c r="E500">
        <f t="shared" si="43"/>
        <v>0</v>
      </c>
      <c r="F500">
        <v>0</v>
      </c>
      <c r="G500">
        <v>0</v>
      </c>
      <c r="H500">
        <v>0</v>
      </c>
      <c r="I500">
        <v>0</v>
      </c>
      <c r="J500" s="107"/>
      <c r="K500" s="107"/>
    </row>
    <row r="501" spans="1:11" ht="18" customHeight="1" outlineLevel="1" x14ac:dyDescent="0.25">
      <c r="A501" s="107"/>
      <c r="B501" s="107"/>
      <c r="C501" s="107"/>
      <c r="D501">
        <v>2024</v>
      </c>
      <c r="E501">
        <f t="shared" si="43"/>
        <v>0</v>
      </c>
      <c r="F501">
        <v>0</v>
      </c>
      <c r="G501">
        <v>0</v>
      </c>
      <c r="H501">
        <v>0</v>
      </c>
      <c r="I501">
        <v>0</v>
      </c>
      <c r="J501" s="107"/>
      <c r="K501" s="107"/>
    </row>
    <row r="502" spans="1:11" ht="18" customHeight="1" outlineLevel="1" x14ac:dyDescent="0.25">
      <c r="A502" s="107"/>
      <c r="B502" s="107"/>
      <c r="C502" s="107"/>
      <c r="D502">
        <v>2025</v>
      </c>
      <c r="E502">
        <f t="shared" si="43"/>
        <v>0</v>
      </c>
      <c r="F502">
        <v>0</v>
      </c>
      <c r="G502">
        <v>0</v>
      </c>
      <c r="H502">
        <v>0</v>
      </c>
      <c r="I502">
        <v>0</v>
      </c>
      <c r="J502" s="107"/>
      <c r="K502" s="107"/>
    </row>
    <row r="503" spans="1:11" ht="12.75" customHeight="1" outlineLevel="1" x14ac:dyDescent="0.25">
      <c r="A503" s="107" t="s">
        <v>916</v>
      </c>
      <c r="B503" s="107" t="s">
        <v>917</v>
      </c>
      <c r="C503" s="107">
        <v>2022</v>
      </c>
      <c r="D503" t="s">
        <v>8</v>
      </c>
      <c r="E503">
        <f t="shared" si="43"/>
        <v>150000</v>
      </c>
      <c r="F503">
        <f>SUM(F504:F508)</f>
        <v>142500</v>
      </c>
      <c r="G503">
        <f>SUM(G504:G508)</f>
        <v>0</v>
      </c>
      <c r="H503">
        <f>SUM(H504:H508)</f>
        <v>7500</v>
      </c>
      <c r="I503">
        <f>SUM(I504:I508)</f>
        <v>0</v>
      </c>
      <c r="J503" s="107" t="s">
        <v>918</v>
      </c>
      <c r="K503" s="107" t="s">
        <v>547</v>
      </c>
    </row>
    <row r="504" spans="1:11" ht="12.75" customHeight="1" outlineLevel="1" x14ac:dyDescent="0.25">
      <c r="A504" s="107"/>
      <c r="B504" s="107"/>
      <c r="C504" s="107"/>
      <c r="D504">
        <v>2021</v>
      </c>
      <c r="E504">
        <f t="shared" si="43"/>
        <v>0</v>
      </c>
      <c r="F504">
        <v>0</v>
      </c>
      <c r="G504">
        <v>0</v>
      </c>
      <c r="H504">
        <v>0</v>
      </c>
      <c r="I504">
        <v>0</v>
      </c>
      <c r="J504" s="107"/>
      <c r="K504" s="107"/>
    </row>
    <row r="505" spans="1:11" ht="12.75" customHeight="1" outlineLevel="1" x14ac:dyDescent="0.25">
      <c r="A505" s="107"/>
      <c r="B505" s="107"/>
      <c r="C505" s="107"/>
      <c r="D505">
        <v>2022</v>
      </c>
      <c r="E505">
        <f t="shared" si="43"/>
        <v>70000</v>
      </c>
      <c r="F505">
        <v>66500</v>
      </c>
      <c r="G505">
        <v>0</v>
      </c>
      <c r="H505">
        <v>3500</v>
      </c>
      <c r="I505">
        <v>0</v>
      </c>
      <c r="J505" s="107"/>
      <c r="K505" s="107"/>
    </row>
    <row r="506" spans="1:11" ht="12.75" customHeight="1" outlineLevel="1" x14ac:dyDescent="0.25">
      <c r="A506" s="107"/>
      <c r="B506" s="107"/>
      <c r="C506" s="107"/>
      <c r="D506">
        <v>2023</v>
      </c>
      <c r="E506">
        <f t="shared" si="43"/>
        <v>80000</v>
      </c>
      <c r="F506">
        <v>76000</v>
      </c>
      <c r="G506">
        <v>0</v>
      </c>
      <c r="H506">
        <v>4000</v>
      </c>
      <c r="I506">
        <v>0</v>
      </c>
      <c r="J506" s="107"/>
      <c r="K506" s="107"/>
    </row>
    <row r="507" spans="1:11" ht="12.75" customHeight="1" outlineLevel="1" x14ac:dyDescent="0.25">
      <c r="A507" s="107"/>
      <c r="B507" s="107"/>
      <c r="C507" s="107"/>
      <c r="D507">
        <v>2024</v>
      </c>
      <c r="E507">
        <f t="shared" si="43"/>
        <v>0</v>
      </c>
      <c r="F507">
        <v>0</v>
      </c>
      <c r="G507">
        <v>0</v>
      </c>
      <c r="H507">
        <v>0</v>
      </c>
      <c r="I507">
        <v>0</v>
      </c>
      <c r="J507" s="107"/>
      <c r="K507" s="107"/>
    </row>
    <row r="508" spans="1:11" ht="12.75" customHeight="1" outlineLevel="1" x14ac:dyDescent="0.25">
      <c r="A508" s="107"/>
      <c r="B508" s="107"/>
      <c r="C508" s="107"/>
      <c r="D508">
        <v>2025</v>
      </c>
      <c r="E508">
        <f t="shared" si="43"/>
        <v>0</v>
      </c>
      <c r="F508">
        <v>0</v>
      </c>
      <c r="G508">
        <v>0</v>
      </c>
      <c r="H508">
        <v>0</v>
      </c>
      <c r="I508">
        <v>0</v>
      </c>
      <c r="J508" s="107"/>
      <c r="K508" s="107"/>
    </row>
    <row r="509" spans="1:11" ht="12.75" customHeight="1" outlineLevel="1" x14ac:dyDescent="0.25">
      <c r="A509" s="107" t="s">
        <v>919</v>
      </c>
      <c r="B509" s="107" t="s">
        <v>920</v>
      </c>
      <c r="C509" s="107">
        <v>2022</v>
      </c>
      <c r="D509" t="s">
        <v>8</v>
      </c>
      <c r="E509">
        <f t="shared" si="43"/>
        <v>4400</v>
      </c>
      <c r="F509">
        <f>SUM(F510:F514)</f>
        <v>4400</v>
      </c>
      <c r="G509">
        <f>SUM(G510:G514)</f>
        <v>0</v>
      </c>
      <c r="H509">
        <f>SUM(H510:H514)</f>
        <v>0</v>
      </c>
      <c r="I509">
        <f>SUM(I510:I514)</f>
        <v>0</v>
      </c>
      <c r="J509" s="107" t="s">
        <v>921</v>
      </c>
      <c r="K509" s="107" t="s">
        <v>563</v>
      </c>
    </row>
    <row r="510" spans="1:11" ht="12.75" customHeight="1" outlineLevel="1" x14ac:dyDescent="0.25">
      <c r="A510" s="107"/>
      <c r="B510" s="107"/>
      <c r="C510" s="107"/>
      <c r="D510">
        <v>2021</v>
      </c>
      <c r="E510">
        <f t="shared" si="43"/>
        <v>0</v>
      </c>
      <c r="F510">
        <v>0</v>
      </c>
      <c r="G510">
        <v>0</v>
      </c>
      <c r="H510">
        <v>0</v>
      </c>
      <c r="I510">
        <v>0</v>
      </c>
      <c r="J510" s="107"/>
      <c r="K510" s="107"/>
    </row>
    <row r="511" spans="1:11" ht="12.75" customHeight="1" outlineLevel="1" x14ac:dyDescent="0.25">
      <c r="A511" s="107"/>
      <c r="B511" s="107"/>
      <c r="C511" s="107"/>
      <c r="D511">
        <v>2022</v>
      </c>
      <c r="E511">
        <f t="shared" si="43"/>
        <v>4400</v>
      </c>
      <c r="F511">
        <v>4400</v>
      </c>
      <c r="G511">
        <v>0</v>
      </c>
      <c r="H511">
        <v>0</v>
      </c>
      <c r="I511">
        <v>0</v>
      </c>
      <c r="J511" s="107"/>
      <c r="K511" s="107"/>
    </row>
    <row r="512" spans="1:11" ht="12.75" customHeight="1" outlineLevel="1" x14ac:dyDescent="0.25">
      <c r="A512" s="107"/>
      <c r="B512" s="107"/>
      <c r="C512" s="107"/>
      <c r="D512">
        <v>2023</v>
      </c>
      <c r="E512">
        <f t="shared" si="43"/>
        <v>0</v>
      </c>
      <c r="F512">
        <v>0</v>
      </c>
      <c r="G512">
        <v>0</v>
      </c>
      <c r="H512">
        <v>0</v>
      </c>
      <c r="I512">
        <v>0</v>
      </c>
      <c r="J512" s="107"/>
      <c r="K512" s="107"/>
    </row>
    <row r="513" spans="1:11" ht="12.75" customHeight="1" outlineLevel="1" x14ac:dyDescent="0.25">
      <c r="A513" s="107"/>
      <c r="B513" s="107"/>
      <c r="C513" s="107"/>
      <c r="D513">
        <v>2024</v>
      </c>
      <c r="E513">
        <f t="shared" si="43"/>
        <v>0</v>
      </c>
      <c r="F513">
        <v>0</v>
      </c>
      <c r="G513">
        <v>0</v>
      </c>
      <c r="H513">
        <v>0</v>
      </c>
      <c r="I513">
        <v>0</v>
      </c>
      <c r="J513" s="107"/>
      <c r="K513" s="107"/>
    </row>
    <row r="514" spans="1:11" ht="12.75" customHeight="1" outlineLevel="1" x14ac:dyDescent="0.25">
      <c r="A514" s="107"/>
      <c r="B514" s="107"/>
      <c r="C514" s="107"/>
      <c r="D514">
        <v>2025</v>
      </c>
      <c r="E514">
        <f t="shared" si="43"/>
        <v>0</v>
      </c>
      <c r="F514">
        <v>0</v>
      </c>
      <c r="G514">
        <v>0</v>
      </c>
      <c r="H514">
        <v>0</v>
      </c>
      <c r="I514">
        <v>0</v>
      </c>
      <c r="J514" s="107"/>
      <c r="K514" s="107"/>
    </row>
    <row r="515" spans="1:11" ht="12.75" customHeight="1" outlineLevel="1" x14ac:dyDescent="0.25">
      <c r="A515" s="107" t="s">
        <v>922</v>
      </c>
      <c r="B515" s="107" t="s">
        <v>923</v>
      </c>
      <c r="C515" s="107">
        <v>2022</v>
      </c>
      <c r="D515" t="s">
        <v>8</v>
      </c>
      <c r="E515">
        <f t="shared" si="43"/>
        <v>50000</v>
      </c>
      <c r="F515">
        <f>SUM(F516:F520)</f>
        <v>50000</v>
      </c>
      <c r="G515">
        <f>SUM(G516:G520)</f>
        <v>0</v>
      </c>
      <c r="H515">
        <f>SUM(H516:H520)</f>
        <v>0</v>
      </c>
      <c r="I515">
        <f>SUM(I516:I520)</f>
        <v>0</v>
      </c>
      <c r="J515" s="107" t="s">
        <v>924</v>
      </c>
      <c r="K515" s="107" t="s">
        <v>597</v>
      </c>
    </row>
    <row r="516" spans="1:11" ht="12.75" customHeight="1" outlineLevel="1" x14ac:dyDescent="0.25">
      <c r="A516" s="107"/>
      <c r="B516" s="107"/>
      <c r="C516" s="107"/>
      <c r="D516">
        <v>2021</v>
      </c>
      <c r="E516">
        <f t="shared" si="43"/>
        <v>0</v>
      </c>
      <c r="F516">
        <v>0</v>
      </c>
      <c r="G516">
        <v>0</v>
      </c>
      <c r="H516">
        <v>0</v>
      </c>
      <c r="I516">
        <v>0</v>
      </c>
      <c r="J516" s="107"/>
      <c r="K516" s="107"/>
    </row>
    <row r="517" spans="1:11" ht="12.75" customHeight="1" outlineLevel="1" x14ac:dyDescent="0.25">
      <c r="A517" s="107"/>
      <c r="B517" s="107"/>
      <c r="C517" s="107"/>
      <c r="D517">
        <v>2022</v>
      </c>
      <c r="E517">
        <f t="shared" si="43"/>
        <v>50000</v>
      </c>
      <c r="F517">
        <v>50000</v>
      </c>
      <c r="G517">
        <v>0</v>
      </c>
      <c r="H517">
        <v>0</v>
      </c>
      <c r="I517">
        <v>0</v>
      </c>
      <c r="J517" s="107"/>
      <c r="K517" s="107"/>
    </row>
    <row r="518" spans="1:11" ht="12.75" customHeight="1" outlineLevel="1" x14ac:dyDescent="0.25">
      <c r="A518" s="107"/>
      <c r="B518" s="107"/>
      <c r="C518" s="107"/>
      <c r="D518">
        <v>2023</v>
      </c>
      <c r="E518">
        <f t="shared" si="43"/>
        <v>0</v>
      </c>
      <c r="F518">
        <v>0</v>
      </c>
      <c r="G518">
        <v>0</v>
      </c>
      <c r="H518">
        <v>0</v>
      </c>
      <c r="I518">
        <v>0</v>
      </c>
      <c r="J518" s="107"/>
      <c r="K518" s="107"/>
    </row>
    <row r="519" spans="1:11" ht="12.75" customHeight="1" outlineLevel="1" x14ac:dyDescent="0.25">
      <c r="A519" s="107"/>
      <c r="B519" s="107"/>
      <c r="C519" s="107"/>
      <c r="D519">
        <v>2024</v>
      </c>
      <c r="E519">
        <f t="shared" si="43"/>
        <v>0</v>
      </c>
      <c r="F519">
        <v>0</v>
      </c>
      <c r="G519">
        <v>0</v>
      </c>
      <c r="H519">
        <v>0</v>
      </c>
      <c r="I519">
        <v>0</v>
      </c>
      <c r="J519" s="107"/>
      <c r="K519" s="107"/>
    </row>
    <row r="520" spans="1:11" ht="12.75" customHeight="1" outlineLevel="1" x14ac:dyDescent="0.25">
      <c r="A520" s="107"/>
      <c r="B520" s="107"/>
      <c r="C520" s="107"/>
      <c r="D520">
        <v>2025</v>
      </c>
      <c r="E520">
        <f t="shared" si="43"/>
        <v>0</v>
      </c>
      <c r="F520">
        <v>0</v>
      </c>
      <c r="G520">
        <v>0</v>
      </c>
      <c r="H520">
        <v>0</v>
      </c>
      <c r="I520">
        <v>0</v>
      </c>
      <c r="J520" s="107"/>
      <c r="K520" s="107"/>
    </row>
    <row r="521" spans="1:11" ht="12.75" customHeight="1" outlineLevel="1" x14ac:dyDescent="0.25">
      <c r="A521" s="107" t="s">
        <v>925</v>
      </c>
      <c r="B521" s="107" t="s">
        <v>926</v>
      </c>
      <c r="C521" s="107">
        <v>2022</v>
      </c>
      <c r="D521" t="s">
        <v>8</v>
      </c>
      <c r="E521">
        <f t="shared" si="43"/>
        <v>65500</v>
      </c>
      <c r="F521">
        <f>SUM(F522:F526)</f>
        <v>62225</v>
      </c>
      <c r="G521">
        <f>SUM(G522:G526)</f>
        <v>0</v>
      </c>
      <c r="H521">
        <f>SUM(H522:H526)</f>
        <v>3275</v>
      </c>
      <c r="I521">
        <f>SUM(I522:I526)</f>
        <v>0</v>
      </c>
      <c r="J521" s="107" t="s">
        <v>927</v>
      </c>
      <c r="K521" s="107" t="s">
        <v>547</v>
      </c>
    </row>
    <row r="522" spans="1:11" ht="12.75" customHeight="1" outlineLevel="1" x14ac:dyDescent="0.25">
      <c r="A522" s="107"/>
      <c r="B522" s="107"/>
      <c r="C522" s="107"/>
      <c r="D522">
        <v>2021</v>
      </c>
      <c r="E522">
        <f t="shared" si="43"/>
        <v>0</v>
      </c>
      <c r="F522">
        <v>0</v>
      </c>
      <c r="G522">
        <v>0</v>
      </c>
      <c r="H522">
        <v>0</v>
      </c>
      <c r="I522">
        <v>0</v>
      </c>
      <c r="J522" s="107"/>
      <c r="K522" s="107"/>
    </row>
    <row r="523" spans="1:11" ht="12.75" customHeight="1" outlineLevel="1" x14ac:dyDescent="0.25">
      <c r="A523" s="107"/>
      <c r="B523" s="107"/>
      <c r="C523" s="107"/>
      <c r="D523">
        <v>2022</v>
      </c>
      <c r="E523">
        <f t="shared" si="43"/>
        <v>65500</v>
      </c>
      <c r="F523">
        <v>62225</v>
      </c>
      <c r="G523">
        <v>0</v>
      </c>
      <c r="H523">
        <v>3275</v>
      </c>
      <c r="I523">
        <v>0</v>
      </c>
      <c r="J523" s="107"/>
      <c r="K523" s="107"/>
    </row>
    <row r="524" spans="1:11" ht="12.75" customHeight="1" outlineLevel="1" x14ac:dyDescent="0.25">
      <c r="A524" s="107"/>
      <c r="B524" s="107"/>
      <c r="C524" s="107"/>
      <c r="D524">
        <v>2023</v>
      </c>
      <c r="E524">
        <f t="shared" si="43"/>
        <v>0</v>
      </c>
      <c r="F524">
        <v>0</v>
      </c>
      <c r="G524">
        <v>0</v>
      </c>
      <c r="H524">
        <v>0</v>
      </c>
      <c r="I524">
        <v>0</v>
      </c>
      <c r="J524" s="107"/>
      <c r="K524" s="107"/>
    </row>
    <row r="525" spans="1:11" ht="12.75" customHeight="1" outlineLevel="1" x14ac:dyDescent="0.25">
      <c r="A525" s="107"/>
      <c r="B525" s="107"/>
      <c r="C525" s="107"/>
      <c r="D525">
        <v>2024</v>
      </c>
      <c r="E525">
        <f t="shared" si="43"/>
        <v>0</v>
      </c>
      <c r="F525">
        <v>0</v>
      </c>
      <c r="G525">
        <v>0</v>
      </c>
      <c r="H525">
        <v>0</v>
      </c>
      <c r="I525">
        <v>0</v>
      </c>
      <c r="J525" s="107"/>
      <c r="K525" s="107"/>
    </row>
    <row r="526" spans="1:11" ht="12.75" customHeight="1" outlineLevel="1" x14ac:dyDescent="0.25">
      <c r="A526" s="107"/>
      <c r="B526" s="107"/>
      <c r="C526" s="107"/>
      <c r="D526">
        <v>2025</v>
      </c>
      <c r="E526">
        <f t="shared" si="43"/>
        <v>0</v>
      </c>
      <c r="F526">
        <v>0</v>
      </c>
      <c r="G526">
        <v>0</v>
      </c>
      <c r="H526">
        <v>0</v>
      </c>
      <c r="I526">
        <v>0</v>
      </c>
      <c r="J526" s="107"/>
      <c r="K526" s="107"/>
    </row>
    <row r="527" spans="1:11" ht="12.75" customHeight="1" outlineLevel="1" x14ac:dyDescent="0.25">
      <c r="A527" s="107" t="s">
        <v>928</v>
      </c>
      <c r="B527" s="107" t="s">
        <v>929</v>
      </c>
      <c r="C527" s="107">
        <v>2022</v>
      </c>
      <c r="D527" t="s">
        <v>8</v>
      </c>
      <c r="E527">
        <f t="shared" si="43"/>
        <v>5681.0050000000001</v>
      </c>
      <c r="F527">
        <f>SUM(F528:F532)</f>
        <v>5624.1949999999997</v>
      </c>
      <c r="G527">
        <f t="shared" ref="G527:G569" si="44">SUM(G528:G532)</f>
        <v>0</v>
      </c>
      <c r="H527">
        <f>SUM(H528:H532)</f>
        <v>56.81</v>
      </c>
      <c r="I527">
        <f t="shared" ref="I527:I563" si="45">SUM(I528:I532)</f>
        <v>0</v>
      </c>
      <c r="J527" s="107" t="s">
        <v>930</v>
      </c>
      <c r="K527" s="107" t="s">
        <v>547</v>
      </c>
    </row>
    <row r="528" spans="1:11" ht="12.75" customHeight="1" outlineLevel="1" x14ac:dyDescent="0.25">
      <c r="A528" s="107"/>
      <c r="B528" s="107"/>
      <c r="C528" s="107"/>
      <c r="D528">
        <v>2021</v>
      </c>
      <c r="E528">
        <f t="shared" si="43"/>
        <v>0</v>
      </c>
      <c r="G528">
        <f t="shared" si="44"/>
        <v>0</v>
      </c>
      <c r="I528">
        <f t="shared" si="45"/>
        <v>0</v>
      </c>
      <c r="J528" s="107"/>
      <c r="K528" s="107"/>
    </row>
    <row r="529" spans="1:11" ht="12.75" customHeight="1" outlineLevel="1" x14ac:dyDescent="0.25">
      <c r="A529" s="107"/>
      <c r="B529" s="107"/>
      <c r="C529" s="107"/>
      <c r="D529">
        <v>2022</v>
      </c>
      <c r="E529">
        <f t="shared" si="43"/>
        <v>5681.0050000000001</v>
      </c>
      <c r="F529">
        <v>5624.1949999999997</v>
      </c>
      <c r="G529">
        <f t="shared" si="44"/>
        <v>0</v>
      </c>
      <c r="H529">
        <v>56.81</v>
      </c>
      <c r="I529">
        <f t="shared" si="45"/>
        <v>0</v>
      </c>
      <c r="J529" s="107"/>
      <c r="K529" s="107"/>
    </row>
    <row r="530" spans="1:11" ht="12.75" customHeight="1" outlineLevel="1" x14ac:dyDescent="0.25">
      <c r="A530" s="107"/>
      <c r="B530" s="107"/>
      <c r="C530" s="107"/>
      <c r="D530">
        <v>2023</v>
      </c>
      <c r="E530">
        <f t="shared" si="43"/>
        <v>0</v>
      </c>
      <c r="G530">
        <f t="shared" si="44"/>
        <v>0</v>
      </c>
      <c r="I530">
        <f t="shared" si="45"/>
        <v>0</v>
      </c>
      <c r="J530" s="107"/>
      <c r="K530" s="107"/>
    </row>
    <row r="531" spans="1:11" ht="12.75" customHeight="1" outlineLevel="1" x14ac:dyDescent="0.25">
      <c r="A531" s="107"/>
      <c r="B531" s="107"/>
      <c r="C531" s="107"/>
      <c r="D531">
        <v>2024</v>
      </c>
      <c r="E531">
        <f t="shared" si="43"/>
        <v>0</v>
      </c>
      <c r="G531">
        <f t="shared" si="44"/>
        <v>0</v>
      </c>
      <c r="I531">
        <f t="shared" si="45"/>
        <v>0</v>
      </c>
      <c r="J531" s="107"/>
      <c r="K531" s="107"/>
    </row>
    <row r="532" spans="1:11" ht="12.75" customHeight="1" outlineLevel="1" x14ac:dyDescent="0.25">
      <c r="A532" s="107"/>
      <c r="B532" s="107"/>
      <c r="C532" s="107"/>
      <c r="D532">
        <v>2025</v>
      </c>
      <c r="E532">
        <f t="shared" si="43"/>
        <v>0</v>
      </c>
      <c r="G532">
        <f t="shared" si="44"/>
        <v>0</v>
      </c>
      <c r="I532">
        <f t="shared" si="45"/>
        <v>0</v>
      </c>
      <c r="J532" s="107"/>
      <c r="K532" s="107"/>
    </row>
    <row r="533" spans="1:11" ht="12.75" customHeight="1" outlineLevel="1" x14ac:dyDescent="0.25">
      <c r="A533" s="107" t="s">
        <v>931</v>
      </c>
      <c r="B533" s="107" t="s">
        <v>932</v>
      </c>
      <c r="C533" s="107">
        <v>2022</v>
      </c>
      <c r="D533" t="s">
        <v>8</v>
      </c>
      <c r="E533">
        <f t="shared" si="43"/>
        <v>9956.0759999999991</v>
      </c>
      <c r="F533">
        <f>SUM(F534:F538)</f>
        <v>9458.2729999999992</v>
      </c>
      <c r="G533">
        <f t="shared" si="44"/>
        <v>0</v>
      </c>
      <c r="H533">
        <f>SUM(H534:H538)</f>
        <v>497.803</v>
      </c>
      <c r="I533">
        <f t="shared" si="45"/>
        <v>0</v>
      </c>
      <c r="J533" s="107" t="s">
        <v>933</v>
      </c>
      <c r="K533" s="107" t="s">
        <v>547</v>
      </c>
    </row>
    <row r="534" spans="1:11" ht="12.75" customHeight="1" outlineLevel="1" x14ac:dyDescent="0.25">
      <c r="A534" s="107"/>
      <c r="B534" s="107"/>
      <c r="C534" s="107"/>
      <c r="D534">
        <v>2021</v>
      </c>
      <c r="E534">
        <f t="shared" si="43"/>
        <v>0</v>
      </c>
      <c r="F534">
        <v>0</v>
      </c>
      <c r="G534">
        <f t="shared" si="44"/>
        <v>0</v>
      </c>
      <c r="H534">
        <v>0</v>
      </c>
      <c r="I534">
        <f t="shared" si="45"/>
        <v>0</v>
      </c>
      <c r="J534" s="107"/>
      <c r="K534" s="107"/>
    </row>
    <row r="535" spans="1:11" ht="12.75" customHeight="1" outlineLevel="1" x14ac:dyDescent="0.25">
      <c r="A535" s="107"/>
      <c r="B535" s="107"/>
      <c r="C535" s="107"/>
      <c r="D535">
        <v>2022</v>
      </c>
      <c r="E535">
        <f t="shared" si="43"/>
        <v>9956.0759999999991</v>
      </c>
      <c r="F535">
        <v>9458.2729999999992</v>
      </c>
      <c r="G535">
        <f t="shared" si="44"/>
        <v>0</v>
      </c>
      <c r="H535">
        <v>497.803</v>
      </c>
      <c r="I535">
        <f t="shared" si="45"/>
        <v>0</v>
      </c>
      <c r="J535" s="107"/>
      <c r="K535" s="107"/>
    </row>
    <row r="536" spans="1:11" ht="12.75" customHeight="1" outlineLevel="1" x14ac:dyDescent="0.25">
      <c r="A536" s="107"/>
      <c r="B536" s="107"/>
      <c r="C536" s="107"/>
      <c r="D536">
        <v>2023</v>
      </c>
      <c r="E536">
        <f t="shared" si="43"/>
        <v>0</v>
      </c>
      <c r="F536">
        <v>0</v>
      </c>
      <c r="G536">
        <f t="shared" si="44"/>
        <v>0</v>
      </c>
      <c r="H536">
        <v>0</v>
      </c>
      <c r="I536">
        <f t="shared" si="45"/>
        <v>0</v>
      </c>
      <c r="J536" s="107"/>
      <c r="K536" s="107"/>
    </row>
    <row r="537" spans="1:11" ht="12.75" customHeight="1" outlineLevel="1" x14ac:dyDescent="0.25">
      <c r="A537" s="107"/>
      <c r="B537" s="107"/>
      <c r="C537" s="107"/>
      <c r="D537">
        <v>2024</v>
      </c>
      <c r="E537">
        <f t="shared" si="43"/>
        <v>0</v>
      </c>
      <c r="F537">
        <v>0</v>
      </c>
      <c r="G537">
        <f t="shared" si="44"/>
        <v>0</v>
      </c>
      <c r="H537">
        <v>0</v>
      </c>
      <c r="I537">
        <f t="shared" si="45"/>
        <v>0</v>
      </c>
      <c r="J537" s="107"/>
      <c r="K537" s="107"/>
    </row>
    <row r="538" spans="1:11" ht="12.75" customHeight="1" outlineLevel="1" x14ac:dyDescent="0.25">
      <c r="A538" s="107"/>
      <c r="B538" s="107"/>
      <c r="C538" s="107"/>
      <c r="D538">
        <v>2025</v>
      </c>
      <c r="E538">
        <f t="shared" si="43"/>
        <v>0</v>
      </c>
      <c r="F538">
        <v>0</v>
      </c>
      <c r="G538">
        <f t="shared" si="44"/>
        <v>0</v>
      </c>
      <c r="H538">
        <v>0</v>
      </c>
      <c r="I538">
        <f t="shared" si="45"/>
        <v>0</v>
      </c>
      <c r="J538" s="107"/>
      <c r="K538" s="107"/>
    </row>
    <row r="539" spans="1:11" ht="12.75" customHeight="1" outlineLevel="1" x14ac:dyDescent="0.25">
      <c r="A539" s="107" t="s">
        <v>934</v>
      </c>
      <c r="B539" s="107" t="s">
        <v>935</v>
      </c>
      <c r="C539" s="107">
        <v>2022</v>
      </c>
      <c r="D539" t="s">
        <v>8</v>
      </c>
      <c r="E539">
        <f t="shared" si="43"/>
        <v>4736.8419999999996</v>
      </c>
      <c r="F539">
        <f>SUM(F540:F544)</f>
        <v>4500</v>
      </c>
      <c r="G539">
        <f t="shared" si="44"/>
        <v>0</v>
      </c>
      <c r="H539">
        <f>SUM(H540:H544)</f>
        <v>236.84200000000001</v>
      </c>
      <c r="I539">
        <f t="shared" si="45"/>
        <v>0</v>
      </c>
      <c r="J539" s="107" t="s">
        <v>936</v>
      </c>
      <c r="K539" s="107" t="s">
        <v>547</v>
      </c>
    </row>
    <row r="540" spans="1:11" ht="12.75" customHeight="1" outlineLevel="1" x14ac:dyDescent="0.25">
      <c r="A540" s="107"/>
      <c r="B540" s="107"/>
      <c r="C540" s="107"/>
      <c r="D540">
        <v>2021</v>
      </c>
      <c r="E540">
        <f t="shared" si="43"/>
        <v>0</v>
      </c>
      <c r="F540">
        <v>0</v>
      </c>
      <c r="G540">
        <f t="shared" si="44"/>
        <v>0</v>
      </c>
      <c r="H540">
        <v>0</v>
      </c>
      <c r="I540">
        <f t="shared" si="45"/>
        <v>0</v>
      </c>
      <c r="J540" s="107"/>
      <c r="K540" s="107"/>
    </row>
    <row r="541" spans="1:11" ht="12.75" customHeight="1" outlineLevel="1" x14ac:dyDescent="0.25">
      <c r="A541" s="107"/>
      <c r="B541" s="107"/>
      <c r="C541" s="107"/>
      <c r="D541">
        <v>2022</v>
      </c>
      <c r="E541">
        <f t="shared" si="43"/>
        <v>4736.8419999999996</v>
      </c>
      <c r="F541">
        <v>4500</v>
      </c>
      <c r="G541">
        <f t="shared" si="44"/>
        <v>0</v>
      </c>
      <c r="H541">
        <v>236.84200000000001</v>
      </c>
      <c r="I541">
        <f t="shared" si="45"/>
        <v>0</v>
      </c>
      <c r="J541" s="107"/>
      <c r="K541" s="107"/>
    </row>
    <row r="542" spans="1:11" ht="12.75" customHeight="1" outlineLevel="1" x14ac:dyDescent="0.25">
      <c r="A542" s="107"/>
      <c r="B542" s="107"/>
      <c r="C542" s="107"/>
      <c r="D542">
        <v>2023</v>
      </c>
      <c r="E542">
        <f t="shared" si="43"/>
        <v>0</v>
      </c>
      <c r="F542">
        <v>0</v>
      </c>
      <c r="G542">
        <f t="shared" si="44"/>
        <v>0</v>
      </c>
      <c r="H542">
        <v>0</v>
      </c>
      <c r="I542">
        <f t="shared" si="45"/>
        <v>0</v>
      </c>
      <c r="J542" s="107"/>
      <c r="K542" s="107"/>
    </row>
    <row r="543" spans="1:11" ht="12.75" customHeight="1" outlineLevel="1" x14ac:dyDescent="0.25">
      <c r="A543" s="107"/>
      <c r="B543" s="107"/>
      <c r="C543" s="107"/>
      <c r="D543">
        <v>2024</v>
      </c>
      <c r="E543">
        <f t="shared" si="43"/>
        <v>0</v>
      </c>
      <c r="F543">
        <v>0</v>
      </c>
      <c r="G543">
        <f t="shared" si="44"/>
        <v>0</v>
      </c>
      <c r="H543">
        <v>0</v>
      </c>
      <c r="I543">
        <f t="shared" si="45"/>
        <v>0</v>
      </c>
      <c r="J543" s="107"/>
      <c r="K543" s="107"/>
    </row>
    <row r="544" spans="1:11" ht="12.75" customHeight="1" outlineLevel="1" x14ac:dyDescent="0.25">
      <c r="A544" s="107"/>
      <c r="B544" s="107"/>
      <c r="C544" s="107"/>
      <c r="D544">
        <v>2025</v>
      </c>
      <c r="E544">
        <f t="shared" si="43"/>
        <v>0</v>
      </c>
      <c r="F544">
        <v>0</v>
      </c>
      <c r="G544">
        <f t="shared" si="44"/>
        <v>0</v>
      </c>
      <c r="H544">
        <v>0</v>
      </c>
      <c r="I544">
        <f t="shared" si="45"/>
        <v>0</v>
      </c>
      <c r="J544" s="107"/>
      <c r="K544" s="107"/>
    </row>
    <row r="545" spans="1:11" ht="12.75" customHeight="1" outlineLevel="1" x14ac:dyDescent="0.25">
      <c r="A545" s="107" t="s">
        <v>937</v>
      </c>
      <c r="B545" s="107" t="s">
        <v>938</v>
      </c>
      <c r="C545" s="107">
        <v>2022</v>
      </c>
      <c r="D545" t="s">
        <v>8</v>
      </c>
      <c r="E545">
        <f t="shared" si="43"/>
        <v>17129.316999999999</v>
      </c>
      <c r="F545">
        <f>SUM(F546:F550)</f>
        <v>16272.852000000001</v>
      </c>
      <c r="G545">
        <f t="shared" si="44"/>
        <v>0</v>
      </c>
      <c r="H545">
        <f>SUM(H546:H550)</f>
        <v>856.46500000000003</v>
      </c>
      <c r="I545">
        <f t="shared" si="45"/>
        <v>0</v>
      </c>
      <c r="J545" s="107" t="s">
        <v>939</v>
      </c>
      <c r="K545" s="107" t="s">
        <v>547</v>
      </c>
    </row>
    <row r="546" spans="1:11" ht="12.75" customHeight="1" outlineLevel="1" x14ac:dyDescent="0.25">
      <c r="A546" s="107"/>
      <c r="B546" s="107"/>
      <c r="C546" s="107"/>
      <c r="D546">
        <v>2021</v>
      </c>
      <c r="E546">
        <f t="shared" si="43"/>
        <v>0</v>
      </c>
      <c r="F546">
        <v>0</v>
      </c>
      <c r="G546">
        <f t="shared" si="44"/>
        <v>0</v>
      </c>
      <c r="H546">
        <v>0</v>
      </c>
      <c r="I546">
        <f t="shared" si="45"/>
        <v>0</v>
      </c>
      <c r="J546" s="107"/>
      <c r="K546" s="107"/>
    </row>
    <row r="547" spans="1:11" ht="12.75" customHeight="1" outlineLevel="1" x14ac:dyDescent="0.25">
      <c r="A547" s="107"/>
      <c r="B547" s="107"/>
      <c r="C547" s="107"/>
      <c r="D547">
        <v>2022</v>
      </c>
      <c r="E547">
        <f t="shared" si="43"/>
        <v>17129.316999999999</v>
      </c>
      <c r="F547">
        <v>16272.852000000001</v>
      </c>
      <c r="G547">
        <f t="shared" si="44"/>
        <v>0</v>
      </c>
      <c r="H547">
        <v>856.46500000000003</v>
      </c>
      <c r="I547">
        <f t="shared" si="45"/>
        <v>0</v>
      </c>
      <c r="J547" s="107"/>
      <c r="K547" s="107"/>
    </row>
    <row r="548" spans="1:11" ht="12.75" customHeight="1" outlineLevel="1" x14ac:dyDescent="0.25">
      <c r="A548" s="107"/>
      <c r="B548" s="107"/>
      <c r="C548" s="107"/>
      <c r="D548">
        <v>2023</v>
      </c>
      <c r="E548">
        <f t="shared" si="43"/>
        <v>0</v>
      </c>
      <c r="F548">
        <v>0</v>
      </c>
      <c r="G548">
        <f t="shared" si="44"/>
        <v>0</v>
      </c>
      <c r="H548">
        <v>0</v>
      </c>
      <c r="I548">
        <f t="shared" si="45"/>
        <v>0</v>
      </c>
      <c r="J548" s="107"/>
      <c r="K548" s="107"/>
    </row>
    <row r="549" spans="1:11" ht="12.75" customHeight="1" outlineLevel="1" x14ac:dyDescent="0.25">
      <c r="A549" s="107"/>
      <c r="B549" s="107"/>
      <c r="C549" s="107"/>
      <c r="D549">
        <v>2024</v>
      </c>
      <c r="E549">
        <f t="shared" si="43"/>
        <v>0</v>
      </c>
      <c r="F549">
        <v>0</v>
      </c>
      <c r="G549">
        <f t="shared" si="44"/>
        <v>0</v>
      </c>
      <c r="H549">
        <v>0</v>
      </c>
      <c r="I549">
        <f t="shared" si="45"/>
        <v>0</v>
      </c>
      <c r="J549" s="107"/>
      <c r="K549" s="107"/>
    </row>
    <row r="550" spans="1:11" ht="12.75" customHeight="1" outlineLevel="1" x14ac:dyDescent="0.25">
      <c r="A550" s="107"/>
      <c r="B550" s="107"/>
      <c r="C550" s="107"/>
      <c r="D550">
        <v>2025</v>
      </c>
      <c r="E550">
        <f t="shared" si="43"/>
        <v>0</v>
      </c>
      <c r="F550">
        <v>0</v>
      </c>
      <c r="G550">
        <f t="shared" si="44"/>
        <v>0</v>
      </c>
      <c r="H550">
        <v>0</v>
      </c>
      <c r="I550">
        <f t="shared" si="45"/>
        <v>0</v>
      </c>
      <c r="J550" s="107"/>
      <c r="K550" s="107"/>
    </row>
    <row r="551" spans="1:11" ht="12.75" customHeight="1" outlineLevel="1" x14ac:dyDescent="0.25">
      <c r="A551" s="107" t="s">
        <v>940</v>
      </c>
      <c r="B551" s="107" t="s">
        <v>941</v>
      </c>
      <c r="C551" s="107">
        <v>2022</v>
      </c>
      <c r="D551" t="s">
        <v>8</v>
      </c>
      <c r="E551">
        <f t="shared" si="43"/>
        <v>5286.9529999999995</v>
      </c>
      <c r="F551">
        <f>SUM(F552:F556)</f>
        <v>5022.6059999999998</v>
      </c>
      <c r="G551">
        <f t="shared" si="44"/>
        <v>0</v>
      </c>
      <c r="H551">
        <f>SUM(H552:H556)</f>
        <v>264.34699999999998</v>
      </c>
      <c r="I551">
        <f t="shared" si="45"/>
        <v>0</v>
      </c>
      <c r="J551" s="107" t="s">
        <v>942</v>
      </c>
      <c r="K551" s="107" t="s">
        <v>547</v>
      </c>
    </row>
    <row r="552" spans="1:11" ht="12.75" customHeight="1" outlineLevel="1" x14ac:dyDescent="0.25">
      <c r="A552" s="107"/>
      <c r="B552" s="107"/>
      <c r="C552" s="107"/>
      <c r="D552">
        <v>2021</v>
      </c>
      <c r="E552">
        <f t="shared" si="43"/>
        <v>0</v>
      </c>
      <c r="F552">
        <v>0</v>
      </c>
      <c r="G552">
        <f t="shared" si="44"/>
        <v>0</v>
      </c>
      <c r="H552">
        <v>0</v>
      </c>
      <c r="I552">
        <f t="shared" si="45"/>
        <v>0</v>
      </c>
      <c r="J552" s="107"/>
      <c r="K552" s="107"/>
    </row>
    <row r="553" spans="1:11" ht="12.75" customHeight="1" outlineLevel="1" x14ac:dyDescent="0.25">
      <c r="A553" s="107"/>
      <c r="B553" s="107"/>
      <c r="C553" s="107"/>
      <c r="D553">
        <v>2022</v>
      </c>
      <c r="E553">
        <f t="shared" si="43"/>
        <v>5286.9529999999995</v>
      </c>
      <c r="F553">
        <v>5022.6059999999998</v>
      </c>
      <c r="G553">
        <f t="shared" si="44"/>
        <v>0</v>
      </c>
      <c r="H553">
        <v>264.34699999999998</v>
      </c>
      <c r="I553">
        <f t="shared" si="45"/>
        <v>0</v>
      </c>
      <c r="J553" s="107"/>
      <c r="K553" s="107"/>
    </row>
    <row r="554" spans="1:11" ht="12.75" customHeight="1" outlineLevel="1" x14ac:dyDescent="0.25">
      <c r="A554" s="107"/>
      <c r="B554" s="107"/>
      <c r="C554" s="107"/>
      <c r="D554">
        <v>2023</v>
      </c>
      <c r="E554">
        <f t="shared" si="43"/>
        <v>0</v>
      </c>
      <c r="F554">
        <v>0</v>
      </c>
      <c r="G554">
        <f t="shared" si="44"/>
        <v>0</v>
      </c>
      <c r="H554">
        <v>0</v>
      </c>
      <c r="I554">
        <f t="shared" si="45"/>
        <v>0</v>
      </c>
      <c r="J554" s="107"/>
      <c r="K554" s="107"/>
    </row>
    <row r="555" spans="1:11" ht="12.75" customHeight="1" outlineLevel="1" x14ac:dyDescent="0.25">
      <c r="A555" s="107"/>
      <c r="B555" s="107"/>
      <c r="C555" s="107"/>
      <c r="D555">
        <v>2024</v>
      </c>
      <c r="E555">
        <f t="shared" si="43"/>
        <v>0</v>
      </c>
      <c r="F555">
        <v>0</v>
      </c>
      <c r="G555">
        <f t="shared" si="44"/>
        <v>0</v>
      </c>
      <c r="H555">
        <v>0</v>
      </c>
      <c r="I555">
        <f t="shared" si="45"/>
        <v>0</v>
      </c>
      <c r="J555" s="107"/>
      <c r="K555" s="107"/>
    </row>
    <row r="556" spans="1:11" ht="12.75" customHeight="1" outlineLevel="1" x14ac:dyDescent="0.25">
      <c r="A556" s="107"/>
      <c r="B556" s="107"/>
      <c r="C556" s="107"/>
      <c r="D556">
        <v>2025</v>
      </c>
      <c r="E556">
        <f t="shared" ref="E556:E616" si="46">SUM(F556:I556)</f>
        <v>0</v>
      </c>
      <c r="F556">
        <v>0</v>
      </c>
      <c r="G556">
        <f t="shared" si="44"/>
        <v>0</v>
      </c>
      <c r="H556">
        <v>0</v>
      </c>
      <c r="I556">
        <f t="shared" si="45"/>
        <v>0</v>
      </c>
      <c r="J556" s="107"/>
      <c r="K556" s="107"/>
    </row>
    <row r="557" spans="1:11" ht="12.75" customHeight="1" outlineLevel="1" x14ac:dyDescent="0.25">
      <c r="A557" s="107" t="s">
        <v>943</v>
      </c>
      <c r="B557" s="107" t="s">
        <v>944</v>
      </c>
      <c r="C557" s="107">
        <v>2022</v>
      </c>
      <c r="D557" t="s">
        <v>8</v>
      </c>
      <c r="E557">
        <f t="shared" si="46"/>
        <v>4292.34</v>
      </c>
      <c r="F557">
        <f>SUM(F558:F562)</f>
        <v>4077.723</v>
      </c>
      <c r="G557">
        <f t="shared" si="44"/>
        <v>0</v>
      </c>
      <c r="H557">
        <f>SUM(H558:H562)</f>
        <v>214.61699999999999</v>
      </c>
      <c r="I557">
        <f t="shared" si="45"/>
        <v>0</v>
      </c>
      <c r="J557" s="107" t="s">
        <v>945</v>
      </c>
      <c r="K557" s="107" t="s">
        <v>547</v>
      </c>
    </row>
    <row r="558" spans="1:11" ht="12.75" customHeight="1" outlineLevel="1" x14ac:dyDescent="0.25">
      <c r="A558" s="107"/>
      <c r="B558" s="107"/>
      <c r="C558" s="107"/>
      <c r="D558">
        <v>2021</v>
      </c>
      <c r="E558">
        <f t="shared" si="46"/>
        <v>0</v>
      </c>
      <c r="F558">
        <v>0</v>
      </c>
      <c r="G558">
        <f t="shared" si="44"/>
        <v>0</v>
      </c>
      <c r="H558">
        <v>0</v>
      </c>
      <c r="I558">
        <v>0</v>
      </c>
      <c r="J558" s="107"/>
      <c r="K558" s="107"/>
    </row>
    <row r="559" spans="1:11" ht="12.75" customHeight="1" outlineLevel="1" x14ac:dyDescent="0.25">
      <c r="A559" s="107"/>
      <c r="B559" s="107"/>
      <c r="C559" s="107"/>
      <c r="D559">
        <v>2022</v>
      </c>
      <c r="E559">
        <f t="shared" si="46"/>
        <v>4292.34</v>
      </c>
      <c r="F559">
        <v>4077.723</v>
      </c>
      <c r="G559">
        <f t="shared" si="44"/>
        <v>0</v>
      </c>
      <c r="H559">
        <v>214.61699999999999</v>
      </c>
      <c r="I559">
        <v>0</v>
      </c>
      <c r="J559" s="107"/>
      <c r="K559" s="107"/>
    </row>
    <row r="560" spans="1:11" ht="12.75" customHeight="1" outlineLevel="1" x14ac:dyDescent="0.25">
      <c r="A560" s="107"/>
      <c r="B560" s="107"/>
      <c r="C560" s="107"/>
      <c r="D560">
        <v>2023</v>
      </c>
      <c r="E560">
        <f t="shared" si="46"/>
        <v>0</v>
      </c>
      <c r="F560">
        <v>0</v>
      </c>
      <c r="G560">
        <v>0</v>
      </c>
      <c r="H560">
        <v>0</v>
      </c>
      <c r="I560">
        <v>0</v>
      </c>
      <c r="J560" s="107"/>
      <c r="K560" s="107"/>
    </row>
    <row r="561" spans="1:11" ht="12.75" customHeight="1" outlineLevel="1" x14ac:dyDescent="0.25">
      <c r="A561" s="107"/>
      <c r="B561" s="107"/>
      <c r="C561" s="107"/>
      <c r="D561">
        <v>2024</v>
      </c>
      <c r="E561">
        <f t="shared" si="46"/>
        <v>0</v>
      </c>
      <c r="F561">
        <v>0</v>
      </c>
      <c r="G561">
        <v>0</v>
      </c>
      <c r="H561">
        <v>0</v>
      </c>
      <c r="I561">
        <v>0</v>
      </c>
      <c r="J561" s="107"/>
      <c r="K561" s="107"/>
    </row>
    <row r="562" spans="1:11" ht="12.75" customHeight="1" outlineLevel="1" x14ac:dyDescent="0.25">
      <c r="A562" s="107"/>
      <c r="B562" s="107"/>
      <c r="C562" s="107"/>
      <c r="D562">
        <v>2025</v>
      </c>
      <c r="E562">
        <f t="shared" si="46"/>
        <v>0</v>
      </c>
      <c r="F562">
        <v>0</v>
      </c>
      <c r="G562">
        <v>0</v>
      </c>
      <c r="H562">
        <v>0</v>
      </c>
      <c r="I562">
        <v>0</v>
      </c>
      <c r="J562" s="107"/>
      <c r="K562" s="107"/>
    </row>
    <row r="563" spans="1:11" ht="12.75" customHeight="1" outlineLevel="1" x14ac:dyDescent="0.25">
      <c r="A563" s="107" t="s">
        <v>946</v>
      </c>
      <c r="B563" s="107" t="s">
        <v>947</v>
      </c>
      <c r="C563" s="107">
        <v>2022</v>
      </c>
      <c r="D563" t="s">
        <v>8</v>
      </c>
      <c r="E563">
        <f t="shared" si="46"/>
        <v>24014.71</v>
      </c>
      <c r="F563">
        <f>SUM(F564:F568)</f>
        <v>22813.974999999999</v>
      </c>
      <c r="G563">
        <f t="shared" si="44"/>
        <v>0</v>
      </c>
      <c r="H563">
        <f>SUM(H564:H568)</f>
        <v>1200.7350000000001</v>
      </c>
      <c r="I563">
        <f t="shared" si="45"/>
        <v>0</v>
      </c>
      <c r="J563" s="107" t="s">
        <v>948</v>
      </c>
      <c r="K563" s="107" t="s">
        <v>547</v>
      </c>
    </row>
    <row r="564" spans="1:11" ht="12.75" customHeight="1" outlineLevel="1" x14ac:dyDescent="0.25">
      <c r="A564" s="107"/>
      <c r="B564" s="107"/>
      <c r="C564" s="107"/>
      <c r="D564">
        <v>2021</v>
      </c>
      <c r="E564">
        <f t="shared" si="46"/>
        <v>0</v>
      </c>
      <c r="F564">
        <v>0</v>
      </c>
      <c r="G564">
        <v>0</v>
      </c>
      <c r="H564">
        <v>0</v>
      </c>
      <c r="I564">
        <f>SUM(I565:I568)</f>
        <v>0</v>
      </c>
      <c r="J564" s="107"/>
      <c r="K564" s="107"/>
    </row>
    <row r="565" spans="1:11" ht="12.75" customHeight="1" outlineLevel="1" x14ac:dyDescent="0.25">
      <c r="A565" s="107"/>
      <c r="B565" s="107"/>
      <c r="C565" s="107"/>
      <c r="D565">
        <v>2022</v>
      </c>
      <c r="E565">
        <f t="shared" si="46"/>
        <v>14014.710000000001</v>
      </c>
      <c r="F565">
        <v>13313.975</v>
      </c>
      <c r="G565">
        <v>0</v>
      </c>
      <c r="H565">
        <v>700.73500000000001</v>
      </c>
      <c r="I565">
        <f>SUM(I566:I568)</f>
        <v>0</v>
      </c>
      <c r="J565" s="107"/>
      <c r="K565" s="107"/>
    </row>
    <row r="566" spans="1:11" ht="12.75" customHeight="1" outlineLevel="1" x14ac:dyDescent="0.25">
      <c r="A566" s="107"/>
      <c r="B566" s="107"/>
      <c r="C566" s="107"/>
      <c r="D566">
        <v>2023</v>
      </c>
      <c r="E566">
        <f t="shared" si="46"/>
        <v>10000</v>
      </c>
      <c r="F566">
        <v>9500</v>
      </c>
      <c r="G566">
        <v>0</v>
      </c>
      <c r="H566">
        <v>500</v>
      </c>
      <c r="I566">
        <f>SUM(I567:I568)</f>
        <v>0</v>
      </c>
      <c r="J566" s="107"/>
      <c r="K566" s="107"/>
    </row>
    <row r="567" spans="1:11" ht="12.75" customHeight="1" outlineLevel="1" x14ac:dyDescent="0.25">
      <c r="A567" s="107"/>
      <c r="B567" s="107"/>
      <c r="C567" s="107"/>
      <c r="D567">
        <v>2024</v>
      </c>
      <c r="E567">
        <f t="shared" si="46"/>
        <v>0</v>
      </c>
      <c r="F567">
        <v>0</v>
      </c>
      <c r="G567">
        <v>0</v>
      </c>
      <c r="H567">
        <v>0</v>
      </c>
      <c r="I567">
        <v>0</v>
      </c>
      <c r="J567" s="107"/>
      <c r="K567" s="107"/>
    </row>
    <row r="568" spans="1:11" ht="12.75" customHeight="1" outlineLevel="1" x14ac:dyDescent="0.25">
      <c r="A568" s="107"/>
      <c r="B568" s="107"/>
      <c r="C568" s="107"/>
      <c r="D568">
        <v>2025</v>
      </c>
      <c r="E568">
        <f t="shared" si="46"/>
        <v>0</v>
      </c>
      <c r="F568">
        <v>0</v>
      </c>
      <c r="G568">
        <v>0</v>
      </c>
      <c r="H568">
        <v>0</v>
      </c>
      <c r="I568">
        <v>0</v>
      </c>
      <c r="J568" s="107"/>
      <c r="K568" s="107"/>
    </row>
    <row r="569" spans="1:11" ht="12.75" customHeight="1" outlineLevel="1" x14ac:dyDescent="0.25">
      <c r="A569" s="107" t="s">
        <v>116</v>
      </c>
      <c r="B569" s="107" t="s">
        <v>40</v>
      </c>
      <c r="C569" s="107" t="s">
        <v>41</v>
      </c>
      <c r="D569" t="s">
        <v>8</v>
      </c>
      <c r="E569">
        <f t="shared" si="46"/>
        <v>1052760.3499</v>
      </c>
      <c r="F569">
        <f>SUM(F570:F574)</f>
        <v>527941.51014999999</v>
      </c>
      <c r="G569">
        <f t="shared" si="44"/>
        <v>502390.99900000001</v>
      </c>
      <c r="H569">
        <f>SUM(H570:H574)</f>
        <v>22427.840749999974</v>
      </c>
      <c r="I569">
        <f>SUM(I570:I574)</f>
        <v>0</v>
      </c>
      <c r="J569" s="107" t="s">
        <v>117</v>
      </c>
      <c r="K569" s="107" t="s">
        <v>601</v>
      </c>
    </row>
    <row r="570" spans="1:11" outlineLevel="1" x14ac:dyDescent="0.25">
      <c r="A570" s="107"/>
      <c r="B570" s="107"/>
      <c r="C570" s="107"/>
      <c r="D570">
        <v>2021</v>
      </c>
      <c r="E570">
        <f t="shared" si="46"/>
        <v>277483.179</v>
      </c>
      <c r="F570">
        <f t="shared" ref="F570:I574" si="47">F576+F582+F588+F594</f>
        <v>19160.86</v>
      </c>
      <c r="G570">
        <f t="shared" si="47"/>
        <v>257488.69899999999</v>
      </c>
      <c r="H570">
        <f t="shared" si="47"/>
        <v>833.61999999999989</v>
      </c>
      <c r="I570">
        <f t="shared" si="47"/>
        <v>0</v>
      </c>
      <c r="J570" s="107"/>
      <c r="K570" s="107"/>
    </row>
    <row r="571" spans="1:11" outlineLevel="1" x14ac:dyDescent="0.25">
      <c r="A571" s="107"/>
      <c r="B571" s="107"/>
      <c r="C571" s="107"/>
      <c r="D571">
        <v>2022</v>
      </c>
      <c r="E571">
        <f t="shared" si="46"/>
        <v>627254.25601000001</v>
      </c>
      <c r="F571">
        <f t="shared" si="47"/>
        <v>488555.33100000001</v>
      </c>
      <c r="G571">
        <f t="shared" si="47"/>
        <v>117511.3</v>
      </c>
      <c r="H571">
        <f t="shared" si="47"/>
        <v>21187.62501</v>
      </c>
      <c r="I571">
        <f t="shared" si="47"/>
        <v>0</v>
      </c>
      <c r="J571" s="107"/>
      <c r="K571" s="107"/>
    </row>
    <row r="572" spans="1:11" outlineLevel="1" x14ac:dyDescent="0.25">
      <c r="A572" s="107"/>
      <c r="B572" s="107"/>
      <c r="C572" s="107"/>
      <c r="D572">
        <v>2023</v>
      </c>
      <c r="E572">
        <f t="shared" si="46"/>
        <v>141772.91488999996</v>
      </c>
      <c r="F572">
        <f t="shared" si="47"/>
        <v>13975.319150000007</v>
      </c>
      <c r="G572">
        <f t="shared" si="47"/>
        <v>127391</v>
      </c>
      <c r="H572">
        <f t="shared" si="47"/>
        <v>406.59573999997519</v>
      </c>
      <c r="I572">
        <f t="shared" si="47"/>
        <v>0</v>
      </c>
      <c r="J572" s="107"/>
      <c r="K572" s="107"/>
    </row>
    <row r="573" spans="1:11" outlineLevel="1" x14ac:dyDescent="0.25">
      <c r="A573" s="107"/>
      <c r="B573" s="107"/>
      <c r="C573" s="107"/>
      <c r="D573">
        <v>2024</v>
      </c>
      <c r="E573">
        <f t="shared" si="46"/>
        <v>6250</v>
      </c>
      <c r="F573">
        <f t="shared" si="47"/>
        <v>6250</v>
      </c>
      <c r="G573">
        <f t="shared" si="47"/>
        <v>0</v>
      </c>
      <c r="H573">
        <f t="shared" si="47"/>
        <v>0</v>
      </c>
      <c r="I573">
        <f t="shared" si="47"/>
        <v>0</v>
      </c>
      <c r="J573" s="107"/>
      <c r="K573" s="107"/>
    </row>
    <row r="574" spans="1:11" outlineLevel="1" x14ac:dyDescent="0.25">
      <c r="A574" s="107"/>
      <c r="B574" s="107"/>
      <c r="C574" s="107"/>
      <c r="D574">
        <v>2025</v>
      </c>
      <c r="E574">
        <f t="shared" si="46"/>
        <v>0</v>
      </c>
      <c r="F574">
        <f t="shared" si="47"/>
        <v>0</v>
      </c>
      <c r="G574">
        <f t="shared" si="47"/>
        <v>0</v>
      </c>
      <c r="H574">
        <f t="shared" si="47"/>
        <v>0</v>
      </c>
      <c r="I574">
        <f t="shared" si="47"/>
        <v>0</v>
      </c>
      <c r="J574" s="107"/>
      <c r="K574" s="107"/>
    </row>
    <row r="575" spans="1:11" x14ac:dyDescent="0.25">
      <c r="A575" s="107" t="s">
        <v>119</v>
      </c>
      <c r="B575" s="107" t="s">
        <v>120</v>
      </c>
      <c r="C575" s="107" t="s">
        <v>41</v>
      </c>
      <c r="D575" t="s">
        <v>8</v>
      </c>
      <c r="E575">
        <f t="shared" si="46"/>
        <v>22070.7</v>
      </c>
      <c r="F575">
        <f>SUM(F576:F580)</f>
        <v>22070.7</v>
      </c>
      <c r="G575">
        <f>SUM(G576:G580)</f>
        <v>0</v>
      </c>
      <c r="H575">
        <f>SUM(H576:H580)</f>
        <v>0</v>
      </c>
      <c r="I575">
        <f>SUM(I576:I580)</f>
        <v>0</v>
      </c>
      <c r="J575" s="107" t="s">
        <v>121</v>
      </c>
      <c r="K575" s="107" t="s">
        <v>484</v>
      </c>
    </row>
    <row r="576" spans="1:11" ht="14.25" customHeight="1" x14ac:dyDescent="0.25">
      <c r="A576" s="107"/>
      <c r="B576" s="107"/>
      <c r="C576" s="107"/>
      <c r="D576">
        <v>2021</v>
      </c>
      <c r="E576">
        <f t="shared" si="46"/>
        <v>3320.7</v>
      </c>
      <c r="F576">
        <v>3320.7</v>
      </c>
      <c r="G576">
        <v>0</v>
      </c>
      <c r="H576">
        <v>0</v>
      </c>
      <c r="I576">
        <v>0</v>
      </c>
      <c r="J576" s="107"/>
      <c r="K576" s="107"/>
    </row>
    <row r="577" spans="1:12" x14ac:dyDescent="0.25">
      <c r="A577" s="107"/>
      <c r="B577" s="107"/>
      <c r="C577" s="107"/>
      <c r="D577">
        <v>2022</v>
      </c>
      <c r="E577">
        <f t="shared" si="46"/>
        <v>6250</v>
      </c>
      <c r="F577">
        <v>6250</v>
      </c>
      <c r="G577">
        <v>0</v>
      </c>
      <c r="H577">
        <v>0</v>
      </c>
      <c r="I577">
        <v>0</v>
      </c>
      <c r="J577" s="107"/>
      <c r="K577" s="107"/>
    </row>
    <row r="578" spans="1:12" x14ac:dyDescent="0.25">
      <c r="A578" s="107"/>
      <c r="B578" s="107"/>
      <c r="C578" s="107"/>
      <c r="D578">
        <v>2023</v>
      </c>
      <c r="E578">
        <f t="shared" si="46"/>
        <v>6250</v>
      </c>
      <c r="F578">
        <v>6250</v>
      </c>
      <c r="G578">
        <v>0</v>
      </c>
      <c r="H578">
        <v>0</v>
      </c>
      <c r="I578">
        <v>0</v>
      </c>
      <c r="J578" s="107"/>
      <c r="K578" s="107"/>
    </row>
    <row r="579" spans="1:12" x14ac:dyDescent="0.25">
      <c r="A579" s="107"/>
      <c r="B579" s="107"/>
      <c r="C579" s="107"/>
      <c r="D579">
        <v>2024</v>
      </c>
      <c r="E579">
        <f t="shared" si="46"/>
        <v>6250</v>
      </c>
      <c r="F579">
        <v>6250</v>
      </c>
      <c r="G579">
        <v>0</v>
      </c>
      <c r="H579">
        <v>0</v>
      </c>
      <c r="I579">
        <v>0</v>
      </c>
      <c r="J579" s="107"/>
      <c r="K579" s="107"/>
    </row>
    <row r="580" spans="1:12" x14ac:dyDescent="0.25">
      <c r="A580" s="107"/>
      <c r="B580" s="107"/>
      <c r="C580" s="107"/>
      <c r="D580">
        <v>2025</v>
      </c>
      <c r="E580">
        <f t="shared" si="46"/>
        <v>0</v>
      </c>
      <c r="F580">
        <v>0</v>
      </c>
      <c r="G580">
        <v>0</v>
      </c>
      <c r="H580">
        <v>0</v>
      </c>
      <c r="I580">
        <v>0</v>
      </c>
      <c r="J580" s="107"/>
      <c r="K580" s="107"/>
    </row>
    <row r="581" spans="1:12" ht="21" customHeight="1" x14ac:dyDescent="0.25">
      <c r="A581" s="107" t="s">
        <v>122</v>
      </c>
      <c r="B581" s="107" t="s">
        <v>123</v>
      </c>
      <c r="C581" s="107" t="s">
        <v>124</v>
      </c>
      <c r="D581" t="s">
        <v>8</v>
      </c>
      <c r="E581">
        <f t="shared" si="46"/>
        <v>386449.05105000001</v>
      </c>
      <c r="F581">
        <f>SUM(F582:F586)</f>
        <v>255936.07800000001</v>
      </c>
      <c r="G581">
        <f>SUM(G582:G586)</f>
        <v>121253.24804000001</v>
      </c>
      <c r="H581">
        <f>SUM(H582:H586)</f>
        <v>9259.7250100000001</v>
      </c>
      <c r="I581">
        <f>SUM(I582:I586)</f>
        <v>0</v>
      </c>
      <c r="J581" s="107" t="s">
        <v>949</v>
      </c>
      <c r="K581" s="107" t="s">
        <v>547</v>
      </c>
      <c r="L581" s="107" t="s">
        <v>950</v>
      </c>
    </row>
    <row r="582" spans="1:12" ht="21" customHeight="1" x14ac:dyDescent="0.25">
      <c r="A582" s="107"/>
      <c r="B582" s="107"/>
      <c r="C582" s="107"/>
      <c r="D582">
        <v>2021</v>
      </c>
      <c r="E582">
        <f t="shared" si="46"/>
        <v>94469.148000000001</v>
      </c>
      <c r="F582">
        <v>5458.1030000000001</v>
      </c>
      <c r="G582">
        <v>88723.845000000001</v>
      </c>
      <c r="H582">
        <v>287.2</v>
      </c>
      <c r="I582">
        <v>0</v>
      </c>
      <c r="J582" s="107"/>
      <c r="K582" s="107"/>
      <c r="L582" s="107"/>
    </row>
    <row r="583" spans="1:12" ht="21" customHeight="1" x14ac:dyDescent="0.25">
      <c r="A583" s="107"/>
      <c r="B583" s="107"/>
      <c r="C583" s="107"/>
      <c r="D583">
        <v>2022</v>
      </c>
      <c r="E583">
        <f t="shared" si="46"/>
        <v>291979.90304999996</v>
      </c>
      <c r="F583">
        <v>250477.97500000001</v>
      </c>
      <c r="G583">
        <v>32529.403040000001</v>
      </c>
      <c r="H583">
        <f>(103817.25+8868707.76)/1000</f>
        <v>8972.5250099999994</v>
      </c>
      <c r="I583">
        <v>0</v>
      </c>
      <c r="J583" s="107"/>
      <c r="K583" s="107"/>
      <c r="L583" s="107"/>
    </row>
    <row r="584" spans="1:12" ht="21" customHeight="1" x14ac:dyDescent="0.25">
      <c r="A584" s="107"/>
      <c r="B584" s="107"/>
      <c r="C584" s="107"/>
      <c r="D584">
        <v>2023</v>
      </c>
      <c r="E584">
        <f t="shared" si="46"/>
        <v>0</v>
      </c>
      <c r="F584">
        <v>0</v>
      </c>
      <c r="G584">
        <v>0</v>
      </c>
      <c r="H584">
        <v>0</v>
      </c>
      <c r="I584">
        <v>0</v>
      </c>
      <c r="J584" s="107"/>
      <c r="K584" s="107"/>
      <c r="L584" s="107"/>
    </row>
    <row r="585" spans="1:12" ht="21" customHeight="1" x14ac:dyDescent="0.25">
      <c r="A585" s="107"/>
      <c r="B585" s="107"/>
      <c r="C585" s="107"/>
      <c r="D585">
        <v>2024</v>
      </c>
      <c r="E585">
        <f t="shared" si="46"/>
        <v>0</v>
      </c>
      <c r="F585">
        <v>0</v>
      </c>
      <c r="G585">
        <v>0</v>
      </c>
      <c r="H585">
        <v>0</v>
      </c>
      <c r="I585">
        <v>0</v>
      </c>
      <c r="J585" s="107"/>
      <c r="K585" s="107"/>
      <c r="L585" s="107"/>
    </row>
    <row r="586" spans="1:12" ht="21" customHeight="1" x14ac:dyDescent="0.25">
      <c r="A586" s="107"/>
      <c r="B586" s="107"/>
      <c r="C586" s="107"/>
      <c r="D586">
        <v>2025</v>
      </c>
      <c r="E586">
        <f t="shared" si="46"/>
        <v>0</v>
      </c>
      <c r="F586">
        <v>0</v>
      </c>
      <c r="G586">
        <v>0</v>
      </c>
      <c r="H586">
        <v>0</v>
      </c>
      <c r="I586">
        <v>0</v>
      </c>
      <c r="J586" s="107"/>
      <c r="K586" s="107"/>
      <c r="L586" s="107"/>
    </row>
    <row r="587" spans="1:12" ht="20.25" customHeight="1" x14ac:dyDescent="0.25">
      <c r="A587" s="107" t="s">
        <v>126</v>
      </c>
      <c r="B587" s="107" t="s">
        <v>127</v>
      </c>
      <c r="C587" s="107" t="s">
        <v>124</v>
      </c>
      <c r="D587" t="s">
        <v>8</v>
      </c>
      <c r="E587">
        <f t="shared" si="46"/>
        <v>508717.68395999999</v>
      </c>
      <c r="F587">
        <f>SUM(F588:F592)</f>
        <v>242209.413</v>
      </c>
      <c r="G587">
        <f>SUM(G588:G592)</f>
        <v>253746.75095999998</v>
      </c>
      <c r="H587">
        <f>SUM(H588:H592)</f>
        <v>12761.52</v>
      </c>
      <c r="I587">
        <f>SUM(I588:I592)</f>
        <v>0</v>
      </c>
      <c r="J587" s="107" t="s">
        <v>951</v>
      </c>
      <c r="K587" s="107" t="s">
        <v>547</v>
      </c>
      <c r="L587" s="107"/>
    </row>
    <row r="588" spans="1:12" ht="20.25" customHeight="1" x14ac:dyDescent="0.25">
      <c r="A588" s="107"/>
      <c r="B588" s="107"/>
      <c r="C588" s="107"/>
      <c r="D588">
        <v>2021</v>
      </c>
      <c r="E588">
        <f t="shared" si="46"/>
        <v>179693.33100000001</v>
      </c>
      <c r="F588">
        <v>10382.057000000001</v>
      </c>
      <c r="G588">
        <v>168764.85399999999</v>
      </c>
      <c r="H588">
        <v>546.41999999999996</v>
      </c>
      <c r="I588">
        <v>0</v>
      </c>
      <c r="J588" s="107"/>
      <c r="K588" s="107"/>
      <c r="L588" s="107"/>
    </row>
    <row r="589" spans="1:12" ht="20.25" customHeight="1" x14ac:dyDescent="0.25">
      <c r="A589" s="107"/>
      <c r="B589" s="107"/>
      <c r="C589" s="107"/>
      <c r="D589">
        <v>2022</v>
      </c>
      <c r="E589">
        <f t="shared" si="46"/>
        <v>329024.35295999999</v>
      </c>
      <c r="F589">
        <v>231827.356</v>
      </c>
      <c r="G589">
        <v>84981.896959999998</v>
      </c>
      <c r="H589">
        <v>12215.1</v>
      </c>
      <c r="I589">
        <v>0</v>
      </c>
      <c r="J589" s="107"/>
      <c r="K589" s="107"/>
      <c r="L589" s="107"/>
    </row>
    <row r="590" spans="1:12" ht="20.25" customHeight="1" x14ac:dyDescent="0.25">
      <c r="A590" s="107"/>
      <c r="B590" s="107"/>
      <c r="C590" s="107"/>
      <c r="D590">
        <v>2023</v>
      </c>
      <c r="E590">
        <f t="shared" si="46"/>
        <v>0</v>
      </c>
      <c r="F590">
        <v>0</v>
      </c>
      <c r="G590">
        <v>0</v>
      </c>
      <c r="H590">
        <v>0</v>
      </c>
      <c r="I590">
        <v>0</v>
      </c>
      <c r="J590" s="107"/>
      <c r="K590" s="107"/>
      <c r="L590" s="107"/>
    </row>
    <row r="591" spans="1:12" ht="20.25" customHeight="1" x14ac:dyDescent="0.25">
      <c r="A591" s="107"/>
      <c r="B591" s="107"/>
      <c r="C591" s="107"/>
      <c r="D591">
        <v>2024</v>
      </c>
      <c r="E591">
        <f t="shared" si="46"/>
        <v>0</v>
      </c>
      <c r="F591">
        <v>0</v>
      </c>
      <c r="G591">
        <v>0</v>
      </c>
      <c r="H591">
        <v>0</v>
      </c>
      <c r="I591">
        <v>0</v>
      </c>
      <c r="J591" s="107"/>
      <c r="K591" s="107"/>
      <c r="L591" s="107"/>
    </row>
    <row r="592" spans="1:12" ht="20.25" customHeight="1" x14ac:dyDescent="0.25">
      <c r="A592" s="107"/>
      <c r="B592" s="107"/>
      <c r="C592" s="107"/>
      <c r="D592">
        <v>2025</v>
      </c>
      <c r="E592">
        <f t="shared" si="46"/>
        <v>0</v>
      </c>
      <c r="F592">
        <v>0</v>
      </c>
      <c r="G592">
        <v>0</v>
      </c>
      <c r="H592">
        <v>0</v>
      </c>
      <c r="I592">
        <v>0</v>
      </c>
      <c r="J592" s="107"/>
      <c r="K592" s="107"/>
      <c r="L592" s="107"/>
    </row>
    <row r="593" spans="1:13" ht="15" customHeight="1" x14ac:dyDescent="0.25">
      <c r="A593" s="107" t="s">
        <v>128</v>
      </c>
      <c r="B593" s="107" t="s">
        <v>747</v>
      </c>
      <c r="C593" s="107">
        <v>2023</v>
      </c>
      <c r="D593" t="s">
        <v>8</v>
      </c>
      <c r="E593">
        <f t="shared" si="46"/>
        <v>135522.91488999996</v>
      </c>
      <c r="F593">
        <f>SUM(F594:F598)</f>
        <v>7725.3191500000057</v>
      </c>
      <c r="G593">
        <f>SUM(G594:G598)</f>
        <v>127391</v>
      </c>
      <c r="H593">
        <f>SUM(H594:H598)</f>
        <v>406.59573999997519</v>
      </c>
      <c r="I593">
        <f>SUM(I594:I598)</f>
        <v>0</v>
      </c>
      <c r="J593" s="107" t="s">
        <v>952</v>
      </c>
      <c r="K593" s="107" t="s">
        <v>547</v>
      </c>
      <c r="M593" s="107" t="s">
        <v>953</v>
      </c>
    </row>
    <row r="594" spans="1:13" x14ac:dyDescent="0.25">
      <c r="A594" s="107"/>
      <c r="B594" s="107"/>
      <c r="C594" s="107"/>
      <c r="D594">
        <v>2021</v>
      </c>
      <c r="E594">
        <f t="shared" si="46"/>
        <v>0</v>
      </c>
      <c r="F594">
        <v>0</v>
      </c>
      <c r="G594">
        <v>0</v>
      </c>
      <c r="H594">
        <v>0</v>
      </c>
      <c r="I594">
        <v>0</v>
      </c>
      <c r="J594" s="107"/>
      <c r="K594" s="107"/>
      <c r="M594" s="107"/>
    </row>
    <row r="595" spans="1:13" x14ac:dyDescent="0.25">
      <c r="A595" s="107"/>
      <c r="B595" s="107"/>
      <c r="C595" s="107"/>
      <c r="D595">
        <v>2022</v>
      </c>
      <c r="E595">
        <f t="shared" si="46"/>
        <v>0</v>
      </c>
      <c r="F595">
        <v>0</v>
      </c>
      <c r="G595">
        <v>0</v>
      </c>
      <c r="H595">
        <v>0</v>
      </c>
      <c r="I595">
        <v>0</v>
      </c>
      <c r="J595" s="107"/>
      <c r="K595" s="107"/>
      <c r="M595" s="107"/>
    </row>
    <row r="596" spans="1:13" x14ac:dyDescent="0.25">
      <c r="A596" s="107"/>
      <c r="B596" s="107"/>
      <c r="C596" s="107"/>
      <c r="D596">
        <v>2023</v>
      </c>
      <c r="E596">
        <f t="shared" si="46"/>
        <v>135522.91488999996</v>
      </c>
      <c r="F596">
        <f>(135116319.15-127391000)/1000</f>
        <v>7725.3191500000057</v>
      </c>
      <c r="G596">
        <v>127391</v>
      </c>
      <c r="H596">
        <f>135522914.89/1000-F596-G596</f>
        <v>406.59573999997519</v>
      </c>
      <c r="I596">
        <v>0</v>
      </c>
      <c r="J596" s="107"/>
      <c r="K596" s="107"/>
      <c r="M596" s="107"/>
    </row>
    <row r="597" spans="1:13" x14ac:dyDescent="0.25">
      <c r="A597" s="107"/>
      <c r="B597" s="107"/>
      <c r="C597" s="107"/>
      <c r="D597">
        <v>2024</v>
      </c>
      <c r="E597">
        <f t="shared" si="46"/>
        <v>0</v>
      </c>
      <c r="F597">
        <v>0</v>
      </c>
      <c r="G597">
        <v>0</v>
      </c>
      <c r="H597">
        <v>0</v>
      </c>
      <c r="I597">
        <v>0</v>
      </c>
      <c r="J597" s="107"/>
      <c r="K597" s="107"/>
      <c r="M597" s="107"/>
    </row>
    <row r="598" spans="1:13" x14ac:dyDescent="0.25">
      <c r="A598" s="107"/>
      <c r="B598" s="107"/>
      <c r="C598" s="107"/>
      <c r="D598">
        <v>2025</v>
      </c>
      <c r="E598">
        <f t="shared" si="46"/>
        <v>0</v>
      </c>
      <c r="F598">
        <v>0</v>
      </c>
      <c r="G598">
        <v>0</v>
      </c>
      <c r="H598">
        <v>0</v>
      </c>
      <c r="I598">
        <v>0</v>
      </c>
      <c r="J598" s="107"/>
      <c r="K598" s="107"/>
      <c r="M598" s="107"/>
    </row>
    <row r="599" spans="1:13" x14ac:dyDescent="0.25">
      <c r="A599" s="107" t="s">
        <v>131</v>
      </c>
      <c r="B599" s="107" t="s">
        <v>132</v>
      </c>
      <c r="C599" s="107" t="s">
        <v>14</v>
      </c>
      <c r="D599" t="s">
        <v>8</v>
      </c>
      <c r="E599">
        <f t="shared" si="46"/>
        <v>230700.13300000003</v>
      </c>
      <c r="F599">
        <f>SUM(F600:F604)</f>
        <v>230700.13300000003</v>
      </c>
      <c r="G599">
        <f>SUM(G600:G604)</f>
        <v>0</v>
      </c>
      <c r="H599">
        <f>SUM(H600:H604)</f>
        <v>0</v>
      </c>
      <c r="I599">
        <f>SUM(I600:I604)</f>
        <v>0</v>
      </c>
      <c r="J599" s="107"/>
      <c r="K599" s="107" t="s">
        <v>484</v>
      </c>
    </row>
    <row r="600" spans="1:13" x14ac:dyDescent="0.25">
      <c r="A600" s="107"/>
      <c r="B600" s="107"/>
      <c r="C600" s="107"/>
      <c r="D600">
        <v>2021</v>
      </c>
      <c r="E600">
        <f t="shared" si="46"/>
        <v>40456.699999999997</v>
      </c>
      <c r="F600">
        <f t="shared" ref="F600:I604" si="48">F606</f>
        <v>40456.699999999997</v>
      </c>
      <c r="G600">
        <f t="shared" si="48"/>
        <v>0</v>
      </c>
      <c r="H600">
        <f t="shared" si="48"/>
        <v>0</v>
      </c>
      <c r="I600">
        <f t="shared" si="48"/>
        <v>0</v>
      </c>
      <c r="J600" s="107"/>
      <c r="K600" s="107"/>
    </row>
    <row r="601" spans="1:13" x14ac:dyDescent="0.25">
      <c r="A601" s="107"/>
      <c r="B601" s="107"/>
      <c r="C601" s="107"/>
      <c r="D601">
        <v>2022</v>
      </c>
      <c r="E601">
        <f t="shared" si="46"/>
        <v>46084.21</v>
      </c>
      <c r="F601">
        <f t="shared" si="48"/>
        <v>46084.21</v>
      </c>
      <c r="G601">
        <f t="shared" si="48"/>
        <v>0</v>
      </c>
      <c r="H601">
        <f t="shared" si="48"/>
        <v>0</v>
      </c>
      <c r="I601">
        <f t="shared" si="48"/>
        <v>0</v>
      </c>
      <c r="J601" s="107"/>
      <c r="K601" s="107"/>
    </row>
    <row r="602" spans="1:13" x14ac:dyDescent="0.25">
      <c r="A602" s="107"/>
      <c r="B602" s="107"/>
      <c r="C602" s="107"/>
      <c r="D602">
        <v>2023</v>
      </c>
      <c r="E602">
        <f t="shared" si="46"/>
        <v>47752.76</v>
      </c>
      <c r="F602">
        <f t="shared" si="48"/>
        <v>47752.76</v>
      </c>
      <c r="G602">
        <f t="shared" si="48"/>
        <v>0</v>
      </c>
      <c r="H602">
        <f t="shared" si="48"/>
        <v>0</v>
      </c>
      <c r="I602">
        <f t="shared" si="48"/>
        <v>0</v>
      </c>
      <c r="J602" s="107"/>
      <c r="K602" s="107"/>
    </row>
    <row r="603" spans="1:13" x14ac:dyDescent="0.25">
      <c r="A603" s="107"/>
      <c r="B603" s="107"/>
      <c r="C603" s="107"/>
      <c r="D603">
        <v>2024</v>
      </c>
      <c r="E603">
        <f t="shared" si="46"/>
        <v>49488.053999999996</v>
      </c>
      <c r="F603">
        <f t="shared" si="48"/>
        <v>49488.053999999996</v>
      </c>
      <c r="G603">
        <f t="shared" si="48"/>
        <v>0</v>
      </c>
      <c r="H603">
        <f t="shared" si="48"/>
        <v>0</v>
      </c>
      <c r="I603">
        <f t="shared" si="48"/>
        <v>0</v>
      </c>
      <c r="J603" s="107"/>
      <c r="K603" s="107"/>
    </row>
    <row r="604" spans="1:13" x14ac:dyDescent="0.25">
      <c r="A604" s="107"/>
      <c r="B604" s="107"/>
      <c r="C604" s="107"/>
      <c r="D604">
        <v>2025</v>
      </c>
      <c r="E604">
        <f t="shared" si="46"/>
        <v>46918.409</v>
      </c>
      <c r="F604">
        <f t="shared" si="48"/>
        <v>46918.409</v>
      </c>
      <c r="G604">
        <f t="shared" si="48"/>
        <v>0</v>
      </c>
      <c r="H604">
        <f t="shared" si="48"/>
        <v>0</v>
      </c>
      <c r="I604">
        <f t="shared" si="48"/>
        <v>0</v>
      </c>
      <c r="J604" s="107"/>
      <c r="K604" s="107"/>
    </row>
    <row r="605" spans="1:13" ht="15" customHeight="1" x14ac:dyDescent="0.25">
      <c r="A605" s="107" t="s">
        <v>133</v>
      </c>
      <c r="B605" s="107" t="s">
        <v>134</v>
      </c>
      <c r="C605" s="107" t="s">
        <v>14</v>
      </c>
      <c r="D605" t="s">
        <v>8</v>
      </c>
      <c r="E605">
        <f t="shared" si="46"/>
        <v>230700.13300000003</v>
      </c>
      <c r="F605">
        <f>SUM(F606:F610)</f>
        <v>230700.13300000003</v>
      </c>
      <c r="G605">
        <f>SUM(G606:G610)</f>
        <v>0</v>
      </c>
      <c r="H605">
        <f>SUM(H606:H610)</f>
        <v>0</v>
      </c>
      <c r="I605">
        <f>SUM(I606:I610)</f>
        <v>0</v>
      </c>
      <c r="J605" s="107" t="s">
        <v>605</v>
      </c>
      <c r="K605" s="107" t="s">
        <v>484</v>
      </c>
    </row>
    <row r="606" spans="1:13" x14ac:dyDescent="0.25">
      <c r="A606" s="107"/>
      <c r="B606" s="107"/>
      <c r="C606" s="107"/>
      <c r="D606">
        <v>2021</v>
      </c>
      <c r="E606">
        <f t="shared" si="46"/>
        <v>40456.699999999997</v>
      </c>
      <c r="F606">
        <f t="shared" ref="F606:I610" si="49">F612</f>
        <v>40456.699999999997</v>
      </c>
      <c r="G606">
        <f t="shared" si="49"/>
        <v>0</v>
      </c>
      <c r="H606">
        <f t="shared" si="49"/>
        <v>0</v>
      </c>
      <c r="I606">
        <f t="shared" si="49"/>
        <v>0</v>
      </c>
      <c r="J606" s="107"/>
      <c r="K606" s="107"/>
    </row>
    <row r="607" spans="1:13" x14ac:dyDescent="0.25">
      <c r="A607" s="107"/>
      <c r="B607" s="107"/>
      <c r="C607" s="107"/>
      <c r="D607">
        <v>2022</v>
      </c>
      <c r="E607">
        <f t="shared" si="46"/>
        <v>46084.21</v>
      </c>
      <c r="F607">
        <f t="shared" si="49"/>
        <v>46084.21</v>
      </c>
      <c r="G607">
        <f t="shared" si="49"/>
        <v>0</v>
      </c>
      <c r="H607">
        <f t="shared" si="49"/>
        <v>0</v>
      </c>
      <c r="I607">
        <f t="shared" si="49"/>
        <v>0</v>
      </c>
      <c r="J607" s="107"/>
      <c r="K607" s="107"/>
    </row>
    <row r="608" spans="1:13" x14ac:dyDescent="0.25">
      <c r="A608" s="107"/>
      <c r="B608" s="107"/>
      <c r="C608" s="107"/>
      <c r="D608">
        <v>2023</v>
      </c>
      <c r="E608">
        <f t="shared" si="46"/>
        <v>47752.76</v>
      </c>
      <c r="F608">
        <f t="shared" si="49"/>
        <v>47752.76</v>
      </c>
      <c r="G608">
        <f t="shared" si="49"/>
        <v>0</v>
      </c>
      <c r="H608">
        <f t="shared" si="49"/>
        <v>0</v>
      </c>
      <c r="I608">
        <f t="shared" si="49"/>
        <v>0</v>
      </c>
      <c r="J608" s="107"/>
      <c r="K608" s="107"/>
    </row>
    <row r="609" spans="1:11" x14ac:dyDescent="0.25">
      <c r="A609" s="107"/>
      <c r="B609" s="107"/>
      <c r="C609" s="107"/>
      <c r="D609">
        <v>2024</v>
      </c>
      <c r="E609">
        <f t="shared" si="46"/>
        <v>49488.053999999996</v>
      </c>
      <c r="F609">
        <f t="shared" si="49"/>
        <v>49488.053999999996</v>
      </c>
      <c r="G609">
        <f t="shared" si="49"/>
        <v>0</v>
      </c>
      <c r="H609">
        <f t="shared" si="49"/>
        <v>0</v>
      </c>
      <c r="I609">
        <f t="shared" si="49"/>
        <v>0</v>
      </c>
      <c r="J609" s="107"/>
      <c r="K609" s="107"/>
    </row>
    <row r="610" spans="1:11" ht="52.5" customHeight="1" x14ac:dyDescent="0.25">
      <c r="A610" s="107"/>
      <c r="B610" s="107"/>
      <c r="C610" s="107"/>
      <c r="D610">
        <v>2025</v>
      </c>
      <c r="E610">
        <f t="shared" si="46"/>
        <v>46918.409</v>
      </c>
      <c r="F610">
        <f t="shared" si="49"/>
        <v>46918.409</v>
      </c>
      <c r="G610">
        <f>G616</f>
        <v>0</v>
      </c>
      <c r="H610">
        <f>H616</f>
        <v>0</v>
      </c>
      <c r="I610">
        <f>I616</f>
        <v>0</v>
      </c>
      <c r="J610" s="107"/>
      <c r="K610" s="107"/>
    </row>
    <row r="611" spans="1:11" x14ac:dyDescent="0.25">
      <c r="A611" s="107" t="s">
        <v>135</v>
      </c>
      <c r="B611" s="107" t="s">
        <v>954</v>
      </c>
      <c r="C611" s="107" t="s">
        <v>14</v>
      </c>
      <c r="D611" t="s">
        <v>8</v>
      </c>
      <c r="E611">
        <f t="shared" si="46"/>
        <v>230700.13300000003</v>
      </c>
      <c r="F611">
        <f>SUM(F612:F616)</f>
        <v>230700.13300000003</v>
      </c>
      <c r="G611">
        <f>SUM(G612:G616)</f>
        <v>0</v>
      </c>
      <c r="H611">
        <f>SUM(H612:H616)</f>
        <v>0</v>
      </c>
      <c r="I611">
        <f>SUM(I612:I616)</f>
        <v>0</v>
      </c>
      <c r="J611" s="107" t="s">
        <v>607</v>
      </c>
      <c r="K611" s="107" t="s">
        <v>484</v>
      </c>
    </row>
    <row r="612" spans="1:11" x14ac:dyDescent="0.25">
      <c r="A612" s="107"/>
      <c r="B612" s="107"/>
      <c r="C612" s="107"/>
      <c r="D612">
        <v>2021</v>
      </c>
      <c r="E612">
        <f t="shared" si="46"/>
        <v>40456.699999999997</v>
      </c>
      <c r="F612">
        <v>40456.699999999997</v>
      </c>
      <c r="G612">
        <v>0</v>
      </c>
      <c r="H612">
        <v>0</v>
      </c>
      <c r="I612">
        <v>0</v>
      </c>
      <c r="J612" s="107"/>
      <c r="K612" s="107"/>
    </row>
    <row r="613" spans="1:11" x14ac:dyDescent="0.25">
      <c r="A613" s="107"/>
      <c r="B613" s="107"/>
      <c r="C613" s="107"/>
      <c r="D613">
        <v>2022</v>
      </c>
      <c r="E613">
        <f t="shared" si="46"/>
        <v>46084.21</v>
      </c>
      <c r="F613">
        <v>46084.21</v>
      </c>
      <c r="G613">
        <v>0</v>
      </c>
      <c r="H613">
        <v>0</v>
      </c>
      <c r="I613">
        <v>0</v>
      </c>
      <c r="J613" s="107"/>
      <c r="K613" s="107"/>
    </row>
    <row r="614" spans="1:11" x14ac:dyDescent="0.25">
      <c r="A614" s="107"/>
      <c r="B614" s="107"/>
      <c r="C614" s="107"/>
      <c r="D614">
        <v>2023</v>
      </c>
      <c r="E614">
        <f t="shared" si="46"/>
        <v>47752.76</v>
      </c>
      <c r="F614">
        <v>47752.76</v>
      </c>
      <c r="G614">
        <v>0</v>
      </c>
      <c r="H614">
        <v>0</v>
      </c>
      <c r="I614">
        <v>0</v>
      </c>
      <c r="J614" s="107"/>
      <c r="K614" s="107"/>
    </row>
    <row r="615" spans="1:11" x14ac:dyDescent="0.25">
      <c r="A615" s="107"/>
      <c r="B615" s="107"/>
      <c r="C615" s="107"/>
      <c r="D615">
        <v>2024</v>
      </c>
      <c r="E615">
        <f t="shared" si="46"/>
        <v>49488.053999999996</v>
      </c>
      <c r="F615">
        <v>49488.053999999996</v>
      </c>
      <c r="G615">
        <v>0</v>
      </c>
      <c r="H615">
        <v>0</v>
      </c>
      <c r="I615">
        <v>0</v>
      </c>
      <c r="J615" s="107"/>
      <c r="K615" s="107"/>
    </row>
    <row r="616" spans="1:11" x14ac:dyDescent="0.25">
      <c r="A616" s="107"/>
      <c r="B616" s="107"/>
      <c r="C616" s="107"/>
      <c r="D616">
        <v>2025</v>
      </c>
      <c r="E616">
        <f t="shared" si="46"/>
        <v>46918.409</v>
      </c>
      <c r="F616">
        <v>46918.409</v>
      </c>
      <c r="G616">
        <v>0</v>
      </c>
      <c r="H616">
        <v>0</v>
      </c>
      <c r="I616">
        <v>0</v>
      </c>
      <c r="J616" s="107"/>
      <c r="K616" s="107"/>
    </row>
  </sheetData>
  <autoFilter ref="A4:L616"/>
  <mergeCells count="541">
    <mergeCell ref="A605:A610"/>
    <mergeCell ref="B605:B610"/>
    <mergeCell ref="C605:C610"/>
    <mergeCell ref="J605:J610"/>
    <mergeCell ref="K605:K610"/>
    <mergeCell ref="A611:A616"/>
    <mergeCell ref="B611:B616"/>
    <mergeCell ref="C611:C616"/>
    <mergeCell ref="J611:J616"/>
    <mergeCell ref="K611:K616"/>
    <mergeCell ref="A593:A598"/>
    <mergeCell ref="B593:B598"/>
    <mergeCell ref="C593:C598"/>
    <mergeCell ref="J593:J598"/>
    <mergeCell ref="K593:K598"/>
    <mergeCell ref="M593:M598"/>
    <mergeCell ref="A599:A604"/>
    <mergeCell ref="B599:B604"/>
    <mergeCell ref="C599:C604"/>
    <mergeCell ref="J599:J604"/>
    <mergeCell ref="K599:K604"/>
    <mergeCell ref="A581:A586"/>
    <mergeCell ref="B581:B586"/>
    <mergeCell ref="C581:C586"/>
    <mergeCell ref="J581:J586"/>
    <mergeCell ref="K581:K586"/>
    <mergeCell ref="L581:L586"/>
    <mergeCell ref="A587:A592"/>
    <mergeCell ref="B587:B592"/>
    <mergeCell ref="C587:C592"/>
    <mergeCell ref="J587:J592"/>
    <mergeCell ref="K587:K592"/>
    <mergeCell ref="L587:L592"/>
    <mergeCell ref="A569:A574"/>
    <mergeCell ref="B569:B574"/>
    <mergeCell ref="C569:C574"/>
    <mergeCell ref="J569:J574"/>
    <mergeCell ref="K569:K574"/>
    <mergeCell ref="A575:A580"/>
    <mergeCell ref="B575:B580"/>
    <mergeCell ref="C575:C580"/>
    <mergeCell ref="J575:J580"/>
    <mergeCell ref="K575:K580"/>
    <mergeCell ref="A557:A562"/>
    <mergeCell ref="B557:B562"/>
    <mergeCell ref="C557:C562"/>
    <mergeCell ref="J557:J562"/>
    <mergeCell ref="K557:K562"/>
    <mergeCell ref="A563:A568"/>
    <mergeCell ref="B563:B568"/>
    <mergeCell ref="C563:C568"/>
    <mergeCell ref="J563:J568"/>
    <mergeCell ref="K563:K568"/>
    <mergeCell ref="A545:A550"/>
    <mergeCell ref="B545:B550"/>
    <mergeCell ref="C545:C550"/>
    <mergeCell ref="J545:J550"/>
    <mergeCell ref="K545:K550"/>
    <mergeCell ref="A551:A556"/>
    <mergeCell ref="B551:B556"/>
    <mergeCell ref="C551:C556"/>
    <mergeCell ref="J551:J556"/>
    <mergeCell ref="K551:K556"/>
    <mergeCell ref="A533:A538"/>
    <mergeCell ref="B533:B538"/>
    <mergeCell ref="C533:C538"/>
    <mergeCell ref="J533:J538"/>
    <mergeCell ref="K533:K538"/>
    <mergeCell ref="A539:A544"/>
    <mergeCell ref="B539:B544"/>
    <mergeCell ref="C539:C544"/>
    <mergeCell ref="J539:J544"/>
    <mergeCell ref="K539:K544"/>
    <mergeCell ref="A521:A526"/>
    <mergeCell ref="B521:B526"/>
    <mergeCell ref="C521:C526"/>
    <mergeCell ref="J521:J526"/>
    <mergeCell ref="K521:K526"/>
    <mergeCell ref="A527:A532"/>
    <mergeCell ref="B527:B532"/>
    <mergeCell ref="C527:C532"/>
    <mergeCell ref="J527:J532"/>
    <mergeCell ref="K527:K532"/>
    <mergeCell ref="A509:A514"/>
    <mergeCell ref="B509:B514"/>
    <mergeCell ref="C509:C514"/>
    <mergeCell ref="J509:J514"/>
    <mergeCell ref="K509:K514"/>
    <mergeCell ref="A515:A520"/>
    <mergeCell ref="B515:B520"/>
    <mergeCell ref="C515:C520"/>
    <mergeCell ref="J515:J520"/>
    <mergeCell ref="K515:K520"/>
    <mergeCell ref="A497:A502"/>
    <mergeCell ref="B497:B502"/>
    <mergeCell ref="C497:C502"/>
    <mergeCell ref="J497:J502"/>
    <mergeCell ref="K497:K502"/>
    <mergeCell ref="A503:A508"/>
    <mergeCell ref="B503:B508"/>
    <mergeCell ref="C503:C508"/>
    <mergeCell ref="J503:J508"/>
    <mergeCell ref="K503:K508"/>
    <mergeCell ref="A485:A490"/>
    <mergeCell ref="B485:B490"/>
    <mergeCell ref="C485:C490"/>
    <mergeCell ref="J485:J490"/>
    <mergeCell ref="K485:K490"/>
    <mergeCell ref="A491:A496"/>
    <mergeCell ref="B491:B496"/>
    <mergeCell ref="C491:C496"/>
    <mergeCell ref="J491:J496"/>
    <mergeCell ref="K491:K496"/>
    <mergeCell ref="A473:A478"/>
    <mergeCell ref="B473:B478"/>
    <mergeCell ref="C473:C478"/>
    <mergeCell ref="J473:J478"/>
    <mergeCell ref="K473:K478"/>
    <mergeCell ref="A479:A484"/>
    <mergeCell ref="B479:B484"/>
    <mergeCell ref="C479:C484"/>
    <mergeCell ref="J479:J484"/>
    <mergeCell ref="K479:K484"/>
    <mergeCell ref="A461:A466"/>
    <mergeCell ref="B461:B466"/>
    <mergeCell ref="C461:C466"/>
    <mergeCell ref="J461:J466"/>
    <mergeCell ref="K461:K466"/>
    <mergeCell ref="A467:A472"/>
    <mergeCell ref="B467:B472"/>
    <mergeCell ref="C467:C472"/>
    <mergeCell ref="J467:J472"/>
    <mergeCell ref="K467:K472"/>
    <mergeCell ref="A449:A454"/>
    <mergeCell ref="B449:B454"/>
    <mergeCell ref="C449:C454"/>
    <mergeCell ref="J449:J454"/>
    <mergeCell ref="K449:K454"/>
    <mergeCell ref="A455:A460"/>
    <mergeCell ref="B455:B460"/>
    <mergeCell ref="C455:C460"/>
    <mergeCell ref="J455:J460"/>
    <mergeCell ref="K455:K460"/>
    <mergeCell ref="A437:A442"/>
    <mergeCell ref="B437:B442"/>
    <mergeCell ref="C437:C442"/>
    <mergeCell ref="J437:J442"/>
    <mergeCell ref="K437:K442"/>
    <mergeCell ref="A443:A448"/>
    <mergeCell ref="B443:B448"/>
    <mergeCell ref="C443:C448"/>
    <mergeCell ref="J443:J448"/>
    <mergeCell ref="K443:K448"/>
    <mergeCell ref="A425:A430"/>
    <mergeCell ref="B425:B430"/>
    <mergeCell ref="C425:C430"/>
    <mergeCell ref="J425:J430"/>
    <mergeCell ref="K425:K430"/>
    <mergeCell ref="A431:A436"/>
    <mergeCell ref="B431:B436"/>
    <mergeCell ref="C431:C436"/>
    <mergeCell ref="J431:J436"/>
    <mergeCell ref="K431:K436"/>
    <mergeCell ref="A413:A418"/>
    <mergeCell ref="B413:B418"/>
    <mergeCell ref="C413:C418"/>
    <mergeCell ref="J413:J418"/>
    <mergeCell ref="K413:K418"/>
    <mergeCell ref="A419:A424"/>
    <mergeCell ref="B419:B424"/>
    <mergeCell ref="C419:C424"/>
    <mergeCell ref="J419:J424"/>
    <mergeCell ref="K419:K424"/>
    <mergeCell ref="A401:A406"/>
    <mergeCell ref="B401:B406"/>
    <mergeCell ref="C401:C406"/>
    <mergeCell ref="J401:J406"/>
    <mergeCell ref="K401:K406"/>
    <mergeCell ref="L401:O403"/>
    <mergeCell ref="A407:A412"/>
    <mergeCell ref="B407:B412"/>
    <mergeCell ref="C407:C412"/>
    <mergeCell ref="J407:J412"/>
    <mergeCell ref="K407:K412"/>
    <mergeCell ref="A389:A394"/>
    <mergeCell ref="B389:B394"/>
    <mergeCell ref="C389:C394"/>
    <mergeCell ref="J389:J394"/>
    <mergeCell ref="K389:K394"/>
    <mergeCell ref="L389:L394"/>
    <mergeCell ref="M389:M394"/>
    <mergeCell ref="A395:A400"/>
    <mergeCell ref="B395:B400"/>
    <mergeCell ref="C395:C400"/>
    <mergeCell ref="J395:J400"/>
    <mergeCell ref="K395:K400"/>
    <mergeCell ref="L371:L376"/>
    <mergeCell ref="M371:M376"/>
    <mergeCell ref="A377:A382"/>
    <mergeCell ref="B377:B382"/>
    <mergeCell ref="C377:C382"/>
    <mergeCell ref="J377:J382"/>
    <mergeCell ref="K377:K382"/>
    <mergeCell ref="M377:M382"/>
    <mergeCell ref="A383:A388"/>
    <mergeCell ref="B383:B388"/>
    <mergeCell ref="C383:C388"/>
    <mergeCell ref="J383:J388"/>
    <mergeCell ref="K383:K388"/>
    <mergeCell ref="L383:L388"/>
    <mergeCell ref="M383:M388"/>
    <mergeCell ref="A365:A370"/>
    <mergeCell ref="B365:B370"/>
    <mergeCell ref="C365:C370"/>
    <mergeCell ref="J365:J370"/>
    <mergeCell ref="K365:K370"/>
    <mergeCell ref="A371:A376"/>
    <mergeCell ref="B371:B376"/>
    <mergeCell ref="C371:C376"/>
    <mergeCell ref="J371:J376"/>
    <mergeCell ref="K371:K376"/>
    <mergeCell ref="A353:A358"/>
    <mergeCell ref="B353:B358"/>
    <mergeCell ref="C353:C358"/>
    <mergeCell ref="J353:J358"/>
    <mergeCell ref="K353:K358"/>
    <mergeCell ref="A359:A364"/>
    <mergeCell ref="B359:B364"/>
    <mergeCell ref="C359:C364"/>
    <mergeCell ref="J359:J364"/>
    <mergeCell ref="K359:K364"/>
    <mergeCell ref="A341:A346"/>
    <mergeCell ref="B341:B346"/>
    <mergeCell ref="C341:C346"/>
    <mergeCell ref="J341:J346"/>
    <mergeCell ref="K341:K346"/>
    <mergeCell ref="L341:L346"/>
    <mergeCell ref="M341:M346"/>
    <mergeCell ref="A347:A352"/>
    <mergeCell ref="B347:B352"/>
    <mergeCell ref="C347:C352"/>
    <mergeCell ref="J347:J352"/>
    <mergeCell ref="K347:K352"/>
    <mergeCell ref="L329:L334"/>
    <mergeCell ref="M329:M334"/>
    <mergeCell ref="A335:A340"/>
    <mergeCell ref="B335:B340"/>
    <mergeCell ref="C335:C340"/>
    <mergeCell ref="J335:J340"/>
    <mergeCell ref="K335:K340"/>
    <mergeCell ref="L335:L340"/>
    <mergeCell ref="M335:M340"/>
    <mergeCell ref="A323:A328"/>
    <mergeCell ref="B323:B328"/>
    <mergeCell ref="C323:C328"/>
    <mergeCell ref="J323:J328"/>
    <mergeCell ref="K323:K328"/>
    <mergeCell ref="A329:A334"/>
    <mergeCell ref="B329:B334"/>
    <mergeCell ref="C329:C334"/>
    <mergeCell ref="J329:J334"/>
    <mergeCell ref="K329:K334"/>
    <mergeCell ref="A311:A316"/>
    <mergeCell ref="B311:B316"/>
    <mergeCell ref="C311:C316"/>
    <mergeCell ref="J311:J316"/>
    <mergeCell ref="K311:K316"/>
    <mergeCell ref="A317:A322"/>
    <mergeCell ref="B317:B322"/>
    <mergeCell ref="C317:C322"/>
    <mergeCell ref="J317:J322"/>
    <mergeCell ref="K317:K322"/>
    <mergeCell ref="A299:A304"/>
    <mergeCell ref="B299:B304"/>
    <mergeCell ref="C299:C304"/>
    <mergeCell ref="J299:J304"/>
    <mergeCell ref="K299:K304"/>
    <mergeCell ref="A305:A310"/>
    <mergeCell ref="B305:B310"/>
    <mergeCell ref="C305:C310"/>
    <mergeCell ref="J305:J310"/>
    <mergeCell ref="K305:K310"/>
    <mergeCell ref="A287:A292"/>
    <mergeCell ref="B287:B292"/>
    <mergeCell ref="C287:C292"/>
    <mergeCell ref="J287:J292"/>
    <mergeCell ref="K287:K292"/>
    <mergeCell ref="A293:A298"/>
    <mergeCell ref="B293:B298"/>
    <mergeCell ref="C293:C298"/>
    <mergeCell ref="J293:J298"/>
    <mergeCell ref="K293:K298"/>
    <mergeCell ref="A275:A280"/>
    <mergeCell ref="B275:B280"/>
    <mergeCell ref="C275:C280"/>
    <mergeCell ref="J275:J280"/>
    <mergeCell ref="K275:K280"/>
    <mergeCell ref="A281:A286"/>
    <mergeCell ref="B281:B286"/>
    <mergeCell ref="C281:C286"/>
    <mergeCell ref="J281:J286"/>
    <mergeCell ref="K281:K286"/>
    <mergeCell ref="A263:A268"/>
    <mergeCell ref="B263:B268"/>
    <mergeCell ref="C263:C268"/>
    <mergeCell ref="J263:J268"/>
    <mergeCell ref="K263:K268"/>
    <mergeCell ref="A269:A274"/>
    <mergeCell ref="B269:B274"/>
    <mergeCell ref="C269:C274"/>
    <mergeCell ref="J269:J274"/>
    <mergeCell ref="K269:K274"/>
    <mergeCell ref="A251:A256"/>
    <mergeCell ref="B251:B256"/>
    <mergeCell ref="C251:C256"/>
    <mergeCell ref="J251:J256"/>
    <mergeCell ref="K251:K256"/>
    <mergeCell ref="A257:A262"/>
    <mergeCell ref="B257:B262"/>
    <mergeCell ref="C257:C262"/>
    <mergeCell ref="J257:J262"/>
    <mergeCell ref="K257:K262"/>
    <mergeCell ref="A239:A244"/>
    <mergeCell ref="B239:B244"/>
    <mergeCell ref="C239:C244"/>
    <mergeCell ref="J239:J244"/>
    <mergeCell ref="K239:K244"/>
    <mergeCell ref="A245:A250"/>
    <mergeCell ref="B245:B250"/>
    <mergeCell ref="C245:C250"/>
    <mergeCell ref="J245:J250"/>
    <mergeCell ref="K245:K250"/>
    <mergeCell ref="A227:A232"/>
    <mergeCell ref="B227:B232"/>
    <mergeCell ref="C227:C232"/>
    <mergeCell ref="J227:J232"/>
    <mergeCell ref="K227:K232"/>
    <mergeCell ref="A233:A238"/>
    <mergeCell ref="B233:B238"/>
    <mergeCell ref="C233:C238"/>
    <mergeCell ref="J233:J238"/>
    <mergeCell ref="K233:K238"/>
    <mergeCell ref="A215:A220"/>
    <mergeCell ref="B215:B220"/>
    <mergeCell ref="C215:C220"/>
    <mergeCell ref="J215:J220"/>
    <mergeCell ref="K215:K220"/>
    <mergeCell ref="A221:A226"/>
    <mergeCell ref="B221:B226"/>
    <mergeCell ref="C221:C226"/>
    <mergeCell ref="J221:J226"/>
    <mergeCell ref="K221:K226"/>
    <mergeCell ref="A203:A208"/>
    <mergeCell ref="B203:B208"/>
    <mergeCell ref="C203:C208"/>
    <mergeCell ref="J203:J208"/>
    <mergeCell ref="K203:K208"/>
    <mergeCell ref="A209:A214"/>
    <mergeCell ref="B209:B214"/>
    <mergeCell ref="C209:C214"/>
    <mergeCell ref="J209:J214"/>
    <mergeCell ref="K209:K214"/>
    <mergeCell ref="A191:A196"/>
    <mergeCell ref="B191:B196"/>
    <mergeCell ref="C191:C196"/>
    <mergeCell ref="J191:J196"/>
    <mergeCell ref="K191:K196"/>
    <mergeCell ref="A197:A202"/>
    <mergeCell ref="B197:B202"/>
    <mergeCell ref="C197:C202"/>
    <mergeCell ref="J197:J202"/>
    <mergeCell ref="K197:K202"/>
    <mergeCell ref="A179:A184"/>
    <mergeCell ref="B179:B184"/>
    <mergeCell ref="C179:C184"/>
    <mergeCell ref="J179:J184"/>
    <mergeCell ref="K179:K184"/>
    <mergeCell ref="A185:A190"/>
    <mergeCell ref="B185:B190"/>
    <mergeCell ref="C185:C190"/>
    <mergeCell ref="J185:J190"/>
    <mergeCell ref="K185:K190"/>
    <mergeCell ref="A167:A172"/>
    <mergeCell ref="B167:B172"/>
    <mergeCell ref="C167:C172"/>
    <mergeCell ref="J167:J172"/>
    <mergeCell ref="K167:K172"/>
    <mergeCell ref="A173:A178"/>
    <mergeCell ref="B173:B178"/>
    <mergeCell ref="C173:C178"/>
    <mergeCell ref="J173:J178"/>
    <mergeCell ref="K173:K178"/>
    <mergeCell ref="A155:A160"/>
    <mergeCell ref="B155:B160"/>
    <mergeCell ref="C155:C160"/>
    <mergeCell ref="J155:J160"/>
    <mergeCell ref="K155:K160"/>
    <mergeCell ref="L155:N160"/>
    <mergeCell ref="A161:A166"/>
    <mergeCell ref="B161:B166"/>
    <mergeCell ref="C161:C166"/>
    <mergeCell ref="J161:J166"/>
    <mergeCell ref="K161:K166"/>
    <mergeCell ref="A143:A148"/>
    <mergeCell ref="B143:B148"/>
    <mergeCell ref="C143:C148"/>
    <mergeCell ref="J143:J148"/>
    <mergeCell ref="K143:K148"/>
    <mergeCell ref="L143:N148"/>
    <mergeCell ref="A149:A154"/>
    <mergeCell ref="B149:B154"/>
    <mergeCell ref="C149:C154"/>
    <mergeCell ref="J149:J154"/>
    <mergeCell ref="K149:K154"/>
    <mergeCell ref="L149:N154"/>
    <mergeCell ref="L125:N130"/>
    <mergeCell ref="A131:A136"/>
    <mergeCell ref="B131:B136"/>
    <mergeCell ref="C131:C136"/>
    <mergeCell ref="J131:J136"/>
    <mergeCell ref="K131:K136"/>
    <mergeCell ref="A137:A142"/>
    <mergeCell ref="B137:B142"/>
    <mergeCell ref="C137:C142"/>
    <mergeCell ref="J137:J142"/>
    <mergeCell ref="K137:K142"/>
    <mergeCell ref="A119:A124"/>
    <mergeCell ref="B119:B124"/>
    <mergeCell ref="C119:C124"/>
    <mergeCell ref="J119:J124"/>
    <mergeCell ref="K119:K124"/>
    <mergeCell ref="A125:A130"/>
    <mergeCell ref="B125:B130"/>
    <mergeCell ref="C125:C130"/>
    <mergeCell ref="J125:J130"/>
    <mergeCell ref="K125:K130"/>
    <mergeCell ref="A107:A112"/>
    <mergeCell ref="B107:B112"/>
    <mergeCell ref="C107:C112"/>
    <mergeCell ref="J107:J112"/>
    <mergeCell ref="K107:K112"/>
    <mergeCell ref="A113:A118"/>
    <mergeCell ref="B113:B118"/>
    <mergeCell ref="C113:C118"/>
    <mergeCell ref="J113:J118"/>
    <mergeCell ref="K113:K118"/>
    <mergeCell ref="A95:A100"/>
    <mergeCell ref="B95:B100"/>
    <mergeCell ref="C95:C100"/>
    <mergeCell ref="J95:J100"/>
    <mergeCell ref="K95:K100"/>
    <mergeCell ref="A101:A106"/>
    <mergeCell ref="B101:B106"/>
    <mergeCell ref="C101:C106"/>
    <mergeCell ref="J101:J106"/>
    <mergeCell ref="K101:K106"/>
    <mergeCell ref="A83:A88"/>
    <mergeCell ref="B83:B88"/>
    <mergeCell ref="C83:C88"/>
    <mergeCell ref="J83:J88"/>
    <mergeCell ref="K83:K88"/>
    <mergeCell ref="A89:A94"/>
    <mergeCell ref="B89:B94"/>
    <mergeCell ref="C89:C94"/>
    <mergeCell ref="J89:J94"/>
    <mergeCell ref="K89:K94"/>
    <mergeCell ref="A71:A76"/>
    <mergeCell ref="B71:B76"/>
    <mergeCell ref="C71:C76"/>
    <mergeCell ref="J71:J76"/>
    <mergeCell ref="K71:K76"/>
    <mergeCell ref="A77:A82"/>
    <mergeCell ref="B77:B82"/>
    <mergeCell ref="C77:C82"/>
    <mergeCell ref="J77:J82"/>
    <mergeCell ref="K77:K82"/>
    <mergeCell ref="A59:A64"/>
    <mergeCell ref="B59:B64"/>
    <mergeCell ref="C59:C64"/>
    <mergeCell ref="J59:J64"/>
    <mergeCell ref="K59:K64"/>
    <mergeCell ref="A65:A70"/>
    <mergeCell ref="B65:B70"/>
    <mergeCell ref="C65:C70"/>
    <mergeCell ref="J65:J70"/>
    <mergeCell ref="K65:K70"/>
    <mergeCell ref="L41:N46"/>
    <mergeCell ref="A47:A52"/>
    <mergeCell ref="B47:B52"/>
    <mergeCell ref="C47:C52"/>
    <mergeCell ref="J47:J52"/>
    <mergeCell ref="K47:K52"/>
    <mergeCell ref="A53:A58"/>
    <mergeCell ref="B53:B58"/>
    <mergeCell ref="C53:C58"/>
    <mergeCell ref="J53:J58"/>
    <mergeCell ref="K53:K58"/>
    <mergeCell ref="A35:A40"/>
    <mergeCell ref="B35:B40"/>
    <mergeCell ref="C35:C40"/>
    <mergeCell ref="J35:J40"/>
    <mergeCell ref="K35:K40"/>
    <mergeCell ref="A41:A46"/>
    <mergeCell ref="B41:B46"/>
    <mergeCell ref="C41:C46"/>
    <mergeCell ref="J41:J46"/>
    <mergeCell ref="K41:K46"/>
    <mergeCell ref="A23:A28"/>
    <mergeCell ref="B23:B28"/>
    <mergeCell ref="C23:C28"/>
    <mergeCell ref="J23:J28"/>
    <mergeCell ref="K23:K28"/>
    <mergeCell ref="L23:N28"/>
    <mergeCell ref="A29:A34"/>
    <mergeCell ref="B29:B34"/>
    <mergeCell ref="C29:C34"/>
    <mergeCell ref="J29:J34"/>
    <mergeCell ref="K29:K34"/>
    <mergeCell ref="L29:N34"/>
    <mergeCell ref="A11:A16"/>
    <mergeCell ref="B11:B16"/>
    <mergeCell ref="C11:C16"/>
    <mergeCell ref="J11:J16"/>
    <mergeCell ref="K11:K16"/>
    <mergeCell ref="A17:A22"/>
    <mergeCell ref="B17:B22"/>
    <mergeCell ref="C17:C22"/>
    <mergeCell ref="J17:J22"/>
    <mergeCell ref="K17:K22"/>
    <mergeCell ref="A1:K2"/>
    <mergeCell ref="A3:A4"/>
    <mergeCell ref="B3:B4"/>
    <mergeCell ref="C3:C4"/>
    <mergeCell ref="D3:I3"/>
    <mergeCell ref="J3:J4"/>
    <mergeCell ref="K3:K4"/>
    <mergeCell ref="A5:A10"/>
    <mergeCell ref="B5:B10"/>
    <mergeCell ref="C5:C10"/>
    <mergeCell ref="J5:J10"/>
    <mergeCell ref="K5:K10"/>
  </mergeCells>
  <pageMargins left="0.11811023622047245" right="0.11811023622047245" top="0.15748031496062992" bottom="0.15748031496062992" header="0.11811023622047245" footer="0.11811023622047245"/>
  <pageSetup paperSize="9" scale="86" firstPageNumber="4294967295" fitToHeight="0" orientation="landscape"/>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31</vt:i4>
      </vt:variant>
    </vt:vector>
  </HeadingPairs>
  <TitlesOfParts>
    <vt:vector size="61" baseType="lpstr">
      <vt:lpstr>План 21-25</vt:lpstr>
      <vt:lpstr>Роспись Минстрой</vt:lpstr>
      <vt:lpstr>План реализации _ 10</vt:lpstr>
      <vt:lpstr>План реализации _ 11</vt:lpstr>
      <vt:lpstr>Пр10б. Справка 11</vt:lpstr>
      <vt:lpstr>4.ОКС_2</vt:lpstr>
      <vt:lpstr>Справка 6б</vt:lpstr>
      <vt:lpstr>План реализации 13</vt:lpstr>
      <vt:lpstr>План реализации 14</vt:lpstr>
      <vt:lpstr>Справка 11 в</vt:lpstr>
      <vt:lpstr>Лист1</vt:lpstr>
      <vt:lpstr>10а. Спр пок  </vt:lpstr>
      <vt:lpstr>План 21-25_9</vt:lpstr>
      <vt:lpstr>ГП РФ</vt:lpstr>
      <vt:lpstr>Пр 10в ОКС</vt:lpstr>
      <vt:lpstr>План 21-25_8 (2)</vt:lpstr>
      <vt:lpstr>НОВЫЙ_МИНСТРОЙ</vt:lpstr>
      <vt:lpstr>962-ПП</vt:lpstr>
      <vt:lpstr>6_ОМ_01_2024</vt:lpstr>
      <vt:lpstr>5092197</vt:lpstr>
      <vt:lpstr>СТАРЫЙ</vt:lpstr>
      <vt:lpstr>80-ПП</vt:lpstr>
      <vt:lpstr>Пр 11б. Справка</vt:lpstr>
      <vt:lpstr>НОВЫЙ</vt:lpstr>
      <vt:lpstr>6б</vt:lpstr>
      <vt:lpstr>6.ОМ</vt:lpstr>
      <vt:lpstr>Справка_Минэнерго</vt:lpstr>
      <vt:lpstr>ОМ_минэнерго</vt:lpstr>
      <vt:lpstr>План_минэн.</vt:lpstr>
      <vt:lpstr>План_нов_ред.минэн.</vt:lpstr>
      <vt:lpstr>'80-ПП'!Print_Titles</vt:lpstr>
      <vt:lpstr>'962-ПП'!Print_Titles</vt:lpstr>
      <vt:lpstr>НОВЫЙ!Print_Titles</vt:lpstr>
      <vt:lpstr>НОВЫЙ_МИНСТРОЙ!Print_Titles</vt:lpstr>
      <vt:lpstr>'План реализации 13'!Print_Titles</vt:lpstr>
      <vt:lpstr>'План реализации 14'!Print_Titles</vt:lpstr>
      <vt:lpstr>План_минэн.!Print_Titles</vt:lpstr>
      <vt:lpstr>План_нов_ред.минэн.!Print_Titles</vt:lpstr>
      <vt:lpstr>'Роспись Минстрой'!Print_Titles</vt:lpstr>
      <vt:lpstr>СТАРЫЙ!Print_Titles</vt:lpstr>
      <vt:lpstr>'ГП РФ'!sub_10044</vt:lpstr>
      <vt:lpstr>'ГП РФ'!sub_1045</vt:lpstr>
      <vt:lpstr>'10а. Спр пок  '!Область_печати</vt:lpstr>
      <vt:lpstr>'4.ОКС_2'!Область_печати</vt:lpstr>
      <vt:lpstr>'80-ПП'!Область_печати</vt:lpstr>
      <vt:lpstr>'962-ПП'!Область_печати</vt:lpstr>
      <vt:lpstr>НОВЫЙ!Область_печати</vt:lpstr>
      <vt:lpstr>НОВЫЙ_МИНСТРОЙ!Область_печати</vt:lpstr>
      <vt:lpstr>'План 21-25'!Область_печати</vt:lpstr>
      <vt:lpstr>'План 21-25_8 (2)'!Область_печати</vt:lpstr>
      <vt:lpstr>'План 21-25_9'!Область_печати</vt:lpstr>
      <vt:lpstr>'План реализации _ 10'!Область_печати</vt:lpstr>
      <vt:lpstr>'План реализации _ 11'!Область_печати</vt:lpstr>
      <vt:lpstr>'План реализации 13'!Область_печати</vt:lpstr>
      <vt:lpstr>'План реализации 14'!Область_печати</vt:lpstr>
      <vt:lpstr>План_минэн.!Область_печати</vt:lpstr>
      <vt:lpstr>План_нов_ред.минэн.!Область_печати</vt:lpstr>
      <vt:lpstr>'Роспись Минстрой'!Область_печати</vt:lpstr>
      <vt:lpstr>'Справка 6б'!Область_печати</vt:lpstr>
      <vt:lpstr>Справка_Минэнерго!Область_печати</vt:lpstr>
      <vt:lpstr>СТАРЫЙ!Область_печати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Богданова А.С.</dc:creator>
  <cp:lastModifiedBy>Мисюк Т.П.</cp:lastModifiedBy>
  <cp:revision>1</cp:revision>
  <cp:lastPrinted>2024-03-13T07:57:42Z</cp:lastPrinted>
  <dcterms:created xsi:type="dcterms:W3CDTF">2014-02-07T13:54:59Z</dcterms:created>
  <dcterms:modified xsi:type="dcterms:W3CDTF">2024-04-24T09:21:13Z</dcterms:modified>
</cp:coreProperties>
</file>